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filterPrivacy="1" codeName="ThisWorkbook" defaultThemeVersion="124226"/>
  <xr:revisionPtr revIDLastSave="0" documentId="13_ncr:1_{A60EFABF-3865-42FF-A62B-84E9ECC210AD}" xr6:coauthVersionLast="47" xr6:coauthVersionMax="47" xr10:uidLastSave="{00000000-0000-0000-0000-000000000000}"/>
  <bookViews>
    <workbookView xWindow="-120" yWindow="-120" windowWidth="19440" windowHeight="14880" xr2:uid="{00000000-000D-0000-FFFF-FFFF00000000}"/>
  </bookViews>
  <sheets>
    <sheet name="BEST" sheetId="21" r:id="rId1"/>
    <sheet name="ENMX" sheetId="8" r:id="rId2"/>
    <sheet name="RTMX" sheetId="17" r:id="rId3"/>
    <sheet name="SIFM" sheetId="6" r:id="rId4"/>
    <sheet name="TMEX6" sheetId="1" r:id="rId5"/>
    <sheet name="GFIM" sheetId="12" r:id="rId6"/>
    <sheet name="MEI" sheetId="13" r:id="rId7"/>
    <sheet name="VAR" sheetId="14" r:id="rId8"/>
    <sheet name="SIPO" sheetId="16" r:id="rId9"/>
    <sheet name="Spreads" sheetId="19" r:id="rId10"/>
    <sheet name="Flies" sheetId="23" r:id="rId11"/>
    <sheet name="Paths" sheetId="22" r:id="rId12"/>
  </sheets>
  <definedNames>
    <definedName name="ENMX_M">_xlfn.ANCHORARRAY(ENMX!$J$4):_xlfn.ANCHORARRAY(ENMX!$K$4):_xlfn.ANCHORARRAY(ENMX!$L$4)</definedName>
    <definedName name="enmx_p2">ENMX!$I$3:$L$24</definedName>
    <definedName name="ENMX_TIIE">_xlfn.ANCHORARRAY(ENMX!$I$82):_xlfn.ANCHORARRAY(ENMX!$J$82):_xlfn.ANCHORARRAY(ENMX!$K$82)</definedName>
    <definedName name="ENMX_TIIE_SPREADS">ENMX!#REF!</definedName>
    <definedName name="ENMX_UDI">_xlfn.ANCHORARRAY(ENMX!$J$52):_xlfn.ANCHORARRAY(ENMX!$K$52):_xlfn.ANCHORARRAY(ENMX!$L$52)</definedName>
    <definedName name="FLIES_BID">_xlfn.ANCHORARRAY(Flies!$H$2):_xlfn.ANCHORARRAY(Flies!$I$2):_xlfn.ANCHORARRAY(Flies!$J$2):_xlfn.ANCHORARRAY(Flies!$K$2):_xlfn.ANCHORARRAY(Flies!$L$2):_xlfn.ANCHORARRAY(Flies!$M$2)</definedName>
    <definedName name="FLIES_NAME">_xlfn.ANCHORARRAY(Flies!$AB$2):_xlfn.ANCHORARRAY(Flies!$AC$2)</definedName>
    <definedName name="FLIES_OFFER">_xlfn.ANCHORARRAY(Flies!$R$2):_xlfn.ANCHORARRAY(Flies!$S$2):_xlfn.ANCHORARRAY(Flies!$T$2):_xlfn.ANCHORARRAY(Flies!$U$2):_xlfn.ANCHORARRAY(Flies!$V$2):_xlfn.ANCHORARRAY(Flies!$W$2)</definedName>
    <definedName name="GFI_M">_xlfn.ANCHORARRAY(GFIM!$J$5):_xlfn.ANCHORARRAY(GFIM!$K$5):_xlfn.ANCHORARRAY(GFIM!$L$5)</definedName>
    <definedName name="GFI_TIIE">_xlfn.ANCHORARRAY(GFIM!$I$74):_xlfn.ANCHORARRAY(GFIM!$J$74):_xlfn.ANCHORARRAY(GFIM!$K$74)</definedName>
    <definedName name="GFI_UDI">_xlfn.ANCHORARRAY(GFIM!$J$44):_xlfn.ANCHORARRAY(GFIM!$K$44):_xlfn.ANCHORARRAY(GFIM!$L$44)</definedName>
    <definedName name="MEI_M">_xlfn.ANCHORARRAY(MEI!$J$4):_xlfn.ANCHORARRAY(MEI!$K$4):_xlfn.ANCHORARRAY(MEI!$L$4)</definedName>
    <definedName name="MEI_UDI">_xlfn.ANCHORARRAY(MEI!$J$35):_xlfn.ANCHORARRAY(MEI!$K$35):_xlfn.ANCHORARRAY(MEI!$L$35)</definedName>
    <definedName name="RTMX_d">RTMX!$G$1:$G$43</definedName>
    <definedName name="RTMX_M">_xlfn.ANCHORARRAY(RTMX!$K$3):_xlfn.ANCHORARRAY(RTMX!$L$3):_xlfn.ANCHORARRAY(RTMX!$M$3)</definedName>
    <definedName name="RTMX_TIIE">_xlfn.ANCHORARRAY(RTMX!$I$91):_xlfn.ANCHORARRAY(RTMX!$J$91):_xlfn.ANCHORARRAY(RTMX!$K$91)</definedName>
    <definedName name="RTMX_TIIE_SPREADS">RTMX!$G$104:$K$113</definedName>
    <definedName name="RTMX_UDI">_xlfn.ANCHORARRAY(RTMX!$K$59):_xlfn.ANCHORARRAY(RTMX!$L$59):_xlfn.ANCHORARRAY(RTMX!$M$59)</definedName>
    <definedName name="SIF_M">_xlfn.ANCHORARRAY(SIFM!$J$4):_xlfn.ANCHORARRAY(SIFM!$K$4):_xlfn.ANCHORARRAY(SIFM!$L$4)</definedName>
    <definedName name="SIF_TIIE">_xlfn.ANCHORARRAY(SIFM!$I$91):_xlfn.ANCHORARRAY(SIFM!$J$91):_xlfn.ANCHORARRAY(SIFM!$K$91)</definedName>
    <definedName name="SIF_UDI">_xlfn.ANCHORARRAY(SIFM!$J$61):_xlfn.ANCHORARRAY(SIFM!$K$61):_xlfn.ANCHORARRAY(SIFM!$L$61)</definedName>
    <definedName name="SIFM_CETES">SIFM!$C$155:$E$179</definedName>
    <definedName name="SIFM_TIIE_SPREADS">SIFM!$D$104:$G$118</definedName>
    <definedName name="SIPO_M">_xlfn.ANCHORARRAY(SIPO!$J$4):_xlfn.ANCHORARRAY(SIPO!$K$4):_xlfn.ANCHORARRAY(SIPO!$L$4)</definedName>
    <definedName name="SIPO_UDI">_xlfn.ANCHORARRAY(SIPO!$J$35):_xlfn.ANCHORARRAY(SIPO!$K$35):_xlfn.ANCHORARRAY(SIPO!$L$35)</definedName>
    <definedName name="SPREAD_BID">_xlfn.ANCHORARRAY(Spreads!$G$2):_xlfn.ANCHORARRAY(Spreads!$H$2):_xlfn.ANCHORARRAY(Spreads!$I$2):_xlfn.ANCHORARRAY(Spreads!$J$2):_xlfn.ANCHORARRAY(Spreads!$K$2):_xlfn.ANCHORARRAY(Spreads!$L$2)</definedName>
    <definedName name="SPREAD_NAME">_xlfn.ANCHORARRAY(Spreads!$AA$2):_xlfn.ANCHORARRAY(Spreads!$AB$2)</definedName>
    <definedName name="SPREAD_OFFER">_xlfn.ANCHORARRAY(Spreads!$Q$2):_xlfn.ANCHORARRAY(Spreads!$R$2):_xlfn.ANCHORARRAY(Spreads!$S$2):_xlfn.ANCHORARRAY(Spreads!$T$2):_xlfn.ANCHORARRAY(Spreads!$U$2):_xlfn.ANCHORARRAY(Spreads!$V$2)</definedName>
    <definedName name="TMEX_CETES">TMEX6!$C$154:$E$176</definedName>
    <definedName name="TMEX_M">_xlfn.ANCHORARRAY(TMEX6!$J$3):_xlfn.ANCHORARRAY(TMEX6!$K$3):_xlfn.ANCHORARRAY(TMEX6!$L$3)</definedName>
    <definedName name="TMEX_TIIE">_xlfn.ANCHORARRAY(TMEX6!$I$70):_xlfn.ANCHORARRAY(TMEX6!$J$70):_xlfn.ANCHORARRAY(TMEX6!$K$70)</definedName>
    <definedName name="TMEX_TIIE_SPREADS">TMEX6!$C$83:$F$102</definedName>
    <definedName name="TMEX_UDI">_xlfn.ANCHORARRAY(TMEX6!$J$37):_xlfn.ANCHORARRAY(TMEX6!$K$37):_xlfn.ANCHORARRAY(TMEX6!$L$37)</definedName>
    <definedName name="VAR_M">_xlfn.ANCHORARRAY(VAR!$J$5):_xlfn.ANCHORARRAY(VAR!$K$5):_xlfn.ANCHORARRAY(VAR!$L$5)</definedName>
    <definedName name="VAR_UDI">_xlfn.ANCHORARRAY(VAR!$J$32):_xlfn.ANCHORARRAY(VAR!$K$32):_xlfn.ANCHORARRAY(VAR!$L$32)</definedName>
  </definedNames>
  <calcPr calcId="191028" calcMode="manual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0" i="21" l="1" a="1"/>
  <c r="W100" i="21" s="1"/>
  <c r="AG46" i="21" l="1"/>
  <c r="AG45" i="21"/>
  <c r="AG44" i="21"/>
  <c r="D4" i="8"/>
  <c r="D5" i="8" s="1"/>
  <c r="E6" i="16"/>
  <c r="F28" i="6"/>
  <c r="F29" i="6"/>
  <c r="F30" i="6"/>
  <c r="Q28" i="23"/>
  <c r="P27" i="23"/>
  <c r="N27" i="23"/>
  <c r="AA26" i="23"/>
  <c r="Z26" i="23"/>
  <c r="Y26" i="23"/>
  <c r="X26" i="23"/>
  <c r="P26" i="23"/>
  <c r="Q26" i="23" s="1"/>
  <c r="O26" i="23"/>
  <c r="N26" i="23"/>
  <c r="Z25" i="23"/>
  <c r="AA25" i="23" s="1"/>
  <c r="X25" i="23"/>
  <c r="Y25" i="23" s="1"/>
  <c r="Q25" i="23"/>
  <c r="P25" i="23"/>
  <c r="O25" i="23"/>
  <c r="N25" i="23"/>
  <c r="Z24" i="23"/>
  <c r="AA24" i="23" s="1"/>
  <c r="Y24" i="23"/>
  <c r="X24" i="23"/>
  <c r="Q24" i="23"/>
  <c r="P24" i="23"/>
  <c r="N24" i="23"/>
  <c r="O24" i="23" s="1"/>
  <c r="AA23" i="23"/>
  <c r="Z23" i="23"/>
  <c r="Y23" i="23"/>
  <c r="X23" i="23"/>
  <c r="P23" i="23"/>
  <c r="Q23" i="23" s="1"/>
  <c r="O23" i="23"/>
  <c r="N23" i="23"/>
  <c r="Z22" i="23"/>
  <c r="AA22" i="23" s="1"/>
  <c r="X22" i="23"/>
  <c r="Y22" i="23" s="1"/>
  <c r="Q22" i="23"/>
  <c r="P22" i="23"/>
  <c r="O22" i="23"/>
  <c r="N22" i="23"/>
  <c r="Z21" i="23"/>
  <c r="AA21" i="23" s="1"/>
  <c r="Y21" i="23"/>
  <c r="X21" i="23"/>
  <c r="P21" i="23"/>
  <c r="Q21" i="23" s="1"/>
  <c r="N21" i="23"/>
  <c r="O21" i="23" s="1"/>
  <c r="AA20" i="23"/>
  <c r="Z20" i="23"/>
  <c r="Y20" i="23"/>
  <c r="X20" i="23"/>
  <c r="P20" i="23"/>
  <c r="Q20" i="23" s="1"/>
  <c r="O20" i="23"/>
  <c r="N20" i="23"/>
  <c r="Z19" i="23"/>
  <c r="AA19" i="23" s="1"/>
  <c r="X19" i="23"/>
  <c r="Y19" i="23" s="1"/>
  <c r="Q19" i="23"/>
  <c r="P19" i="23"/>
  <c r="O19" i="23"/>
  <c r="N19" i="23"/>
  <c r="Z18" i="23"/>
  <c r="AA18" i="23" s="1"/>
  <c r="Y18" i="23"/>
  <c r="X18" i="23"/>
  <c r="Q18" i="23"/>
  <c r="P18" i="23"/>
  <c r="N18" i="23"/>
  <c r="O18" i="23" s="1"/>
  <c r="AA17" i="23"/>
  <c r="Z17" i="23"/>
  <c r="Y17" i="23"/>
  <c r="X17" i="23"/>
  <c r="P17" i="23"/>
  <c r="Q17" i="23" s="1"/>
  <c r="O17" i="23"/>
  <c r="N17" i="23"/>
  <c r="Z16" i="23"/>
  <c r="AA16" i="23" s="1"/>
  <c r="X16" i="23"/>
  <c r="Y16" i="23" s="1"/>
  <c r="Q16" i="23"/>
  <c r="P16" i="23"/>
  <c r="O16" i="23"/>
  <c r="N16" i="23"/>
  <c r="Z15" i="23"/>
  <c r="AA15" i="23" s="1"/>
  <c r="Y15" i="23"/>
  <c r="X15" i="23"/>
  <c r="P15" i="23"/>
  <c r="Q15" i="23" s="1"/>
  <c r="N15" i="23"/>
  <c r="O15" i="23" s="1"/>
  <c r="AA14" i="23"/>
  <c r="Z14" i="23"/>
  <c r="Y14" i="23"/>
  <c r="X14" i="23"/>
  <c r="P14" i="23"/>
  <c r="Q14" i="23" s="1"/>
  <c r="O14" i="23"/>
  <c r="N14" i="23"/>
  <c r="A35" i="1"/>
  <c r="A116" i="17"/>
  <c r="A88" i="17"/>
  <c r="A29" i="17"/>
  <c r="A1" i="17"/>
  <c r="A56" i="17"/>
  <c r="A2" i="14"/>
  <c r="A30" i="14"/>
  <c r="A67" i="1"/>
  <c r="A88" i="6"/>
  <c r="A31" i="6"/>
  <c r="A71" i="12"/>
  <c r="A2" i="8"/>
  <c r="A33" i="13"/>
  <c r="A42" i="12"/>
  <c r="A33" i="16"/>
  <c r="A131" i="8"/>
  <c r="A79" i="8"/>
  <c r="A50" i="8"/>
  <c r="A2" i="13"/>
  <c r="A2" i="1"/>
  <c r="A2" i="6"/>
  <c r="A2" i="12"/>
  <c r="A2" i="16"/>
  <c r="A59" i="6"/>
  <c r="D6" i="8" l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E38" i="8" s="1"/>
  <c r="E5" i="8"/>
  <c r="R1" i="23"/>
  <c r="Q1" i="19" l="1"/>
  <c r="G43" i="16"/>
  <c r="F43" i="16"/>
  <c r="E43" i="16"/>
  <c r="C43" i="16"/>
  <c r="D43" i="16" s="1"/>
  <c r="G42" i="16"/>
  <c r="F42" i="16"/>
  <c r="E42" i="16"/>
  <c r="C42" i="16"/>
  <c r="D42" i="16" s="1"/>
  <c r="G41" i="16"/>
  <c r="F41" i="16"/>
  <c r="E41" i="16"/>
  <c r="C41" i="16"/>
  <c r="D41" i="16" s="1"/>
  <c r="G40" i="16"/>
  <c r="F40" i="16"/>
  <c r="E40" i="16"/>
  <c r="C40" i="16"/>
  <c r="D40" i="16" s="1"/>
  <c r="G39" i="16"/>
  <c r="F39" i="16"/>
  <c r="E39" i="16"/>
  <c r="C39" i="16"/>
  <c r="D39" i="16" s="1"/>
  <c r="G38" i="16"/>
  <c r="F38" i="16"/>
  <c r="E38" i="16"/>
  <c r="C38" i="16"/>
  <c r="G37" i="16"/>
  <c r="F37" i="16"/>
  <c r="E37" i="16"/>
  <c r="C37" i="16"/>
  <c r="D37" i="16" s="1"/>
  <c r="G36" i="16"/>
  <c r="F36" i="16"/>
  <c r="E36" i="16"/>
  <c r="C36" i="16"/>
  <c r="D36" i="16" s="1"/>
  <c r="G35" i="16"/>
  <c r="F35" i="16"/>
  <c r="E35" i="16"/>
  <c r="C35" i="16"/>
  <c r="D35" i="16" s="1"/>
  <c r="G23" i="16"/>
  <c r="F23" i="16"/>
  <c r="E23" i="16"/>
  <c r="C23" i="16"/>
  <c r="D23" i="16" s="1"/>
  <c r="G22" i="16"/>
  <c r="F22" i="16"/>
  <c r="E22" i="16"/>
  <c r="C22" i="16"/>
  <c r="D22" i="16" s="1"/>
  <c r="G21" i="16"/>
  <c r="F21" i="16"/>
  <c r="E21" i="16"/>
  <c r="C21" i="16"/>
  <c r="D21" i="16" s="1"/>
  <c r="G20" i="16"/>
  <c r="F20" i="16"/>
  <c r="E20" i="16"/>
  <c r="C20" i="16"/>
  <c r="D20" i="16" s="1"/>
  <c r="G19" i="16"/>
  <c r="F19" i="16"/>
  <c r="E19" i="16"/>
  <c r="C19" i="16"/>
  <c r="D19" i="16" s="1"/>
  <c r="G18" i="16"/>
  <c r="F18" i="16"/>
  <c r="E18" i="16"/>
  <c r="C18" i="16"/>
  <c r="D18" i="16" s="1"/>
  <c r="G17" i="16"/>
  <c r="F17" i="16"/>
  <c r="E17" i="16"/>
  <c r="C17" i="16"/>
  <c r="D17" i="16" s="1"/>
  <c r="G16" i="16"/>
  <c r="F16" i="16"/>
  <c r="E16" i="16"/>
  <c r="C16" i="16"/>
  <c r="D16" i="16" s="1"/>
  <c r="G15" i="16"/>
  <c r="F15" i="16"/>
  <c r="E15" i="16"/>
  <c r="C15" i="16"/>
  <c r="D15" i="16" s="1"/>
  <c r="G14" i="16"/>
  <c r="F14" i="16"/>
  <c r="E14" i="16"/>
  <c r="C14" i="16"/>
  <c r="D14" i="16" s="1"/>
  <c r="G13" i="16"/>
  <c r="F13" i="16"/>
  <c r="E13" i="16"/>
  <c r="C13" i="16"/>
  <c r="D13" i="16" s="1"/>
  <c r="G12" i="16"/>
  <c r="F12" i="16"/>
  <c r="E12" i="16"/>
  <c r="C12" i="16"/>
  <c r="D12" i="16" s="1"/>
  <c r="G11" i="16"/>
  <c r="F11" i="16"/>
  <c r="E11" i="16"/>
  <c r="C11" i="16"/>
  <c r="D11" i="16" s="1"/>
  <c r="G10" i="16"/>
  <c r="F10" i="16"/>
  <c r="E10" i="16"/>
  <c r="C10" i="16"/>
  <c r="D10" i="16" s="1"/>
  <c r="G9" i="16"/>
  <c r="F9" i="16"/>
  <c r="E9" i="16"/>
  <c r="C9" i="16"/>
  <c r="D9" i="16" s="1"/>
  <c r="G8" i="16"/>
  <c r="F8" i="16"/>
  <c r="E8" i="16"/>
  <c r="C8" i="16"/>
  <c r="D8" i="16" s="1"/>
  <c r="G7" i="16"/>
  <c r="F7" i="16"/>
  <c r="E7" i="16"/>
  <c r="C7" i="16"/>
  <c r="D7" i="16" s="1"/>
  <c r="G6" i="16"/>
  <c r="F6" i="16"/>
  <c r="C6" i="16"/>
  <c r="D6" i="16" s="1"/>
  <c r="G5" i="16"/>
  <c r="F5" i="16"/>
  <c r="E5" i="16"/>
  <c r="C5" i="16"/>
  <c r="D5" i="16" s="1"/>
  <c r="G4" i="16"/>
  <c r="F4" i="16"/>
  <c r="E4" i="16"/>
  <c r="C4" i="16"/>
  <c r="G42" i="14"/>
  <c r="F42" i="14"/>
  <c r="E42" i="14"/>
  <c r="D42" i="14"/>
  <c r="C42" i="14"/>
  <c r="G41" i="14"/>
  <c r="F41" i="14"/>
  <c r="E41" i="14"/>
  <c r="D41" i="14"/>
  <c r="C41" i="14"/>
  <c r="G40" i="14"/>
  <c r="F40" i="14"/>
  <c r="E40" i="14"/>
  <c r="D40" i="14"/>
  <c r="C40" i="14"/>
  <c r="G39" i="14"/>
  <c r="F39" i="14"/>
  <c r="E39" i="14"/>
  <c r="D39" i="14"/>
  <c r="C39" i="14"/>
  <c r="G38" i="14"/>
  <c r="F38" i="14"/>
  <c r="E38" i="14"/>
  <c r="D38" i="14"/>
  <c r="C38" i="14"/>
  <c r="G37" i="14"/>
  <c r="F37" i="14"/>
  <c r="E37" i="14"/>
  <c r="D37" i="14"/>
  <c r="C37" i="14"/>
  <c r="G36" i="14"/>
  <c r="F36" i="14"/>
  <c r="E36" i="14"/>
  <c r="D36" i="14"/>
  <c r="C36" i="14"/>
  <c r="G35" i="14"/>
  <c r="F35" i="14"/>
  <c r="E35" i="14"/>
  <c r="D35" i="14"/>
  <c r="C35" i="14"/>
  <c r="G34" i="14"/>
  <c r="F34" i="14"/>
  <c r="E34" i="14"/>
  <c r="D34" i="14"/>
  <c r="C34" i="14"/>
  <c r="G33" i="14"/>
  <c r="F33" i="14"/>
  <c r="E33" i="14"/>
  <c r="D33" i="14"/>
  <c r="C33" i="14"/>
  <c r="E30" i="14"/>
  <c r="F21" i="14"/>
  <c r="C21" i="14"/>
  <c r="D21" i="14" s="1"/>
  <c r="F20" i="14"/>
  <c r="C20" i="14"/>
  <c r="D20" i="14" s="1"/>
  <c r="F19" i="14"/>
  <c r="C19" i="14"/>
  <c r="D19" i="14" s="1"/>
  <c r="F18" i="14"/>
  <c r="C18" i="14"/>
  <c r="D18" i="14" s="1"/>
  <c r="F17" i="14"/>
  <c r="C17" i="14"/>
  <c r="D17" i="14" s="1"/>
  <c r="F16" i="14"/>
  <c r="C16" i="14"/>
  <c r="D16" i="14" s="1"/>
  <c r="F15" i="14"/>
  <c r="C15" i="14"/>
  <c r="D15" i="14" s="1"/>
  <c r="F14" i="14"/>
  <c r="C14" i="14"/>
  <c r="D14" i="14" s="1"/>
  <c r="F13" i="14"/>
  <c r="C13" i="14"/>
  <c r="D13" i="14" s="1"/>
  <c r="F12" i="14"/>
  <c r="C12" i="14"/>
  <c r="D12" i="14" s="1"/>
  <c r="F11" i="14"/>
  <c r="C11" i="14"/>
  <c r="D11" i="14" s="1"/>
  <c r="F10" i="14"/>
  <c r="C10" i="14"/>
  <c r="D10" i="14" s="1"/>
  <c r="F9" i="14"/>
  <c r="C9" i="14"/>
  <c r="D9" i="14" s="1"/>
  <c r="F8" i="14"/>
  <c r="C8" i="14"/>
  <c r="D8" i="14" s="1"/>
  <c r="F7" i="14"/>
  <c r="C7" i="14"/>
  <c r="D7" i="14" s="1"/>
  <c r="F6" i="14"/>
  <c r="C6" i="14"/>
  <c r="D6" i="14" s="1"/>
  <c r="F5" i="14"/>
  <c r="C5" i="14"/>
  <c r="D5" i="14" s="1"/>
  <c r="G3" i="14"/>
  <c r="G11" i="14" s="1"/>
  <c r="E3" i="14"/>
  <c r="E14" i="14" s="1"/>
  <c r="F44" i="13"/>
  <c r="E44" i="13"/>
  <c r="D44" i="13"/>
  <c r="C44" i="13" s="1"/>
  <c r="F43" i="13"/>
  <c r="E43" i="13"/>
  <c r="D43" i="13"/>
  <c r="C43" i="13" s="1"/>
  <c r="F42" i="13"/>
  <c r="E42" i="13"/>
  <c r="D42" i="13"/>
  <c r="C42" i="13" s="1"/>
  <c r="F41" i="13"/>
  <c r="E41" i="13"/>
  <c r="D41" i="13"/>
  <c r="C41" i="13" s="1"/>
  <c r="F40" i="13"/>
  <c r="E40" i="13"/>
  <c r="D40" i="13"/>
  <c r="C40" i="13" s="1"/>
  <c r="F39" i="13"/>
  <c r="E39" i="13"/>
  <c r="D39" i="13"/>
  <c r="C39" i="13" s="1"/>
  <c r="F38" i="13"/>
  <c r="E38" i="13"/>
  <c r="D38" i="13"/>
  <c r="C38" i="13" s="1"/>
  <c r="F37" i="13"/>
  <c r="E37" i="13"/>
  <c r="D37" i="13"/>
  <c r="C37" i="13" s="1"/>
  <c r="F36" i="13"/>
  <c r="E36" i="13"/>
  <c r="D36" i="13"/>
  <c r="C36" i="13" s="1"/>
  <c r="F35" i="13"/>
  <c r="E35" i="13"/>
  <c r="D35" i="13"/>
  <c r="C35" i="13" s="1"/>
  <c r="G20" i="13"/>
  <c r="F20" i="13"/>
  <c r="E20" i="13"/>
  <c r="C20" i="13"/>
  <c r="D20" i="13" s="1"/>
  <c r="G19" i="13"/>
  <c r="F19" i="13"/>
  <c r="E19" i="13"/>
  <c r="C19" i="13"/>
  <c r="D19" i="13" s="1"/>
  <c r="G18" i="13"/>
  <c r="F18" i="13"/>
  <c r="E18" i="13"/>
  <c r="C18" i="13"/>
  <c r="D18" i="13" s="1"/>
  <c r="G17" i="13"/>
  <c r="F17" i="13"/>
  <c r="E17" i="13"/>
  <c r="C17" i="13"/>
  <c r="D17" i="13" s="1"/>
  <c r="G16" i="13"/>
  <c r="F16" i="13"/>
  <c r="E16" i="13"/>
  <c r="C16" i="13"/>
  <c r="D16" i="13" s="1"/>
  <c r="G15" i="13"/>
  <c r="F15" i="13"/>
  <c r="E15" i="13"/>
  <c r="C15" i="13"/>
  <c r="D15" i="13" s="1"/>
  <c r="G14" i="13"/>
  <c r="F14" i="13"/>
  <c r="E14" i="13"/>
  <c r="C14" i="13"/>
  <c r="D14" i="13" s="1"/>
  <c r="G13" i="13"/>
  <c r="F13" i="13"/>
  <c r="E13" i="13"/>
  <c r="C13" i="13"/>
  <c r="D13" i="13" s="1"/>
  <c r="G12" i="13"/>
  <c r="F12" i="13"/>
  <c r="E12" i="13"/>
  <c r="C12" i="13"/>
  <c r="D12" i="13" s="1"/>
  <c r="G11" i="13"/>
  <c r="F11" i="13"/>
  <c r="E11" i="13"/>
  <c r="C11" i="13"/>
  <c r="D11" i="13" s="1"/>
  <c r="G10" i="13"/>
  <c r="F10" i="13"/>
  <c r="E10" i="13"/>
  <c r="C10" i="13"/>
  <c r="D10" i="13" s="1"/>
  <c r="G9" i="13"/>
  <c r="F9" i="13"/>
  <c r="E9" i="13"/>
  <c r="C9" i="13"/>
  <c r="D9" i="13" s="1"/>
  <c r="G8" i="13"/>
  <c r="F8" i="13"/>
  <c r="E8" i="13"/>
  <c r="C8" i="13"/>
  <c r="D8" i="13" s="1"/>
  <c r="G7" i="13"/>
  <c r="F7" i="13"/>
  <c r="E7" i="13"/>
  <c r="C7" i="13"/>
  <c r="D7" i="13" s="1"/>
  <c r="G6" i="13"/>
  <c r="F6" i="13"/>
  <c r="E6" i="13"/>
  <c r="C6" i="13"/>
  <c r="D6" i="13" s="1"/>
  <c r="G5" i="13"/>
  <c r="F5" i="13"/>
  <c r="E5" i="13"/>
  <c r="C5" i="13"/>
  <c r="G4" i="13"/>
  <c r="F4" i="13"/>
  <c r="E4" i="13"/>
  <c r="C4" i="13"/>
  <c r="D4" i="13" s="1"/>
  <c r="AD113" i="12"/>
  <c r="Y113" i="12"/>
  <c r="AB113" i="12" s="1"/>
  <c r="AB112" i="12"/>
  <c r="Y112" i="12"/>
  <c r="Z112" i="12" s="1"/>
  <c r="AB111" i="12"/>
  <c r="Y111" i="12"/>
  <c r="Z111" i="12" s="1"/>
  <c r="AB110" i="12"/>
  <c r="Y110" i="12"/>
  <c r="Z110" i="12" s="1"/>
  <c r="AB109" i="12"/>
  <c r="Y109" i="12"/>
  <c r="Z109" i="12" s="1"/>
  <c r="AB108" i="12"/>
  <c r="Y108" i="12"/>
  <c r="Z108" i="12" s="1"/>
  <c r="AB107" i="12"/>
  <c r="Y107" i="12"/>
  <c r="Z107" i="12" s="1"/>
  <c r="AB106" i="12"/>
  <c r="Y106" i="12"/>
  <c r="Z106" i="12" s="1"/>
  <c r="AB105" i="12"/>
  <c r="Y105" i="12"/>
  <c r="Z105" i="12" s="1"/>
  <c r="AB104" i="12"/>
  <c r="Y104" i="12"/>
  <c r="Z104" i="12" s="1"/>
  <c r="AB103" i="12"/>
  <c r="Y103" i="12"/>
  <c r="Z103" i="12" s="1"/>
  <c r="AB102" i="12"/>
  <c r="Y102" i="12"/>
  <c r="Z102" i="12" s="1"/>
  <c r="AB101" i="12"/>
  <c r="Y101" i="12"/>
  <c r="Z101" i="12" s="1"/>
  <c r="AB100" i="12"/>
  <c r="Y100" i="12"/>
  <c r="Z100" i="12" s="1"/>
  <c r="AB99" i="12"/>
  <c r="Y99" i="12"/>
  <c r="Z99" i="12" s="1"/>
  <c r="AB98" i="12"/>
  <c r="Y98" i="12"/>
  <c r="Z98" i="12" s="1"/>
  <c r="AB97" i="12"/>
  <c r="Y97" i="12"/>
  <c r="Z97" i="12" s="1"/>
  <c r="AB96" i="12"/>
  <c r="Y96" i="12"/>
  <c r="Z96" i="12" s="1"/>
  <c r="AB95" i="12"/>
  <c r="Y95" i="12"/>
  <c r="Z95" i="12" s="1"/>
  <c r="AB94" i="12"/>
  <c r="Y94" i="12"/>
  <c r="Z94" i="12" s="1"/>
  <c r="AB93" i="12"/>
  <c r="Y93" i="12"/>
  <c r="Z93" i="12" s="1"/>
  <c r="AB92" i="12"/>
  <c r="Y92" i="12"/>
  <c r="Z92" i="12" s="1"/>
  <c r="AB91" i="12"/>
  <c r="Y91" i="12"/>
  <c r="Z91" i="12" s="1"/>
  <c r="Y90" i="12"/>
  <c r="AB90" i="12" s="1"/>
  <c r="Y89" i="12"/>
  <c r="AB89" i="12" s="1"/>
  <c r="Y88" i="12"/>
  <c r="AB88" i="12" s="1"/>
  <c r="AC87" i="12"/>
  <c r="AB87" i="12"/>
  <c r="AA87" i="12"/>
  <c r="AD87" i="12" s="1"/>
  <c r="Z87" i="12"/>
  <c r="Y87" i="12"/>
  <c r="AA86" i="12"/>
  <c r="AD86" i="12" s="1"/>
  <c r="Z86" i="12"/>
  <c r="AC86" i="12" s="1"/>
  <c r="Y86" i="12"/>
  <c r="AB86" i="12" s="1"/>
  <c r="Z85" i="12"/>
  <c r="AC85" i="12" s="1"/>
  <c r="Y85" i="12"/>
  <c r="AB85" i="12" s="1"/>
  <c r="Y84" i="12"/>
  <c r="AB84" i="12" s="1"/>
  <c r="Z83" i="12"/>
  <c r="AC83" i="12" s="1"/>
  <c r="Y83" i="12"/>
  <c r="AB83" i="12" s="1"/>
  <c r="Y82" i="12"/>
  <c r="AB82" i="12" s="1"/>
  <c r="AB81" i="12"/>
  <c r="Y81" i="12"/>
  <c r="Z81" i="12" s="1"/>
  <c r="AD80" i="12"/>
  <c r="AC80" i="12"/>
  <c r="AB80" i="12"/>
  <c r="AA80" i="12"/>
  <c r="Z80" i="12"/>
  <c r="Y80" i="12"/>
  <c r="AC79" i="12"/>
  <c r="AB79" i="12"/>
  <c r="AA79" i="12"/>
  <c r="AD79" i="12" s="1"/>
  <c r="Z79" i="12"/>
  <c r="Y79" i="12"/>
  <c r="AB78" i="12"/>
  <c r="Z78" i="12"/>
  <c r="AC78" i="12" s="1"/>
  <c r="Y78" i="12"/>
  <c r="Y77" i="12"/>
  <c r="AB77" i="12" s="1"/>
  <c r="Y76" i="12"/>
  <c r="AB76" i="12" s="1"/>
  <c r="AB75" i="12"/>
  <c r="Y75" i="12"/>
  <c r="Z75" i="12" s="1"/>
  <c r="AA74" i="12"/>
  <c r="AD74" i="12" s="1"/>
  <c r="Z74" i="12"/>
  <c r="AC74" i="12" s="1"/>
  <c r="Y74" i="12"/>
  <c r="AB74" i="12" s="1"/>
  <c r="AC73" i="12"/>
  <c r="AB73" i="12"/>
  <c r="AA73" i="12"/>
  <c r="AD73" i="12" s="1"/>
  <c r="Z73" i="12"/>
  <c r="Y73" i="12"/>
  <c r="C72" i="12"/>
  <c r="B72" i="12" s="1"/>
  <c r="G58" i="12"/>
  <c r="F58" i="12"/>
  <c r="E58" i="12"/>
  <c r="D58" i="12"/>
  <c r="C58" i="12"/>
  <c r="G57" i="12"/>
  <c r="F57" i="12"/>
  <c r="E57" i="12"/>
  <c r="D57" i="12"/>
  <c r="C57" i="12"/>
  <c r="G56" i="12"/>
  <c r="F56" i="12"/>
  <c r="E56" i="12"/>
  <c r="D56" i="12"/>
  <c r="C56" i="12"/>
  <c r="G55" i="12"/>
  <c r="F55" i="12"/>
  <c r="E55" i="12"/>
  <c r="D55" i="12"/>
  <c r="C55" i="12"/>
  <c r="G54" i="12"/>
  <c r="F54" i="12"/>
  <c r="E54" i="12"/>
  <c r="D54" i="12"/>
  <c r="C54" i="12"/>
  <c r="G53" i="12"/>
  <c r="F53" i="12"/>
  <c r="E53" i="12"/>
  <c r="D53" i="12"/>
  <c r="C53" i="12"/>
  <c r="G52" i="12"/>
  <c r="F52" i="12"/>
  <c r="E52" i="12"/>
  <c r="D52" i="12"/>
  <c r="C52" i="12"/>
  <c r="G51" i="12"/>
  <c r="F51" i="12"/>
  <c r="E51" i="12"/>
  <c r="D51" i="12"/>
  <c r="C51" i="12"/>
  <c r="G50" i="12"/>
  <c r="F50" i="12"/>
  <c r="E50" i="12"/>
  <c r="D50" i="12"/>
  <c r="C50" i="12"/>
  <c r="G49" i="12"/>
  <c r="F49" i="12"/>
  <c r="E49" i="12"/>
  <c r="D49" i="12"/>
  <c r="C49" i="12"/>
  <c r="G48" i="12"/>
  <c r="F48" i="12"/>
  <c r="E48" i="12"/>
  <c r="D48" i="12"/>
  <c r="C48" i="12"/>
  <c r="G47" i="12"/>
  <c r="F47" i="12"/>
  <c r="E47" i="12"/>
  <c r="D47" i="12"/>
  <c r="C47" i="12"/>
  <c r="G46" i="12"/>
  <c r="F46" i="12"/>
  <c r="E46" i="12"/>
  <c r="D46" i="12"/>
  <c r="C46" i="12"/>
  <c r="G45" i="12"/>
  <c r="F45" i="12"/>
  <c r="E45" i="12"/>
  <c r="D45" i="12"/>
  <c r="C45" i="12"/>
  <c r="G44" i="12"/>
  <c r="F44" i="12"/>
  <c r="E44" i="12"/>
  <c r="D44" i="12"/>
  <c r="C44" i="12"/>
  <c r="C5" i="12"/>
  <c r="F178" i="1"/>
  <c r="E178" i="1"/>
  <c r="D178" i="1"/>
  <c r="C178" i="1"/>
  <c r="B178" i="1"/>
  <c r="F177" i="1"/>
  <c r="E177" i="1"/>
  <c r="D177" i="1"/>
  <c r="B177" i="1"/>
  <c r="C177" i="1" s="1"/>
  <c r="F176" i="1"/>
  <c r="E176" i="1"/>
  <c r="D176" i="1"/>
  <c r="B176" i="1"/>
  <c r="C176" i="1" s="1"/>
  <c r="F175" i="1"/>
  <c r="E175" i="1"/>
  <c r="D175" i="1"/>
  <c r="C175" i="1"/>
  <c r="B175" i="1"/>
  <c r="F174" i="1"/>
  <c r="E174" i="1"/>
  <c r="D174" i="1"/>
  <c r="C174" i="1"/>
  <c r="B174" i="1"/>
  <c r="F173" i="1"/>
  <c r="E173" i="1"/>
  <c r="D173" i="1"/>
  <c r="B173" i="1"/>
  <c r="C173" i="1" s="1"/>
  <c r="F172" i="1"/>
  <c r="E172" i="1"/>
  <c r="D172" i="1"/>
  <c r="B172" i="1"/>
  <c r="C172" i="1" s="1"/>
  <c r="F171" i="1"/>
  <c r="E171" i="1"/>
  <c r="D171" i="1"/>
  <c r="B171" i="1"/>
  <c r="C171" i="1" s="1"/>
  <c r="F170" i="1"/>
  <c r="E170" i="1"/>
  <c r="D170" i="1"/>
  <c r="B170" i="1"/>
  <c r="C170" i="1" s="1"/>
  <c r="F169" i="1"/>
  <c r="E169" i="1"/>
  <c r="D169" i="1"/>
  <c r="B169" i="1"/>
  <c r="C169" i="1" s="1"/>
  <c r="F168" i="1"/>
  <c r="E168" i="1"/>
  <c r="D168" i="1"/>
  <c r="C168" i="1"/>
  <c r="B168" i="1"/>
  <c r="F167" i="1"/>
  <c r="E167" i="1"/>
  <c r="D167" i="1"/>
  <c r="C167" i="1"/>
  <c r="B167" i="1"/>
  <c r="F166" i="1"/>
  <c r="E166" i="1"/>
  <c r="D166" i="1"/>
  <c r="C166" i="1"/>
  <c r="B166" i="1"/>
  <c r="F165" i="1"/>
  <c r="E165" i="1"/>
  <c r="D165" i="1"/>
  <c r="B165" i="1"/>
  <c r="C165" i="1" s="1"/>
  <c r="F164" i="1"/>
  <c r="E164" i="1"/>
  <c r="D164" i="1"/>
  <c r="B164" i="1"/>
  <c r="C164" i="1" s="1"/>
  <c r="F163" i="1"/>
  <c r="E163" i="1"/>
  <c r="D163" i="1"/>
  <c r="C163" i="1"/>
  <c r="B163" i="1"/>
  <c r="F162" i="1"/>
  <c r="E162" i="1"/>
  <c r="D162" i="1"/>
  <c r="C162" i="1"/>
  <c r="B162" i="1"/>
  <c r="F161" i="1"/>
  <c r="E161" i="1"/>
  <c r="D161" i="1"/>
  <c r="B161" i="1"/>
  <c r="C161" i="1" s="1"/>
  <c r="F160" i="1"/>
  <c r="E160" i="1"/>
  <c r="D160" i="1"/>
  <c r="B160" i="1"/>
  <c r="C160" i="1" s="1"/>
  <c r="F159" i="1"/>
  <c r="E159" i="1"/>
  <c r="D159" i="1"/>
  <c r="B159" i="1"/>
  <c r="C159" i="1" s="1"/>
  <c r="F158" i="1"/>
  <c r="E158" i="1"/>
  <c r="D158" i="1"/>
  <c r="B158" i="1"/>
  <c r="C158" i="1" s="1"/>
  <c r="F157" i="1"/>
  <c r="E157" i="1"/>
  <c r="D157" i="1"/>
  <c r="C157" i="1"/>
  <c r="B157" i="1"/>
  <c r="F156" i="1"/>
  <c r="E156" i="1"/>
  <c r="D156" i="1"/>
  <c r="C156" i="1"/>
  <c r="B156" i="1"/>
  <c r="F155" i="1"/>
  <c r="B155" i="1"/>
  <c r="C155" i="1" s="1"/>
  <c r="Z91" i="1"/>
  <c r="AC91" i="1" s="1"/>
  <c r="Y91" i="1"/>
  <c r="AB91" i="1" s="1"/>
  <c r="Z90" i="1"/>
  <c r="AC90" i="1" s="1"/>
  <c r="Y90" i="1"/>
  <c r="AB90" i="1" s="1"/>
  <c r="Z89" i="1"/>
  <c r="AC89" i="1" s="1"/>
  <c r="Y89" i="1"/>
  <c r="AB89" i="1" s="1"/>
  <c r="Z88" i="1"/>
  <c r="AC88" i="1" s="1"/>
  <c r="Y88" i="1"/>
  <c r="AB88" i="1" s="1"/>
  <c r="Z87" i="1"/>
  <c r="AC87" i="1" s="1"/>
  <c r="Y87" i="1"/>
  <c r="AB87" i="1" s="1"/>
  <c r="Z86" i="1"/>
  <c r="AC86" i="1" s="1"/>
  <c r="Y86" i="1"/>
  <c r="AB86" i="1" s="1"/>
  <c r="Z85" i="1"/>
  <c r="AC85" i="1" s="1"/>
  <c r="Y85" i="1"/>
  <c r="AB85" i="1" s="1"/>
  <c r="AB84" i="1"/>
  <c r="Y84" i="1"/>
  <c r="Z84" i="1" s="1"/>
  <c r="AB83" i="1"/>
  <c r="Y83" i="1"/>
  <c r="Z83" i="1" s="1"/>
  <c r="Z82" i="1"/>
  <c r="AC82" i="1" s="1"/>
  <c r="Y82" i="1"/>
  <c r="AB82" i="1" s="1"/>
  <c r="Z81" i="1"/>
  <c r="AC81" i="1" s="1"/>
  <c r="Y81" i="1"/>
  <c r="AB81" i="1" s="1"/>
  <c r="Z80" i="1"/>
  <c r="AC80" i="1" s="1"/>
  <c r="Y80" i="1"/>
  <c r="AB80" i="1" s="1"/>
  <c r="Z79" i="1"/>
  <c r="AC79" i="1" s="1"/>
  <c r="Y79" i="1"/>
  <c r="AB79" i="1" s="1"/>
  <c r="Z78" i="1"/>
  <c r="AC78" i="1" s="1"/>
  <c r="Y78" i="1"/>
  <c r="AB78" i="1" s="1"/>
  <c r="Z77" i="1"/>
  <c r="AC77" i="1" s="1"/>
  <c r="Y77" i="1"/>
  <c r="AB77" i="1" s="1"/>
  <c r="Z76" i="1"/>
  <c r="AC76" i="1" s="1"/>
  <c r="Y76" i="1"/>
  <c r="AB76" i="1" s="1"/>
  <c r="Z75" i="1"/>
  <c r="AC75" i="1" s="1"/>
  <c r="Y75" i="1"/>
  <c r="AB75" i="1" s="1"/>
  <c r="Z74" i="1"/>
  <c r="AC74" i="1" s="1"/>
  <c r="Y74" i="1"/>
  <c r="AB74" i="1" s="1"/>
  <c r="Z73" i="1"/>
  <c r="AC73" i="1" s="1"/>
  <c r="Y73" i="1"/>
  <c r="AB73" i="1" s="1"/>
  <c r="Z72" i="1"/>
  <c r="AC72" i="1" s="1"/>
  <c r="Y72" i="1"/>
  <c r="AB72" i="1" s="1"/>
  <c r="Z71" i="1"/>
  <c r="AC71" i="1" s="1"/>
  <c r="Y71" i="1"/>
  <c r="AB71" i="1" s="1"/>
  <c r="Z70" i="1"/>
  <c r="AC70" i="1" s="1"/>
  <c r="Y70" i="1"/>
  <c r="AB70" i="1" s="1"/>
  <c r="Y69" i="1"/>
  <c r="Z69" i="1" s="1"/>
  <c r="B67" i="1"/>
  <c r="B81" i="1" s="1"/>
  <c r="C81" i="1" s="1"/>
  <c r="D46" i="1"/>
  <c r="C46" i="1"/>
  <c r="G46" i="1" s="1"/>
  <c r="D45" i="1"/>
  <c r="C45" i="1"/>
  <c r="G45" i="1" s="1"/>
  <c r="D44" i="1"/>
  <c r="C44" i="1"/>
  <c r="G44" i="1" s="1"/>
  <c r="D43" i="1"/>
  <c r="C43" i="1"/>
  <c r="G43" i="1" s="1"/>
  <c r="D42" i="1"/>
  <c r="C42" i="1"/>
  <c r="G42" i="1" s="1"/>
  <c r="D41" i="1"/>
  <c r="C41" i="1"/>
  <c r="G41" i="1" s="1"/>
  <c r="D40" i="1"/>
  <c r="C40" i="1"/>
  <c r="G40" i="1" s="1"/>
  <c r="D39" i="1"/>
  <c r="C39" i="1"/>
  <c r="G39" i="1" s="1"/>
  <c r="D38" i="1"/>
  <c r="C38" i="1"/>
  <c r="G38" i="1" s="1"/>
  <c r="D37" i="1"/>
  <c r="C37" i="1"/>
  <c r="G37" i="1" s="1"/>
  <c r="E35" i="1"/>
  <c r="E43" i="1" s="1"/>
  <c r="E34" i="1"/>
  <c r="C4" i="1"/>
  <c r="C5" i="1" s="1"/>
  <c r="F179" i="6"/>
  <c r="E179" i="6"/>
  <c r="B179" i="6"/>
  <c r="C179" i="6" s="1"/>
  <c r="F178" i="6"/>
  <c r="E178" i="6"/>
  <c r="B178" i="6"/>
  <c r="C178" i="6" s="1"/>
  <c r="F177" i="6"/>
  <c r="E177" i="6"/>
  <c r="C177" i="6"/>
  <c r="B177" i="6"/>
  <c r="F176" i="6"/>
  <c r="E176" i="6"/>
  <c r="D176" i="6"/>
  <c r="C176" i="6"/>
  <c r="B176" i="6"/>
  <c r="F175" i="6"/>
  <c r="C175" i="6"/>
  <c r="B175" i="6"/>
  <c r="F174" i="6"/>
  <c r="E174" i="6"/>
  <c r="B174" i="6"/>
  <c r="C174" i="6" s="1"/>
  <c r="F173" i="6"/>
  <c r="B173" i="6"/>
  <c r="C173" i="6" s="1"/>
  <c r="F172" i="6"/>
  <c r="C172" i="6"/>
  <c r="B172" i="6"/>
  <c r="F171" i="6"/>
  <c r="E171" i="6"/>
  <c r="D171" i="6"/>
  <c r="C171" i="6"/>
  <c r="B171" i="6"/>
  <c r="F170" i="6"/>
  <c r="B170" i="6"/>
  <c r="C170" i="6" s="1"/>
  <c r="F169" i="6"/>
  <c r="B169" i="6"/>
  <c r="C169" i="6" s="1"/>
  <c r="F168" i="6"/>
  <c r="B168" i="6"/>
  <c r="C168" i="6" s="1"/>
  <c r="F167" i="6"/>
  <c r="E167" i="6"/>
  <c r="B167" i="6"/>
  <c r="C167" i="6" s="1"/>
  <c r="F166" i="6"/>
  <c r="E166" i="6"/>
  <c r="B166" i="6"/>
  <c r="C166" i="6" s="1"/>
  <c r="F165" i="6"/>
  <c r="E165" i="6"/>
  <c r="C165" i="6"/>
  <c r="B165" i="6"/>
  <c r="F164" i="6"/>
  <c r="E164" i="6"/>
  <c r="D164" i="6"/>
  <c r="C164" i="6"/>
  <c r="B164" i="6"/>
  <c r="F163" i="6"/>
  <c r="C163" i="6"/>
  <c r="B163" i="6"/>
  <c r="F162" i="6"/>
  <c r="E162" i="6"/>
  <c r="B162" i="6"/>
  <c r="C162" i="6" s="1"/>
  <c r="F161" i="6"/>
  <c r="B161" i="6"/>
  <c r="C161" i="6" s="1"/>
  <c r="F160" i="6"/>
  <c r="C160" i="6"/>
  <c r="B160" i="6"/>
  <c r="F159" i="6"/>
  <c r="E159" i="6"/>
  <c r="D159" i="6"/>
  <c r="B159" i="6"/>
  <c r="C159" i="6" s="1"/>
  <c r="F158" i="6"/>
  <c r="B158" i="6"/>
  <c r="C158" i="6" s="1"/>
  <c r="F157" i="6"/>
  <c r="B157" i="6"/>
  <c r="C157" i="6" s="1"/>
  <c r="F156" i="6"/>
  <c r="B156" i="6"/>
  <c r="C156" i="6" s="1"/>
  <c r="E153" i="6"/>
  <c r="E173" i="6" s="1"/>
  <c r="D153" i="6"/>
  <c r="D178" i="6" s="1"/>
  <c r="C139" i="6"/>
  <c r="D139" i="6" s="1"/>
  <c r="C138" i="6"/>
  <c r="D138" i="6" s="1"/>
  <c r="C137" i="6"/>
  <c r="D137" i="6" s="1"/>
  <c r="C136" i="6"/>
  <c r="D136" i="6" s="1"/>
  <c r="C135" i="6"/>
  <c r="D135" i="6" s="1"/>
  <c r="C134" i="6"/>
  <c r="D134" i="6" s="1"/>
  <c r="C133" i="6"/>
  <c r="D133" i="6" s="1"/>
  <c r="C132" i="6"/>
  <c r="D132" i="6" s="1"/>
  <c r="N131" i="6"/>
  <c r="M131" i="6"/>
  <c r="L131" i="6"/>
  <c r="C131" i="6"/>
  <c r="D131" i="6" s="1"/>
  <c r="K130" i="6"/>
  <c r="N130" i="6" s="1"/>
  <c r="D130" i="6"/>
  <c r="J130" i="6" s="1"/>
  <c r="M130" i="6" s="1"/>
  <c r="S130" i="6" s="1"/>
  <c r="C130" i="6"/>
  <c r="C129" i="6"/>
  <c r="D129" i="6" s="1"/>
  <c r="AC110" i="6"/>
  <c r="AB110" i="6"/>
  <c r="AA110" i="6"/>
  <c r="AD110" i="6" s="1"/>
  <c r="Z110" i="6"/>
  <c r="Y110" i="6"/>
  <c r="AC109" i="6"/>
  <c r="AA109" i="6"/>
  <c r="AD109" i="6" s="1"/>
  <c r="Z109" i="6"/>
  <c r="Y109" i="6"/>
  <c r="AB109" i="6" s="1"/>
  <c r="AC108" i="6"/>
  <c r="AA108" i="6"/>
  <c r="AD108" i="6" s="1"/>
  <c r="Z108" i="6"/>
  <c r="Y108" i="6"/>
  <c r="AB108" i="6" s="1"/>
  <c r="AC107" i="6"/>
  <c r="Z107" i="6"/>
  <c r="AA107" i="6" s="1"/>
  <c r="AD107" i="6" s="1"/>
  <c r="Y107" i="6"/>
  <c r="AB107" i="6" s="1"/>
  <c r="Y106" i="6"/>
  <c r="AB106" i="6" s="1"/>
  <c r="Z105" i="6"/>
  <c r="AC105" i="6" s="1"/>
  <c r="Y105" i="6"/>
  <c r="AB105" i="6" s="1"/>
  <c r="AB104" i="6"/>
  <c r="Z104" i="6"/>
  <c r="AA104" i="6" s="1"/>
  <c r="AD104" i="6" s="1"/>
  <c r="Y104" i="6"/>
  <c r="AB103" i="6"/>
  <c r="Z103" i="6"/>
  <c r="AC103" i="6" s="1"/>
  <c r="Y103" i="6"/>
  <c r="Y102" i="6"/>
  <c r="AB102" i="6" s="1"/>
  <c r="Z101" i="6"/>
  <c r="AC101" i="6" s="1"/>
  <c r="Y101" i="6"/>
  <c r="AB101" i="6" s="1"/>
  <c r="Y100" i="6"/>
  <c r="AB100" i="6" s="1"/>
  <c r="Y99" i="6"/>
  <c r="AB99" i="6" s="1"/>
  <c r="AB98" i="6"/>
  <c r="Y98" i="6"/>
  <c r="Z98" i="6" s="1"/>
  <c r="AB97" i="6"/>
  <c r="Y97" i="6"/>
  <c r="Z97" i="6" s="1"/>
  <c r="AB96" i="6"/>
  <c r="Z96" i="6"/>
  <c r="AA96" i="6" s="1"/>
  <c r="AD96" i="6" s="1"/>
  <c r="Y96" i="6"/>
  <c r="Y95" i="6"/>
  <c r="Z95" i="6" s="1"/>
  <c r="Y94" i="6"/>
  <c r="AB94" i="6" s="1"/>
  <c r="AB93" i="6"/>
  <c r="Y93" i="6"/>
  <c r="Z93" i="6" s="1"/>
  <c r="AC92" i="6"/>
  <c r="AB92" i="6"/>
  <c r="AA92" i="6"/>
  <c r="AD92" i="6" s="1"/>
  <c r="Z92" i="6"/>
  <c r="Y92" i="6"/>
  <c r="AB91" i="6"/>
  <c r="Z91" i="6"/>
  <c r="AC91" i="6" s="1"/>
  <c r="Y91" i="6"/>
  <c r="AB90" i="6"/>
  <c r="Z90" i="6"/>
  <c r="AA90" i="6" s="1"/>
  <c r="AD90" i="6" s="1"/>
  <c r="Y90" i="6"/>
  <c r="C89" i="6"/>
  <c r="B89" i="6" s="1"/>
  <c r="B88" i="6"/>
  <c r="G79" i="6"/>
  <c r="D79" i="6"/>
  <c r="E79" i="6" s="1"/>
  <c r="C79" i="6"/>
  <c r="G78" i="6"/>
  <c r="D78" i="6"/>
  <c r="F78" i="6" s="1"/>
  <c r="C78" i="6"/>
  <c r="G77" i="6"/>
  <c r="D77" i="6"/>
  <c r="F77" i="6" s="1"/>
  <c r="C77" i="6"/>
  <c r="G76" i="6"/>
  <c r="D76" i="6"/>
  <c r="F76" i="6" s="1"/>
  <c r="C76" i="6"/>
  <c r="G75" i="6"/>
  <c r="D75" i="6"/>
  <c r="F75" i="6" s="1"/>
  <c r="C75" i="6"/>
  <c r="G74" i="6"/>
  <c r="D74" i="6"/>
  <c r="F74" i="6" s="1"/>
  <c r="C74" i="6"/>
  <c r="G73" i="6"/>
  <c r="D73" i="6"/>
  <c r="F73" i="6" s="1"/>
  <c r="C73" i="6"/>
  <c r="G72" i="6"/>
  <c r="D72" i="6"/>
  <c r="E72" i="6" s="1"/>
  <c r="C72" i="6"/>
  <c r="G71" i="6"/>
  <c r="D71" i="6"/>
  <c r="E71" i="6" s="1"/>
  <c r="C71" i="6"/>
  <c r="G70" i="6"/>
  <c r="D70" i="6"/>
  <c r="F70" i="6" s="1"/>
  <c r="C70" i="6"/>
  <c r="G69" i="6"/>
  <c r="D69" i="6"/>
  <c r="E69" i="6" s="1"/>
  <c r="C69" i="6"/>
  <c r="G68" i="6"/>
  <c r="D68" i="6"/>
  <c r="F68" i="6" s="1"/>
  <c r="C68" i="6"/>
  <c r="G67" i="6"/>
  <c r="D67" i="6"/>
  <c r="E67" i="6" s="1"/>
  <c r="C67" i="6"/>
  <c r="G66" i="6"/>
  <c r="D66" i="6"/>
  <c r="F66" i="6" s="1"/>
  <c r="C66" i="6"/>
  <c r="G65" i="6"/>
  <c r="D65" i="6"/>
  <c r="F65" i="6" s="1"/>
  <c r="C65" i="6"/>
  <c r="G64" i="6"/>
  <c r="D64" i="6"/>
  <c r="F64" i="6" s="1"/>
  <c r="C64" i="6"/>
  <c r="G63" i="6"/>
  <c r="D63" i="6"/>
  <c r="F63" i="6" s="1"/>
  <c r="C63" i="6"/>
  <c r="G62" i="6"/>
  <c r="D62" i="6"/>
  <c r="F62" i="6" s="1"/>
  <c r="C62" i="6"/>
  <c r="G61" i="6"/>
  <c r="D61" i="6"/>
  <c r="E61" i="6" s="1"/>
  <c r="C61" i="6"/>
  <c r="G46" i="6"/>
  <c r="C46" i="6"/>
  <c r="D46" i="6" s="1"/>
  <c r="E46" i="6" s="1"/>
  <c r="F46" i="6" s="1"/>
  <c r="G45" i="6"/>
  <c r="C45" i="6"/>
  <c r="D45" i="6" s="1"/>
  <c r="E45" i="6" s="1"/>
  <c r="F45" i="6" s="1"/>
  <c r="G44" i="6"/>
  <c r="C44" i="6"/>
  <c r="D44" i="6" s="1"/>
  <c r="E44" i="6" s="1"/>
  <c r="F44" i="6" s="1"/>
  <c r="G43" i="6"/>
  <c r="C43" i="6"/>
  <c r="D43" i="6" s="1"/>
  <c r="E43" i="6" s="1"/>
  <c r="F43" i="6" s="1"/>
  <c r="G42" i="6"/>
  <c r="C42" i="6"/>
  <c r="D42" i="6" s="1"/>
  <c r="E42" i="6" s="1"/>
  <c r="F42" i="6" s="1"/>
  <c r="G41" i="6"/>
  <c r="C41" i="6"/>
  <c r="D41" i="6" s="1"/>
  <c r="E41" i="6" s="1"/>
  <c r="F41" i="6" s="1"/>
  <c r="G40" i="6"/>
  <c r="C40" i="6"/>
  <c r="D40" i="6" s="1"/>
  <c r="E40" i="6" s="1"/>
  <c r="F40" i="6" s="1"/>
  <c r="G39" i="6"/>
  <c r="C39" i="6"/>
  <c r="D39" i="6" s="1"/>
  <c r="E39" i="6" s="1"/>
  <c r="F39" i="6" s="1"/>
  <c r="G38" i="6"/>
  <c r="C38" i="6"/>
  <c r="D38" i="6" s="1"/>
  <c r="E38" i="6" s="1"/>
  <c r="F38" i="6" s="1"/>
  <c r="G37" i="6"/>
  <c r="C37" i="6"/>
  <c r="D37" i="6" s="1"/>
  <c r="E37" i="6" s="1"/>
  <c r="F37" i="6" s="1"/>
  <c r="G36" i="6"/>
  <c r="C36" i="6"/>
  <c r="D36" i="6" s="1"/>
  <c r="E36" i="6" s="1"/>
  <c r="F36" i="6" s="1"/>
  <c r="G35" i="6"/>
  <c r="C35" i="6"/>
  <c r="D35" i="6" s="1"/>
  <c r="E35" i="6" s="1"/>
  <c r="F35" i="6" s="1"/>
  <c r="G34" i="6"/>
  <c r="C34" i="6"/>
  <c r="D34" i="6" s="1"/>
  <c r="E34" i="6" s="1"/>
  <c r="F34" i="6" s="1"/>
  <c r="G33" i="6"/>
  <c r="C33" i="6"/>
  <c r="D33" i="6" s="1"/>
  <c r="E33" i="6" s="1"/>
  <c r="F33" i="6" s="1"/>
  <c r="D32" i="6"/>
  <c r="D31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F4" i="6" s="1"/>
  <c r="C122" i="17"/>
  <c r="D122" i="17" s="1"/>
  <c r="C120" i="17"/>
  <c r="D120" i="17" s="1"/>
  <c r="C119" i="17"/>
  <c r="D119" i="17" s="1"/>
  <c r="J119" i="17" s="1"/>
  <c r="M119" i="17" s="1"/>
  <c r="S119" i="17" s="1"/>
  <c r="C118" i="17"/>
  <c r="D118" i="17" s="1"/>
  <c r="O118" i="17" s="1"/>
  <c r="C117" i="17"/>
  <c r="D117" i="17" s="1"/>
  <c r="H117" i="17" s="1"/>
  <c r="C116" i="17"/>
  <c r="D116" i="17" s="1"/>
  <c r="C115" i="17"/>
  <c r="D115" i="17" s="1"/>
  <c r="C114" i="17"/>
  <c r="D114" i="17" s="1"/>
  <c r="C113" i="17"/>
  <c r="D113" i="17" s="1"/>
  <c r="C112" i="17"/>
  <c r="D112" i="17" s="1"/>
  <c r="C111" i="17"/>
  <c r="D111" i="17" s="1"/>
  <c r="O111" i="17" s="1"/>
  <c r="C110" i="17"/>
  <c r="D110" i="17" s="1"/>
  <c r="C109" i="17"/>
  <c r="D109" i="17" s="1"/>
  <c r="Y108" i="17"/>
  <c r="AB108" i="17" s="1"/>
  <c r="Y107" i="17"/>
  <c r="AB107" i="17" s="1"/>
  <c r="Y106" i="17"/>
  <c r="AB106" i="17" s="1"/>
  <c r="Y105" i="17"/>
  <c r="AB105" i="17" s="1"/>
  <c r="Y104" i="17"/>
  <c r="AB104" i="17" s="1"/>
  <c r="Y103" i="17"/>
  <c r="AB103" i="17" s="1"/>
  <c r="G103" i="17"/>
  <c r="F103" i="17"/>
  <c r="E103" i="17"/>
  <c r="D103" i="17"/>
  <c r="AC102" i="17"/>
  <c r="AB102" i="17"/>
  <c r="AA102" i="17"/>
  <c r="AD102" i="17" s="1"/>
  <c r="Z102" i="17"/>
  <c r="Y102" i="17"/>
  <c r="G102" i="17"/>
  <c r="F102" i="17"/>
  <c r="E102" i="17"/>
  <c r="D102" i="17"/>
  <c r="Y101" i="17"/>
  <c r="AB101" i="17" s="1"/>
  <c r="G101" i="17"/>
  <c r="F101" i="17"/>
  <c r="E101" i="17"/>
  <c r="D101" i="17"/>
  <c r="Y100" i="17"/>
  <c r="AB100" i="17" s="1"/>
  <c r="G100" i="17"/>
  <c r="F100" i="17"/>
  <c r="E100" i="17"/>
  <c r="D100" i="17"/>
  <c r="AB99" i="17"/>
  <c r="Y99" i="17"/>
  <c r="Z99" i="17" s="1"/>
  <c r="G99" i="17"/>
  <c r="F99" i="17"/>
  <c r="E99" i="17"/>
  <c r="D99" i="17"/>
  <c r="AB98" i="17"/>
  <c r="Z98" i="17"/>
  <c r="AA98" i="17" s="1"/>
  <c r="AD98" i="17" s="1"/>
  <c r="Y98" i="17"/>
  <c r="G98" i="17"/>
  <c r="F98" i="17"/>
  <c r="E98" i="17"/>
  <c r="D98" i="17"/>
  <c r="Y97" i="17"/>
  <c r="AB97" i="17" s="1"/>
  <c r="G97" i="17"/>
  <c r="F97" i="17"/>
  <c r="E97" i="17"/>
  <c r="D97" i="17"/>
  <c r="AC96" i="17"/>
  <c r="AB96" i="17"/>
  <c r="AA96" i="17"/>
  <c r="AD96" i="17" s="1"/>
  <c r="Z96" i="17"/>
  <c r="Y96" i="17"/>
  <c r="G96" i="17"/>
  <c r="F96" i="17"/>
  <c r="E96" i="17"/>
  <c r="D96" i="17"/>
  <c r="Y95" i="17"/>
  <c r="AB95" i="17" s="1"/>
  <c r="G95" i="17"/>
  <c r="F95" i="17"/>
  <c r="E95" i="17"/>
  <c r="D95" i="17"/>
  <c r="Y94" i="17"/>
  <c r="AB94" i="17" s="1"/>
  <c r="G94" i="17"/>
  <c r="F94" i="17"/>
  <c r="E94" i="17"/>
  <c r="D94" i="17"/>
  <c r="AB93" i="17"/>
  <c r="Y93" i="17"/>
  <c r="Z93" i="17" s="1"/>
  <c r="G93" i="17"/>
  <c r="F93" i="17"/>
  <c r="E93" i="17"/>
  <c r="D93" i="17"/>
  <c r="AB92" i="17"/>
  <c r="Z92" i="17"/>
  <c r="AA92" i="17" s="1"/>
  <c r="AD92" i="17" s="1"/>
  <c r="Y92" i="17"/>
  <c r="G92" i="17"/>
  <c r="F92" i="17"/>
  <c r="E92" i="17"/>
  <c r="D92" i="17"/>
  <c r="Y91" i="17"/>
  <c r="AB91" i="17" s="1"/>
  <c r="G91" i="17"/>
  <c r="F91" i="17"/>
  <c r="E91" i="17"/>
  <c r="D91" i="17"/>
  <c r="AB90" i="17"/>
  <c r="Y90" i="17"/>
  <c r="Z90" i="17" s="1"/>
  <c r="H68" i="17"/>
  <c r="G68" i="17"/>
  <c r="F68" i="17"/>
  <c r="E68" i="17"/>
  <c r="D68" i="17"/>
  <c r="H67" i="17"/>
  <c r="G67" i="17"/>
  <c r="F67" i="17"/>
  <c r="E67" i="17"/>
  <c r="D67" i="17"/>
  <c r="H66" i="17"/>
  <c r="G66" i="17"/>
  <c r="F66" i="17"/>
  <c r="E66" i="17"/>
  <c r="D66" i="17"/>
  <c r="H65" i="17"/>
  <c r="G65" i="17"/>
  <c r="F65" i="17"/>
  <c r="E65" i="17"/>
  <c r="D65" i="17"/>
  <c r="H64" i="17"/>
  <c r="G64" i="17"/>
  <c r="F64" i="17"/>
  <c r="E64" i="17"/>
  <c r="D64" i="17"/>
  <c r="H63" i="17"/>
  <c r="G63" i="17"/>
  <c r="F63" i="17"/>
  <c r="E63" i="17"/>
  <c r="D63" i="17"/>
  <c r="H62" i="17"/>
  <c r="G62" i="17"/>
  <c r="F62" i="17"/>
  <c r="E62" i="17"/>
  <c r="D62" i="17"/>
  <c r="H61" i="17"/>
  <c r="G61" i="17"/>
  <c r="F61" i="17"/>
  <c r="E61" i="17"/>
  <c r="D61" i="17"/>
  <c r="H60" i="17"/>
  <c r="G60" i="17"/>
  <c r="F60" i="17"/>
  <c r="E60" i="17"/>
  <c r="D60" i="17"/>
  <c r="H59" i="17"/>
  <c r="G59" i="17"/>
  <c r="F59" i="17"/>
  <c r="E59" i="17"/>
  <c r="D59" i="17"/>
  <c r="Q19" i="17"/>
  <c r="D4" i="17"/>
  <c r="E4" i="17" s="1"/>
  <c r="F4" i="17" s="1"/>
  <c r="G4" i="17" s="1"/>
  <c r="H4" i="17" s="1"/>
  <c r="B3" i="17"/>
  <c r="C42" i="17" s="1"/>
  <c r="D42" i="17" s="1"/>
  <c r="E42" i="17" s="1"/>
  <c r="F42" i="17" s="1"/>
  <c r="G42" i="17" s="1"/>
  <c r="H42" i="17" s="1"/>
  <c r="B1" i="17"/>
  <c r="D120" i="8"/>
  <c r="O120" i="8" s="1"/>
  <c r="C120" i="8"/>
  <c r="C119" i="8"/>
  <c r="D119" i="8" s="1"/>
  <c r="C118" i="8"/>
  <c r="D118" i="8" s="1"/>
  <c r="C117" i="8"/>
  <c r="D117" i="8" s="1"/>
  <c r="C116" i="8"/>
  <c r="D116" i="8" s="1"/>
  <c r="B95" i="8"/>
  <c r="D96" i="8" s="1"/>
  <c r="E96" i="8" s="1"/>
  <c r="B94" i="8"/>
  <c r="F95" i="8" s="1"/>
  <c r="Y93" i="8"/>
  <c r="AB93" i="8" s="1"/>
  <c r="B93" i="8"/>
  <c r="D94" i="8" s="1"/>
  <c r="Z92" i="8"/>
  <c r="AC92" i="8" s="1"/>
  <c r="Y92" i="8"/>
  <c r="AB92" i="8" s="1"/>
  <c r="B92" i="8"/>
  <c r="D93" i="8" s="1"/>
  <c r="Y91" i="8"/>
  <c r="AB91" i="8" s="1"/>
  <c r="B91" i="8"/>
  <c r="F92" i="8" s="1"/>
  <c r="AB90" i="8"/>
  <c r="Y90" i="8"/>
  <c r="Z90" i="8" s="1"/>
  <c r="B90" i="8"/>
  <c r="D91" i="8" s="1"/>
  <c r="E91" i="8" s="1"/>
  <c r="AB89" i="8"/>
  <c r="Y89" i="8"/>
  <c r="Z89" i="8" s="1"/>
  <c r="B89" i="8"/>
  <c r="F90" i="8" s="1"/>
  <c r="AB88" i="8"/>
  <c r="AA88" i="8"/>
  <c r="AD88" i="8" s="1"/>
  <c r="Z88" i="8"/>
  <c r="AC88" i="8" s="1"/>
  <c r="Y88" i="8"/>
  <c r="B88" i="8"/>
  <c r="F89" i="8" s="1"/>
  <c r="Z87" i="8"/>
  <c r="AA87" i="8" s="1"/>
  <c r="AD87" i="8" s="1"/>
  <c r="Y87" i="8"/>
  <c r="AB87" i="8" s="1"/>
  <c r="B87" i="8"/>
  <c r="F88" i="8" s="1"/>
  <c r="Y86" i="8"/>
  <c r="Z86" i="8" s="1"/>
  <c r="B86" i="8"/>
  <c r="D87" i="8" s="1"/>
  <c r="Y85" i="8"/>
  <c r="AB85" i="8" s="1"/>
  <c r="B85" i="8"/>
  <c r="F86" i="8" s="1"/>
  <c r="AB84" i="8"/>
  <c r="Y84" i="8"/>
  <c r="Z84" i="8" s="1"/>
  <c r="B84" i="8"/>
  <c r="F85" i="8" s="1"/>
  <c r="AC83" i="8"/>
  <c r="AB83" i="8"/>
  <c r="AA83" i="8"/>
  <c r="AD83" i="8" s="1"/>
  <c r="Z83" i="8"/>
  <c r="Y83" i="8"/>
  <c r="B83" i="8"/>
  <c r="D84" i="8" s="1"/>
  <c r="E84" i="8" s="1"/>
  <c r="AB82" i="8"/>
  <c r="Z82" i="8"/>
  <c r="AC82" i="8" s="1"/>
  <c r="Y82" i="8"/>
  <c r="B82" i="8"/>
  <c r="D83" i="8" s="1"/>
  <c r="E83" i="8" s="1"/>
  <c r="B81" i="8"/>
  <c r="F82" i="8" s="1"/>
  <c r="B80" i="8"/>
  <c r="B96" i="8" s="1"/>
  <c r="G64" i="8"/>
  <c r="F64" i="8"/>
  <c r="E64" i="8"/>
  <c r="G63" i="8"/>
  <c r="F63" i="8"/>
  <c r="E63" i="8"/>
  <c r="G62" i="8"/>
  <c r="F62" i="8"/>
  <c r="E62" i="8"/>
  <c r="G61" i="8"/>
  <c r="F61" i="8"/>
  <c r="E61" i="8"/>
  <c r="G60" i="8"/>
  <c r="F60" i="8"/>
  <c r="E60" i="8"/>
  <c r="G59" i="8"/>
  <c r="F59" i="8"/>
  <c r="E59" i="8"/>
  <c r="G58" i="8"/>
  <c r="F58" i="8"/>
  <c r="E58" i="8"/>
  <c r="G57" i="8"/>
  <c r="F57" i="8"/>
  <c r="E57" i="8"/>
  <c r="G56" i="8"/>
  <c r="F56" i="8"/>
  <c r="E56" i="8"/>
  <c r="G55" i="8"/>
  <c r="F55" i="8"/>
  <c r="E55" i="8"/>
  <c r="G54" i="8"/>
  <c r="F54" i="8"/>
  <c r="E54" i="8"/>
  <c r="G53" i="8"/>
  <c r="F53" i="8"/>
  <c r="E53" i="8"/>
  <c r="G52" i="8"/>
  <c r="F52" i="8"/>
  <c r="E52" i="8"/>
  <c r="B50" i="8"/>
  <c r="B60" i="8" s="1"/>
  <c r="D60" i="8" s="1"/>
  <c r="B2" i="8"/>
  <c r="B162" i="8" s="1"/>
  <c r="A1" i="8"/>
  <c r="D16" i="6" l="1"/>
  <c r="E16" i="6" s="1"/>
  <c r="F16" i="6"/>
  <c r="D5" i="6"/>
  <c r="E5" i="6" s="1"/>
  <c r="F5" i="6"/>
  <c r="D11" i="6"/>
  <c r="E11" i="6" s="1"/>
  <c r="F11" i="6"/>
  <c r="D17" i="6"/>
  <c r="E17" i="6" s="1"/>
  <c r="F17" i="6"/>
  <c r="D23" i="6"/>
  <c r="E23" i="6" s="1"/>
  <c r="F23" i="6"/>
  <c r="D27" i="6"/>
  <c r="E27" i="6" s="1"/>
  <c r="F27" i="6"/>
  <c r="D22" i="6"/>
  <c r="E22" i="6" s="1"/>
  <c r="F22" i="6"/>
  <c r="D6" i="6"/>
  <c r="E6" i="6" s="1"/>
  <c r="F6" i="6"/>
  <c r="D21" i="6"/>
  <c r="E21" i="6" s="1"/>
  <c r="F21" i="6"/>
  <c r="D12" i="6"/>
  <c r="E12" i="6" s="1"/>
  <c r="F12" i="6"/>
  <c r="D7" i="6"/>
  <c r="E7" i="6" s="1"/>
  <c r="F7" i="6"/>
  <c r="D13" i="6"/>
  <c r="E13" i="6" s="1"/>
  <c r="F13" i="6"/>
  <c r="D19" i="6"/>
  <c r="E19" i="6" s="1"/>
  <c r="F19" i="6"/>
  <c r="D25" i="6"/>
  <c r="E25" i="6" s="1"/>
  <c r="F25" i="6"/>
  <c r="D18" i="6"/>
  <c r="E18" i="6" s="1"/>
  <c r="F18" i="6"/>
  <c r="D9" i="6"/>
  <c r="E9" i="6" s="1"/>
  <c r="F9" i="6"/>
  <c r="D15" i="6"/>
  <c r="E15" i="6" s="1"/>
  <c r="F15" i="6"/>
  <c r="D10" i="6"/>
  <c r="E10" i="6" s="1"/>
  <c r="F10" i="6"/>
  <c r="D24" i="6"/>
  <c r="E24" i="6" s="1"/>
  <c r="F24" i="6"/>
  <c r="D8" i="6"/>
  <c r="E8" i="6" s="1"/>
  <c r="F8" i="6"/>
  <c r="D14" i="6"/>
  <c r="E14" i="6" s="1"/>
  <c r="F14" i="6"/>
  <c r="D20" i="6"/>
  <c r="E20" i="6" s="1"/>
  <c r="F20" i="6"/>
  <c r="D26" i="6"/>
  <c r="E26" i="6" s="1"/>
  <c r="F26" i="6"/>
  <c r="B53" i="8"/>
  <c r="D53" i="8" s="1"/>
  <c r="B6" i="8"/>
  <c r="B7" i="8"/>
  <c r="B14" i="8"/>
  <c r="E76" i="6"/>
  <c r="I44" i="12" a="1"/>
  <c r="I44" i="12" s="1"/>
  <c r="J44" i="12" s="1" a="1"/>
  <c r="J44" i="12" s="1"/>
  <c r="F72" i="6"/>
  <c r="F67" i="6"/>
  <c r="F71" i="6"/>
  <c r="C2" i="8"/>
  <c r="B29" i="8" s="1"/>
  <c r="B3" i="8"/>
  <c r="B5" i="8"/>
  <c r="B133" i="8"/>
  <c r="E133" i="8" s="1"/>
  <c r="B150" i="8"/>
  <c r="F150" i="8" s="1"/>
  <c r="B151" i="8"/>
  <c r="F151" i="8" s="1"/>
  <c r="B25" i="8"/>
  <c r="B167" i="8"/>
  <c r="F170" i="8" s="1"/>
  <c r="E73" i="6"/>
  <c r="E63" i="6"/>
  <c r="B104" i="8"/>
  <c r="C107" i="8" s="1"/>
  <c r="D107" i="8" s="1"/>
  <c r="E107" i="8" s="1"/>
  <c r="P107" i="8" s="1"/>
  <c r="F83" i="8"/>
  <c r="E78" i="6"/>
  <c r="F41" i="1"/>
  <c r="C67" i="1"/>
  <c r="B115" i="1" s="1"/>
  <c r="J120" i="8"/>
  <c r="M120" i="8" s="1"/>
  <c r="S120" i="8" s="1"/>
  <c r="C20" i="17"/>
  <c r="D20" i="17" s="1"/>
  <c r="E20" i="17" s="1"/>
  <c r="F20" i="17" s="1"/>
  <c r="G20" i="17" s="1"/>
  <c r="H20" i="17" s="1"/>
  <c r="J59" i="17" a="1"/>
  <c r="J59" i="17" s="1"/>
  <c r="M59" i="17" s="1" a="1"/>
  <c r="M59" i="17" s="1"/>
  <c r="J91" i="17" a="1"/>
  <c r="J91" i="17" s="1"/>
  <c r="E120" i="17"/>
  <c r="P120" i="17" s="1"/>
  <c r="K120" i="17"/>
  <c r="N120" i="17" s="1"/>
  <c r="J120" i="17"/>
  <c r="M120" i="17" s="1"/>
  <c r="S120" i="17" s="1"/>
  <c r="H120" i="17"/>
  <c r="G120" i="17"/>
  <c r="F120" i="17"/>
  <c r="Q120" i="17" s="1"/>
  <c r="F44" i="1"/>
  <c r="E19" i="14"/>
  <c r="E41" i="1"/>
  <c r="K119" i="17"/>
  <c r="N119" i="17" s="1"/>
  <c r="I37" i="1" a="1"/>
  <c r="I37" i="1" s="1"/>
  <c r="J37" i="1" s="1" a="1"/>
  <c r="J37" i="1" s="1"/>
  <c r="H110" i="17"/>
  <c r="I110" i="17"/>
  <c r="L110" i="17" s="1"/>
  <c r="R110" i="17" s="1"/>
  <c r="B89" i="12"/>
  <c r="C94" i="12" s="1"/>
  <c r="D94" i="12" s="1"/>
  <c r="E94" i="12" s="1"/>
  <c r="P94" i="12" s="1"/>
  <c r="B84" i="12"/>
  <c r="D85" i="12" s="1"/>
  <c r="E85" i="12" s="1"/>
  <c r="B83" i="12"/>
  <c r="G84" i="12" s="1"/>
  <c r="B82" i="12"/>
  <c r="D83" i="12" s="1"/>
  <c r="E83" i="12" s="1"/>
  <c r="B79" i="12"/>
  <c r="G80" i="12" s="1"/>
  <c r="B117" i="12"/>
  <c r="C122" i="12" s="1"/>
  <c r="D122" i="12" s="1"/>
  <c r="J122" i="12" s="1"/>
  <c r="M122" i="12" s="1"/>
  <c r="S122" i="12" s="1"/>
  <c r="B91" i="12"/>
  <c r="C96" i="12" s="1"/>
  <c r="D96" i="12" s="1"/>
  <c r="E96" i="12" s="1"/>
  <c r="P96" i="12" s="1"/>
  <c r="B74" i="12"/>
  <c r="B115" i="12"/>
  <c r="C120" i="12" s="1"/>
  <c r="D120" i="12" s="1"/>
  <c r="J120" i="12" s="1"/>
  <c r="M120" i="12" s="1"/>
  <c r="S120" i="12" s="1"/>
  <c r="I32" i="14" a="1"/>
  <c r="I32" i="14" s="1"/>
  <c r="L32" i="14" s="1" a="1"/>
  <c r="L32" i="14" s="1"/>
  <c r="B135" i="8"/>
  <c r="F135" i="8" s="1"/>
  <c r="B153" i="8"/>
  <c r="F153" i="8" s="1"/>
  <c r="B169" i="8"/>
  <c r="F172" i="8" s="1"/>
  <c r="C22" i="17"/>
  <c r="D22" i="17" s="1"/>
  <c r="E22" i="17" s="1"/>
  <c r="F22" i="17" s="1"/>
  <c r="G22" i="17" s="1"/>
  <c r="H22" i="17" s="1"/>
  <c r="B72" i="1"/>
  <c r="G73" i="1" s="1"/>
  <c r="B76" i="1"/>
  <c r="G77" i="1" s="1"/>
  <c r="B80" i="1"/>
  <c r="C80" i="1" s="1"/>
  <c r="E8" i="14"/>
  <c r="B136" i="8"/>
  <c r="F136" i="8" s="1"/>
  <c r="B154" i="8"/>
  <c r="E154" i="8" s="1"/>
  <c r="B170" i="8"/>
  <c r="F173" i="8" s="1"/>
  <c r="C5" i="17"/>
  <c r="D5" i="17" s="1"/>
  <c r="E5" i="17" s="1"/>
  <c r="F5" i="17" s="1"/>
  <c r="G5" i="17" s="1"/>
  <c r="H5" i="17" s="1"/>
  <c r="C23" i="17"/>
  <c r="D23" i="17" s="1"/>
  <c r="E23" i="17" s="1"/>
  <c r="F23" i="17" s="1"/>
  <c r="G23" i="17" s="1"/>
  <c r="H23" i="17" s="1"/>
  <c r="G19" i="14"/>
  <c r="I4" i="16" a="1"/>
  <c r="I4" i="16" s="1"/>
  <c r="L4" i="16" s="1" a="1"/>
  <c r="L4" i="16" s="1"/>
  <c r="I5" i="14" a="1"/>
  <c r="I5" i="14" s="1"/>
  <c r="J5" i="14" s="1" a="1"/>
  <c r="J5" i="14" s="1"/>
  <c r="B11" i="8"/>
  <c r="B58" i="8"/>
  <c r="D58" i="8" s="1"/>
  <c r="B65" i="8"/>
  <c r="D95" i="8"/>
  <c r="E95" i="8" s="1"/>
  <c r="B138" i="8"/>
  <c r="F138" i="8" s="1"/>
  <c r="B156" i="8"/>
  <c r="F156" i="8" s="1"/>
  <c r="B172" i="8"/>
  <c r="F175" i="8" s="1"/>
  <c r="C7" i="17"/>
  <c r="D7" i="17" s="1"/>
  <c r="E7" i="17" s="1"/>
  <c r="F7" i="17" s="1"/>
  <c r="G7" i="17" s="1"/>
  <c r="H7" i="17" s="1"/>
  <c r="C24" i="17"/>
  <c r="D24" i="17" s="1"/>
  <c r="E24" i="17" s="1"/>
  <c r="F24" i="17" s="1"/>
  <c r="G24" i="17" s="1"/>
  <c r="H24" i="17" s="1"/>
  <c r="E64" i="6"/>
  <c r="F79" i="6"/>
  <c r="F42" i="1"/>
  <c r="G5" i="14"/>
  <c r="G8" i="14"/>
  <c r="E12" i="14"/>
  <c r="B13" i="8"/>
  <c r="F96" i="8"/>
  <c r="B139" i="8"/>
  <c r="E139" i="8" s="1"/>
  <c r="B157" i="8"/>
  <c r="F157" i="8" s="1"/>
  <c r="B173" i="8"/>
  <c r="F176" i="8" s="1"/>
  <c r="C9" i="17"/>
  <c r="D9" i="17" s="1"/>
  <c r="E9" i="17" s="1"/>
  <c r="F9" i="17" s="1"/>
  <c r="G9" i="17" s="1"/>
  <c r="H9" i="17" s="1"/>
  <c r="C25" i="17"/>
  <c r="D25" i="17" s="1"/>
  <c r="E25" i="17" s="1"/>
  <c r="F25" i="17" s="1"/>
  <c r="G25" i="17" s="1"/>
  <c r="H25" i="17" s="1"/>
  <c r="I4" i="6" a="1"/>
  <c r="I4" i="6" s="1"/>
  <c r="J4" i="6" s="1" a="1"/>
  <c r="J4" i="6" s="1"/>
  <c r="E46" i="1"/>
  <c r="B73" i="1"/>
  <c r="C73" i="1" s="1"/>
  <c r="B77" i="1"/>
  <c r="C77" i="1" s="1"/>
  <c r="G16" i="14"/>
  <c r="C3" i="17"/>
  <c r="D3" i="17" s="1"/>
  <c r="E3" i="17" s="1"/>
  <c r="F3" i="17" s="1"/>
  <c r="G3" i="17" s="1"/>
  <c r="H3" i="17" s="1"/>
  <c r="F91" i="8"/>
  <c r="B99" i="8"/>
  <c r="C102" i="8" s="1"/>
  <c r="D102" i="8" s="1"/>
  <c r="H102" i="8" s="1"/>
  <c r="B141" i="8"/>
  <c r="F141" i="8" s="1"/>
  <c r="B159" i="8"/>
  <c r="F159" i="8" s="1"/>
  <c r="B175" i="8"/>
  <c r="F178" i="8" s="1"/>
  <c r="C11" i="17"/>
  <c r="D11" i="17" s="1"/>
  <c r="E11" i="17" s="1"/>
  <c r="F11" i="17" s="1"/>
  <c r="G11" i="17" s="1"/>
  <c r="H11" i="17" s="1"/>
  <c r="C26" i="17"/>
  <c r="E20" i="14"/>
  <c r="B17" i="8"/>
  <c r="F84" i="8"/>
  <c r="B100" i="8"/>
  <c r="C103" i="8" s="1"/>
  <c r="D103" i="8" s="1"/>
  <c r="I103" i="8" s="1"/>
  <c r="L103" i="8" s="1"/>
  <c r="R103" i="8" s="1"/>
  <c r="B142" i="8"/>
  <c r="F142" i="8" s="1"/>
  <c r="B160" i="8"/>
  <c r="E160" i="8" s="1"/>
  <c r="B176" i="8"/>
  <c r="F179" i="8" s="1"/>
  <c r="C13" i="17"/>
  <c r="D13" i="17" s="1"/>
  <c r="E13" i="17" s="1"/>
  <c r="F13" i="17" s="1"/>
  <c r="G13" i="17" s="1"/>
  <c r="H13" i="17" s="1"/>
  <c r="I61" i="6" a="1"/>
  <c r="I61" i="6" s="1"/>
  <c r="J61" i="6" s="1" a="1"/>
  <c r="J61" i="6" s="1"/>
  <c r="F39" i="1"/>
  <c r="F43" i="1"/>
  <c r="G9" i="14"/>
  <c r="G14" i="14"/>
  <c r="C21" i="17"/>
  <c r="D21" i="17" s="1"/>
  <c r="E21" i="17" s="1"/>
  <c r="F21" i="17" s="1"/>
  <c r="G21" i="17" s="1"/>
  <c r="H21" i="17" s="1"/>
  <c r="E66" i="6"/>
  <c r="B59" i="8"/>
  <c r="D59" i="8" s="1"/>
  <c r="B101" i="8"/>
  <c r="C104" i="8" s="1"/>
  <c r="D104" i="8" s="1"/>
  <c r="B144" i="8"/>
  <c r="F144" i="8" s="1"/>
  <c r="B163" i="8"/>
  <c r="F166" i="8" s="1"/>
  <c r="B178" i="8"/>
  <c r="F181" i="8" s="1"/>
  <c r="C15" i="17"/>
  <c r="D15" i="17" s="1"/>
  <c r="E15" i="17" s="1"/>
  <c r="F15" i="17" s="1"/>
  <c r="G15" i="17" s="1"/>
  <c r="H15" i="17" s="1"/>
  <c r="E77" i="6"/>
  <c r="D4" i="1"/>
  <c r="F4" i="1" s="1"/>
  <c r="B74" i="1"/>
  <c r="G75" i="1" s="1"/>
  <c r="B78" i="1"/>
  <c r="G79" i="1" s="1"/>
  <c r="B82" i="1"/>
  <c r="C82" i="1" s="1"/>
  <c r="G17" i="14"/>
  <c r="G20" i="14"/>
  <c r="I117" i="17"/>
  <c r="L117" i="17" s="1"/>
  <c r="R117" i="17" s="1"/>
  <c r="B18" i="8"/>
  <c r="B19" i="8"/>
  <c r="B63" i="8"/>
  <c r="D63" i="8" s="1"/>
  <c r="B102" i="8"/>
  <c r="C105" i="8" s="1"/>
  <c r="D105" i="8" s="1"/>
  <c r="O105" i="8" s="1"/>
  <c r="E120" i="8"/>
  <c r="P120" i="8" s="1"/>
  <c r="B145" i="8"/>
  <c r="E145" i="8" s="1"/>
  <c r="B164" i="8"/>
  <c r="D167" i="8" s="1"/>
  <c r="E167" i="8" s="1"/>
  <c r="B179" i="8"/>
  <c r="D182" i="8" s="1"/>
  <c r="C17" i="17"/>
  <c r="D17" i="17" s="1"/>
  <c r="E17" i="17" s="1"/>
  <c r="F17" i="17" s="1"/>
  <c r="G17" i="17" s="1"/>
  <c r="H17" i="17" s="1"/>
  <c r="E65" i="6"/>
  <c r="E7" i="14"/>
  <c r="K91" i="17" a="1"/>
  <c r="K91" i="17" s="1"/>
  <c r="B23" i="8"/>
  <c r="B103" i="8"/>
  <c r="C106" i="8" s="1"/>
  <c r="D106" i="8" s="1"/>
  <c r="F120" i="8"/>
  <c r="Q120" i="8" s="1"/>
  <c r="B147" i="8"/>
  <c r="F147" i="8" s="1"/>
  <c r="B165" i="8"/>
  <c r="F168" i="8" s="1"/>
  <c r="B181" i="8"/>
  <c r="D184" i="8" s="1"/>
  <c r="E184" i="8" s="1"/>
  <c r="C19" i="17"/>
  <c r="D19" i="17" s="1"/>
  <c r="E19" i="17" s="1"/>
  <c r="F19" i="17" s="1"/>
  <c r="G19" i="17" s="1"/>
  <c r="H19" i="17" s="1"/>
  <c r="I4" i="13" a="1"/>
  <c r="I4" i="13" s="1"/>
  <c r="J4" i="13" s="1" a="1"/>
  <c r="J4" i="13" s="1"/>
  <c r="G10" i="14"/>
  <c r="I35" i="16" a="1"/>
  <c r="I35" i="16" s="1"/>
  <c r="K35" i="16" s="1" a="1"/>
  <c r="K35" i="16" s="1"/>
  <c r="B148" i="8"/>
  <c r="E148" i="8" s="1"/>
  <c r="B166" i="8"/>
  <c r="F169" i="8" s="1"/>
  <c r="I91" i="17" a="1"/>
  <c r="I91" i="17" s="1"/>
  <c r="E75" i="6"/>
  <c r="E44" i="1"/>
  <c r="B71" i="1"/>
  <c r="G72" i="1" s="1"/>
  <c r="B75" i="1"/>
  <c r="C75" i="1" s="1"/>
  <c r="B79" i="1"/>
  <c r="C79" i="1" s="1"/>
  <c r="B83" i="1"/>
  <c r="C86" i="1" s="1"/>
  <c r="D5" i="13"/>
  <c r="G7" i="14"/>
  <c r="G21" i="14"/>
  <c r="C121" i="17"/>
  <c r="D121" i="17" s="1"/>
  <c r="G136" i="6"/>
  <c r="F136" i="6"/>
  <c r="E136" i="6"/>
  <c r="AC107" i="12"/>
  <c r="AA107" i="12"/>
  <c r="AD107" i="12" s="1"/>
  <c r="AC86" i="8"/>
  <c r="AA86" i="8"/>
  <c r="AD86" i="8" s="1"/>
  <c r="AA97" i="6"/>
  <c r="AD97" i="6" s="1"/>
  <c r="AC97" i="6"/>
  <c r="G138" i="6"/>
  <c r="F138" i="6"/>
  <c r="E138" i="6"/>
  <c r="AA84" i="1"/>
  <c r="AD84" i="1" s="1"/>
  <c r="AC84" i="1"/>
  <c r="AA89" i="8"/>
  <c r="AD89" i="8" s="1"/>
  <c r="AC89" i="8"/>
  <c r="AC95" i="12"/>
  <c r="AA95" i="12"/>
  <c r="AD95" i="12" s="1"/>
  <c r="AA90" i="8"/>
  <c r="AD90" i="8" s="1"/>
  <c r="AC90" i="8"/>
  <c r="AA93" i="17"/>
  <c r="AC93" i="17"/>
  <c r="G139" i="6"/>
  <c r="F139" i="6"/>
  <c r="E139" i="6"/>
  <c r="AC96" i="12"/>
  <c r="AA96" i="12"/>
  <c r="AD96" i="12" s="1"/>
  <c r="AC102" i="12"/>
  <c r="AA102" i="12"/>
  <c r="AD102" i="12" s="1"/>
  <c r="AC108" i="12"/>
  <c r="AA108" i="12"/>
  <c r="AD108" i="12" s="1"/>
  <c r="G117" i="8"/>
  <c r="F117" i="8"/>
  <c r="Q117" i="8" s="1"/>
  <c r="E117" i="8"/>
  <c r="P117" i="8" s="1"/>
  <c r="O117" i="8"/>
  <c r="I117" i="8"/>
  <c r="L117" i="8" s="1"/>
  <c r="R117" i="8" s="1"/>
  <c r="H117" i="8"/>
  <c r="K117" i="8"/>
  <c r="N117" i="8" s="1"/>
  <c r="J117" i="8"/>
  <c r="M117" i="8" s="1"/>
  <c r="S117" i="8" s="1"/>
  <c r="AA99" i="17"/>
  <c r="AD99" i="17" s="1"/>
  <c r="AC99" i="17"/>
  <c r="G122" i="17"/>
  <c r="F122" i="17"/>
  <c r="Q122" i="17" s="1"/>
  <c r="E122" i="17"/>
  <c r="P122" i="17" s="1"/>
  <c r="O122" i="17"/>
  <c r="I122" i="17"/>
  <c r="L122" i="17" s="1"/>
  <c r="R122" i="17" s="1"/>
  <c r="K122" i="17"/>
  <c r="N122" i="17" s="1"/>
  <c r="H122" i="17"/>
  <c r="J122" i="17"/>
  <c r="M122" i="17" s="1"/>
  <c r="S122" i="17" s="1"/>
  <c r="AA98" i="6"/>
  <c r="AD98" i="6" s="1"/>
  <c r="AC98" i="6"/>
  <c r="F131" i="6"/>
  <c r="E131" i="6"/>
  <c r="G131" i="6"/>
  <c r="K116" i="8"/>
  <c r="N116" i="8" s="1"/>
  <c r="J116" i="8"/>
  <c r="M116" i="8" s="1"/>
  <c r="S116" i="8" s="1"/>
  <c r="H116" i="8"/>
  <c r="I116" i="8"/>
  <c r="L116" i="8" s="1"/>
  <c r="R116" i="8" s="1"/>
  <c r="G116" i="8"/>
  <c r="F116" i="8"/>
  <c r="Q116" i="8" s="1"/>
  <c r="E116" i="8"/>
  <c r="P116" i="8" s="1"/>
  <c r="O116" i="8"/>
  <c r="AA81" i="12"/>
  <c r="AD81" i="12" s="1"/>
  <c r="AC81" i="12"/>
  <c r="AC91" i="12"/>
  <c r="AA91" i="12"/>
  <c r="AD91" i="12" s="1"/>
  <c r="AC97" i="12"/>
  <c r="AA97" i="12"/>
  <c r="AD97" i="12" s="1"/>
  <c r="AC103" i="12"/>
  <c r="AA103" i="12"/>
  <c r="AD103" i="12" s="1"/>
  <c r="AC109" i="12"/>
  <c r="AA109" i="12"/>
  <c r="AD109" i="12" s="1"/>
  <c r="I119" i="8"/>
  <c r="L119" i="8" s="1"/>
  <c r="R119" i="8" s="1"/>
  <c r="H119" i="8"/>
  <c r="E119" i="8"/>
  <c r="P119" i="8" s="1"/>
  <c r="O119" i="8"/>
  <c r="K119" i="8"/>
  <c r="N119" i="8" s="1"/>
  <c r="G119" i="8"/>
  <c r="F119" i="8"/>
  <c r="Q119" i="8" s="1"/>
  <c r="J119" i="8"/>
  <c r="M119" i="8" s="1"/>
  <c r="S119" i="8" s="1"/>
  <c r="J112" i="17"/>
  <c r="M112" i="17" s="1"/>
  <c r="S112" i="17" s="1"/>
  <c r="O129" i="6"/>
  <c r="F129" i="6"/>
  <c r="Q129" i="6" s="1"/>
  <c r="K129" i="6"/>
  <c r="N129" i="6" s="1"/>
  <c r="J129" i="6"/>
  <c r="M129" i="6" s="1"/>
  <c r="S129" i="6" s="1"/>
  <c r="I129" i="6"/>
  <c r="L129" i="6" s="1"/>
  <c r="R129" i="6" s="1"/>
  <c r="H129" i="6"/>
  <c r="E129" i="6"/>
  <c r="P129" i="6" s="1"/>
  <c r="G129" i="6"/>
  <c r="J118" i="8"/>
  <c r="M118" i="8" s="1"/>
  <c r="S118" i="8" s="1"/>
  <c r="K118" i="8"/>
  <c r="N118" i="8" s="1"/>
  <c r="I118" i="8"/>
  <c r="L118" i="8" s="1"/>
  <c r="R118" i="8" s="1"/>
  <c r="H118" i="8"/>
  <c r="O118" i="8"/>
  <c r="G118" i="8"/>
  <c r="F118" i="8"/>
  <c r="Q118" i="8" s="1"/>
  <c r="E118" i="8"/>
  <c r="P118" i="8" s="1"/>
  <c r="E113" i="17"/>
  <c r="P113" i="17" s="1"/>
  <c r="G113" i="17"/>
  <c r="O113" i="17"/>
  <c r="I113" i="17"/>
  <c r="L113" i="17" s="1"/>
  <c r="R113" i="17" s="1"/>
  <c r="H113" i="17"/>
  <c r="F113" i="17"/>
  <c r="Q113" i="17" s="1"/>
  <c r="B103" i="6"/>
  <c r="B104" i="6"/>
  <c r="C109" i="6" s="1"/>
  <c r="D109" i="6" s="1"/>
  <c r="B92" i="6"/>
  <c r="B90" i="6"/>
  <c r="B131" i="6"/>
  <c r="C121" i="6" s="1"/>
  <c r="D121" i="6" s="1"/>
  <c r="B129" i="6"/>
  <c r="C119" i="6" s="1"/>
  <c r="D119" i="6" s="1"/>
  <c r="B127" i="6"/>
  <c r="B125" i="6"/>
  <c r="B123" i="6"/>
  <c r="B121" i="6"/>
  <c r="B119" i="6"/>
  <c r="B117" i="6"/>
  <c r="B115" i="6"/>
  <c r="B113" i="6"/>
  <c r="B111" i="6"/>
  <c r="C116" i="6" s="1"/>
  <c r="D116" i="6" s="1"/>
  <c r="B110" i="6"/>
  <c r="C115" i="6" s="1"/>
  <c r="D115" i="6" s="1"/>
  <c r="B109" i="6"/>
  <c r="C114" i="6" s="1"/>
  <c r="D114" i="6" s="1"/>
  <c r="B93" i="6"/>
  <c r="B94" i="6"/>
  <c r="B101" i="6"/>
  <c r="B107" i="6"/>
  <c r="C112" i="6" s="1"/>
  <c r="D112" i="6" s="1"/>
  <c r="B95" i="6"/>
  <c r="B137" i="6"/>
  <c r="C127" i="6" s="1"/>
  <c r="D127" i="6" s="1"/>
  <c r="B138" i="6"/>
  <c r="C128" i="6" s="1"/>
  <c r="D128" i="6" s="1"/>
  <c r="B136" i="6"/>
  <c r="C126" i="6" s="1"/>
  <c r="D126" i="6" s="1"/>
  <c r="B134" i="6"/>
  <c r="C124" i="6" s="1"/>
  <c r="D124" i="6" s="1"/>
  <c r="B132" i="6"/>
  <c r="C122" i="6" s="1"/>
  <c r="D122" i="6" s="1"/>
  <c r="B96" i="6"/>
  <c r="B105" i="6"/>
  <c r="C110" i="6" s="1"/>
  <c r="D110" i="6" s="1"/>
  <c r="B91" i="6"/>
  <c r="B133" i="6"/>
  <c r="C123" i="6" s="1"/>
  <c r="D123" i="6" s="1"/>
  <c r="B97" i="6"/>
  <c r="B102" i="6"/>
  <c r="B98" i="6"/>
  <c r="B130" i="6"/>
  <c r="C120" i="6" s="1"/>
  <c r="D120" i="6" s="1"/>
  <c r="B128" i="6"/>
  <c r="C118" i="6" s="1"/>
  <c r="D118" i="6" s="1"/>
  <c r="B126" i="6"/>
  <c r="B124" i="6"/>
  <c r="B122" i="6"/>
  <c r="B120" i="6"/>
  <c r="B118" i="6"/>
  <c r="B116" i="6"/>
  <c r="B114" i="6"/>
  <c r="B112" i="6"/>
  <c r="C117" i="6" s="1"/>
  <c r="D117" i="6" s="1"/>
  <c r="B99" i="6"/>
  <c r="B106" i="6"/>
  <c r="C111" i="6" s="1"/>
  <c r="D111" i="6" s="1"/>
  <c r="B108" i="6"/>
  <c r="C113" i="6" s="1"/>
  <c r="D113" i="6" s="1"/>
  <c r="B100" i="6"/>
  <c r="B135" i="6"/>
  <c r="C125" i="6" s="1"/>
  <c r="D125" i="6" s="1"/>
  <c r="AC93" i="6"/>
  <c r="AA93" i="6"/>
  <c r="AD93" i="6" s="1"/>
  <c r="D5" i="1"/>
  <c r="G5" i="1"/>
  <c r="C6" i="1"/>
  <c r="AC92" i="12"/>
  <c r="AA92" i="12"/>
  <c r="AD92" i="12" s="1"/>
  <c r="AC98" i="12"/>
  <c r="AA98" i="12"/>
  <c r="AD98" i="12" s="1"/>
  <c r="AC104" i="12"/>
  <c r="AA104" i="12"/>
  <c r="AD104" i="12" s="1"/>
  <c r="AC110" i="12"/>
  <c r="AA110" i="12"/>
  <c r="AD110" i="12" s="1"/>
  <c r="AC83" i="1"/>
  <c r="AA83" i="1"/>
  <c r="AD83" i="1" s="1"/>
  <c r="AC84" i="8"/>
  <c r="AA84" i="8"/>
  <c r="AD84" i="8" s="1"/>
  <c r="I114" i="17"/>
  <c r="L114" i="17" s="1"/>
  <c r="R114" i="17" s="1"/>
  <c r="F114" i="17"/>
  <c r="Q114" i="17" s="1"/>
  <c r="H114" i="17"/>
  <c r="G114" i="17"/>
  <c r="E114" i="17"/>
  <c r="P114" i="17" s="1"/>
  <c r="O114" i="17"/>
  <c r="G132" i="6"/>
  <c r="F132" i="6"/>
  <c r="E132" i="6"/>
  <c r="AC69" i="1"/>
  <c r="AA69" i="1"/>
  <c r="AD69" i="1" s="1"/>
  <c r="G137" i="6"/>
  <c r="F137" i="6"/>
  <c r="E137" i="6"/>
  <c r="AA90" i="17"/>
  <c r="AD90" i="17" s="1"/>
  <c r="AC90" i="17"/>
  <c r="G115" i="17"/>
  <c r="F115" i="17"/>
  <c r="Q115" i="17" s="1"/>
  <c r="E115" i="17"/>
  <c r="P115" i="17" s="1"/>
  <c r="O115" i="17"/>
  <c r="H115" i="17"/>
  <c r="I115" i="17"/>
  <c r="L115" i="17" s="1"/>
  <c r="R115" i="17" s="1"/>
  <c r="K115" i="17"/>
  <c r="N115" i="17" s="1"/>
  <c r="J115" i="17"/>
  <c r="M115" i="17" s="1"/>
  <c r="S115" i="17" s="1"/>
  <c r="G133" i="6"/>
  <c r="F133" i="6"/>
  <c r="E133" i="6"/>
  <c r="AC93" i="12"/>
  <c r="AA93" i="12"/>
  <c r="AD93" i="12" s="1"/>
  <c r="AC99" i="12"/>
  <c r="AA99" i="12"/>
  <c r="AD99" i="12" s="1"/>
  <c r="AC105" i="12"/>
  <c r="AA105" i="12"/>
  <c r="AD105" i="12" s="1"/>
  <c r="AC111" i="12"/>
  <c r="AA111" i="12"/>
  <c r="AD111" i="12" s="1"/>
  <c r="O116" i="17"/>
  <c r="G116" i="17"/>
  <c r="I116" i="17"/>
  <c r="L116" i="17" s="1"/>
  <c r="R116" i="17" s="1"/>
  <c r="H116" i="17"/>
  <c r="F116" i="17"/>
  <c r="Q116" i="17" s="1"/>
  <c r="E116" i="17"/>
  <c r="P116" i="17" s="1"/>
  <c r="AC95" i="6"/>
  <c r="AA95" i="6"/>
  <c r="AD95" i="6" s="1"/>
  <c r="G134" i="6"/>
  <c r="F134" i="6"/>
  <c r="E134" i="6"/>
  <c r="AC75" i="12"/>
  <c r="AA75" i="12"/>
  <c r="AD75" i="12" s="1"/>
  <c r="I35" i="13" a="1"/>
  <c r="I35" i="13" s="1"/>
  <c r="AC101" i="12"/>
  <c r="AA101" i="12"/>
  <c r="AD101" i="12" s="1"/>
  <c r="F165" i="8"/>
  <c r="D165" i="8"/>
  <c r="G109" i="17"/>
  <c r="I109" i="17"/>
  <c r="L109" i="17" s="1"/>
  <c r="R109" i="17" s="1"/>
  <c r="H109" i="17"/>
  <c r="F109" i="17"/>
  <c r="Q109" i="17" s="1"/>
  <c r="E109" i="17"/>
  <c r="P109" i="17" s="1"/>
  <c r="O109" i="17"/>
  <c r="G135" i="6"/>
  <c r="F135" i="6"/>
  <c r="E135" i="6"/>
  <c r="AC94" i="12"/>
  <c r="AA94" i="12"/>
  <c r="AD94" i="12" s="1"/>
  <c r="AC100" i="12"/>
  <c r="AA100" i="12"/>
  <c r="AD100" i="12" s="1"/>
  <c r="AC106" i="12"/>
  <c r="AA106" i="12"/>
  <c r="AD106" i="12" s="1"/>
  <c r="AC112" i="12"/>
  <c r="AA112" i="12"/>
  <c r="AD112" i="12" s="1"/>
  <c r="D5" i="12"/>
  <c r="B16" i="8"/>
  <c r="B56" i="8"/>
  <c r="D56" i="8" s="1"/>
  <c r="Z85" i="8"/>
  <c r="D92" i="8"/>
  <c r="E92" i="8" s="1"/>
  <c r="E93" i="8"/>
  <c r="F94" i="8"/>
  <c r="B97" i="8"/>
  <c r="G120" i="8"/>
  <c r="Z91" i="17"/>
  <c r="Z97" i="17"/>
  <c r="Z103" i="17"/>
  <c r="Z105" i="17"/>
  <c r="Z107" i="17"/>
  <c r="F111" i="17"/>
  <c r="Q111" i="17" s="1"/>
  <c r="K117" i="17"/>
  <c r="N117" i="17" s="1"/>
  <c r="F118" i="17"/>
  <c r="Q118" i="17" s="1"/>
  <c r="D4" i="6"/>
  <c r="E4" i="6" s="1"/>
  <c r="F61" i="6"/>
  <c r="E62" i="6"/>
  <c r="F69" i="6"/>
  <c r="E74" i="6"/>
  <c r="Z94" i="6"/>
  <c r="Z106" i="6"/>
  <c r="D157" i="6"/>
  <c r="D169" i="6"/>
  <c r="D82" i="1"/>
  <c r="E82" i="1" s="1"/>
  <c r="E5" i="12"/>
  <c r="Z76" i="12"/>
  <c r="E17" i="14"/>
  <c r="E94" i="8"/>
  <c r="Z77" i="12"/>
  <c r="AA78" i="12"/>
  <c r="AD78" i="12" s="1"/>
  <c r="Z89" i="12"/>
  <c r="B9" i="8"/>
  <c r="B21" i="8"/>
  <c r="B61" i="8"/>
  <c r="D61" i="8" s="1"/>
  <c r="C80" i="8"/>
  <c r="AB86" i="8"/>
  <c r="AC87" i="8"/>
  <c r="F93" i="8"/>
  <c r="B98" i="8"/>
  <c r="H120" i="8"/>
  <c r="C33" i="17"/>
  <c r="D33" i="17" s="1"/>
  <c r="E33" i="17" s="1"/>
  <c r="F33" i="17" s="1"/>
  <c r="G33" i="17" s="1"/>
  <c r="H33" i="17" s="1"/>
  <c r="C35" i="17"/>
  <c r="D35" i="17" s="1"/>
  <c r="E35" i="17" s="1"/>
  <c r="F35" i="17" s="1"/>
  <c r="G35" i="17" s="1"/>
  <c r="H35" i="17" s="1"/>
  <c r="C37" i="17"/>
  <c r="D37" i="17" s="1"/>
  <c r="E37" i="17" s="1"/>
  <c r="F37" i="17" s="1"/>
  <c r="G37" i="17" s="1"/>
  <c r="H37" i="17" s="1"/>
  <c r="C39" i="17"/>
  <c r="D39" i="17" s="1"/>
  <c r="E39" i="17" s="1"/>
  <c r="F39" i="17" s="1"/>
  <c r="G39" i="17" s="1"/>
  <c r="H39" i="17" s="1"/>
  <c r="C41" i="17"/>
  <c r="D41" i="17" s="1"/>
  <c r="E41" i="17" s="1"/>
  <c r="F41" i="17" s="1"/>
  <c r="G41" i="17" s="1"/>
  <c r="H41" i="17" s="1"/>
  <c r="C43" i="17"/>
  <c r="D43" i="17" s="1"/>
  <c r="E43" i="17" s="1"/>
  <c r="F43" i="17" s="1"/>
  <c r="G43" i="17" s="1"/>
  <c r="H43" i="17" s="1"/>
  <c r="AC92" i="17"/>
  <c r="AC98" i="17"/>
  <c r="G111" i="17"/>
  <c r="G118" i="17"/>
  <c r="I120" i="17"/>
  <c r="L120" i="17" s="1"/>
  <c r="R120" i="17" s="1"/>
  <c r="AC90" i="6"/>
  <c r="AB95" i="6"/>
  <c r="AC96" i="6"/>
  <c r="AC104" i="6"/>
  <c r="E157" i="6"/>
  <c r="D162" i="6"/>
  <c r="E169" i="6"/>
  <c r="D174" i="6"/>
  <c r="E39" i="1"/>
  <c r="F46" i="1"/>
  <c r="AB69" i="1"/>
  <c r="B85" i="1"/>
  <c r="F5" i="12"/>
  <c r="B81" i="12"/>
  <c r="Z113" i="12"/>
  <c r="AC113" i="12" s="1"/>
  <c r="E10" i="14"/>
  <c r="G12" i="14"/>
  <c r="D4" i="16"/>
  <c r="D38" i="16"/>
  <c r="C6" i="12"/>
  <c r="B54" i="8"/>
  <c r="D54" i="8" s="1"/>
  <c r="D90" i="8"/>
  <c r="E90" i="8" s="1"/>
  <c r="I120" i="8"/>
  <c r="L120" i="8" s="1"/>
  <c r="R120" i="8" s="1"/>
  <c r="B132" i="8"/>
  <c r="H111" i="17"/>
  <c r="O112" i="17"/>
  <c r="H118" i="17"/>
  <c r="O119" i="17"/>
  <c r="O130" i="6"/>
  <c r="D167" i="6"/>
  <c r="D179" i="6"/>
  <c r="F82" i="1"/>
  <c r="G5" i="12"/>
  <c r="B80" i="12"/>
  <c r="B88" i="12"/>
  <c r="C93" i="12" s="1"/>
  <c r="D93" i="12" s="1"/>
  <c r="E15" i="14"/>
  <c r="J117" i="17"/>
  <c r="M117" i="17" s="1"/>
  <c r="S117" i="17" s="1"/>
  <c r="D160" i="6"/>
  <c r="D172" i="6"/>
  <c r="G82" i="1"/>
  <c r="E111" i="17"/>
  <c r="P111" i="17" s="1"/>
  <c r="B4" i="8"/>
  <c r="B12" i="8"/>
  <c r="B24" i="8"/>
  <c r="B64" i="8"/>
  <c r="D64" i="8" s="1"/>
  <c r="D82" i="8"/>
  <c r="AA82" i="8"/>
  <c r="AD82" i="8" s="1"/>
  <c r="D88" i="8"/>
  <c r="E88" i="8" s="1"/>
  <c r="Z93" i="8"/>
  <c r="K120" i="8"/>
  <c r="N120" i="8" s="1"/>
  <c r="C6" i="17"/>
  <c r="D6" i="17" s="1"/>
  <c r="E6" i="17" s="1"/>
  <c r="F6" i="17" s="1"/>
  <c r="G6" i="17" s="1"/>
  <c r="H6" i="17" s="1"/>
  <c r="C8" i="17"/>
  <c r="D8" i="17" s="1"/>
  <c r="E8" i="17" s="1"/>
  <c r="F8" i="17" s="1"/>
  <c r="G8" i="17" s="1"/>
  <c r="H8" i="17" s="1"/>
  <c r="C10" i="17"/>
  <c r="D10" i="17" s="1"/>
  <c r="E10" i="17" s="1"/>
  <c r="F10" i="17" s="1"/>
  <c r="G10" i="17" s="1"/>
  <c r="H10" i="17" s="1"/>
  <c r="C12" i="17"/>
  <c r="D12" i="17" s="1"/>
  <c r="E12" i="17" s="1"/>
  <c r="F12" i="17" s="1"/>
  <c r="G12" i="17" s="1"/>
  <c r="H12" i="17" s="1"/>
  <c r="C14" i="17"/>
  <c r="D14" i="17" s="1"/>
  <c r="E14" i="17" s="1"/>
  <c r="F14" i="17" s="1"/>
  <c r="G14" i="17" s="1"/>
  <c r="H14" i="17" s="1"/>
  <c r="C16" i="17"/>
  <c r="D16" i="17" s="1"/>
  <c r="E16" i="17" s="1"/>
  <c r="F16" i="17" s="1"/>
  <c r="G16" i="17" s="1"/>
  <c r="H16" i="17" s="1"/>
  <c r="C18" i="17"/>
  <c r="D18" i="17" s="1"/>
  <c r="E18" i="17" s="1"/>
  <c r="F18" i="17" s="1"/>
  <c r="G18" i="17" s="1"/>
  <c r="H18" i="17" s="1"/>
  <c r="Z95" i="17"/>
  <c r="Z101" i="17"/>
  <c r="O110" i="17"/>
  <c r="J111" i="17"/>
  <c r="M111" i="17" s="1"/>
  <c r="S111" i="17" s="1"/>
  <c r="E112" i="17"/>
  <c r="P112" i="17" s="1"/>
  <c r="O117" i="17"/>
  <c r="E119" i="17"/>
  <c r="P119" i="17" s="1"/>
  <c r="E70" i="6"/>
  <c r="AA91" i="6"/>
  <c r="AD91" i="6" s="1"/>
  <c r="Z102" i="6"/>
  <c r="AA103" i="6"/>
  <c r="AD103" i="6" s="1"/>
  <c r="E130" i="6"/>
  <c r="P130" i="6" s="1"/>
  <c r="E160" i="6"/>
  <c r="D165" i="6"/>
  <c r="E172" i="6"/>
  <c r="D177" i="6"/>
  <c r="E42" i="1"/>
  <c r="B70" i="1"/>
  <c r="AA85" i="1"/>
  <c r="AD85" i="1" s="1"/>
  <c r="AA86" i="1"/>
  <c r="AD86" i="1" s="1"/>
  <c r="AA87" i="1"/>
  <c r="AD87" i="1" s="1"/>
  <c r="AA88" i="1"/>
  <c r="AD88" i="1" s="1"/>
  <c r="AA89" i="1"/>
  <c r="AD89" i="1" s="1"/>
  <c r="AA90" i="1"/>
  <c r="AD90" i="1" s="1"/>
  <c r="AA91" i="1"/>
  <c r="AD91" i="1" s="1"/>
  <c r="B78" i="12"/>
  <c r="Z84" i="12"/>
  <c r="AA85" i="12"/>
  <c r="AD85" i="12" s="1"/>
  <c r="Z88" i="12"/>
  <c r="B90" i="12"/>
  <c r="C95" i="12" s="1"/>
  <c r="D95" i="12" s="1"/>
  <c r="E5" i="14"/>
  <c r="E13" i="14"/>
  <c r="G15" i="14"/>
  <c r="K111" i="17"/>
  <c r="N111" i="17" s="1"/>
  <c r="F112" i="17"/>
  <c r="Q112" i="17" s="1"/>
  <c r="F119" i="17"/>
  <c r="Q119" i="17" s="1"/>
  <c r="F130" i="6"/>
  <c r="Q130" i="6" s="1"/>
  <c r="D158" i="6"/>
  <c r="D170" i="6"/>
  <c r="B77" i="12"/>
  <c r="B114" i="12"/>
  <c r="C119" i="12" s="1"/>
  <c r="D119" i="12" s="1"/>
  <c r="B116" i="12"/>
  <c r="C121" i="12" s="1"/>
  <c r="D121" i="12" s="1"/>
  <c r="B118" i="12"/>
  <c r="C123" i="12" s="1"/>
  <c r="D123" i="12" s="1"/>
  <c r="E6" i="14"/>
  <c r="E18" i="14"/>
  <c r="E118" i="17"/>
  <c r="P118" i="17" s="1"/>
  <c r="B57" i="8"/>
  <c r="D57" i="8" s="1"/>
  <c r="B10" i="8"/>
  <c r="B22" i="8"/>
  <c r="C50" i="8"/>
  <c r="B62" i="8"/>
  <c r="D62" i="8" s="1"/>
  <c r="D86" i="8"/>
  <c r="E86" i="8" s="1"/>
  <c r="E87" i="8"/>
  <c r="Z91" i="8"/>
  <c r="AA92" i="8"/>
  <c r="AD92" i="8" s="1"/>
  <c r="Z94" i="17"/>
  <c r="Z100" i="17"/>
  <c r="Z104" i="17"/>
  <c r="Z106" i="17"/>
  <c r="Z108" i="17"/>
  <c r="E110" i="17"/>
  <c r="P110" i="17" s="1"/>
  <c r="G112" i="17"/>
  <c r="E117" i="17"/>
  <c r="P117" i="17" s="1"/>
  <c r="G119" i="17"/>
  <c r="E68" i="6"/>
  <c r="Z100" i="6"/>
  <c r="AA101" i="6"/>
  <c r="AD101" i="6" s="1"/>
  <c r="AA105" i="6"/>
  <c r="AD105" i="6" s="1"/>
  <c r="G130" i="6"/>
  <c r="E158" i="6"/>
  <c r="D163" i="6"/>
  <c r="E170" i="6"/>
  <c r="D175" i="6"/>
  <c r="G4" i="1"/>
  <c r="E40" i="1"/>
  <c r="B68" i="1"/>
  <c r="C68" i="1" s="1"/>
  <c r="AA70" i="1"/>
  <c r="AD70" i="1" s="1"/>
  <c r="AA71" i="1"/>
  <c r="AD71" i="1" s="1"/>
  <c r="AA72" i="1"/>
  <c r="AD72" i="1" s="1"/>
  <c r="AA73" i="1"/>
  <c r="AD73" i="1" s="1"/>
  <c r="AA74" i="1"/>
  <c r="AD74" i="1" s="1"/>
  <c r="AA75" i="1"/>
  <c r="AD75" i="1" s="1"/>
  <c r="AA76" i="1"/>
  <c r="AD76" i="1" s="1"/>
  <c r="AA77" i="1"/>
  <c r="AD77" i="1" s="1"/>
  <c r="AA78" i="1"/>
  <c r="AD78" i="1" s="1"/>
  <c r="AA79" i="1"/>
  <c r="AD79" i="1" s="1"/>
  <c r="AA80" i="1"/>
  <c r="AD80" i="1" s="1"/>
  <c r="AA81" i="1"/>
  <c r="AD81" i="1" s="1"/>
  <c r="AA82" i="1"/>
  <c r="AD82" i="1" s="1"/>
  <c r="B84" i="1"/>
  <c r="B76" i="12"/>
  <c r="Z82" i="12"/>
  <c r="AA83" i="12"/>
  <c r="AD83" i="12" s="1"/>
  <c r="Z90" i="12"/>
  <c r="B92" i="12"/>
  <c r="C97" i="12" s="1"/>
  <c r="D97" i="12" s="1"/>
  <c r="B93" i="12"/>
  <c r="C98" i="12" s="1"/>
  <c r="D98" i="12" s="1"/>
  <c r="B94" i="12"/>
  <c r="C99" i="12" s="1"/>
  <c r="D99" i="12" s="1"/>
  <c r="B95" i="12"/>
  <c r="C100" i="12" s="1"/>
  <c r="D100" i="12" s="1"/>
  <c r="B96" i="12"/>
  <c r="C101" i="12" s="1"/>
  <c r="D101" i="12" s="1"/>
  <c r="B97" i="12"/>
  <c r="C102" i="12" s="1"/>
  <c r="D102" i="12" s="1"/>
  <c r="B98" i="12"/>
  <c r="C103" i="12" s="1"/>
  <c r="D103" i="12" s="1"/>
  <c r="B99" i="12"/>
  <c r="C104" i="12" s="1"/>
  <c r="D104" i="12" s="1"/>
  <c r="B100" i="12"/>
  <c r="C105" i="12" s="1"/>
  <c r="D105" i="12" s="1"/>
  <c r="B101" i="12"/>
  <c r="C106" i="12" s="1"/>
  <c r="D106" i="12" s="1"/>
  <c r="B102" i="12"/>
  <c r="C107" i="12" s="1"/>
  <c r="D107" i="12" s="1"/>
  <c r="B103" i="12"/>
  <c r="C108" i="12" s="1"/>
  <c r="D108" i="12" s="1"/>
  <c r="B104" i="12"/>
  <c r="C109" i="12" s="1"/>
  <c r="D109" i="12" s="1"/>
  <c r="B105" i="12"/>
  <c r="C110" i="12" s="1"/>
  <c r="D110" i="12" s="1"/>
  <c r="B106" i="12"/>
  <c r="C111" i="12" s="1"/>
  <c r="D111" i="12" s="1"/>
  <c r="B107" i="12"/>
  <c r="C112" i="12" s="1"/>
  <c r="D112" i="12" s="1"/>
  <c r="B108" i="12"/>
  <c r="C113" i="12" s="1"/>
  <c r="D113" i="12" s="1"/>
  <c r="B109" i="12"/>
  <c r="C114" i="12" s="1"/>
  <c r="D114" i="12" s="1"/>
  <c r="B110" i="12"/>
  <c r="C115" i="12" s="1"/>
  <c r="D115" i="12" s="1"/>
  <c r="B111" i="12"/>
  <c r="C116" i="12" s="1"/>
  <c r="D116" i="12" s="1"/>
  <c r="B112" i="12"/>
  <c r="C117" i="12" s="1"/>
  <c r="D117" i="12" s="1"/>
  <c r="B113" i="12"/>
  <c r="C118" i="12" s="1"/>
  <c r="D118" i="12" s="1"/>
  <c r="E11" i="14"/>
  <c r="G13" i="14"/>
  <c r="I111" i="17"/>
  <c r="L111" i="17" s="1"/>
  <c r="R111" i="17" s="1"/>
  <c r="I118" i="17"/>
  <c r="L118" i="17" s="1"/>
  <c r="R118" i="17" s="1"/>
  <c r="B15" i="8"/>
  <c r="B51" i="8"/>
  <c r="B77" i="8" s="1"/>
  <c r="B55" i="8"/>
  <c r="D55" i="8" s="1"/>
  <c r="D85" i="8"/>
  <c r="E85" i="8" s="1"/>
  <c r="F87" i="8"/>
  <c r="B134" i="8"/>
  <c r="B137" i="8"/>
  <c r="B140" i="8"/>
  <c r="B143" i="8"/>
  <c r="B146" i="8"/>
  <c r="B149" i="8"/>
  <c r="B152" i="8"/>
  <c r="B155" i="8"/>
  <c r="B158" i="8"/>
  <c r="B161" i="8"/>
  <c r="B168" i="8"/>
  <c r="B171" i="8"/>
  <c r="B174" i="8"/>
  <c r="B177" i="8"/>
  <c r="B180" i="8"/>
  <c r="C32" i="17"/>
  <c r="D32" i="17" s="1"/>
  <c r="E32" i="17" s="1"/>
  <c r="F32" i="17" s="1"/>
  <c r="G32" i="17" s="1"/>
  <c r="H32" i="17" s="1"/>
  <c r="C34" i="17"/>
  <c r="D34" i="17" s="1"/>
  <c r="E34" i="17" s="1"/>
  <c r="F34" i="17" s="1"/>
  <c r="G34" i="17" s="1"/>
  <c r="H34" i="17" s="1"/>
  <c r="C36" i="17"/>
  <c r="D36" i="17" s="1"/>
  <c r="E36" i="17" s="1"/>
  <c r="F36" i="17" s="1"/>
  <c r="G36" i="17" s="1"/>
  <c r="H36" i="17" s="1"/>
  <c r="C38" i="17"/>
  <c r="D38" i="17" s="1"/>
  <c r="E38" i="17" s="1"/>
  <c r="F38" i="17" s="1"/>
  <c r="G38" i="17" s="1"/>
  <c r="H38" i="17" s="1"/>
  <c r="C40" i="17"/>
  <c r="D40" i="17" s="1"/>
  <c r="E40" i="17" s="1"/>
  <c r="F40" i="17" s="1"/>
  <c r="G40" i="17" s="1"/>
  <c r="H40" i="17" s="1"/>
  <c r="F110" i="17"/>
  <c r="Q110" i="17" s="1"/>
  <c r="H112" i="17"/>
  <c r="F117" i="17"/>
  <c r="Q117" i="17" s="1"/>
  <c r="H119" i="17"/>
  <c r="O120" i="17"/>
  <c r="Z99" i="6"/>
  <c r="H130" i="6"/>
  <c r="D156" i="6"/>
  <c r="E163" i="6"/>
  <c r="D168" i="6"/>
  <c r="E175" i="6"/>
  <c r="E37" i="1"/>
  <c r="F40" i="1"/>
  <c r="E45" i="1"/>
  <c r="B73" i="12"/>
  <c r="B75" i="12"/>
  <c r="B87" i="12"/>
  <c r="C92" i="12" s="1"/>
  <c r="D92" i="12" s="1"/>
  <c r="G6" i="14"/>
  <c r="E16" i="14"/>
  <c r="G18" i="14"/>
  <c r="D89" i="8"/>
  <c r="E89" i="8" s="1"/>
  <c r="B8" i="8"/>
  <c r="B20" i="8"/>
  <c r="B52" i="8"/>
  <c r="D52" i="8" s="1"/>
  <c r="G110" i="17"/>
  <c r="I112" i="17"/>
  <c r="L112" i="17" s="1"/>
  <c r="R112" i="17" s="1"/>
  <c r="G117" i="17"/>
  <c r="I119" i="17"/>
  <c r="L119" i="17" s="1"/>
  <c r="R119" i="17" s="1"/>
  <c r="I130" i="6"/>
  <c r="L130" i="6" s="1"/>
  <c r="R130" i="6" s="1"/>
  <c r="E156" i="6"/>
  <c r="D161" i="6"/>
  <c r="E168" i="6"/>
  <c r="D173" i="6"/>
  <c r="F37" i="1"/>
  <c r="E38" i="1"/>
  <c r="F45" i="1"/>
  <c r="B69" i="1"/>
  <c r="B86" i="1"/>
  <c r="B87" i="1"/>
  <c r="B88" i="1"/>
  <c r="B89" i="1"/>
  <c r="B90" i="1"/>
  <c r="B91" i="1"/>
  <c r="B92" i="1"/>
  <c r="B86" i="12"/>
  <c r="E9" i="14"/>
  <c r="E21" i="14"/>
  <c r="E161" i="6"/>
  <c r="D166" i="6"/>
  <c r="F38" i="1"/>
  <c r="B85" i="12"/>
  <c r="G85" i="12" l="1"/>
  <c r="F85" i="12"/>
  <c r="O120" i="12"/>
  <c r="L44" i="12" a="1"/>
  <c r="L44" i="12" s="1"/>
  <c r="K44" i="12" a="1"/>
  <c r="K44" i="12" s="1"/>
  <c r="G74" i="1"/>
  <c r="F74" i="1"/>
  <c r="I120" i="12"/>
  <c r="L120" i="12" s="1"/>
  <c r="R120" i="12" s="1"/>
  <c r="B112" i="1"/>
  <c r="J4" i="16" a="1"/>
  <c r="J4" i="16" s="1"/>
  <c r="F75" i="1"/>
  <c r="D78" i="1"/>
  <c r="E78" i="1" s="1"/>
  <c r="D75" i="1"/>
  <c r="E75" i="1" s="1"/>
  <c r="C74" i="1"/>
  <c r="D151" i="8"/>
  <c r="B113" i="1"/>
  <c r="B104" i="1"/>
  <c r="B102" i="1"/>
  <c r="F105" i="1" s="1"/>
  <c r="Q105" i="1" s="1"/>
  <c r="B96" i="1"/>
  <c r="G99" i="1" s="1"/>
  <c r="B103" i="1"/>
  <c r="F106" i="1" s="1"/>
  <c r="Q106" i="1" s="1"/>
  <c r="B97" i="1"/>
  <c r="C100" i="1" s="1"/>
  <c r="D100" i="1" s="1"/>
  <c r="B111" i="1"/>
  <c r="B109" i="1"/>
  <c r="C83" i="1"/>
  <c r="F86" i="1"/>
  <c r="Q86" i="1" s="1"/>
  <c r="D86" i="1"/>
  <c r="E86" i="1" s="1"/>
  <c r="P86" i="1" s="1"/>
  <c r="G86" i="1"/>
  <c r="L35" i="16" a="1"/>
  <c r="L35" i="16" s="1"/>
  <c r="J35" i="16" a="1"/>
  <c r="J35" i="16" s="1"/>
  <c r="G94" i="12"/>
  <c r="I96" i="12"/>
  <c r="L96" i="12" s="1"/>
  <c r="R96" i="12" s="1"/>
  <c r="B106" i="1"/>
  <c r="F78" i="1"/>
  <c r="B100" i="1"/>
  <c r="G103" i="1" s="1"/>
  <c r="B107" i="1"/>
  <c r="B98" i="1"/>
  <c r="G101" i="1" s="1"/>
  <c r="B110" i="1"/>
  <c r="B105" i="1"/>
  <c r="B108" i="1"/>
  <c r="B94" i="1"/>
  <c r="F97" i="1" s="1"/>
  <c r="Q97" i="1" s="1"/>
  <c r="E4" i="1"/>
  <c r="G78" i="1"/>
  <c r="B101" i="1"/>
  <c r="C104" i="1" s="1"/>
  <c r="D104" i="1" s="1"/>
  <c r="B99" i="1"/>
  <c r="C102" i="1" s="1"/>
  <c r="D102" i="1" s="1"/>
  <c r="B95" i="1"/>
  <c r="F98" i="1" s="1"/>
  <c r="Q98" i="1" s="1"/>
  <c r="B93" i="1"/>
  <c r="C96" i="1" s="1"/>
  <c r="D96" i="1" s="1"/>
  <c r="D74" i="1"/>
  <c r="E74" i="1" s="1"/>
  <c r="B44" i="8"/>
  <c r="B34" i="8"/>
  <c r="F167" i="8"/>
  <c r="D170" i="8"/>
  <c r="E170" i="8" s="1"/>
  <c r="D175" i="8"/>
  <c r="E175" i="8" s="1"/>
  <c r="E151" i="8"/>
  <c r="D173" i="8"/>
  <c r="E173" i="8" s="1"/>
  <c r="D154" i="8"/>
  <c r="F154" i="8"/>
  <c r="K4" i="16" a="1"/>
  <c r="K4" i="16" s="1"/>
  <c r="O122" i="12"/>
  <c r="B46" i="8"/>
  <c r="B45" i="8"/>
  <c r="E122" i="12"/>
  <c r="P122" i="12" s="1"/>
  <c r="B35" i="8"/>
  <c r="K122" i="12"/>
  <c r="N122" i="12" s="1"/>
  <c r="J96" i="12"/>
  <c r="M96" i="12" s="1"/>
  <c r="S96" i="12" s="1"/>
  <c r="D148" i="8"/>
  <c r="G122" i="12"/>
  <c r="B31" i="8"/>
  <c r="B32" i="8"/>
  <c r="F148" i="8"/>
  <c r="H122" i="12"/>
  <c r="D133" i="8"/>
  <c r="F122" i="12"/>
  <c r="Q122" i="12" s="1"/>
  <c r="B39" i="8"/>
  <c r="F133" i="8"/>
  <c r="E136" i="8"/>
  <c r="I122" i="12"/>
  <c r="L122" i="12" s="1"/>
  <c r="R122" i="12" s="1"/>
  <c r="B36" i="8"/>
  <c r="B41" i="8"/>
  <c r="B40" i="8"/>
  <c r="G96" i="12"/>
  <c r="B114" i="1"/>
  <c r="K61" i="6" a="1"/>
  <c r="K61" i="6" s="1"/>
  <c r="F79" i="1"/>
  <c r="H94" i="12"/>
  <c r="D135" i="8"/>
  <c r="D84" i="12"/>
  <c r="E84" i="12" s="1"/>
  <c r="I94" i="12"/>
  <c r="L94" i="12" s="1"/>
  <c r="R94" i="12" s="1"/>
  <c r="F76" i="1"/>
  <c r="D76" i="1"/>
  <c r="E76" i="1" s="1"/>
  <c r="J94" i="12"/>
  <c r="M94" i="12" s="1"/>
  <c r="S94" i="12" s="1"/>
  <c r="D168" i="8"/>
  <c r="E168" i="8" s="1"/>
  <c r="G80" i="1"/>
  <c r="K94" i="12"/>
  <c r="N94" i="12" s="1"/>
  <c r="D145" i="8"/>
  <c r="F94" i="12"/>
  <c r="Q94" i="12" s="1"/>
  <c r="F80" i="1"/>
  <c r="D80" i="1"/>
  <c r="E80" i="1" s="1"/>
  <c r="G76" i="1"/>
  <c r="B27" i="8"/>
  <c r="F145" i="8"/>
  <c r="D136" i="8"/>
  <c r="F184" i="8"/>
  <c r="B30" i="8"/>
  <c r="F139" i="8"/>
  <c r="B43" i="8"/>
  <c r="B47" i="8"/>
  <c r="B33" i="8"/>
  <c r="B37" i="8"/>
  <c r="E159" i="8"/>
  <c r="B38" i="8"/>
  <c r="E153" i="8"/>
  <c r="B28" i="8"/>
  <c r="D160" i="8"/>
  <c r="B26" i="8"/>
  <c r="E150" i="8"/>
  <c r="B42" i="8"/>
  <c r="E157" i="8"/>
  <c r="D157" i="8"/>
  <c r="D150" i="8"/>
  <c r="D172" i="8"/>
  <c r="E172" i="8" s="1"/>
  <c r="F107" i="8"/>
  <c r="Q107" i="8" s="1"/>
  <c r="G107" i="8"/>
  <c r="F160" i="8"/>
  <c r="D141" i="8"/>
  <c r="I107" i="8"/>
  <c r="L107" i="8" s="1"/>
  <c r="R107" i="8" s="1"/>
  <c r="O107" i="8"/>
  <c r="E142" i="8"/>
  <c r="H107" i="8"/>
  <c r="D144" i="8"/>
  <c r="K59" i="17" a="1"/>
  <c r="K59" i="17" s="1"/>
  <c r="O103" i="8"/>
  <c r="H96" i="12"/>
  <c r="O96" i="12"/>
  <c r="F96" i="12"/>
  <c r="Q96" i="12" s="1"/>
  <c r="C76" i="1"/>
  <c r="J103" i="8"/>
  <c r="M103" i="8" s="1"/>
  <c r="S103" i="8" s="1"/>
  <c r="I102" i="8"/>
  <c r="L102" i="8" s="1"/>
  <c r="R102" i="8" s="1"/>
  <c r="E102" i="8"/>
  <c r="P102" i="8" s="1"/>
  <c r="E105" i="8"/>
  <c r="P105" i="8" s="1"/>
  <c r="F102" i="8"/>
  <c r="Q102" i="8" s="1"/>
  <c r="G105" i="8"/>
  <c r="H103" i="8"/>
  <c r="K82" i="8" a="1"/>
  <c r="K82" i="8" s="1"/>
  <c r="J102" i="8"/>
  <c r="M102" i="8" s="1"/>
  <c r="S102" i="8" s="1"/>
  <c r="I105" i="8"/>
  <c r="L105" i="8" s="1"/>
  <c r="R105" i="8" s="1"/>
  <c r="K102" i="8"/>
  <c r="N102" i="8" s="1"/>
  <c r="O102" i="8"/>
  <c r="G102" i="8"/>
  <c r="E103" i="8"/>
  <c r="P103" i="8" s="1"/>
  <c r="F103" i="8"/>
  <c r="Q103" i="8" s="1"/>
  <c r="K103" i="8"/>
  <c r="N103" i="8" s="1"/>
  <c r="G103" i="8"/>
  <c r="D147" i="8"/>
  <c r="D77" i="1"/>
  <c r="E77" i="1" s="1"/>
  <c r="D178" i="8"/>
  <c r="E178" i="8" s="1"/>
  <c r="D80" i="12"/>
  <c r="E80" i="12" s="1"/>
  <c r="D81" i="1"/>
  <c r="E81" i="1" s="1"/>
  <c r="G81" i="1"/>
  <c r="D181" i="8"/>
  <c r="E181" i="8" s="1"/>
  <c r="L4" i="6" a="1"/>
  <c r="L4" i="6" s="1"/>
  <c r="D142" i="8"/>
  <c r="E147" i="8"/>
  <c r="D169" i="8"/>
  <c r="E169" i="8" s="1"/>
  <c r="O94" i="12"/>
  <c r="F81" i="1"/>
  <c r="E144" i="8"/>
  <c r="D73" i="1"/>
  <c r="E73" i="1" s="1"/>
  <c r="D166" i="8"/>
  <c r="E166" i="8" s="1"/>
  <c r="D179" i="8"/>
  <c r="E179" i="8" s="1"/>
  <c r="D139" i="8"/>
  <c r="D176" i="8"/>
  <c r="E176" i="8" s="1"/>
  <c r="F73" i="1"/>
  <c r="E141" i="8"/>
  <c r="D72" i="1"/>
  <c r="E72" i="1" s="1"/>
  <c r="D159" i="8"/>
  <c r="F80" i="12"/>
  <c r="C72" i="1"/>
  <c r="F77" i="1"/>
  <c r="F84" i="12"/>
  <c r="C71" i="1"/>
  <c r="F72" i="1"/>
  <c r="E135" i="8"/>
  <c r="D153" i="8"/>
  <c r="L59" i="17" a="1"/>
  <c r="L59" i="17" s="1"/>
  <c r="L5" i="14" a="1"/>
  <c r="L5" i="14" s="1"/>
  <c r="F182" i="8"/>
  <c r="D79" i="1"/>
  <c r="E79" i="1" s="1"/>
  <c r="F105" i="8"/>
  <c r="Q105" i="8" s="1"/>
  <c r="E120" i="12"/>
  <c r="P120" i="12" s="1"/>
  <c r="J32" i="14" a="1"/>
  <c r="J32" i="14" s="1"/>
  <c r="D75" i="12"/>
  <c r="E75" i="12" s="1"/>
  <c r="G75" i="12"/>
  <c r="F75" i="12"/>
  <c r="F120" i="12"/>
  <c r="Q120" i="12" s="1"/>
  <c r="K32" i="14" a="1"/>
  <c r="K32" i="14" s="1"/>
  <c r="D138" i="8"/>
  <c r="H105" i="8"/>
  <c r="G120" i="12"/>
  <c r="K5" i="14" a="1"/>
  <c r="K5" i="14" s="1"/>
  <c r="E138" i="8"/>
  <c r="C78" i="1"/>
  <c r="H120" i="12"/>
  <c r="L4" i="13" a="1"/>
  <c r="L4" i="13" s="1"/>
  <c r="J105" i="8"/>
  <c r="M105" i="8" s="1"/>
  <c r="S105" i="8" s="1"/>
  <c r="F83" i="12"/>
  <c r="G83" i="12"/>
  <c r="K4" i="13" a="1"/>
  <c r="K4" i="13" s="1"/>
  <c r="K37" i="1" a="1"/>
  <c r="K37" i="1" s="1"/>
  <c r="E182" i="8"/>
  <c r="D156" i="8"/>
  <c r="E156" i="8"/>
  <c r="H106" i="8"/>
  <c r="G106" i="8"/>
  <c r="F106" i="8"/>
  <c r="Q106" i="8" s="1"/>
  <c r="J106" i="8"/>
  <c r="M106" i="8" s="1"/>
  <c r="S106" i="8" s="1"/>
  <c r="E106" i="8"/>
  <c r="P106" i="8" s="1"/>
  <c r="I106" i="8"/>
  <c r="L106" i="8" s="1"/>
  <c r="R106" i="8" s="1"/>
  <c r="O106" i="8"/>
  <c r="K106" i="8"/>
  <c r="N106" i="8" s="1"/>
  <c r="H104" i="8"/>
  <c r="G104" i="8"/>
  <c r="F104" i="8"/>
  <c r="Q104" i="8" s="1"/>
  <c r="E104" i="8"/>
  <c r="P104" i="8" s="1"/>
  <c r="O104" i="8"/>
  <c r="J104" i="8"/>
  <c r="M104" i="8" s="1"/>
  <c r="S104" i="8" s="1"/>
  <c r="I104" i="8"/>
  <c r="L104" i="8" s="1"/>
  <c r="R104" i="8" s="1"/>
  <c r="K104" i="8"/>
  <c r="N104" i="8" s="1"/>
  <c r="E108" i="12"/>
  <c r="P108" i="12" s="1"/>
  <c r="O108" i="12"/>
  <c r="F108" i="12"/>
  <c r="Q108" i="12" s="1"/>
  <c r="K108" i="12"/>
  <c r="N108" i="12" s="1"/>
  <c r="J108" i="12"/>
  <c r="M108" i="12" s="1"/>
  <c r="S108" i="12" s="1"/>
  <c r="G108" i="12"/>
  <c r="I108" i="12"/>
  <c r="L108" i="12" s="1"/>
  <c r="R108" i="12" s="1"/>
  <c r="H108" i="12"/>
  <c r="C94" i="1"/>
  <c r="D94" i="1" s="1"/>
  <c r="G94" i="1"/>
  <c r="F94" i="1"/>
  <c r="Q94" i="1" s="1"/>
  <c r="E143" i="8"/>
  <c r="D143" i="8"/>
  <c r="F143" i="8"/>
  <c r="E107" i="12"/>
  <c r="P107" i="12" s="1"/>
  <c r="O107" i="12"/>
  <c r="K107" i="12"/>
  <c r="N107" i="12" s="1"/>
  <c r="J107" i="12"/>
  <c r="M107" i="12" s="1"/>
  <c r="S107" i="12" s="1"/>
  <c r="I107" i="12"/>
  <c r="L107" i="12" s="1"/>
  <c r="R107" i="12" s="1"/>
  <c r="G107" i="12"/>
  <c r="F107" i="12"/>
  <c r="Q107" i="12" s="1"/>
  <c r="H107" i="12"/>
  <c r="AC106" i="17"/>
  <c r="AA106" i="17"/>
  <c r="C88" i="1"/>
  <c r="D88" i="1" s="1"/>
  <c r="G88" i="1"/>
  <c r="F88" i="1"/>
  <c r="Q88" i="1" s="1"/>
  <c r="J124" i="6"/>
  <c r="M124" i="6" s="1"/>
  <c r="S124" i="6" s="1"/>
  <c r="I124" i="6"/>
  <c r="L124" i="6" s="1"/>
  <c r="R124" i="6" s="1"/>
  <c r="H124" i="6"/>
  <c r="G124" i="6"/>
  <c r="F124" i="6"/>
  <c r="Q124" i="6" s="1"/>
  <c r="E124" i="6"/>
  <c r="P124" i="6" s="1"/>
  <c r="K124" i="6"/>
  <c r="N124" i="6" s="1"/>
  <c r="O124" i="6"/>
  <c r="O109" i="6"/>
  <c r="F109" i="6"/>
  <c r="Q109" i="6" s="1"/>
  <c r="K109" i="6"/>
  <c r="N109" i="6" s="1"/>
  <c r="J109" i="6"/>
  <c r="M109" i="6" s="1"/>
  <c r="S109" i="6" s="1"/>
  <c r="E109" i="6"/>
  <c r="P109" i="6" s="1"/>
  <c r="I109" i="6"/>
  <c r="L109" i="6" s="1"/>
  <c r="R109" i="6" s="1"/>
  <c r="H109" i="6"/>
  <c r="G109" i="6"/>
  <c r="K105" i="8"/>
  <c r="N105" i="8" s="1"/>
  <c r="J122" i="6"/>
  <c r="M122" i="6" s="1"/>
  <c r="S122" i="6" s="1"/>
  <c r="I122" i="6"/>
  <c r="L122" i="6" s="1"/>
  <c r="R122" i="6" s="1"/>
  <c r="H122" i="6"/>
  <c r="G122" i="6"/>
  <c r="F122" i="6"/>
  <c r="Q122" i="6" s="1"/>
  <c r="E122" i="6"/>
  <c r="P122" i="6" s="1"/>
  <c r="O122" i="6"/>
  <c r="K112" i="17"/>
  <c r="N112" i="17" s="1"/>
  <c r="AD93" i="17"/>
  <c r="F183" i="8"/>
  <c r="D183" i="8"/>
  <c r="C92" i="1"/>
  <c r="D92" i="1" s="1"/>
  <c r="E92" i="1" s="1"/>
  <c r="P92" i="1" s="1"/>
  <c r="G92" i="1"/>
  <c r="F92" i="1"/>
  <c r="Q92" i="1" s="1"/>
  <c r="K117" i="12"/>
  <c r="N117" i="12" s="1"/>
  <c r="J117" i="12"/>
  <c r="M117" i="12" s="1"/>
  <c r="S117" i="12" s="1"/>
  <c r="I117" i="12"/>
  <c r="L117" i="12" s="1"/>
  <c r="R117" i="12" s="1"/>
  <c r="H117" i="12"/>
  <c r="G117" i="12"/>
  <c r="F117" i="12"/>
  <c r="Q117" i="12" s="1"/>
  <c r="E117" i="12"/>
  <c r="P117" i="12" s="1"/>
  <c r="O117" i="12"/>
  <c r="E105" i="12"/>
  <c r="P105" i="12" s="1"/>
  <c r="O105" i="12"/>
  <c r="G105" i="12"/>
  <c r="J105" i="12"/>
  <c r="M105" i="12" s="1"/>
  <c r="S105" i="12" s="1"/>
  <c r="I105" i="12"/>
  <c r="L105" i="12" s="1"/>
  <c r="R105" i="12" s="1"/>
  <c r="F105" i="12"/>
  <c r="Q105" i="12" s="1"/>
  <c r="H105" i="12"/>
  <c r="G77" i="12"/>
  <c r="F77" i="12"/>
  <c r="D77" i="12"/>
  <c r="E77" i="12" s="1"/>
  <c r="AC100" i="17"/>
  <c r="AA100" i="17"/>
  <c r="AD100" i="17" s="1"/>
  <c r="AC91" i="8"/>
  <c r="AA91" i="8"/>
  <c r="AD91" i="8" s="1"/>
  <c r="O121" i="12"/>
  <c r="K121" i="12"/>
  <c r="N121" i="12" s="1"/>
  <c r="J121" i="12"/>
  <c r="M121" i="12" s="1"/>
  <c r="S121" i="12" s="1"/>
  <c r="I121" i="12"/>
  <c r="L121" i="12" s="1"/>
  <c r="R121" i="12" s="1"/>
  <c r="H121" i="12"/>
  <c r="G121" i="12"/>
  <c r="F121" i="12"/>
  <c r="Q121" i="12" s="1"/>
  <c r="E121" i="12"/>
  <c r="P121" i="12" s="1"/>
  <c r="AC95" i="17"/>
  <c r="AA95" i="17"/>
  <c r="C101" i="8"/>
  <c r="D101" i="8" s="1"/>
  <c r="AC77" i="12"/>
  <c r="AA77" i="12"/>
  <c r="AC107" i="17"/>
  <c r="AA107" i="17"/>
  <c r="G101" i="6"/>
  <c r="F101" i="6"/>
  <c r="D101" i="6"/>
  <c r="E101" i="6" s="1"/>
  <c r="J118" i="6"/>
  <c r="M118" i="6" s="1"/>
  <c r="S118" i="6" s="1"/>
  <c r="I118" i="6"/>
  <c r="L118" i="6" s="1"/>
  <c r="R118" i="6" s="1"/>
  <c r="H118" i="6"/>
  <c r="G118" i="6"/>
  <c r="F118" i="6"/>
  <c r="Q118" i="6" s="1"/>
  <c r="E118" i="6"/>
  <c r="P118" i="6" s="1"/>
  <c r="O118" i="6"/>
  <c r="K118" i="6"/>
  <c r="N118" i="6" s="1"/>
  <c r="J128" i="6"/>
  <c r="M128" i="6" s="1"/>
  <c r="S128" i="6" s="1"/>
  <c r="I128" i="6"/>
  <c r="L128" i="6" s="1"/>
  <c r="R128" i="6" s="1"/>
  <c r="H128" i="6"/>
  <c r="G128" i="6"/>
  <c r="F128" i="6"/>
  <c r="Q128" i="6" s="1"/>
  <c r="E128" i="6"/>
  <c r="P128" i="6" s="1"/>
  <c r="K128" i="6"/>
  <c r="N128" i="6" s="1"/>
  <c r="O128" i="6"/>
  <c r="L61" i="6" a="1"/>
  <c r="L61" i="6" s="1"/>
  <c r="AC82" i="12"/>
  <c r="AA82" i="12"/>
  <c r="AD82" i="12" s="1"/>
  <c r="AA99" i="6"/>
  <c r="AD99" i="6" s="1"/>
  <c r="AC99" i="6"/>
  <c r="C91" i="1"/>
  <c r="D91" i="1" s="1"/>
  <c r="G91" i="1"/>
  <c r="F91" i="1"/>
  <c r="Q91" i="1" s="1"/>
  <c r="F76" i="12"/>
  <c r="G76" i="12"/>
  <c r="D76" i="12"/>
  <c r="E76" i="12" s="1"/>
  <c r="D177" i="8"/>
  <c r="E177" i="8" s="1"/>
  <c r="F177" i="8"/>
  <c r="E134" i="8"/>
  <c r="D134" i="8"/>
  <c r="F134" i="8"/>
  <c r="F116" i="12"/>
  <c r="Q116" i="12" s="1"/>
  <c r="E116" i="12"/>
  <c r="P116" i="12" s="1"/>
  <c r="O116" i="12"/>
  <c r="K116" i="12"/>
  <c r="N116" i="12" s="1"/>
  <c r="J116" i="12"/>
  <c r="M116" i="12" s="1"/>
  <c r="S116" i="12" s="1"/>
  <c r="G116" i="12"/>
  <c r="I116" i="12"/>
  <c r="L116" i="12" s="1"/>
  <c r="R116" i="12" s="1"/>
  <c r="H116" i="12"/>
  <c r="E104" i="12"/>
  <c r="P104" i="12" s="1"/>
  <c r="O104" i="12"/>
  <c r="K104" i="12"/>
  <c r="N104" i="12" s="1"/>
  <c r="J104" i="12"/>
  <c r="M104" i="12" s="1"/>
  <c r="S104" i="12" s="1"/>
  <c r="F104" i="12"/>
  <c r="Q104" i="12" s="1"/>
  <c r="I104" i="12"/>
  <c r="L104" i="12" s="1"/>
  <c r="R104" i="12" s="1"/>
  <c r="G104" i="12"/>
  <c r="H104" i="12"/>
  <c r="AC94" i="17"/>
  <c r="AA94" i="17"/>
  <c r="K119" i="12"/>
  <c r="N119" i="12" s="1"/>
  <c r="J119" i="12"/>
  <c r="M119" i="12" s="1"/>
  <c r="S119" i="12" s="1"/>
  <c r="I119" i="12"/>
  <c r="L119" i="12" s="1"/>
  <c r="R119" i="12" s="1"/>
  <c r="H119" i="12"/>
  <c r="G119" i="12"/>
  <c r="F119" i="12"/>
  <c r="Q119" i="12" s="1"/>
  <c r="E119" i="12"/>
  <c r="P119" i="12" s="1"/>
  <c r="O119" i="12"/>
  <c r="G4" i="8"/>
  <c r="F4" i="8"/>
  <c r="E4" i="8"/>
  <c r="AC106" i="6"/>
  <c r="AA106" i="6"/>
  <c r="AD106" i="6" s="1"/>
  <c r="AC105" i="17"/>
  <c r="AA105" i="17"/>
  <c r="AD105" i="17" s="1"/>
  <c r="AC85" i="8"/>
  <c r="AA85" i="8"/>
  <c r="F113" i="6"/>
  <c r="Q113" i="6" s="1"/>
  <c r="O113" i="6"/>
  <c r="E113" i="6"/>
  <c r="P113" i="6" s="1"/>
  <c r="K113" i="6"/>
  <c r="N113" i="6" s="1"/>
  <c r="J113" i="6"/>
  <c r="M113" i="6" s="1"/>
  <c r="S113" i="6" s="1"/>
  <c r="I113" i="6"/>
  <c r="L113" i="6" s="1"/>
  <c r="R113" i="6" s="1"/>
  <c r="H113" i="6"/>
  <c r="G113" i="6"/>
  <c r="J120" i="6"/>
  <c r="M120" i="6" s="1"/>
  <c r="S120" i="6" s="1"/>
  <c r="I120" i="6"/>
  <c r="L120" i="6" s="1"/>
  <c r="R120" i="6" s="1"/>
  <c r="H120" i="6"/>
  <c r="G120" i="6"/>
  <c r="F120" i="6"/>
  <c r="Q120" i="6" s="1"/>
  <c r="K120" i="6"/>
  <c r="N120" i="6" s="1"/>
  <c r="E120" i="6"/>
  <c r="P120" i="6" s="1"/>
  <c r="O120" i="6"/>
  <c r="O127" i="6"/>
  <c r="F127" i="6"/>
  <c r="Q127" i="6" s="1"/>
  <c r="E127" i="6"/>
  <c r="P127" i="6" s="1"/>
  <c r="K127" i="6"/>
  <c r="N127" i="6" s="1"/>
  <c r="J127" i="6"/>
  <c r="M127" i="6" s="1"/>
  <c r="S127" i="6" s="1"/>
  <c r="I127" i="6"/>
  <c r="L127" i="6" s="1"/>
  <c r="R127" i="6" s="1"/>
  <c r="H127" i="6"/>
  <c r="G127" i="6"/>
  <c r="G95" i="1"/>
  <c r="F95" i="1"/>
  <c r="Q95" i="1" s="1"/>
  <c r="C95" i="1"/>
  <c r="D95" i="1" s="1"/>
  <c r="E95" i="1" s="1"/>
  <c r="P95" i="1" s="1"/>
  <c r="D174" i="8"/>
  <c r="E174" i="8" s="1"/>
  <c r="F174" i="8"/>
  <c r="AC94" i="6"/>
  <c r="AA94" i="6"/>
  <c r="AD94" i="6" s="1"/>
  <c r="O111" i="6"/>
  <c r="F111" i="6"/>
  <c r="Q111" i="6" s="1"/>
  <c r="K111" i="6"/>
  <c r="N111" i="6" s="1"/>
  <c r="J111" i="6"/>
  <c r="M111" i="6" s="1"/>
  <c r="S111" i="6" s="1"/>
  <c r="E111" i="6"/>
  <c r="P111" i="6" s="1"/>
  <c r="I111" i="6"/>
  <c r="L111" i="6" s="1"/>
  <c r="R111" i="6" s="1"/>
  <c r="H111" i="6"/>
  <c r="G111" i="6"/>
  <c r="G99" i="6"/>
  <c r="F99" i="6"/>
  <c r="D99" i="6"/>
  <c r="E99" i="6" s="1"/>
  <c r="G96" i="6"/>
  <c r="F96" i="6"/>
  <c r="D96" i="6"/>
  <c r="E96" i="6" s="1"/>
  <c r="L37" i="1" a="1"/>
  <c r="L37" i="1" s="1"/>
  <c r="AC76" i="12"/>
  <c r="AA76" i="12"/>
  <c r="AD76" i="12" s="1"/>
  <c r="E123" i="12"/>
  <c r="P123" i="12" s="1"/>
  <c r="F123" i="12"/>
  <c r="Q123" i="12" s="1"/>
  <c r="O123" i="12"/>
  <c r="K123" i="12"/>
  <c r="N123" i="12" s="1"/>
  <c r="J123" i="12"/>
  <c r="M123" i="12" s="1"/>
  <c r="S123" i="12" s="1"/>
  <c r="I123" i="12"/>
  <c r="L123" i="12" s="1"/>
  <c r="R123" i="12" s="1"/>
  <c r="G123" i="12"/>
  <c r="H123" i="12"/>
  <c r="L35" i="13" a="1"/>
  <c r="L35" i="13" s="1"/>
  <c r="K35" i="13" a="1"/>
  <c r="K35" i="13" s="1"/>
  <c r="J35" i="13" a="1"/>
  <c r="J35" i="13" s="1"/>
  <c r="D171" i="8"/>
  <c r="E171" i="8" s="1"/>
  <c r="F171" i="8"/>
  <c r="AC100" i="6"/>
  <c r="AA100" i="6"/>
  <c r="AD100" i="6" s="1"/>
  <c r="AC97" i="17"/>
  <c r="AA97" i="17"/>
  <c r="AD97" i="17" s="1"/>
  <c r="G100" i="6"/>
  <c r="F100" i="6"/>
  <c r="D100" i="6"/>
  <c r="E100" i="6" s="1"/>
  <c r="D103" i="6"/>
  <c r="E103" i="6" s="1"/>
  <c r="G103" i="6"/>
  <c r="F103" i="6"/>
  <c r="J112" i="6"/>
  <c r="M112" i="6" s="1"/>
  <c r="S112" i="6" s="1"/>
  <c r="I112" i="6"/>
  <c r="L112" i="6" s="1"/>
  <c r="R112" i="6" s="1"/>
  <c r="H112" i="6"/>
  <c r="G112" i="6"/>
  <c r="F112" i="6"/>
  <c r="Q112" i="6" s="1"/>
  <c r="E112" i="6"/>
  <c r="P112" i="6" s="1"/>
  <c r="O112" i="6"/>
  <c r="K112" i="6"/>
  <c r="N112" i="6" s="1"/>
  <c r="AC108" i="17"/>
  <c r="AA108" i="17"/>
  <c r="C100" i="8"/>
  <c r="D100" i="8" s="1"/>
  <c r="D93" i="6"/>
  <c r="E93" i="6" s="1"/>
  <c r="G93" i="6"/>
  <c r="F93" i="6"/>
  <c r="J126" i="6"/>
  <c r="M126" i="6" s="1"/>
  <c r="S126" i="6" s="1"/>
  <c r="I126" i="6"/>
  <c r="L126" i="6" s="1"/>
  <c r="R126" i="6" s="1"/>
  <c r="H126" i="6"/>
  <c r="G126" i="6"/>
  <c r="F126" i="6"/>
  <c r="Q126" i="6" s="1"/>
  <c r="E126" i="6"/>
  <c r="P126" i="6" s="1"/>
  <c r="O126" i="6"/>
  <c r="K126" i="6"/>
  <c r="N126" i="6" s="1"/>
  <c r="D180" i="8"/>
  <c r="E180" i="8" s="1"/>
  <c r="F180" i="8"/>
  <c r="G81" i="12"/>
  <c r="F81" i="12"/>
  <c r="D81" i="12"/>
  <c r="E81" i="12" s="1"/>
  <c r="B111" i="8"/>
  <c r="B109" i="8"/>
  <c r="B107" i="8"/>
  <c r="B105" i="8"/>
  <c r="G86" i="8"/>
  <c r="G87" i="8"/>
  <c r="G92" i="8"/>
  <c r="G96" i="8"/>
  <c r="G88" i="8"/>
  <c r="G82" i="8"/>
  <c r="B110" i="8"/>
  <c r="G85" i="8"/>
  <c r="G95" i="8"/>
  <c r="G89" i="8"/>
  <c r="B106" i="8"/>
  <c r="G90" i="8"/>
  <c r="G91" i="8"/>
  <c r="B112" i="8"/>
  <c r="B108" i="8"/>
  <c r="G93" i="8"/>
  <c r="G94" i="8"/>
  <c r="G84" i="8"/>
  <c r="G83" i="8"/>
  <c r="K4" i="6" a="1"/>
  <c r="K4" i="6" s="1"/>
  <c r="O117" i="6"/>
  <c r="E117" i="6"/>
  <c r="P117" i="6" s="1"/>
  <c r="K117" i="6"/>
  <c r="N117" i="6" s="1"/>
  <c r="J117" i="6"/>
  <c r="M117" i="6" s="1"/>
  <c r="S117" i="6" s="1"/>
  <c r="I117" i="6"/>
  <c r="L117" i="6" s="1"/>
  <c r="R117" i="6" s="1"/>
  <c r="F117" i="6"/>
  <c r="Q117" i="6" s="1"/>
  <c r="H117" i="6"/>
  <c r="G117" i="6"/>
  <c r="G98" i="6"/>
  <c r="F98" i="6"/>
  <c r="D98" i="6"/>
  <c r="E98" i="6" s="1"/>
  <c r="D102" i="6"/>
  <c r="E102" i="6" s="1"/>
  <c r="G102" i="6"/>
  <c r="F102" i="6"/>
  <c r="K120" i="12"/>
  <c r="N120" i="12" s="1"/>
  <c r="E106" i="12"/>
  <c r="P106" i="12" s="1"/>
  <c r="F106" i="12"/>
  <c r="Q106" i="12" s="1"/>
  <c r="O106" i="12"/>
  <c r="K106" i="12"/>
  <c r="N106" i="12" s="1"/>
  <c r="J106" i="12"/>
  <c r="M106" i="12" s="1"/>
  <c r="S106" i="12" s="1"/>
  <c r="G106" i="12"/>
  <c r="I106" i="12"/>
  <c r="L106" i="12" s="1"/>
  <c r="R106" i="12" s="1"/>
  <c r="H106" i="12"/>
  <c r="D86" i="12"/>
  <c r="E86" i="12" s="1"/>
  <c r="F86" i="12"/>
  <c r="G86" i="12"/>
  <c r="E103" i="12"/>
  <c r="P103" i="12" s="1"/>
  <c r="O103" i="12"/>
  <c r="K103" i="12"/>
  <c r="N103" i="12" s="1"/>
  <c r="J103" i="12"/>
  <c r="M103" i="12" s="1"/>
  <c r="S103" i="12" s="1"/>
  <c r="G103" i="12"/>
  <c r="I103" i="12"/>
  <c r="L103" i="12" s="1"/>
  <c r="R103" i="12" s="1"/>
  <c r="F103" i="12"/>
  <c r="Q103" i="12" s="1"/>
  <c r="H103" i="12"/>
  <c r="E95" i="12"/>
  <c r="P95" i="12" s="1"/>
  <c r="O95" i="12"/>
  <c r="F95" i="12"/>
  <c r="Q95" i="12" s="1"/>
  <c r="K95" i="12"/>
  <c r="N95" i="12" s="1"/>
  <c r="J95" i="12"/>
  <c r="M95" i="12" s="1"/>
  <c r="S95" i="12" s="1"/>
  <c r="I95" i="12"/>
  <c r="L95" i="12" s="1"/>
  <c r="R95" i="12" s="1"/>
  <c r="G95" i="12"/>
  <c r="H95" i="12"/>
  <c r="E113" i="12"/>
  <c r="P113" i="12" s="1"/>
  <c r="O113" i="12"/>
  <c r="F113" i="12"/>
  <c r="Q113" i="12" s="1"/>
  <c r="K113" i="12"/>
  <c r="N113" i="12" s="1"/>
  <c r="J113" i="12"/>
  <c r="M113" i="12" s="1"/>
  <c r="S113" i="12" s="1"/>
  <c r="G113" i="12"/>
  <c r="I113" i="12"/>
  <c r="L113" i="12" s="1"/>
  <c r="R113" i="12" s="1"/>
  <c r="H113" i="12"/>
  <c r="C7" i="12"/>
  <c r="G6" i="12"/>
  <c r="F6" i="12"/>
  <c r="E6" i="12"/>
  <c r="D6" i="12"/>
  <c r="AC91" i="17"/>
  <c r="J110" i="17"/>
  <c r="M110" i="17" s="1"/>
  <c r="S110" i="17" s="1"/>
  <c r="AA91" i="17"/>
  <c r="O123" i="6"/>
  <c r="F123" i="6"/>
  <c r="Q123" i="6" s="1"/>
  <c r="E123" i="6"/>
  <c r="P123" i="6" s="1"/>
  <c r="K123" i="6"/>
  <c r="N123" i="6" s="1"/>
  <c r="J123" i="6"/>
  <c r="M123" i="6" s="1"/>
  <c r="S123" i="6" s="1"/>
  <c r="I123" i="6"/>
  <c r="L123" i="6" s="1"/>
  <c r="R123" i="6" s="1"/>
  <c r="H123" i="6"/>
  <c r="G123" i="6"/>
  <c r="G95" i="6"/>
  <c r="F95" i="6"/>
  <c r="D95" i="6"/>
  <c r="E95" i="6" s="1"/>
  <c r="J113" i="17"/>
  <c r="M113" i="17" s="1"/>
  <c r="S113" i="17" s="1"/>
  <c r="AC90" i="12"/>
  <c r="AA90" i="12"/>
  <c r="AD90" i="12" s="1"/>
  <c r="G74" i="12"/>
  <c r="F74" i="12"/>
  <c r="D74" i="12"/>
  <c r="E74" i="12" s="1"/>
  <c r="F114" i="12"/>
  <c r="Q114" i="12" s="1"/>
  <c r="E114" i="12"/>
  <c r="P114" i="12" s="1"/>
  <c r="G114" i="12"/>
  <c r="O114" i="12"/>
  <c r="K114" i="12"/>
  <c r="N114" i="12" s="1"/>
  <c r="H114" i="12"/>
  <c r="J114" i="12"/>
  <c r="M114" i="12" s="1"/>
  <c r="S114" i="12" s="1"/>
  <c r="I114" i="12"/>
  <c r="L114" i="12" s="1"/>
  <c r="R114" i="12" s="1"/>
  <c r="E93" i="12"/>
  <c r="P93" i="12" s="1"/>
  <c r="O93" i="12"/>
  <c r="F93" i="12"/>
  <c r="Q93" i="12" s="1"/>
  <c r="K93" i="12"/>
  <c r="N93" i="12" s="1"/>
  <c r="J93" i="12"/>
  <c r="M93" i="12" s="1"/>
  <c r="S93" i="12" s="1"/>
  <c r="I93" i="12"/>
  <c r="L93" i="12" s="1"/>
  <c r="R93" i="12" s="1"/>
  <c r="G93" i="12"/>
  <c r="H93" i="12"/>
  <c r="G70" i="1"/>
  <c r="C69" i="1"/>
  <c r="F70" i="1"/>
  <c r="D70" i="1"/>
  <c r="E101" i="12"/>
  <c r="P101" i="12" s="1"/>
  <c r="O101" i="12"/>
  <c r="K101" i="12"/>
  <c r="N101" i="12" s="1"/>
  <c r="J101" i="12"/>
  <c r="M101" i="12" s="1"/>
  <c r="S101" i="12" s="1"/>
  <c r="G101" i="12"/>
  <c r="I101" i="12"/>
  <c r="L101" i="12" s="1"/>
  <c r="R101" i="12" s="1"/>
  <c r="H101" i="12"/>
  <c r="F101" i="12"/>
  <c r="Q101" i="12" s="1"/>
  <c r="E112" i="12"/>
  <c r="P112" i="12" s="1"/>
  <c r="O112" i="12"/>
  <c r="F112" i="12"/>
  <c r="Q112" i="12" s="1"/>
  <c r="K112" i="12"/>
  <c r="N112" i="12" s="1"/>
  <c r="J112" i="12"/>
  <c r="M112" i="12" s="1"/>
  <c r="S112" i="12" s="1"/>
  <c r="G112" i="12"/>
  <c r="I112" i="12"/>
  <c r="L112" i="12" s="1"/>
  <c r="R112" i="12" s="1"/>
  <c r="H112" i="12"/>
  <c r="C70" i="1"/>
  <c r="G71" i="1"/>
  <c r="F71" i="1"/>
  <c r="D71" i="1"/>
  <c r="E71" i="1" s="1"/>
  <c r="I52" i="8" a="1"/>
  <c r="I52" i="8" s="1"/>
  <c r="E155" i="8"/>
  <c r="D155" i="8"/>
  <c r="F155" i="8"/>
  <c r="E111" i="12"/>
  <c r="P111" i="12" s="1"/>
  <c r="O111" i="12"/>
  <c r="K111" i="12"/>
  <c r="N111" i="12" s="1"/>
  <c r="J111" i="12"/>
  <c r="M111" i="12" s="1"/>
  <c r="S111" i="12" s="1"/>
  <c r="G111" i="12"/>
  <c r="F111" i="12"/>
  <c r="Q111" i="12" s="1"/>
  <c r="I111" i="12"/>
  <c r="L111" i="12" s="1"/>
  <c r="R111" i="12" s="1"/>
  <c r="H111" i="12"/>
  <c r="E99" i="12"/>
  <c r="P99" i="12" s="1"/>
  <c r="O99" i="12"/>
  <c r="F99" i="12"/>
  <c r="Q99" i="12" s="1"/>
  <c r="K99" i="12"/>
  <c r="N99" i="12" s="1"/>
  <c r="J99" i="12"/>
  <c r="M99" i="12" s="1"/>
  <c r="S99" i="12" s="1"/>
  <c r="G99" i="12"/>
  <c r="I99" i="12"/>
  <c r="L99" i="12" s="1"/>
  <c r="R99" i="12" s="1"/>
  <c r="H99" i="12"/>
  <c r="AC84" i="12"/>
  <c r="AA84" i="12"/>
  <c r="AD84" i="12" s="1"/>
  <c r="J118" i="17"/>
  <c r="M118" i="17" s="1"/>
  <c r="S118" i="17" s="1"/>
  <c r="E165" i="8"/>
  <c r="C7" i="1"/>
  <c r="G6" i="1"/>
  <c r="D6" i="1"/>
  <c r="D92" i="6"/>
  <c r="E92" i="6" s="1"/>
  <c r="F92" i="6"/>
  <c r="G92" i="6"/>
  <c r="F94" i="6"/>
  <c r="D94" i="6"/>
  <c r="E94" i="6" s="1"/>
  <c r="G94" i="6"/>
  <c r="O119" i="6"/>
  <c r="F119" i="6"/>
  <c r="Q119" i="6" s="1"/>
  <c r="J119" i="6"/>
  <c r="M119" i="6" s="1"/>
  <c r="S119" i="6" s="1"/>
  <c r="E119" i="6"/>
  <c r="P119" i="6" s="1"/>
  <c r="I119" i="6"/>
  <c r="L119" i="6" s="1"/>
  <c r="R119" i="6" s="1"/>
  <c r="H119" i="6"/>
  <c r="G119" i="6"/>
  <c r="E146" i="8"/>
  <c r="D146" i="8"/>
  <c r="F146" i="8"/>
  <c r="E140" i="8"/>
  <c r="D140" i="8"/>
  <c r="F140" i="8"/>
  <c r="AC104" i="17"/>
  <c r="AA104" i="17"/>
  <c r="AD104" i="17" s="1"/>
  <c r="AC101" i="17"/>
  <c r="AA101" i="17"/>
  <c r="AD101" i="17" s="1"/>
  <c r="E92" i="12"/>
  <c r="P92" i="12" s="1"/>
  <c r="O92" i="12"/>
  <c r="F92" i="12"/>
  <c r="Q92" i="12" s="1"/>
  <c r="K92" i="12"/>
  <c r="N92" i="12" s="1"/>
  <c r="J92" i="12"/>
  <c r="M92" i="12" s="1"/>
  <c r="S92" i="12" s="1"/>
  <c r="I92" i="12"/>
  <c r="L92" i="12" s="1"/>
  <c r="R92" i="12" s="1"/>
  <c r="H92" i="12"/>
  <c r="G92" i="12"/>
  <c r="C90" i="1"/>
  <c r="D90" i="1" s="1"/>
  <c r="E90" i="1" s="1"/>
  <c r="P90" i="1" s="1"/>
  <c r="G90" i="1"/>
  <c r="F90" i="1"/>
  <c r="Q90" i="1" s="1"/>
  <c r="K115" i="12"/>
  <c r="N115" i="12" s="1"/>
  <c r="J115" i="12"/>
  <c r="M115" i="12" s="1"/>
  <c r="S115" i="12" s="1"/>
  <c r="I115" i="12"/>
  <c r="L115" i="12" s="1"/>
  <c r="R115" i="12" s="1"/>
  <c r="H115" i="12"/>
  <c r="G115" i="12"/>
  <c r="F115" i="12"/>
  <c r="Q115" i="12" s="1"/>
  <c r="E115" i="12"/>
  <c r="P115" i="12" s="1"/>
  <c r="O115" i="12"/>
  <c r="C87" i="1"/>
  <c r="D87" i="1" s="1"/>
  <c r="E87" i="1" s="1"/>
  <c r="P87" i="1" s="1"/>
  <c r="G87" i="1"/>
  <c r="F87" i="1"/>
  <c r="Q87" i="1" s="1"/>
  <c r="AC102" i="6"/>
  <c r="AA102" i="6"/>
  <c r="AD102" i="6" s="1"/>
  <c r="AC103" i="17"/>
  <c r="AA103" i="17"/>
  <c r="AD103" i="17" s="1"/>
  <c r="C89" i="1"/>
  <c r="D89" i="1" s="1"/>
  <c r="G89" i="1"/>
  <c r="F89" i="1"/>
  <c r="Q89" i="1" s="1"/>
  <c r="AC88" i="12"/>
  <c r="AA88" i="12"/>
  <c r="AD88" i="12" s="1"/>
  <c r="AA93" i="8"/>
  <c r="AD93" i="8" s="1"/>
  <c r="AC93" i="8"/>
  <c r="J109" i="17"/>
  <c r="M109" i="17" s="1"/>
  <c r="S109" i="17" s="1"/>
  <c r="E158" i="8"/>
  <c r="D158" i="8"/>
  <c r="F158" i="8"/>
  <c r="E100" i="12"/>
  <c r="P100" i="12" s="1"/>
  <c r="F100" i="12"/>
  <c r="Q100" i="12" s="1"/>
  <c r="O100" i="12"/>
  <c r="K100" i="12"/>
  <c r="N100" i="12" s="1"/>
  <c r="J100" i="12"/>
  <c r="M100" i="12" s="1"/>
  <c r="S100" i="12" s="1"/>
  <c r="I100" i="12"/>
  <c r="L100" i="12" s="1"/>
  <c r="R100" i="12" s="1"/>
  <c r="G100" i="12"/>
  <c r="H100" i="12"/>
  <c r="E152" i="8"/>
  <c r="D152" i="8"/>
  <c r="F152" i="8"/>
  <c r="E110" i="12"/>
  <c r="P110" i="12" s="1"/>
  <c r="O110" i="12"/>
  <c r="F110" i="12"/>
  <c r="Q110" i="12" s="1"/>
  <c r="G110" i="12"/>
  <c r="J110" i="12"/>
  <c r="M110" i="12" s="1"/>
  <c r="S110" i="12" s="1"/>
  <c r="I110" i="12"/>
  <c r="L110" i="12" s="1"/>
  <c r="R110" i="12" s="1"/>
  <c r="H110" i="12"/>
  <c r="E98" i="12"/>
  <c r="P98" i="12" s="1"/>
  <c r="O98" i="12"/>
  <c r="K98" i="12"/>
  <c r="N98" i="12" s="1"/>
  <c r="J98" i="12"/>
  <c r="M98" i="12" s="1"/>
  <c r="S98" i="12" s="1"/>
  <c r="I98" i="12"/>
  <c r="L98" i="12" s="1"/>
  <c r="R98" i="12" s="1"/>
  <c r="F98" i="12"/>
  <c r="Q98" i="12" s="1"/>
  <c r="H98" i="12"/>
  <c r="G98" i="12"/>
  <c r="G82" i="12"/>
  <c r="F82" i="12"/>
  <c r="D82" i="12"/>
  <c r="E82" i="12" s="1"/>
  <c r="J3" i="17" a="1"/>
  <c r="J3" i="17" s="1"/>
  <c r="O110" i="6"/>
  <c r="F110" i="6"/>
  <c r="Q110" i="6" s="1"/>
  <c r="E110" i="6"/>
  <c r="P110" i="6" s="1"/>
  <c r="K110" i="6"/>
  <c r="N110" i="6" s="1"/>
  <c r="J110" i="6"/>
  <c r="M110" i="6" s="1"/>
  <c r="S110" i="6" s="1"/>
  <c r="I110" i="6"/>
  <c r="L110" i="6" s="1"/>
  <c r="R110" i="6" s="1"/>
  <c r="H110" i="6"/>
  <c r="G110" i="6"/>
  <c r="J114" i="6"/>
  <c r="M114" i="6" s="1"/>
  <c r="S114" i="6" s="1"/>
  <c r="I114" i="6"/>
  <c r="L114" i="6" s="1"/>
  <c r="R114" i="6" s="1"/>
  <c r="H114" i="6"/>
  <c r="K114" i="6"/>
  <c r="N114" i="6" s="1"/>
  <c r="G114" i="6"/>
  <c r="F114" i="6"/>
  <c r="Q114" i="6" s="1"/>
  <c r="E114" i="6"/>
  <c r="P114" i="6" s="1"/>
  <c r="O114" i="6"/>
  <c r="F121" i="6"/>
  <c r="Q121" i="6" s="1"/>
  <c r="O121" i="6"/>
  <c r="K121" i="6"/>
  <c r="N121" i="6" s="1"/>
  <c r="J121" i="6"/>
  <c r="M121" i="6" s="1"/>
  <c r="S121" i="6" s="1"/>
  <c r="E121" i="6"/>
  <c r="P121" i="6" s="1"/>
  <c r="I121" i="6"/>
  <c r="L121" i="6" s="1"/>
  <c r="R121" i="6" s="1"/>
  <c r="H121" i="6"/>
  <c r="G121" i="6"/>
  <c r="J107" i="8"/>
  <c r="M107" i="8" s="1"/>
  <c r="S107" i="8" s="1"/>
  <c r="J116" i="6"/>
  <c r="M116" i="6" s="1"/>
  <c r="S116" i="6" s="1"/>
  <c r="I116" i="6"/>
  <c r="L116" i="6" s="1"/>
  <c r="R116" i="6" s="1"/>
  <c r="H116" i="6"/>
  <c r="G116" i="6"/>
  <c r="F116" i="6"/>
  <c r="Q116" i="6" s="1"/>
  <c r="E116" i="6"/>
  <c r="P116" i="6" s="1"/>
  <c r="K116" i="6"/>
  <c r="N116" i="6" s="1"/>
  <c r="O116" i="6"/>
  <c r="G93" i="1"/>
  <c r="F93" i="1"/>
  <c r="Q93" i="1" s="1"/>
  <c r="C93" i="1"/>
  <c r="D93" i="1" s="1"/>
  <c r="F118" i="12"/>
  <c r="Q118" i="12" s="1"/>
  <c r="E118" i="12"/>
  <c r="P118" i="12" s="1"/>
  <c r="O118" i="12"/>
  <c r="K118" i="12"/>
  <c r="N118" i="12" s="1"/>
  <c r="H118" i="12"/>
  <c r="G118" i="12"/>
  <c r="J118" i="12"/>
  <c r="M118" i="12" s="1"/>
  <c r="S118" i="12" s="1"/>
  <c r="I118" i="12"/>
  <c r="L118" i="12" s="1"/>
  <c r="R118" i="12" s="1"/>
  <c r="O125" i="6"/>
  <c r="F125" i="6"/>
  <c r="Q125" i="6" s="1"/>
  <c r="K125" i="6"/>
  <c r="N125" i="6" s="1"/>
  <c r="J125" i="6"/>
  <c r="M125" i="6" s="1"/>
  <c r="S125" i="6" s="1"/>
  <c r="I125" i="6"/>
  <c r="L125" i="6" s="1"/>
  <c r="R125" i="6" s="1"/>
  <c r="H125" i="6"/>
  <c r="E125" i="6"/>
  <c r="P125" i="6" s="1"/>
  <c r="G125" i="6"/>
  <c r="E137" i="8"/>
  <c r="F137" i="8"/>
  <c r="D137" i="8"/>
  <c r="E102" i="12"/>
  <c r="P102" i="12" s="1"/>
  <c r="O102" i="12"/>
  <c r="F102" i="12"/>
  <c r="Q102" i="12" s="1"/>
  <c r="K102" i="12"/>
  <c r="N102" i="12" s="1"/>
  <c r="J102" i="12"/>
  <c r="M102" i="12" s="1"/>
  <c r="S102" i="12" s="1"/>
  <c r="I102" i="12"/>
  <c r="L102" i="12" s="1"/>
  <c r="R102" i="12" s="1"/>
  <c r="G102" i="12"/>
  <c r="H102" i="12"/>
  <c r="G78" i="12"/>
  <c r="F78" i="12"/>
  <c r="D78" i="12"/>
  <c r="E78" i="12" s="1"/>
  <c r="E149" i="8"/>
  <c r="D149" i="8"/>
  <c r="F149" i="8"/>
  <c r="E109" i="12"/>
  <c r="P109" i="12" s="1"/>
  <c r="G109" i="12"/>
  <c r="O109" i="12"/>
  <c r="F109" i="12"/>
  <c r="Q109" i="12" s="1"/>
  <c r="K109" i="12"/>
  <c r="N109" i="12" s="1"/>
  <c r="J109" i="12"/>
  <c r="M109" i="12" s="1"/>
  <c r="S109" i="12" s="1"/>
  <c r="I109" i="12"/>
  <c r="L109" i="12" s="1"/>
  <c r="R109" i="12" s="1"/>
  <c r="H109" i="12"/>
  <c r="E97" i="12"/>
  <c r="P97" i="12" s="1"/>
  <c r="O97" i="12"/>
  <c r="K97" i="12"/>
  <c r="N97" i="12" s="1"/>
  <c r="J97" i="12"/>
  <c r="M97" i="12" s="1"/>
  <c r="S97" i="12" s="1"/>
  <c r="I97" i="12"/>
  <c r="L97" i="12" s="1"/>
  <c r="R97" i="12" s="1"/>
  <c r="G97" i="12"/>
  <c r="H97" i="12"/>
  <c r="F97" i="12"/>
  <c r="Q97" i="12" s="1"/>
  <c r="G79" i="12"/>
  <c r="F79" i="12"/>
  <c r="D79" i="12"/>
  <c r="E79" i="12" s="1"/>
  <c r="I82" i="8" a="1"/>
  <c r="I82" i="8" s="1"/>
  <c r="E82" i="8"/>
  <c r="J82" i="8" s="1" a="1"/>
  <c r="J82" i="8" s="1"/>
  <c r="AC89" i="12"/>
  <c r="AA89" i="12"/>
  <c r="AD89" i="12" s="1"/>
  <c r="J116" i="17"/>
  <c r="M116" i="17" s="1"/>
  <c r="S116" i="17" s="1"/>
  <c r="J114" i="17"/>
  <c r="M114" i="17" s="1"/>
  <c r="S114" i="17" s="1"/>
  <c r="E5" i="1"/>
  <c r="F5" i="1"/>
  <c r="G97" i="6"/>
  <c r="F97" i="6"/>
  <c r="D97" i="6"/>
  <c r="E97" i="6" s="1"/>
  <c r="O115" i="6"/>
  <c r="F115" i="6"/>
  <c r="Q115" i="6" s="1"/>
  <c r="K115" i="6"/>
  <c r="N115" i="6" s="1"/>
  <c r="J115" i="6"/>
  <c r="M115" i="6" s="1"/>
  <c r="S115" i="6" s="1"/>
  <c r="I115" i="6"/>
  <c r="L115" i="6" s="1"/>
  <c r="R115" i="6" s="1"/>
  <c r="E115" i="6"/>
  <c r="P115" i="6" s="1"/>
  <c r="H115" i="6"/>
  <c r="G115" i="6"/>
  <c r="G91" i="6"/>
  <c r="F91" i="6"/>
  <c r="D91" i="6"/>
  <c r="K121" i="17"/>
  <c r="N121" i="17" s="1"/>
  <c r="J121" i="17"/>
  <c r="M121" i="17" s="1"/>
  <c r="S121" i="17" s="1"/>
  <c r="I121" i="17"/>
  <c r="L121" i="17" s="1"/>
  <c r="R121" i="17" s="1"/>
  <c r="H121" i="17"/>
  <c r="G121" i="17"/>
  <c r="F121" i="17"/>
  <c r="Q121" i="17" s="1"/>
  <c r="E121" i="17"/>
  <c r="P121" i="17" s="1"/>
  <c r="O121" i="17"/>
  <c r="G105" i="1" l="1"/>
  <c r="F103" i="1"/>
  <c r="Q103" i="1" s="1"/>
  <c r="C97" i="1"/>
  <c r="D97" i="1" s="1"/>
  <c r="E97" i="1" s="1"/>
  <c r="P97" i="1" s="1"/>
  <c r="G97" i="1"/>
  <c r="C105" i="1"/>
  <c r="D105" i="1" s="1"/>
  <c r="E105" i="1" s="1"/>
  <c r="P105" i="1" s="1"/>
  <c r="F99" i="1"/>
  <c r="Q99" i="1" s="1"/>
  <c r="G106" i="1"/>
  <c r="G98" i="1"/>
  <c r="C106" i="1"/>
  <c r="D106" i="1" s="1"/>
  <c r="J106" i="1" s="1"/>
  <c r="M106" i="1" s="1"/>
  <c r="S106" i="1" s="1"/>
  <c r="F102" i="1"/>
  <c r="Q102" i="1" s="1"/>
  <c r="G102" i="1"/>
  <c r="C99" i="1"/>
  <c r="D99" i="1" s="1"/>
  <c r="K99" i="1" s="1"/>
  <c r="N99" i="1" s="1"/>
  <c r="C98" i="1"/>
  <c r="D98" i="1" s="1"/>
  <c r="I98" i="1" s="1"/>
  <c r="L98" i="1" s="1"/>
  <c r="R98" i="1" s="1"/>
  <c r="F100" i="1"/>
  <c r="Q100" i="1" s="1"/>
  <c r="G100" i="1"/>
  <c r="H86" i="1"/>
  <c r="I86" i="1"/>
  <c r="L86" i="1" s="1"/>
  <c r="R86" i="1" s="1"/>
  <c r="J86" i="1"/>
  <c r="M86" i="1" s="1"/>
  <c r="S86" i="1" s="1"/>
  <c r="K86" i="1"/>
  <c r="N86" i="1" s="1"/>
  <c r="O86" i="1"/>
  <c r="C101" i="1"/>
  <c r="D101" i="1" s="1"/>
  <c r="H101" i="1" s="1"/>
  <c r="F96" i="1"/>
  <c r="Q96" i="1" s="1"/>
  <c r="G96" i="1"/>
  <c r="C103" i="1"/>
  <c r="D103" i="1" s="1"/>
  <c r="E103" i="1" s="1"/>
  <c r="P103" i="1" s="1"/>
  <c r="F104" i="1"/>
  <c r="Q104" i="1" s="1"/>
  <c r="G104" i="1"/>
  <c r="F101" i="1"/>
  <c r="Q101" i="1" s="1"/>
  <c r="H165" i="8" a="1"/>
  <c r="H165" i="8" s="1"/>
  <c r="K165" i="8" s="1" a="1"/>
  <c r="K165" i="8" s="1"/>
  <c r="I91" i="6" a="1"/>
  <c r="I91" i="6" s="1"/>
  <c r="O100" i="1"/>
  <c r="K100" i="1"/>
  <c r="N100" i="1" s="1"/>
  <c r="J100" i="1"/>
  <c r="M100" i="1" s="1"/>
  <c r="S100" i="1" s="1"/>
  <c r="I100" i="1"/>
  <c r="L100" i="1" s="1"/>
  <c r="R100" i="1" s="1"/>
  <c r="H100" i="1"/>
  <c r="E100" i="1"/>
  <c r="P100" i="1" s="1"/>
  <c r="I93" i="1"/>
  <c r="L93" i="1" s="1"/>
  <c r="R93" i="1" s="1"/>
  <c r="H93" i="1"/>
  <c r="J93" i="1"/>
  <c r="M93" i="1" s="1"/>
  <c r="S93" i="1" s="1"/>
  <c r="O93" i="1"/>
  <c r="K93" i="1"/>
  <c r="N93" i="1" s="1"/>
  <c r="E93" i="1"/>
  <c r="P93" i="1" s="1"/>
  <c r="O102" i="1"/>
  <c r="K102" i="1"/>
  <c r="N102" i="1" s="1"/>
  <c r="J102" i="1"/>
  <c r="M102" i="1" s="1"/>
  <c r="S102" i="1" s="1"/>
  <c r="I102" i="1"/>
  <c r="L102" i="1" s="1"/>
  <c r="R102" i="1" s="1"/>
  <c r="H102" i="1"/>
  <c r="E102" i="1"/>
  <c r="P102" i="1" s="1"/>
  <c r="O88" i="1"/>
  <c r="K88" i="1"/>
  <c r="N88" i="1" s="1"/>
  <c r="J88" i="1"/>
  <c r="M88" i="1" s="1"/>
  <c r="S88" i="1" s="1"/>
  <c r="I88" i="1"/>
  <c r="L88" i="1" s="1"/>
  <c r="R88" i="1" s="1"/>
  <c r="H88" i="1"/>
  <c r="E88" i="1"/>
  <c r="P88" i="1" s="1"/>
  <c r="O104" i="1"/>
  <c r="K104" i="1"/>
  <c r="N104" i="1" s="1"/>
  <c r="J104" i="1"/>
  <c r="M104" i="1" s="1"/>
  <c r="S104" i="1" s="1"/>
  <c r="I104" i="1"/>
  <c r="L104" i="1" s="1"/>
  <c r="R104" i="1" s="1"/>
  <c r="H104" i="1"/>
  <c r="E104" i="1"/>
  <c r="P104" i="1" s="1"/>
  <c r="O101" i="8"/>
  <c r="J101" i="8"/>
  <c r="M101" i="8" s="1"/>
  <c r="S101" i="8" s="1"/>
  <c r="H101" i="8"/>
  <c r="K101" i="8"/>
  <c r="N101" i="8" s="1"/>
  <c r="I101" i="8"/>
  <c r="L101" i="8" s="1"/>
  <c r="R101" i="8" s="1"/>
  <c r="G101" i="8"/>
  <c r="F101" i="8"/>
  <c r="Q101" i="8" s="1"/>
  <c r="E101" i="8"/>
  <c r="P101" i="8" s="1"/>
  <c r="O91" i="1"/>
  <c r="K91" i="1"/>
  <c r="N91" i="1" s="1"/>
  <c r="J91" i="1"/>
  <c r="M91" i="1" s="1"/>
  <c r="S91" i="1" s="1"/>
  <c r="I91" i="1"/>
  <c r="L91" i="1" s="1"/>
  <c r="R91" i="1" s="1"/>
  <c r="H91" i="1"/>
  <c r="E91" i="1"/>
  <c r="P91" i="1" s="1"/>
  <c r="O94" i="1"/>
  <c r="K94" i="1"/>
  <c r="N94" i="1" s="1"/>
  <c r="J94" i="1"/>
  <c r="M94" i="1" s="1"/>
  <c r="S94" i="1" s="1"/>
  <c r="I94" i="1"/>
  <c r="L94" i="1" s="1"/>
  <c r="R94" i="1" s="1"/>
  <c r="H94" i="1"/>
  <c r="E94" i="1"/>
  <c r="P94" i="1" s="1"/>
  <c r="AD107" i="17"/>
  <c r="K109" i="17"/>
  <c r="N109" i="17" s="1"/>
  <c r="E183" i="8"/>
  <c r="AD106" i="17"/>
  <c r="K118" i="17"/>
  <c r="N118" i="17" s="1"/>
  <c r="AD108" i="17"/>
  <c r="K116" i="17"/>
  <c r="N116" i="17" s="1"/>
  <c r="O96" i="1"/>
  <c r="K96" i="1"/>
  <c r="N96" i="1" s="1"/>
  <c r="J96" i="1"/>
  <c r="M96" i="1" s="1"/>
  <c r="S96" i="1" s="1"/>
  <c r="I96" i="1"/>
  <c r="L96" i="1" s="1"/>
  <c r="R96" i="1" s="1"/>
  <c r="H96" i="1"/>
  <c r="I74" i="12" a="1"/>
  <c r="I74" i="12" s="1"/>
  <c r="AD85" i="8"/>
  <c r="K107" i="8"/>
  <c r="N107" i="8" s="1"/>
  <c r="J74" i="12" a="1"/>
  <c r="J74" i="12" s="1"/>
  <c r="C111" i="8"/>
  <c r="D111" i="8" s="1"/>
  <c r="G5" i="8"/>
  <c r="F5" i="8"/>
  <c r="O87" i="1"/>
  <c r="K87" i="1"/>
  <c r="N87" i="1" s="1"/>
  <c r="J87" i="1"/>
  <c r="M87" i="1" s="1"/>
  <c r="S87" i="1" s="1"/>
  <c r="I87" i="1"/>
  <c r="L87" i="1" s="1"/>
  <c r="R87" i="1" s="1"/>
  <c r="H87" i="1"/>
  <c r="O90" i="1"/>
  <c r="K90" i="1"/>
  <c r="N90" i="1" s="1"/>
  <c r="J90" i="1"/>
  <c r="M90" i="1" s="1"/>
  <c r="S90" i="1" s="1"/>
  <c r="I90" i="1"/>
  <c r="L90" i="1" s="1"/>
  <c r="R90" i="1" s="1"/>
  <c r="H90" i="1"/>
  <c r="K74" i="12" a="1"/>
  <c r="K74" i="12" s="1"/>
  <c r="C115" i="8"/>
  <c r="D115" i="8" s="1"/>
  <c r="AD77" i="12"/>
  <c r="K96" i="12"/>
  <c r="N96" i="12" s="1"/>
  <c r="K105" i="12"/>
  <c r="N105" i="12" s="1"/>
  <c r="H100" i="8"/>
  <c r="J100" i="8"/>
  <c r="M100" i="8" s="1"/>
  <c r="S100" i="8" s="1"/>
  <c r="G100" i="8"/>
  <c r="F100" i="8"/>
  <c r="Q100" i="8" s="1"/>
  <c r="E100" i="8"/>
  <c r="P100" i="8" s="1"/>
  <c r="I100" i="8"/>
  <c r="L100" i="8" s="1"/>
  <c r="R100" i="8" s="1"/>
  <c r="O100" i="8"/>
  <c r="K100" i="8"/>
  <c r="N100" i="8" s="1"/>
  <c r="F6" i="1"/>
  <c r="E6" i="1"/>
  <c r="L52" i="8" a="1"/>
  <c r="L52" i="8" s="1"/>
  <c r="K52" i="8" a="1"/>
  <c r="K52" i="8" s="1"/>
  <c r="J52" i="8" a="1"/>
  <c r="J52" i="8" s="1"/>
  <c r="I70" i="1" a="1"/>
  <c r="I70" i="1" s="1"/>
  <c r="C8" i="12"/>
  <c r="G7" i="12"/>
  <c r="F7" i="12"/>
  <c r="E7" i="12"/>
  <c r="D7" i="12"/>
  <c r="AD95" i="17"/>
  <c r="K114" i="17"/>
  <c r="N114" i="17" s="1"/>
  <c r="K122" i="6"/>
  <c r="N122" i="6" s="1"/>
  <c r="O89" i="1"/>
  <c r="K89" i="1"/>
  <c r="N89" i="1" s="1"/>
  <c r="J89" i="1"/>
  <c r="M89" i="1" s="1"/>
  <c r="S89" i="1" s="1"/>
  <c r="I89" i="1"/>
  <c r="L89" i="1" s="1"/>
  <c r="R89" i="1" s="1"/>
  <c r="H89" i="1"/>
  <c r="K119" i="6"/>
  <c r="N119" i="6" s="1"/>
  <c r="E70" i="1"/>
  <c r="J70" i="1" s="1" a="1"/>
  <c r="J70" i="1" s="1"/>
  <c r="C108" i="8"/>
  <c r="D108" i="8" s="1"/>
  <c r="O92" i="1"/>
  <c r="K92" i="1"/>
  <c r="N92" i="1" s="1"/>
  <c r="J92" i="1"/>
  <c r="M92" i="1" s="1"/>
  <c r="S92" i="1" s="1"/>
  <c r="I92" i="1"/>
  <c r="L92" i="1" s="1"/>
  <c r="R92" i="1" s="1"/>
  <c r="H92" i="1"/>
  <c r="K91" i="6" a="1"/>
  <c r="K91" i="6" s="1"/>
  <c r="E89" i="1"/>
  <c r="P89" i="1" s="1"/>
  <c r="G7" i="1"/>
  <c r="D7" i="1"/>
  <c r="C8" i="1"/>
  <c r="K70" i="1" a="1"/>
  <c r="K70" i="1" s="1"/>
  <c r="C109" i="8"/>
  <c r="D109" i="8" s="1"/>
  <c r="C110" i="8"/>
  <c r="D110" i="8" s="1"/>
  <c r="C112" i="8"/>
  <c r="D112" i="8" s="1"/>
  <c r="AD94" i="17"/>
  <c r="K113" i="17"/>
  <c r="N113" i="17" s="1"/>
  <c r="M3" i="17" a="1"/>
  <c r="M3" i="17" s="1"/>
  <c r="K3" i="17" a="1"/>
  <c r="K3" i="17" s="1"/>
  <c r="L3" i="17" a="1"/>
  <c r="L3" i="17" s="1"/>
  <c r="E91" i="6"/>
  <c r="J91" i="6" s="1" a="1"/>
  <c r="J91" i="6" s="1"/>
  <c r="AD91" i="17"/>
  <c r="K110" i="17"/>
  <c r="N110" i="17" s="1"/>
  <c r="C114" i="8"/>
  <c r="D114" i="8" s="1"/>
  <c r="E96" i="1"/>
  <c r="P96" i="1" s="1"/>
  <c r="C113" i="8"/>
  <c r="D113" i="8" s="1"/>
  <c r="K110" i="12"/>
  <c r="N110" i="12" s="1"/>
  <c r="I95" i="1"/>
  <c r="L95" i="1" s="1"/>
  <c r="R95" i="1" s="1"/>
  <c r="H95" i="1"/>
  <c r="K95" i="1"/>
  <c r="N95" i="1" s="1"/>
  <c r="J95" i="1"/>
  <c r="M95" i="1" s="1"/>
  <c r="S95" i="1" s="1"/>
  <c r="O95" i="1"/>
  <c r="O105" i="1" l="1"/>
  <c r="K105" i="1"/>
  <c r="N105" i="1" s="1"/>
  <c r="K97" i="1"/>
  <c r="N97" i="1" s="1"/>
  <c r="I97" i="1"/>
  <c r="L97" i="1" s="1"/>
  <c r="R97" i="1" s="1"/>
  <c r="H106" i="1"/>
  <c r="H97" i="1"/>
  <c r="H98" i="1"/>
  <c r="J98" i="1"/>
  <c r="M98" i="1" s="1"/>
  <c r="S98" i="1" s="1"/>
  <c r="O98" i="1"/>
  <c r="O97" i="1"/>
  <c r="J97" i="1"/>
  <c r="M97" i="1" s="1"/>
  <c r="S97" i="1" s="1"/>
  <c r="J105" i="1"/>
  <c r="M105" i="1" s="1"/>
  <c r="S105" i="1" s="1"/>
  <c r="H105" i="1"/>
  <c r="I105" i="1"/>
  <c r="L105" i="1" s="1"/>
  <c r="R105" i="1" s="1"/>
  <c r="I106" i="1"/>
  <c r="L106" i="1" s="1"/>
  <c r="R106" i="1" s="1"/>
  <c r="K106" i="1"/>
  <c r="N106" i="1" s="1"/>
  <c r="O106" i="1"/>
  <c r="J99" i="1"/>
  <c r="M99" i="1" s="1"/>
  <c r="S99" i="1" s="1"/>
  <c r="E98" i="1"/>
  <c r="P98" i="1" s="1"/>
  <c r="H99" i="1"/>
  <c r="K98" i="1"/>
  <c r="N98" i="1" s="1"/>
  <c r="E106" i="1"/>
  <c r="P106" i="1" s="1"/>
  <c r="O99" i="1"/>
  <c r="I99" i="1"/>
  <c r="L99" i="1" s="1"/>
  <c r="R99" i="1" s="1"/>
  <c r="E99" i="1"/>
  <c r="P99" i="1" s="1"/>
  <c r="I101" i="1"/>
  <c r="L101" i="1" s="1"/>
  <c r="R101" i="1" s="1"/>
  <c r="J101" i="1"/>
  <c r="M101" i="1" s="1"/>
  <c r="S101" i="1" s="1"/>
  <c r="H103" i="1"/>
  <c r="I103" i="1"/>
  <c r="L103" i="1" s="1"/>
  <c r="R103" i="1" s="1"/>
  <c r="E101" i="1"/>
  <c r="P101" i="1" s="1"/>
  <c r="K103" i="1"/>
  <c r="N103" i="1" s="1"/>
  <c r="K101" i="1"/>
  <c r="N101" i="1" s="1"/>
  <c r="O103" i="1"/>
  <c r="O101" i="1"/>
  <c r="J103" i="1"/>
  <c r="M103" i="1" s="1"/>
  <c r="S103" i="1" s="1"/>
  <c r="I165" i="8" a="1"/>
  <c r="I165" i="8" s="1"/>
  <c r="J165" i="8" a="1"/>
  <c r="J165" i="8" s="1"/>
  <c r="E115" i="8"/>
  <c r="P115" i="8" s="1"/>
  <c r="G115" i="8"/>
  <c r="O115" i="8"/>
  <c r="K115" i="8"/>
  <c r="N115" i="8" s="1"/>
  <c r="F115" i="8"/>
  <c r="Q115" i="8" s="1"/>
  <c r="J115" i="8"/>
  <c r="M115" i="8" s="1"/>
  <c r="S115" i="8" s="1"/>
  <c r="I115" i="8"/>
  <c r="L115" i="8" s="1"/>
  <c r="R115" i="8" s="1"/>
  <c r="H115" i="8"/>
  <c r="H111" i="8"/>
  <c r="K111" i="8"/>
  <c r="N111" i="8" s="1"/>
  <c r="J111" i="8"/>
  <c r="M111" i="8" s="1"/>
  <c r="S111" i="8" s="1"/>
  <c r="I111" i="8"/>
  <c r="L111" i="8" s="1"/>
  <c r="R111" i="8" s="1"/>
  <c r="G111" i="8"/>
  <c r="O111" i="8"/>
  <c r="F111" i="8"/>
  <c r="Q111" i="8" s="1"/>
  <c r="E111" i="8"/>
  <c r="P111" i="8" s="1"/>
  <c r="J114" i="8"/>
  <c r="M114" i="8" s="1"/>
  <c r="S114" i="8" s="1"/>
  <c r="I114" i="8"/>
  <c r="L114" i="8" s="1"/>
  <c r="R114" i="8" s="1"/>
  <c r="H114" i="8"/>
  <c r="G114" i="8"/>
  <c r="F114" i="8"/>
  <c r="Q114" i="8" s="1"/>
  <c r="K114" i="8"/>
  <c r="N114" i="8" s="1"/>
  <c r="E114" i="8"/>
  <c r="P114" i="8" s="1"/>
  <c r="O114" i="8"/>
  <c r="H108" i="8"/>
  <c r="G108" i="8"/>
  <c r="F108" i="8"/>
  <c r="Q108" i="8" s="1"/>
  <c r="E108" i="8"/>
  <c r="P108" i="8" s="1"/>
  <c r="I108" i="8"/>
  <c r="L108" i="8" s="1"/>
  <c r="R108" i="8" s="1"/>
  <c r="O108" i="8"/>
  <c r="J108" i="8"/>
  <c r="M108" i="8" s="1"/>
  <c r="S108" i="8" s="1"/>
  <c r="K108" i="8"/>
  <c r="N108" i="8" s="1"/>
  <c r="O113" i="8"/>
  <c r="I113" i="8"/>
  <c r="L113" i="8" s="1"/>
  <c r="R113" i="8" s="1"/>
  <c r="K113" i="8"/>
  <c r="N113" i="8" s="1"/>
  <c r="J113" i="8"/>
  <c r="M113" i="8" s="1"/>
  <c r="S113" i="8" s="1"/>
  <c r="E113" i="8"/>
  <c r="P113" i="8" s="1"/>
  <c r="H113" i="8"/>
  <c r="G113" i="8"/>
  <c r="F113" i="8"/>
  <c r="Q113" i="8" s="1"/>
  <c r="H112" i="8"/>
  <c r="G112" i="8"/>
  <c r="I112" i="8"/>
  <c r="L112" i="8" s="1"/>
  <c r="R112" i="8" s="1"/>
  <c r="F112" i="8"/>
  <c r="Q112" i="8" s="1"/>
  <c r="E112" i="8"/>
  <c r="P112" i="8" s="1"/>
  <c r="J112" i="8"/>
  <c r="M112" i="8" s="1"/>
  <c r="S112" i="8" s="1"/>
  <c r="O112" i="8"/>
  <c r="K112" i="8"/>
  <c r="N112" i="8" s="1"/>
  <c r="D8" i="1"/>
  <c r="C9" i="1"/>
  <c r="G8" i="1"/>
  <c r="F7" i="1"/>
  <c r="E7" i="1"/>
  <c r="H110" i="8"/>
  <c r="G110" i="8"/>
  <c r="J110" i="8"/>
  <c r="M110" i="8" s="1"/>
  <c r="S110" i="8" s="1"/>
  <c r="F110" i="8"/>
  <c r="Q110" i="8" s="1"/>
  <c r="E110" i="8"/>
  <c r="P110" i="8" s="1"/>
  <c r="O110" i="8"/>
  <c r="I110" i="8"/>
  <c r="L110" i="8" s="1"/>
  <c r="R110" i="8" s="1"/>
  <c r="K110" i="8"/>
  <c r="N110" i="8" s="1"/>
  <c r="G6" i="8"/>
  <c r="F6" i="8"/>
  <c r="E6" i="8"/>
  <c r="K109" i="8"/>
  <c r="N109" i="8" s="1"/>
  <c r="J109" i="8"/>
  <c r="M109" i="8" s="1"/>
  <c r="S109" i="8" s="1"/>
  <c r="I109" i="8"/>
  <c r="L109" i="8" s="1"/>
  <c r="R109" i="8" s="1"/>
  <c r="H109" i="8"/>
  <c r="O109" i="8"/>
  <c r="G109" i="8"/>
  <c r="F109" i="8"/>
  <c r="Q109" i="8" s="1"/>
  <c r="E109" i="8"/>
  <c r="P109" i="8" s="1"/>
  <c r="C9" i="12"/>
  <c r="D8" i="12"/>
  <c r="G8" i="12"/>
  <c r="E8" i="12"/>
  <c r="F8" i="12"/>
  <c r="A2" i="19" l="1" a="1"/>
  <c r="P37" i="19" s="1"/>
  <c r="C10" i="1"/>
  <c r="G9" i="1"/>
  <c r="D9" i="1"/>
  <c r="F8" i="1"/>
  <c r="E8" i="1"/>
  <c r="E7" i="8"/>
  <c r="G7" i="8"/>
  <c r="F7" i="8"/>
  <c r="C10" i="12"/>
  <c r="G9" i="12"/>
  <c r="F9" i="12"/>
  <c r="E9" i="12"/>
  <c r="D9" i="12"/>
  <c r="A2" i="19" l="1"/>
  <c r="B2" i="19" s="1" a="1"/>
  <c r="P38" i="19"/>
  <c r="P32" i="19"/>
  <c r="P33" i="19"/>
  <c r="P34" i="19"/>
  <c r="P35" i="19"/>
  <c r="P31" i="19"/>
  <c r="P36" i="19"/>
  <c r="E10" i="12"/>
  <c r="D10" i="12"/>
  <c r="F10" i="12"/>
  <c r="C11" i="12"/>
  <c r="G10" i="12"/>
  <c r="E8" i="8"/>
  <c r="G8" i="8"/>
  <c r="F8" i="8"/>
  <c r="F9" i="1"/>
  <c r="E9" i="1"/>
  <c r="D10" i="1"/>
  <c r="C11" i="1"/>
  <c r="G10" i="1"/>
  <c r="A2" i="23" l="1" a="1"/>
  <c r="A2" i="23" s="1"/>
  <c r="B2" i="23" s="1" a="1"/>
  <c r="B2" i="23" s="1"/>
  <c r="E2" i="23" s="1" a="1"/>
  <c r="E2" i="23" s="1"/>
  <c r="C12" i="12"/>
  <c r="G11" i="12"/>
  <c r="F11" i="12"/>
  <c r="E11" i="12"/>
  <c r="D11" i="12"/>
  <c r="E10" i="1"/>
  <c r="F10" i="1"/>
  <c r="G9" i="8"/>
  <c r="E9" i="8"/>
  <c r="F9" i="8"/>
  <c r="C12" i="1"/>
  <c r="G11" i="1"/>
  <c r="D11" i="1"/>
  <c r="B2" i="19"/>
  <c r="L2" i="19" a="1"/>
  <c r="J2" i="19" a="1"/>
  <c r="AC2" i="23" l="1" a="1"/>
  <c r="AC2" i="23" s="1"/>
  <c r="L2" i="19"/>
  <c r="J2" i="19"/>
  <c r="F10" i="8"/>
  <c r="E10" i="8"/>
  <c r="G10" i="8"/>
  <c r="G12" i="12"/>
  <c r="F12" i="12"/>
  <c r="E12" i="12"/>
  <c r="D12" i="12"/>
  <c r="C13" i="12"/>
  <c r="AB2" i="19" a="1"/>
  <c r="AB2" i="19" s="1"/>
  <c r="C2" i="19" a="1"/>
  <c r="D12" i="1"/>
  <c r="C13" i="1"/>
  <c r="G12" i="1"/>
  <c r="C2" i="23" a="1"/>
  <c r="C2" i="23" s="1"/>
  <c r="F2" i="23" s="1" a="1"/>
  <c r="F2" i="23" s="1"/>
  <c r="F11" i="1"/>
  <c r="E11" i="1"/>
  <c r="M2" i="23" a="1"/>
  <c r="K2" i="23" a="1"/>
  <c r="H2" i="19" a="1"/>
  <c r="V2" i="23" a="1"/>
  <c r="J2" i="23" a="1"/>
  <c r="L2" i="23" a="1"/>
  <c r="T2" i="19" a="1"/>
  <c r="K2" i="19" a="1"/>
  <c r="I2" i="19" a="1"/>
  <c r="U2" i="23" a="1"/>
  <c r="W2" i="23" a="1"/>
  <c r="S2" i="23" a="1"/>
  <c r="U2" i="19" a="1"/>
  <c r="S2" i="19" a="1"/>
  <c r="V2" i="19" a="1"/>
  <c r="T2" i="23" a="1"/>
  <c r="R2" i="19" a="1"/>
  <c r="I2" i="23" a="1"/>
  <c r="S2" i="19" l="1"/>
  <c r="M18" i="19"/>
  <c r="M24" i="19"/>
  <c r="N24" i="19" s="1"/>
  <c r="O27" i="19"/>
  <c r="O7" i="19"/>
  <c r="P7" i="19" s="1"/>
  <c r="M9" i="19"/>
  <c r="M21" i="19"/>
  <c r="M27" i="19"/>
  <c r="O15" i="19"/>
  <c r="P15" i="19" s="1"/>
  <c r="M22" i="19"/>
  <c r="M6" i="19"/>
  <c r="N6" i="19" s="1"/>
  <c r="M12" i="19"/>
  <c r="O11" i="19"/>
  <c r="P11" i="19" s="1"/>
  <c r="M15" i="19"/>
  <c r="O5" i="19"/>
  <c r="P5" i="19" s="1"/>
  <c r="O9" i="19"/>
  <c r="P9" i="19" s="1"/>
  <c r="M19" i="19"/>
  <c r="N19" i="19" s="1"/>
  <c r="M26" i="19"/>
  <c r="N26" i="19" s="1"/>
  <c r="H2" i="19"/>
  <c r="O12" i="19"/>
  <c r="P12" i="19" s="1"/>
  <c r="O4" i="19"/>
  <c r="P4" i="19" s="1"/>
  <c r="O3" i="19"/>
  <c r="P3" i="19" s="1"/>
  <c r="M16" i="19"/>
  <c r="M23" i="19"/>
  <c r="N23" i="19" s="1"/>
  <c r="O13" i="19"/>
  <c r="P13" i="19" s="1"/>
  <c r="M4" i="19"/>
  <c r="O25" i="19"/>
  <c r="P25" i="19" s="1"/>
  <c r="M13" i="19"/>
  <c r="M20" i="19"/>
  <c r="N20" i="19" s="1"/>
  <c r="O19" i="19"/>
  <c r="P19" i="19" s="1"/>
  <c r="M14" i="19"/>
  <c r="M11" i="19"/>
  <c r="O23" i="19"/>
  <c r="P23" i="19" s="1"/>
  <c r="O17" i="19"/>
  <c r="P17" i="19" s="1"/>
  <c r="M10" i="19"/>
  <c r="M7" i="19"/>
  <c r="M3" i="19"/>
  <c r="O22" i="19"/>
  <c r="P22" i="19" s="1"/>
  <c r="O21" i="19"/>
  <c r="P21" i="19" s="1"/>
  <c r="M17" i="19"/>
  <c r="O16" i="19"/>
  <c r="P16" i="19" s="1"/>
  <c r="O26" i="19"/>
  <c r="P26" i="19" s="1"/>
  <c r="M8" i="19"/>
  <c r="O18" i="19"/>
  <c r="P18" i="19" s="1"/>
  <c r="O24" i="19"/>
  <c r="P24" i="19" s="1"/>
  <c r="O8" i="19"/>
  <c r="P8" i="19" s="1"/>
  <c r="O10" i="19"/>
  <c r="P10" i="19" s="1"/>
  <c r="O20" i="19"/>
  <c r="P20" i="19" s="1"/>
  <c r="M5" i="19"/>
  <c r="N5" i="19" s="1"/>
  <c r="M25" i="19"/>
  <c r="N25" i="19" s="1"/>
  <c r="O14" i="19"/>
  <c r="P14" i="19" s="1"/>
  <c r="O6" i="19"/>
  <c r="P6" i="19" s="1"/>
  <c r="U2" i="19"/>
  <c r="V2" i="19"/>
  <c r="T2" i="19"/>
  <c r="I2" i="19"/>
  <c r="K2" i="19"/>
  <c r="W10" i="19"/>
  <c r="X10" i="19" s="1"/>
  <c r="W8" i="19"/>
  <c r="X8" i="19" s="1"/>
  <c r="W18" i="19"/>
  <c r="X18" i="19" s="1"/>
  <c r="Y26" i="19"/>
  <c r="Z26" i="19" s="1"/>
  <c r="W5" i="19"/>
  <c r="X5" i="19" s="1"/>
  <c r="W15" i="19"/>
  <c r="X15" i="19" s="1"/>
  <c r="Y23" i="19"/>
  <c r="Z23" i="19" s="1"/>
  <c r="Y4" i="19"/>
  <c r="Z4" i="19" s="1"/>
  <c r="W12" i="19"/>
  <c r="X12" i="19" s="1"/>
  <c r="Y20" i="19"/>
  <c r="Z20" i="19" s="1"/>
  <c r="W4" i="19"/>
  <c r="X4" i="19" s="1"/>
  <c r="W9" i="19"/>
  <c r="X9" i="19" s="1"/>
  <c r="Y10" i="19"/>
  <c r="Z10" i="19" s="1"/>
  <c r="Y17" i="19"/>
  <c r="Z17" i="19" s="1"/>
  <c r="Y24" i="19"/>
  <c r="Z24" i="19" s="1"/>
  <c r="W6" i="19"/>
  <c r="X6" i="19" s="1"/>
  <c r="Y16" i="19"/>
  <c r="Z16" i="19" s="1"/>
  <c r="W7" i="19"/>
  <c r="X7" i="19" s="1"/>
  <c r="W24" i="19"/>
  <c r="X24" i="19" s="1"/>
  <c r="Y14" i="19"/>
  <c r="Z14" i="19" s="1"/>
  <c r="Y21" i="19"/>
  <c r="Z21" i="19" s="1"/>
  <c r="W3" i="19"/>
  <c r="X3" i="19" s="1"/>
  <c r="Y8" i="19"/>
  <c r="Z8" i="19" s="1"/>
  <c r="Y15" i="19"/>
  <c r="Z15" i="19" s="1"/>
  <c r="W20" i="19"/>
  <c r="X20" i="19" s="1"/>
  <c r="W14" i="19"/>
  <c r="X14" i="19" s="1"/>
  <c r="Y19" i="19"/>
  <c r="Z19" i="19" s="1"/>
  <c r="W23" i="19"/>
  <c r="X23" i="19" s="1"/>
  <c r="Y11" i="19"/>
  <c r="Z11" i="19" s="1"/>
  <c r="Y18" i="19"/>
  <c r="Z18" i="19" s="1"/>
  <c r="Y25" i="19"/>
  <c r="Z25" i="19" s="1"/>
  <c r="Y9" i="19"/>
  <c r="Z9" i="19" s="1"/>
  <c r="W22" i="19"/>
  <c r="X22" i="19" s="1"/>
  <c r="W21" i="19"/>
  <c r="X21" i="19" s="1"/>
  <c r="Y5" i="19"/>
  <c r="Z5" i="19" s="1"/>
  <c r="Y12" i="19"/>
  <c r="Z12" i="19" s="1"/>
  <c r="Y7" i="19"/>
  <c r="Z7" i="19" s="1"/>
  <c r="W25" i="19"/>
  <c r="X25" i="19" s="1"/>
  <c r="Y3" i="19"/>
  <c r="Z3" i="19" s="1"/>
  <c r="W13" i="19"/>
  <c r="X13" i="19" s="1"/>
  <c r="W16" i="19"/>
  <c r="X16" i="19" s="1"/>
  <c r="W17" i="19"/>
  <c r="X17" i="19" s="1"/>
  <c r="Y6" i="19"/>
  <c r="Z6" i="19" s="1"/>
  <c r="W19" i="19"/>
  <c r="X19" i="19" s="1"/>
  <c r="W26" i="19"/>
  <c r="X26" i="19" s="1"/>
  <c r="Y22" i="19"/>
  <c r="Z22" i="19" s="1"/>
  <c r="W11" i="19"/>
  <c r="X11" i="19" s="1"/>
  <c r="Y13" i="19"/>
  <c r="Z13" i="19" s="1"/>
  <c r="R2" i="19"/>
  <c r="T2" i="23"/>
  <c r="V2" i="23"/>
  <c r="X3" i="23"/>
  <c r="Y3" i="23" s="1"/>
  <c r="X8" i="23"/>
  <c r="Y8" i="23" s="1"/>
  <c r="Z8" i="23"/>
  <c r="AA8" i="23" s="1"/>
  <c r="Z10" i="23"/>
  <c r="AA10" i="23" s="1"/>
  <c r="Z5" i="23"/>
  <c r="AA5" i="23" s="1"/>
  <c r="X5" i="23"/>
  <c r="Y5" i="23" s="1"/>
  <c r="X11" i="23"/>
  <c r="Y11" i="23" s="1"/>
  <c r="Z7" i="23"/>
  <c r="AA7" i="23" s="1"/>
  <c r="Z4" i="23"/>
  <c r="AA4" i="23" s="1"/>
  <c r="X12" i="23"/>
  <c r="Y12" i="23" s="1"/>
  <c r="Z11" i="23"/>
  <c r="AA11" i="23" s="1"/>
  <c r="S2" i="23"/>
  <c r="X7" i="23"/>
  <c r="Y7" i="23" s="1"/>
  <c r="X9" i="23"/>
  <c r="Y9" i="23" s="1"/>
  <c r="X4" i="23"/>
  <c r="Y4" i="23" s="1"/>
  <c r="X6" i="23"/>
  <c r="Y6" i="23" s="1"/>
  <c r="Z12" i="23"/>
  <c r="AA12" i="23" s="1"/>
  <c r="Z9" i="23"/>
  <c r="AA9" i="23" s="1"/>
  <c r="X13" i="23"/>
  <c r="Y13" i="23" s="1"/>
  <c r="Z13" i="23"/>
  <c r="AA13" i="23" s="1"/>
  <c r="Z6" i="23"/>
  <c r="AA6" i="23" s="1"/>
  <c r="Z3" i="23"/>
  <c r="AA3" i="23" s="1"/>
  <c r="X10" i="23"/>
  <c r="Y10" i="23" s="1"/>
  <c r="M2" i="23"/>
  <c r="J2" i="23"/>
  <c r="U2" i="23"/>
  <c r="W2" i="23"/>
  <c r="L2" i="23"/>
  <c r="K2" i="23"/>
  <c r="N7" i="23"/>
  <c r="O7" i="23" s="1"/>
  <c r="N8" i="23"/>
  <c r="O8" i="23" s="1"/>
  <c r="P6" i="23"/>
  <c r="Q6" i="23" s="1"/>
  <c r="N5" i="23"/>
  <c r="O5" i="23" s="1"/>
  <c r="N4" i="23"/>
  <c r="O4" i="23" s="1"/>
  <c r="P4" i="23"/>
  <c r="Q4" i="23" s="1"/>
  <c r="P3" i="23"/>
  <c r="Q3" i="23" s="1"/>
  <c r="N13" i="23"/>
  <c r="O13" i="23" s="1"/>
  <c r="P12" i="23"/>
  <c r="Q12" i="23" s="1"/>
  <c r="N9" i="23"/>
  <c r="O9" i="23" s="1"/>
  <c r="P5" i="23"/>
  <c r="Q5" i="23" s="1"/>
  <c r="N6" i="23"/>
  <c r="O6" i="23" s="1"/>
  <c r="P11" i="23"/>
  <c r="Q11" i="23" s="1"/>
  <c r="P9" i="23"/>
  <c r="Q9" i="23" s="1"/>
  <c r="N11" i="23"/>
  <c r="O11" i="23" s="1"/>
  <c r="P13" i="23"/>
  <c r="Q13" i="23" s="1"/>
  <c r="P7" i="23"/>
  <c r="Q7" i="23" s="1"/>
  <c r="P10" i="23"/>
  <c r="Q10" i="23" s="1"/>
  <c r="N12" i="23"/>
  <c r="O12" i="23" s="1"/>
  <c r="N10" i="23"/>
  <c r="O10" i="23" s="1"/>
  <c r="P8" i="23"/>
  <c r="Q8" i="23" s="1"/>
  <c r="N3" i="23"/>
  <c r="O3" i="23" s="1"/>
  <c r="I2" i="23"/>
  <c r="F12" i="1"/>
  <c r="E12" i="1"/>
  <c r="G11" i="8"/>
  <c r="F11" i="8"/>
  <c r="E11" i="8"/>
  <c r="C14" i="12"/>
  <c r="G13" i="12"/>
  <c r="D13" i="12"/>
  <c r="F13" i="12"/>
  <c r="E13" i="12"/>
  <c r="C14" i="1"/>
  <c r="G13" i="1"/>
  <c r="D13" i="1"/>
  <c r="D2" i="23" a="1"/>
  <c r="D2" i="23" s="1"/>
  <c r="G2" i="23" s="1" a="1"/>
  <c r="G2" i="23" s="1"/>
  <c r="C2" i="19"/>
  <c r="Y2" i="19" l="1"/>
  <c r="Z2" i="19" s="1"/>
  <c r="M2" i="19"/>
  <c r="N2" i="19" s="1"/>
  <c r="W2" i="19"/>
  <c r="X2" i="19" s="1"/>
  <c r="O2" i="19"/>
  <c r="P2" i="19" s="1"/>
  <c r="AF2" i="23" a="1"/>
  <c r="AF2" i="23" s="1"/>
  <c r="AE2" i="23" a="1"/>
  <c r="AE2" i="23" s="1"/>
  <c r="P2" i="23"/>
  <c r="Q2" i="23" s="1"/>
  <c r="N2" i="23"/>
  <c r="O2" i="23" s="1"/>
  <c r="X2" i="23"/>
  <c r="Y2" i="23" s="1"/>
  <c r="AD2" i="23" a="1"/>
  <c r="AD2" i="23" s="1"/>
  <c r="Z2" i="23"/>
  <c r="AA2" i="23" s="1"/>
  <c r="E2" i="19" a="1"/>
  <c r="E2" i="19" s="1"/>
  <c r="D2" i="19" a="1"/>
  <c r="G12" i="8"/>
  <c r="F12" i="8"/>
  <c r="E12" i="8"/>
  <c r="C15" i="1"/>
  <c r="G14" i="1"/>
  <c r="D14" i="1"/>
  <c r="C15" i="12"/>
  <c r="G14" i="12"/>
  <c r="F14" i="12"/>
  <c r="E14" i="12"/>
  <c r="D14" i="12"/>
  <c r="F13" i="1"/>
  <c r="E13" i="1"/>
  <c r="H2" i="23" a="1"/>
  <c r="H2" i="23" s="1"/>
  <c r="AG2" i="23" l="1" a="1"/>
  <c r="AG2" i="23" s="1"/>
  <c r="B178" i="21" s="1" a="1"/>
  <c r="B178" i="21" s="1"/>
  <c r="F178" i="21" s="1" a="1"/>
  <c r="F178" i="21" s="1"/>
  <c r="C16" i="1"/>
  <c r="D15" i="1"/>
  <c r="G15" i="1"/>
  <c r="D15" i="12"/>
  <c r="E15" i="12"/>
  <c r="F15" i="12"/>
  <c r="C16" i="12"/>
  <c r="G15" i="12"/>
  <c r="D2" i="19"/>
  <c r="F2" i="19" s="1" a="1"/>
  <c r="AC2" i="19" a="1"/>
  <c r="AC2" i="19" s="1"/>
  <c r="AB2" i="23" a="1"/>
  <c r="AB2" i="23" s="1"/>
  <c r="R2" i="23" a="1"/>
  <c r="R2" i="23" s="1"/>
  <c r="G13" i="8"/>
  <c r="F13" i="8"/>
  <c r="E13" i="8"/>
  <c r="F14" i="1"/>
  <c r="E14" i="1"/>
  <c r="F2" i="19" l="1"/>
  <c r="AD2" i="19" s="1" a="1"/>
  <c r="AD2" i="19" s="1"/>
  <c r="AE2" i="19" s="1" a="1"/>
  <c r="AE2" i="19" s="1"/>
  <c r="O178" i="21" a="1"/>
  <c r="O178" i="21" s="1"/>
  <c r="G178" i="21" a="1"/>
  <c r="G178" i="21" s="1"/>
  <c r="D178" i="21" a="1"/>
  <c r="D178" i="21" s="1"/>
  <c r="E178" i="21" a="1"/>
  <c r="E178" i="21" s="1"/>
  <c r="C178" i="21" a="1"/>
  <c r="C178" i="21" s="1"/>
  <c r="K178" i="21" a="1"/>
  <c r="K178" i="21" s="1"/>
  <c r="C17" i="1"/>
  <c r="G16" i="1"/>
  <c r="D16" i="1"/>
  <c r="F14" i="8"/>
  <c r="G14" i="8"/>
  <c r="E14" i="8"/>
  <c r="M178" i="21" a="1"/>
  <c r="M178" i="21" s="1"/>
  <c r="N178" i="21" a="1"/>
  <c r="N178" i="21" s="1"/>
  <c r="C17" i="12"/>
  <c r="G16" i="12"/>
  <c r="F16" i="12"/>
  <c r="E16" i="12"/>
  <c r="D16" i="12"/>
  <c r="L178" i="21" a="1"/>
  <c r="L178" i="21" s="1"/>
  <c r="F15" i="1"/>
  <c r="E15" i="1"/>
  <c r="G2" i="19" l="1" a="1"/>
  <c r="G2" i="19" s="1"/>
  <c r="N21" i="19"/>
  <c r="N16" i="19"/>
  <c r="P30" i="19"/>
  <c r="F17" i="12"/>
  <c r="E17" i="12"/>
  <c r="D17" i="12"/>
  <c r="G17" i="12"/>
  <c r="C18" i="12"/>
  <c r="F16" i="1"/>
  <c r="E16" i="1"/>
  <c r="D17" i="1"/>
  <c r="G17" i="1"/>
  <c r="C18" i="1"/>
  <c r="E15" i="8"/>
  <c r="G15" i="8"/>
  <c r="F15" i="8"/>
  <c r="N13" i="19" l="1"/>
  <c r="N3" i="19"/>
  <c r="N12" i="19"/>
  <c r="P28" i="19"/>
  <c r="N4" i="19"/>
  <c r="N7" i="19"/>
  <c r="N9" i="19"/>
  <c r="AA2" i="19" a="1"/>
  <c r="AA2" i="19" s="1"/>
  <c r="AF2" i="19" s="1" a="1"/>
  <c r="AF2" i="19" s="1"/>
  <c r="Q2" i="19" a="1"/>
  <c r="Q2" i="19" s="1"/>
  <c r="P29" i="19"/>
  <c r="N17" i="19"/>
  <c r="N15" i="19"/>
  <c r="N18" i="19"/>
  <c r="N8" i="19"/>
  <c r="N11" i="19"/>
  <c r="N14" i="19"/>
  <c r="N22" i="19"/>
  <c r="N10" i="19"/>
  <c r="C19" i="12"/>
  <c r="G18" i="12"/>
  <c r="F18" i="12"/>
  <c r="E18" i="12"/>
  <c r="D18" i="12"/>
  <c r="C19" i="1"/>
  <c r="G18" i="1"/>
  <c r="D18" i="1"/>
  <c r="E17" i="1"/>
  <c r="F17" i="1"/>
  <c r="G16" i="8"/>
  <c r="F16" i="8"/>
  <c r="E16" i="8"/>
  <c r="G17" i="8" l="1"/>
  <c r="F17" i="8"/>
  <c r="E17" i="8"/>
  <c r="F18" i="1"/>
  <c r="E18" i="1"/>
  <c r="C20" i="12"/>
  <c r="G19" i="12"/>
  <c r="F19" i="12"/>
  <c r="E19" i="12"/>
  <c r="D19" i="12"/>
  <c r="G19" i="1"/>
  <c r="D19" i="1"/>
  <c r="C20" i="1"/>
  <c r="G18" i="8" l="1"/>
  <c r="F18" i="8"/>
  <c r="E18" i="8"/>
  <c r="D20" i="1"/>
  <c r="C21" i="1"/>
  <c r="G20" i="1"/>
  <c r="D20" i="12"/>
  <c r="C21" i="12"/>
  <c r="E20" i="12"/>
  <c r="G20" i="12"/>
  <c r="F20" i="12"/>
  <c r="F19" i="1"/>
  <c r="E19" i="1"/>
  <c r="C22" i="12" l="1"/>
  <c r="G21" i="12"/>
  <c r="F21" i="12"/>
  <c r="E21" i="12"/>
  <c r="D21" i="12"/>
  <c r="G19" i="8"/>
  <c r="F19" i="8"/>
  <c r="E19" i="8"/>
  <c r="C22" i="1"/>
  <c r="G21" i="1"/>
  <c r="D21" i="1"/>
  <c r="F20" i="1"/>
  <c r="E20" i="1"/>
  <c r="E22" i="12" l="1"/>
  <c r="D22" i="12"/>
  <c r="F22" i="12"/>
  <c r="C23" i="12"/>
  <c r="G22" i="12"/>
  <c r="F21" i="1"/>
  <c r="E21" i="1"/>
  <c r="F20" i="8"/>
  <c r="E20" i="8"/>
  <c r="G20" i="8"/>
  <c r="D22" i="1"/>
  <c r="C23" i="1"/>
  <c r="G22" i="1"/>
  <c r="F22" i="1" l="1"/>
  <c r="E22" i="1"/>
  <c r="C24" i="12"/>
  <c r="G23" i="12"/>
  <c r="F23" i="12"/>
  <c r="E23" i="12"/>
  <c r="D23" i="12"/>
  <c r="G21" i="8"/>
  <c r="F21" i="8"/>
  <c r="E21" i="8"/>
  <c r="C24" i="1"/>
  <c r="G23" i="1"/>
  <c r="D23" i="1"/>
  <c r="G24" i="1" l="1"/>
  <c r="D24" i="1"/>
  <c r="C25" i="1"/>
  <c r="F23" i="1"/>
  <c r="E23" i="1"/>
  <c r="G24" i="12"/>
  <c r="F24" i="12"/>
  <c r="E24" i="12"/>
  <c r="D24" i="12"/>
  <c r="C25" i="12"/>
  <c r="F22" i="8"/>
  <c r="G22" i="8"/>
  <c r="E22" i="8"/>
  <c r="C26" i="1" l="1"/>
  <c r="G25" i="1"/>
  <c r="D25" i="1"/>
  <c r="C26" i="12"/>
  <c r="G25" i="12"/>
  <c r="D25" i="12"/>
  <c r="F25" i="12"/>
  <c r="E25" i="12"/>
  <c r="F24" i="1"/>
  <c r="E24" i="1"/>
  <c r="G23" i="8"/>
  <c r="F23" i="8"/>
  <c r="E23" i="8"/>
  <c r="F25" i="1" l="1"/>
  <c r="E25" i="1"/>
  <c r="G24" i="8"/>
  <c r="F24" i="8"/>
  <c r="E24" i="8"/>
  <c r="C27" i="1"/>
  <c r="G26" i="1"/>
  <c r="D26" i="1"/>
  <c r="I3" i="1" a="1"/>
  <c r="I3" i="1" s="1"/>
  <c r="C27" i="12"/>
  <c r="G26" i="12"/>
  <c r="F26" i="12"/>
  <c r="E26" i="12"/>
  <c r="D26" i="12"/>
  <c r="E27" i="12" l="1"/>
  <c r="F27" i="12"/>
  <c r="C28" i="12"/>
  <c r="G27" i="12"/>
  <c r="J3" i="1" a="1"/>
  <c r="J3" i="1" s="1"/>
  <c r="F26" i="1"/>
  <c r="L3" i="1" s="1" a="1"/>
  <c r="L3" i="1" s="1"/>
  <c r="E26" i="1"/>
  <c r="K3" i="1" s="1" a="1"/>
  <c r="K3" i="1" s="1"/>
  <c r="G25" i="8"/>
  <c r="F25" i="8"/>
  <c r="E25" i="8"/>
  <c r="D27" i="1"/>
  <c r="G27" i="1"/>
  <c r="F26" i="8" l="1"/>
  <c r="G26" i="8"/>
  <c r="E26" i="8"/>
  <c r="G28" i="12"/>
  <c r="F28" i="12"/>
  <c r="E28" i="12"/>
  <c r="I5" i="12" a="1"/>
  <c r="I5" i="12" s="1"/>
  <c r="E27" i="1"/>
  <c r="F27" i="1"/>
  <c r="E27" i="8" l="1"/>
  <c r="G27" i="8"/>
  <c r="F27" i="8"/>
  <c r="L5" i="12" a="1"/>
  <c r="L5" i="12" s="1"/>
  <c r="K5" i="12" a="1"/>
  <c r="K5" i="12" s="1"/>
  <c r="J5" i="12" a="1"/>
  <c r="J5" i="12" s="1"/>
  <c r="F28" i="8" l="1"/>
  <c r="G28" i="8"/>
  <c r="E28" i="8"/>
  <c r="G29" i="8" l="1"/>
  <c r="F29" i="8"/>
  <c r="E29" i="8"/>
  <c r="G30" i="8" l="1"/>
  <c r="F30" i="8"/>
  <c r="E30" i="8"/>
  <c r="E31" i="8" l="1"/>
  <c r="G31" i="8"/>
  <c r="F31" i="8"/>
  <c r="F32" i="8" l="1"/>
  <c r="E32" i="8"/>
  <c r="G32" i="8"/>
  <c r="G33" i="8" l="1"/>
  <c r="F33" i="8"/>
  <c r="E33" i="8"/>
  <c r="F34" i="8" l="1"/>
  <c r="E34" i="8"/>
  <c r="G34" i="8"/>
  <c r="G35" i="8" l="1"/>
  <c r="F35" i="8"/>
  <c r="E35" i="8"/>
  <c r="G36" i="8" l="1"/>
  <c r="F36" i="8"/>
  <c r="E36" i="8"/>
  <c r="G37" i="8" l="1"/>
  <c r="F37" i="8"/>
  <c r="E37" i="8"/>
  <c r="F38" i="8" l="1"/>
  <c r="G38" i="8"/>
  <c r="D39" i="8"/>
  <c r="E39" i="8" l="1"/>
  <c r="G39" i="8"/>
  <c r="F39" i="8"/>
  <c r="D40" i="8"/>
  <c r="G40" i="8" l="1"/>
  <c r="F40" i="8"/>
  <c r="E40" i="8"/>
  <c r="D41" i="8"/>
  <c r="G41" i="8" l="1"/>
  <c r="F41" i="8"/>
  <c r="E41" i="8"/>
  <c r="D42" i="8"/>
  <c r="G42" i="8" l="1"/>
  <c r="F42" i="8"/>
  <c r="E42" i="8"/>
  <c r="D43" i="8"/>
  <c r="I4" i="8" a="1"/>
  <c r="I4" i="8" s="1"/>
  <c r="J4" i="8" s="1" a="1"/>
  <c r="J4" i="8" s="1"/>
  <c r="L4" i="8" l="1" a="1"/>
  <c r="L4" i="8" s="1"/>
  <c r="K4" i="8" a="1"/>
  <c r="K4" i="8" s="1"/>
  <c r="E43" i="8"/>
  <c r="G43" i="8"/>
  <c r="F43" i="8"/>
  <c r="D44" i="8"/>
  <c r="F44" i="8" l="1"/>
  <c r="G44" i="8"/>
  <c r="E44" i="8"/>
  <c r="D45" i="8"/>
  <c r="G45" i="8" l="1"/>
  <c r="E45" i="8"/>
  <c r="F45" i="8"/>
  <c r="D46" i="8"/>
  <c r="F46" i="8" l="1"/>
  <c r="E46" i="8"/>
  <c r="G46" i="8"/>
  <c r="D48" i="8"/>
  <c r="G48" i="8" l="1"/>
  <c r="F48" i="8"/>
  <c r="E48" i="8"/>
  <c r="Y112" i="21" l="1"/>
  <c r="AC112" i="21" s="1"/>
  <c r="X112" i="21"/>
  <c r="AB112" i="21" s="1"/>
  <c r="Z112" i="21" s="1"/>
  <c r="Y111" i="21"/>
  <c r="AC111" i="21" s="1"/>
  <c r="X111" i="21"/>
  <c r="AB111" i="21" s="1"/>
  <c r="Z111" i="21" s="1"/>
  <c r="Y110" i="21"/>
  <c r="AC110" i="21" s="1"/>
  <c r="X110" i="21"/>
  <c r="U110" i="21" s="1"/>
  <c r="U112" i="21" l="1"/>
  <c r="AB110" i="21"/>
  <c r="Z110" i="21" s="1"/>
  <c r="U111" i="21"/>
  <c r="AC95" i="21" l="1"/>
  <c r="U95" i="21"/>
  <c r="Z94" i="21" l="1"/>
  <c r="Y94" i="21"/>
  <c r="AC94" i="21" s="1"/>
  <c r="X94" i="21"/>
  <c r="U94" i="21" s="1"/>
  <c r="Y93" i="21" l="1"/>
  <c r="AC93" i="21" s="1"/>
  <c r="X93" i="21"/>
  <c r="AB93" i="21" s="1"/>
  <c r="Z93" i="21" s="1"/>
  <c r="U93" i="21" l="1"/>
  <c r="Y92" i="21" l="1"/>
  <c r="AC92" i="21" s="1"/>
  <c r="X92" i="21"/>
  <c r="U92" i="21" s="1"/>
  <c r="AB92" i="21" l="1"/>
  <c r="Z92" i="21" s="1"/>
  <c r="B92" i="21" l="1" a="1"/>
  <c r="B92" i="21" s="1"/>
  <c r="Y91" i="21"/>
  <c r="AC91" i="21" s="1"/>
  <c r="X91" i="21"/>
  <c r="AB91" i="21" s="1"/>
  <c r="Z91" i="21" s="1"/>
  <c r="Y90" i="21"/>
  <c r="AC90" i="21" s="1"/>
  <c r="X90" i="21"/>
  <c r="U90" i="21" s="1"/>
  <c r="AG89" i="21"/>
  <c r="Y89" i="21"/>
  <c r="AC89" i="21" s="1"/>
  <c r="X89" i="21"/>
  <c r="U89" i="21" s="1"/>
  <c r="AQ88" i="21"/>
  <c r="AN88" i="21"/>
  <c r="AR88" i="21" s="1"/>
  <c r="AI88" i="21"/>
  <c r="AC88" i="21"/>
  <c r="Y88" i="21"/>
  <c r="X88" i="21"/>
  <c r="U88" i="21" s="1"/>
  <c r="AQ87" i="21"/>
  <c r="AN87" i="21"/>
  <c r="AR87" i="21" s="1"/>
  <c r="AI87" i="21"/>
  <c r="Y87" i="21"/>
  <c r="AC87" i="21" s="1"/>
  <c r="X87" i="21"/>
  <c r="U87" i="21" s="1"/>
  <c r="AQ86" i="21"/>
  <c r="AN86" i="21"/>
  <c r="AR86" i="21" s="1"/>
  <c r="AI86" i="21"/>
  <c r="AH86" i="21"/>
  <c r="AG86" i="21"/>
  <c r="Y86" i="21"/>
  <c r="AC86" i="21" s="1"/>
  <c r="X86" i="21"/>
  <c r="U86" i="21" s="1"/>
  <c r="AQ85" i="21"/>
  <c r="AN85" i="21"/>
  <c r="AR85" i="21" s="1"/>
  <c r="AI85" i="21"/>
  <c r="AH85" i="21"/>
  <c r="AG85" i="21"/>
  <c r="Y85" i="21"/>
  <c r="AC85" i="21" s="1"/>
  <c r="X85" i="21"/>
  <c r="U85" i="21" s="1"/>
  <c r="AQ84" i="21"/>
  <c r="AN84" i="21"/>
  <c r="AR84" i="21" s="1"/>
  <c r="AI84" i="21"/>
  <c r="Y84" i="21"/>
  <c r="AC84" i="21" s="1"/>
  <c r="X84" i="21"/>
  <c r="U84" i="21" s="1"/>
  <c r="AQ83" i="21"/>
  <c r="AN83" i="21"/>
  <c r="AR83" i="21" s="1"/>
  <c r="AI83" i="21"/>
  <c r="AH83" i="21"/>
  <c r="AG83" i="21"/>
  <c r="Y83" i="21"/>
  <c r="AC83" i="21" s="1"/>
  <c r="X83" i="21"/>
  <c r="U83" i="21" s="1"/>
  <c r="AQ82" i="21"/>
  <c r="AN82" i="21"/>
  <c r="AR82" i="21" s="1"/>
  <c r="AI82" i="21"/>
  <c r="Y82" i="21"/>
  <c r="AC82" i="21" s="1"/>
  <c r="X82" i="21"/>
  <c r="U82" i="21" s="1"/>
  <c r="AQ81" i="21"/>
  <c r="AN81" i="21"/>
  <c r="AR81" i="21" s="1"/>
  <c r="AI81" i="21"/>
  <c r="Y81" i="21"/>
  <c r="AC81" i="21" s="1"/>
  <c r="X81" i="21"/>
  <c r="U81" i="21" s="1"/>
  <c r="AQ80" i="21"/>
  <c r="AN80" i="21"/>
  <c r="AR80" i="21" s="1"/>
  <c r="AI80" i="21"/>
  <c r="Y80" i="21"/>
  <c r="AC80" i="21" s="1"/>
  <c r="X80" i="21"/>
  <c r="U80" i="21" s="1"/>
  <c r="AQ79" i="21"/>
  <c r="AN79" i="21"/>
  <c r="AR79" i="21" s="1"/>
  <c r="AI79" i="21"/>
  <c r="Y79" i="21"/>
  <c r="AC79" i="21" s="1"/>
  <c r="X79" i="21"/>
  <c r="U79" i="21" s="1"/>
  <c r="V79" i="21" a="1"/>
  <c r="V79" i="21" s="1"/>
  <c r="W79" i="21" s="1" a="1"/>
  <c r="W79" i="21" s="1"/>
  <c r="AA79" i="21" s="1" a="1"/>
  <c r="AA79" i="21" s="1"/>
  <c r="AI78" i="21"/>
  <c r="B77" i="21" a="1"/>
  <c r="B77" i="21" s="1"/>
  <c r="Y74" i="21"/>
  <c r="AC74" i="21" s="1"/>
  <c r="X74" i="21"/>
  <c r="U74" i="21" s="1"/>
  <c r="AW73" i="21"/>
  <c r="AV73" i="21"/>
  <c r="AU73" i="21"/>
  <c r="AT73" i="21"/>
  <c r="AS73" i="21" s="1"/>
  <c r="AJ73" i="21"/>
  <c r="AI73" i="21" s="1"/>
  <c r="AF73" i="21"/>
  <c r="Y73" i="21"/>
  <c r="AC73" i="21" s="1"/>
  <c r="X73" i="21"/>
  <c r="U73" i="21" s="1"/>
  <c r="AW72" i="21"/>
  <c r="AV72" i="21"/>
  <c r="AU72" i="21"/>
  <c r="AT72" i="21"/>
  <c r="AJ72" i="21"/>
  <c r="AI72" i="21" s="1"/>
  <c r="AF72" i="21"/>
  <c r="Y72" i="21"/>
  <c r="AC72" i="21" s="1"/>
  <c r="X72" i="21"/>
  <c r="AB72" i="21" s="1"/>
  <c r="Z72" i="21" s="1"/>
  <c r="AW71" i="21"/>
  <c r="AV71" i="21"/>
  <c r="AU71" i="21"/>
  <c r="AT71" i="21"/>
  <c r="AJ71" i="21"/>
  <c r="AI71" i="21" s="1"/>
  <c r="AF71" i="21"/>
  <c r="Y71" i="21"/>
  <c r="X71" i="21"/>
  <c r="U71" i="21"/>
  <c r="AW70" i="21"/>
  <c r="AV70" i="21"/>
  <c r="AU70" i="21"/>
  <c r="AT70" i="21"/>
  <c r="AK70" i="21"/>
  <c r="AJ70" i="21"/>
  <c r="AF70" i="21"/>
  <c r="AC70" i="21"/>
  <c r="Y70" i="21"/>
  <c r="X70" i="21"/>
  <c r="AB70" i="21" s="1"/>
  <c r="Z70" i="21" s="1"/>
  <c r="AW69" i="21"/>
  <c r="AV69" i="21"/>
  <c r="AU69" i="21"/>
  <c r="AT69" i="21"/>
  <c r="AK69" i="21"/>
  <c r="AJ69" i="21"/>
  <c r="AF69" i="21"/>
  <c r="Y69" i="21"/>
  <c r="AC69" i="21" s="1"/>
  <c r="X69" i="21"/>
  <c r="U69" i="21" s="1"/>
  <c r="AW68" i="21"/>
  <c r="AV68" i="21"/>
  <c r="AU68" i="21"/>
  <c r="AT68" i="21"/>
  <c r="AK68" i="21"/>
  <c r="AJ68" i="21"/>
  <c r="AF68" i="21"/>
  <c r="AW67" i="21"/>
  <c r="AV67" i="21"/>
  <c r="AU67" i="21"/>
  <c r="AT67" i="21"/>
  <c r="AK67" i="21"/>
  <c r="AJ67" i="21"/>
  <c r="AF67" i="21"/>
  <c r="AW66" i="21"/>
  <c r="AV66" i="21"/>
  <c r="AU66" i="21"/>
  <c r="AT66" i="21"/>
  <c r="AS66" i="21" s="1"/>
  <c r="AK66" i="21"/>
  <c r="AJ66" i="21"/>
  <c r="AF66" i="21"/>
  <c r="AK65" i="21"/>
  <c r="AJ65" i="21"/>
  <c r="AF65" i="21"/>
  <c r="AK64" i="21"/>
  <c r="AJ64" i="21"/>
  <c r="AF64" i="21"/>
  <c r="AK63" i="21"/>
  <c r="AJ63" i="21"/>
  <c r="AF63" i="21"/>
  <c r="AK62" i="21"/>
  <c r="AJ62" i="21"/>
  <c r="AF62" i="21"/>
  <c r="AK61" i="21"/>
  <c r="AJ61" i="21"/>
  <c r="AF61" i="21"/>
  <c r="AK60" i="21"/>
  <c r="AJ60" i="21"/>
  <c r="AF60" i="21"/>
  <c r="AK59" i="21"/>
  <c r="AJ59" i="21"/>
  <c r="AF59" i="21"/>
  <c r="AK58" i="21"/>
  <c r="AJ58" i="21"/>
  <c r="AF58" i="21"/>
  <c r="AK57" i="21"/>
  <c r="AJ57" i="21"/>
  <c r="AF57" i="21"/>
  <c r="AK56" i="21"/>
  <c r="AJ56" i="21"/>
  <c r="AF56" i="21"/>
  <c r="A56" i="21"/>
  <c r="AK55" i="21"/>
  <c r="AJ55" i="21"/>
  <c r="AF55" i="21"/>
  <c r="A55" i="21"/>
  <c r="AK54" i="21"/>
  <c r="AJ54" i="21"/>
  <c r="AF54" i="21"/>
  <c r="A54" i="21"/>
  <c r="AK53" i="21"/>
  <c r="AJ53" i="21"/>
  <c r="AF53" i="21"/>
  <c r="A53" i="21"/>
  <c r="AO52" i="21" a="1"/>
  <c r="Q106" i="21"/>
  <c r="AB73" i="21" l="1"/>
  <c r="Z73" i="21" s="1"/>
  <c r="AS68" i="21"/>
  <c r="U72" i="21"/>
  <c r="AS70" i="21"/>
  <c r="U91" i="21"/>
  <c r="AS69" i="21"/>
  <c r="AB71" i="21"/>
  <c r="Z71" i="21" s="1"/>
  <c r="AI66" i="21"/>
  <c r="AI54" i="21"/>
  <c r="AI70" i="21"/>
  <c r="AI53" i="21"/>
  <c r="AI58" i="21"/>
  <c r="AI59" i="21"/>
  <c r="AI57" i="21"/>
  <c r="AI55" i="21"/>
  <c r="AI62" i="21"/>
  <c r="AI67" i="21"/>
  <c r="AI69" i="21"/>
  <c r="AI56" i="21"/>
  <c r="AI63" i="21"/>
  <c r="AI64" i="21"/>
  <c r="AI61" i="21"/>
  <c r="AI65" i="21"/>
  <c r="AS71" i="21"/>
  <c r="AS72" i="21"/>
  <c r="AS67" i="21"/>
  <c r="AI68" i="21"/>
  <c r="AI60" i="21"/>
  <c r="AQ62" i="21"/>
  <c r="AV61" i="21"/>
  <c r="AT59" i="21"/>
  <c r="AR57" i="21"/>
  <c r="AW56" i="21"/>
  <c r="AQ55" i="21"/>
  <c r="AW54" i="21"/>
  <c r="AQ53" i="21"/>
  <c r="AV59" i="21"/>
  <c r="AR64" i="21"/>
  <c r="AW63" i="21"/>
  <c r="AQ57" i="21"/>
  <c r="AV56" i="21"/>
  <c r="AV54" i="21"/>
  <c r="AV62" i="21"/>
  <c r="AW57" i="21"/>
  <c r="AV64" i="21"/>
  <c r="AT62" i="21"/>
  <c r="AR60" i="21"/>
  <c r="AR53" i="21"/>
  <c r="AQ64" i="21"/>
  <c r="AV63" i="21"/>
  <c r="AT61" i="21"/>
  <c r="AR59" i="21"/>
  <c r="AW58" i="21"/>
  <c r="AW65" i="21"/>
  <c r="AQ59" i="21"/>
  <c r="AT56" i="21"/>
  <c r="AT60" i="21"/>
  <c r="AR58" i="21"/>
  <c r="AV55" i="21"/>
  <c r="AT53" i="21"/>
  <c r="AR55" i="21"/>
  <c r="AV58" i="21"/>
  <c r="AT54" i="21"/>
  <c r="AV53" i="21"/>
  <c r="AW59" i="21"/>
  <c r="AT55" i="21"/>
  <c r="AT57" i="21"/>
  <c r="AV65" i="21"/>
  <c r="AT63" i="21"/>
  <c r="AR61" i="21"/>
  <c r="AW60" i="21"/>
  <c r="AR54" i="21"/>
  <c r="AQ60" i="21"/>
  <c r="AT64" i="21"/>
  <c r="AQ61" i="21"/>
  <c r="AV60" i="21"/>
  <c r="AT58" i="21"/>
  <c r="AR56" i="21"/>
  <c r="AO52" i="21"/>
  <c r="AW61" i="21"/>
  <c r="AT65" i="21"/>
  <c r="AR63" i="21"/>
  <c r="AW62" i="21"/>
  <c r="AQ56" i="21"/>
  <c r="AW55" i="21"/>
  <c r="AQ54" i="21"/>
  <c r="AW53" i="21"/>
  <c r="AQ63" i="21"/>
  <c r="AQ65" i="21"/>
  <c r="AR62" i="21"/>
  <c r="AR65" i="21"/>
  <c r="AW64" i="21"/>
  <c r="AQ58" i="21"/>
  <c r="AV57" i="21"/>
  <c r="AK79" i="21" a="1"/>
  <c r="AK79" i="21" s="1"/>
  <c r="AP79" i="21" s="1" a="1"/>
  <c r="AP79" i="21" s="1"/>
  <c r="N77" i="21" a="1"/>
  <c r="N77" i="21" s="1"/>
  <c r="H77" i="21" a="1"/>
  <c r="H77" i="21" s="1"/>
  <c r="M77" i="21" a="1"/>
  <c r="M77" i="21" s="1"/>
  <c r="G77" i="21" a="1"/>
  <c r="G77" i="21" s="1"/>
  <c r="R77" i="21" a="1"/>
  <c r="R77" i="21" s="1"/>
  <c r="L77" i="21" a="1"/>
  <c r="L77" i="21" s="1"/>
  <c r="F77" i="21" a="1"/>
  <c r="F77" i="21" s="1"/>
  <c r="P77" i="21" a="1"/>
  <c r="P77" i="21" s="1"/>
  <c r="D77" i="21" a="1"/>
  <c r="D77" i="21" s="1"/>
  <c r="Q77" i="21" a="1"/>
  <c r="Q77" i="21" s="1"/>
  <c r="K77" i="21" a="1"/>
  <c r="E77" i="21" a="1"/>
  <c r="E77" i="21" s="1"/>
  <c r="J77" i="21" a="1"/>
  <c r="J77" i="21" s="1"/>
  <c r="O77" i="21" a="1"/>
  <c r="O77" i="21" s="1"/>
  <c r="I77" i="21" a="1"/>
  <c r="I77" i="21" s="1"/>
  <c r="C77" i="21" a="1"/>
  <c r="B113" i="21" a="1"/>
  <c r="C91" i="21" a="1"/>
  <c r="AB80" i="21"/>
  <c r="Z80" i="21" s="1"/>
  <c r="AB81" i="21"/>
  <c r="Z81" i="21" s="1"/>
  <c r="AB82" i="21"/>
  <c r="Z82" i="21" s="1"/>
  <c r="AB83" i="21"/>
  <c r="Z83" i="21" s="1"/>
  <c r="AB84" i="21"/>
  <c r="Z84" i="21" s="1"/>
  <c r="AB85" i="21"/>
  <c r="Z85" i="21" s="1"/>
  <c r="AB86" i="21"/>
  <c r="Z86" i="21" s="1"/>
  <c r="AB87" i="21"/>
  <c r="Z87" i="21" s="1"/>
  <c r="AB88" i="21"/>
  <c r="Z88" i="21" s="1"/>
  <c r="AB89" i="21"/>
  <c r="Z89" i="21" s="1"/>
  <c r="AC71" i="21"/>
  <c r="U70" i="21"/>
  <c r="AB69" i="21"/>
  <c r="Z69" i="21" s="1"/>
  <c r="AB74" i="21"/>
  <c r="Z74" i="21" s="1"/>
  <c r="AB90" i="21"/>
  <c r="Z90" i="21" s="1"/>
  <c r="AB79" i="21"/>
  <c r="Z79" i="21" s="1"/>
  <c r="AK52" i="21"/>
  <c r="AJ52" i="21"/>
  <c r="AF52" i="21"/>
  <c r="Q127" i="21"/>
  <c r="Q171" i="21"/>
  <c r="Q148" i="21"/>
  <c r="AU63" i="21" l="1"/>
  <c r="AS63" i="21" s="1"/>
  <c r="AU54" i="21"/>
  <c r="AS54" i="21" s="1"/>
  <c r="AI52" i="21"/>
  <c r="AU57" i="21"/>
  <c r="AS57" i="21" s="1"/>
  <c r="AU65" i="21"/>
  <c r="AS65" i="21" s="1"/>
  <c r="AU56" i="21"/>
  <c r="AS56" i="21" s="1"/>
  <c r="AU60" i="21"/>
  <c r="AS60" i="21" s="1"/>
  <c r="AU58" i="21"/>
  <c r="AS58" i="21" s="1"/>
  <c r="B113" i="21"/>
  <c r="C91" i="21"/>
  <c r="X109" i="21"/>
  <c r="X108" i="21"/>
  <c r="X107" i="21"/>
  <c r="X106" i="21"/>
  <c r="X105" i="21"/>
  <c r="X104" i="21"/>
  <c r="X103" i="21"/>
  <c r="X102" i="21"/>
  <c r="X101" i="21"/>
  <c r="C77" i="21"/>
  <c r="X100" i="21" s="1"/>
  <c r="AU61" i="21"/>
  <c r="AS61" i="21" s="1"/>
  <c r="AU53" i="21"/>
  <c r="AS53" i="21" s="1"/>
  <c r="Y109" i="21"/>
  <c r="Y108" i="21"/>
  <c r="AC108" i="21" s="1"/>
  <c r="Y107" i="21"/>
  <c r="AC107" i="21" s="1"/>
  <c r="Y106" i="21"/>
  <c r="Y105" i="21"/>
  <c r="Y104" i="21"/>
  <c r="AC104" i="21" s="1"/>
  <c r="Y103" i="21"/>
  <c r="AC103" i="21" s="1"/>
  <c r="Y102" i="21"/>
  <c r="Y101" i="21"/>
  <c r="K77" i="21"/>
  <c r="Y100" i="21" s="1"/>
  <c r="AU55" i="21"/>
  <c r="AS55" i="21" s="1"/>
  <c r="AW52" i="21"/>
  <c r="AV52" i="21"/>
  <c r="AT52" i="21"/>
  <c r="AR52" i="21"/>
  <c r="AQ52" i="21"/>
  <c r="AP52" i="21" a="1"/>
  <c r="AP52" i="21" s="1"/>
  <c r="AU59" i="21"/>
  <c r="AS59" i="21" s="1"/>
  <c r="AU64" i="21"/>
  <c r="AS64" i="21" s="1"/>
  <c r="AU62" i="21"/>
  <c r="AS62" i="21" s="1"/>
  <c r="A52" i="21"/>
  <c r="B51" i="21" a="1"/>
  <c r="B51" i="21" s="1"/>
  <c r="AW47" i="21"/>
  <c r="AK47" i="21"/>
  <c r="AC47" i="21"/>
  <c r="U47" i="21"/>
  <c r="AW46" i="21"/>
  <c r="AK46" i="21"/>
  <c r="R46" i="21"/>
  <c r="J46" i="21"/>
  <c r="AW45" i="21"/>
  <c r="AK45" i="21"/>
  <c r="R45" i="21"/>
  <c r="J45" i="21"/>
  <c r="AW44" i="21"/>
  <c r="AK44" i="21"/>
  <c r="R44" i="21"/>
  <c r="J44" i="21"/>
  <c r="AW43" i="21"/>
  <c r="AK43" i="21"/>
  <c r="AW42" i="21"/>
  <c r="AK42" i="21"/>
  <c r="AW41" i="21"/>
  <c r="AK41" i="21"/>
  <c r="AG41" i="21"/>
  <c r="W41" i="21"/>
  <c r="AW40" i="21"/>
  <c r="AK40" i="21"/>
  <c r="AG40" i="21"/>
  <c r="W40" i="21"/>
  <c r="AW39" i="21"/>
  <c r="AY44" i="21" l="1"/>
  <c r="AU52" i="21"/>
  <c r="AS52" i="21" s="1"/>
  <c r="AS44" i="21"/>
  <c r="O51" i="21" a="1"/>
  <c r="O51" i="21" s="1"/>
  <c r="F51" i="21" a="1"/>
  <c r="F51" i="21" s="1"/>
  <c r="N51" i="21" a="1"/>
  <c r="N51" i="21" s="1"/>
  <c r="E51" i="21" a="1"/>
  <c r="E51" i="21" s="1"/>
  <c r="G51" i="21" a="1"/>
  <c r="G51" i="21" s="1"/>
  <c r="M51" i="21" a="1"/>
  <c r="M51" i="21" s="1"/>
  <c r="D51" i="21" a="1"/>
  <c r="D51" i="21" s="1"/>
  <c r="L51" i="21" a="1"/>
  <c r="L51" i="21" s="1"/>
  <c r="C51" i="21" a="1"/>
  <c r="V52" i="21" a="1"/>
  <c r="V52" i="21" s="1"/>
  <c r="K51" i="21" a="1"/>
  <c r="AC106" i="21"/>
  <c r="AH84" i="21"/>
  <c r="AB102" i="21"/>
  <c r="Z102" i="21" s="1"/>
  <c r="U102" i="21"/>
  <c r="AH87" i="21"/>
  <c r="AB103" i="21"/>
  <c r="Z103" i="21" s="1"/>
  <c r="U103" i="21"/>
  <c r="AB104" i="21"/>
  <c r="Z104" i="21" s="1"/>
  <c r="U104" i="21"/>
  <c r="AB101" i="21"/>
  <c r="Z101" i="21" s="1"/>
  <c r="U101" i="21"/>
  <c r="AG82" i="21"/>
  <c r="AG81" i="21"/>
  <c r="AC109" i="21"/>
  <c r="AH80" i="21"/>
  <c r="AH79" i="21"/>
  <c r="AB105" i="21"/>
  <c r="Z105" i="21" s="1"/>
  <c r="U105" i="21"/>
  <c r="AG78" i="21"/>
  <c r="AB100" i="21"/>
  <c r="Z100" i="21" s="1"/>
  <c r="U100" i="21"/>
  <c r="AG88" i="21"/>
  <c r="AB106" i="21"/>
  <c r="Z106" i="21" s="1"/>
  <c r="U106" i="21"/>
  <c r="AG84" i="21"/>
  <c r="AB107" i="21"/>
  <c r="Z107" i="21" s="1"/>
  <c r="U107" i="21"/>
  <c r="AC100" i="21"/>
  <c r="AH88" i="21"/>
  <c r="AB108" i="21"/>
  <c r="Z108" i="21" s="1"/>
  <c r="U108" i="21"/>
  <c r="AC101" i="21"/>
  <c r="AH82" i="21"/>
  <c r="AH81" i="21"/>
  <c r="AB109" i="21"/>
  <c r="Z109" i="21" s="1"/>
  <c r="U109" i="21"/>
  <c r="AG79" i="21"/>
  <c r="AG80" i="21"/>
  <c r="AC105" i="21"/>
  <c r="AH78" i="21"/>
  <c r="AC102" i="21"/>
  <c r="AG87" i="21"/>
  <c r="B134" i="21" a="1"/>
  <c r="AK39" i="21"/>
  <c r="AG39" i="21"/>
  <c r="W39" i="21"/>
  <c r="AW38" i="21"/>
  <c r="Q107" i="21" a="1"/>
  <c r="Q129" i="21" a="1"/>
  <c r="Q173" i="21" a="1"/>
  <c r="C114" i="21" a="1"/>
  <c r="Q147" i="21" a="1"/>
  <c r="AA52" i="21" a="1"/>
  <c r="Q149" i="21" a="1"/>
  <c r="Q125" i="21" a="1"/>
  <c r="Q105" i="21" a="1"/>
  <c r="AA52" i="21" l="1"/>
  <c r="C114" i="21"/>
  <c r="Q125" i="21"/>
  <c r="Q173" i="21"/>
  <c r="Q149" i="21"/>
  <c r="Q129" i="21"/>
  <c r="Q107" i="21"/>
  <c r="Q105" i="21"/>
  <c r="Q147" i="21"/>
  <c r="Y66" i="21"/>
  <c r="AC66" i="21" s="1"/>
  <c r="Y61" i="21"/>
  <c r="Y64" i="21"/>
  <c r="AC64" i="21" s="1"/>
  <c r="Y56" i="21"/>
  <c r="AC56" i="21" s="1"/>
  <c r="Y54" i="21"/>
  <c r="Y67" i="21"/>
  <c r="AC67" i="21" s="1"/>
  <c r="Y57" i="21"/>
  <c r="AC57" i="21" s="1"/>
  <c r="Y63" i="21"/>
  <c r="Y58" i="21"/>
  <c r="AC58" i="21" s="1"/>
  <c r="Y65" i="21"/>
  <c r="AC65" i="21" s="1"/>
  <c r="Y68" i="21"/>
  <c r="AC68" i="21" s="1"/>
  <c r="Y60" i="21"/>
  <c r="AC60" i="21" s="1"/>
  <c r="Y62" i="21"/>
  <c r="Y55" i="21"/>
  <c r="Y53" i="21"/>
  <c r="AC53" i="21" s="1"/>
  <c r="Y59" i="21"/>
  <c r="AC59" i="21" s="1"/>
  <c r="K51" i="21"/>
  <c r="Y52" i="21" s="1"/>
  <c r="W52" i="21" a="1"/>
  <c r="W52" i="21" s="1"/>
  <c r="B134" i="21"/>
  <c r="X59" i="21"/>
  <c r="X66" i="21"/>
  <c r="X56" i="21"/>
  <c r="X54" i="21"/>
  <c r="X68" i="21"/>
  <c r="X60" i="21"/>
  <c r="X61" i="21"/>
  <c r="X53" i="21"/>
  <c r="X57" i="21"/>
  <c r="X63" i="21"/>
  <c r="X62" i="21"/>
  <c r="X55" i="21"/>
  <c r="X67" i="21"/>
  <c r="X58" i="21"/>
  <c r="X64" i="21"/>
  <c r="X65" i="21"/>
  <c r="C51" i="21"/>
  <c r="X52" i="21" s="1"/>
  <c r="AK38" i="21"/>
  <c r="AG38" i="21"/>
  <c r="Q128" i="21" a="1"/>
  <c r="Q126" i="21" a="1"/>
  <c r="AC63" i="21" l="1"/>
  <c r="AC61" i="21"/>
  <c r="AC62" i="21"/>
  <c r="AC55" i="21"/>
  <c r="AC54" i="21"/>
  <c r="Q128" i="21"/>
  <c r="Q126" i="21"/>
  <c r="U65" i="21"/>
  <c r="AB65" i="21"/>
  <c r="Z65" i="21" s="1"/>
  <c r="U64" i="21"/>
  <c r="AB64" i="21"/>
  <c r="Z64" i="21" s="1"/>
  <c r="AB56" i="21"/>
  <c r="Z56" i="21" s="1"/>
  <c r="U56" i="21"/>
  <c r="AB58" i="21"/>
  <c r="Z58" i="21" s="1"/>
  <c r="U58" i="21"/>
  <c r="U55" i="21"/>
  <c r="AB55" i="21"/>
  <c r="Z55" i="21" s="1"/>
  <c r="B157" i="21" a="1"/>
  <c r="C133" i="21" a="1"/>
  <c r="C133" i="21" s="1"/>
  <c r="U59" i="21"/>
  <c r="AB59" i="21"/>
  <c r="Z59" i="21" s="1"/>
  <c r="AC52" i="21"/>
  <c r="AB54" i="21"/>
  <c r="Z54" i="21" s="1"/>
  <c r="U54" i="21"/>
  <c r="AB66" i="21"/>
  <c r="Z66" i="21" s="1"/>
  <c r="U66" i="21"/>
  <c r="U62" i="21"/>
  <c r="AB62" i="21"/>
  <c r="Z62" i="21" s="1"/>
  <c r="U53" i="21"/>
  <c r="AB53" i="21"/>
  <c r="Z53" i="21" s="1"/>
  <c r="AB67" i="21"/>
  <c r="Z67" i="21" s="1"/>
  <c r="U67" i="21"/>
  <c r="AS42" i="21"/>
  <c r="AY42" i="21"/>
  <c r="AY43" i="21"/>
  <c r="AB63" i="21"/>
  <c r="Z63" i="21" s="1"/>
  <c r="U63" i="21"/>
  <c r="U57" i="21"/>
  <c r="AB57" i="21"/>
  <c r="Z57" i="21" s="1"/>
  <c r="AB60" i="21"/>
  <c r="Z60" i="21" s="1"/>
  <c r="U60" i="21"/>
  <c r="AB61" i="21"/>
  <c r="Z61" i="21" s="1"/>
  <c r="U61" i="21"/>
  <c r="AB52" i="21"/>
  <c r="Z52" i="21" s="1"/>
  <c r="U52" i="21"/>
  <c r="AB68" i="21"/>
  <c r="Z68" i="21" s="1"/>
  <c r="U68" i="21"/>
  <c r="W38" i="21"/>
  <c r="AW37" i="21"/>
  <c r="Q124" i="21" a="1"/>
  <c r="Q104" i="21" a="1"/>
  <c r="C158" i="21" a="1"/>
  <c r="Q170" i="21" a="1"/>
  <c r="Q169" i="21" a="1"/>
  <c r="Q130" i="21" a="1"/>
  <c r="Q172" i="21" a="1"/>
  <c r="C158" i="21" l="1"/>
  <c r="Q169" i="21"/>
  <c r="Q170" i="21"/>
  <c r="Q172" i="21"/>
  <c r="Q104" i="21"/>
  <c r="Q124" i="21"/>
  <c r="Q130" i="21"/>
  <c r="B157" i="21"/>
  <c r="AK37" i="21"/>
  <c r="AG37" i="21"/>
  <c r="Q168" i="21" a="1"/>
  <c r="Q150" i="21" a="1"/>
  <c r="Q174" i="21" a="1"/>
  <c r="Q103" i="21" a="1"/>
  <c r="Q146" i="21" a="1"/>
  <c r="Q108" i="21" a="1"/>
  <c r="Q108" i="21" l="1"/>
  <c r="Q150" i="21"/>
  <c r="Q174" i="21"/>
  <c r="Q103" i="21"/>
  <c r="Q146" i="21"/>
  <c r="Q168" i="21"/>
  <c r="AS41" i="21"/>
  <c r="AY40" i="21"/>
  <c r="AY41" i="21"/>
  <c r="AS40" i="21"/>
  <c r="AY39" i="21"/>
  <c r="AS39" i="21"/>
  <c r="W37" i="21"/>
  <c r="Q109" i="21" a="1"/>
  <c r="Q167" i="21" a="1"/>
  <c r="Q123" i="21" a="1"/>
  <c r="Q102" i="21" a="1"/>
  <c r="Q151" i="21" a="1"/>
  <c r="Q109" i="21" l="1"/>
  <c r="Q123" i="21"/>
  <c r="Q151" i="21"/>
  <c r="Q167" i="21"/>
  <c r="Q102" i="21"/>
  <c r="AW36" i="21"/>
  <c r="Q121" i="21" a="1"/>
  <c r="Q101" i="21" a="1"/>
  <c r="Q145" i="21" a="1"/>
  <c r="Q122" i="21" a="1"/>
  <c r="Q145" i="21" l="1"/>
  <c r="Q122" i="21"/>
  <c r="Q121" i="21"/>
  <c r="Q101" i="21"/>
  <c r="AK36" i="21"/>
  <c r="AG36" i="21"/>
  <c r="Q100" i="21" a="1"/>
  <c r="Q100" i="21" l="1"/>
  <c r="AY38" i="21"/>
  <c r="AS38" i="21"/>
  <c r="AS37" i="21"/>
  <c r="AY37" i="21"/>
  <c r="AS36" i="21"/>
  <c r="AY36" i="21"/>
  <c r="W36" i="21"/>
  <c r="Q119" i="21" a="1"/>
  <c r="Q120" i="21" a="1"/>
  <c r="Q99" i="21" a="1"/>
  <c r="Q166" i="21" a="1"/>
  <c r="Q144" i="21" a="1"/>
  <c r="Q166" i="21" l="1"/>
  <c r="Q144" i="21"/>
  <c r="Q120" i="21"/>
  <c r="Q119" i="21"/>
  <c r="Q99" i="21"/>
  <c r="AW35" i="21"/>
  <c r="Q118" i="21" a="1"/>
  <c r="Q98" i="21" a="1"/>
  <c r="Q118" i="21" l="1"/>
  <c r="Q98" i="21"/>
  <c r="AK35" i="21"/>
  <c r="AG35" i="21"/>
  <c r="Q165" i="21" a="1"/>
  <c r="Q117" i="21" a="1"/>
  <c r="Q143" i="21" a="1"/>
  <c r="Q165" i="21" l="1"/>
  <c r="Q143" i="21"/>
  <c r="Q117" i="21"/>
  <c r="AS35" i="21"/>
  <c r="AY35" i="21"/>
  <c r="W35" i="21"/>
  <c r="Q97" i="21" a="1"/>
  <c r="Q97" i="21" l="1"/>
  <c r="AY34" i="21"/>
  <c r="AW34" i="21"/>
  <c r="AS34" i="21"/>
  <c r="Q142" i="21" a="1"/>
  <c r="Q164" i="21" a="1"/>
  <c r="Q164" i="21" l="1"/>
  <c r="Q142" i="21"/>
  <c r="AK34" i="21"/>
  <c r="AG34" i="21"/>
  <c r="Q116" i="21" a="1"/>
  <c r="Q96" i="21" a="1"/>
  <c r="Q96" i="21" l="1"/>
  <c r="Q116" i="21"/>
  <c r="W34" i="21"/>
  <c r="Q163" i="21" a="1"/>
  <c r="Q141" i="21" a="1"/>
  <c r="Q141" i="21" l="1"/>
  <c r="Q163" i="21"/>
  <c r="AY33" i="21"/>
  <c r="AW33" i="21"/>
  <c r="AS33" i="21"/>
  <c r="Q115" i="21" a="1"/>
  <c r="Q95" i="21" a="1"/>
  <c r="Q95" i="21" l="1"/>
  <c r="Q115" i="21"/>
  <c r="AK33" i="21"/>
  <c r="AG33" i="21"/>
  <c r="Q162" i="21" a="1"/>
  <c r="Q140" i="21" a="1"/>
  <c r="Q162" i="21" l="1"/>
  <c r="Q140" i="21"/>
  <c r="W33" i="21"/>
  <c r="Q94" i="21" a="1"/>
  <c r="Q114" i="21" a="1"/>
  <c r="Q94" i="21" l="1"/>
  <c r="Q114" i="21"/>
  <c r="AY32" i="21"/>
  <c r="AW32" i="21"/>
  <c r="Q161" i="21" a="1"/>
  <c r="Q139" i="21" a="1"/>
  <c r="Q139" i="21" l="1"/>
  <c r="Q161" i="21"/>
  <c r="AK32" i="21"/>
  <c r="AG32" i="21"/>
  <c r="Q113" i="21" a="1"/>
  <c r="Q93" i="21" a="1"/>
  <c r="Q93" i="21" l="1"/>
  <c r="Q113" i="21"/>
  <c r="AS43" i="21"/>
  <c r="AS32" i="21"/>
  <c r="W32" i="21"/>
  <c r="Q92" i="21" a="1"/>
  <c r="Q160" i="21" a="1"/>
  <c r="Q138" i="21" a="1"/>
  <c r="Q138" i="21" l="1"/>
  <c r="Q160" i="21"/>
  <c r="Q92" i="21"/>
  <c r="A32" i="21" a="1"/>
  <c r="A32" i="21" s="1"/>
  <c r="AY31" i="21"/>
  <c r="AW31" i="21"/>
  <c r="AS31" i="21"/>
  <c r="AK31" i="21" l="1"/>
  <c r="AG31" i="21"/>
  <c r="Q159" i="21" a="1"/>
  <c r="Q137" i="21" a="1"/>
  <c r="Q159" i="21" l="1"/>
  <c r="Q137" i="21"/>
  <c r="W31" i="21"/>
  <c r="A31" i="21" l="1" a="1"/>
  <c r="A31" i="21" s="1"/>
  <c r="AY30" i="21"/>
  <c r="AW30" i="21"/>
  <c r="AS30" i="21"/>
  <c r="Q158" i="21" a="1"/>
  <c r="Q136" i="21" a="1"/>
  <c r="Q136" i="21" l="1"/>
  <c r="Q158" i="21"/>
  <c r="AK30" i="21"/>
  <c r="AG30" i="21"/>
  <c r="W30" i="21" l="1"/>
  <c r="Q157" i="21" a="1"/>
  <c r="Q135" i="21" a="1"/>
  <c r="Q135" i="21" l="1"/>
  <c r="Q157" i="21"/>
  <c r="A30" i="21" a="1"/>
  <c r="A30" i="21" s="1"/>
  <c r="AY29" i="21"/>
  <c r="AW29" i="21"/>
  <c r="AS29" i="21"/>
  <c r="Q134" i="21" a="1"/>
  <c r="Q134" i="21" l="1"/>
  <c r="AK29" i="21"/>
  <c r="AG29" i="21"/>
  <c r="W29" i="21" l="1"/>
  <c r="A29" i="21" l="1" a="1"/>
  <c r="A29" i="21" s="1"/>
  <c r="AY28" i="21"/>
  <c r="AW28" i="21"/>
  <c r="AS28" i="21"/>
  <c r="AK28" i="21" l="1"/>
  <c r="AG28" i="21"/>
  <c r="W28" i="21" l="1"/>
  <c r="A28" i="21" l="1" a="1"/>
  <c r="A28" i="21" s="1"/>
  <c r="AY27" i="21"/>
  <c r="AW27" i="21"/>
  <c r="AS27" i="21"/>
  <c r="AX23" i="21"/>
  <c r="AW23" i="21"/>
  <c r="AV23" i="21"/>
  <c r="AX20" i="21"/>
  <c r="AW20" i="21"/>
  <c r="AV20" i="21"/>
  <c r="AR20" i="21"/>
  <c r="AO20" i="21"/>
  <c r="AS20" i="21" s="1"/>
  <c r="AR19" i="21"/>
  <c r="AO19" i="21"/>
  <c r="AS19" i="21" s="1"/>
  <c r="AR18" i="21"/>
  <c r="AO18" i="21"/>
  <c r="AS18" i="21" s="1"/>
  <c r="AR17" i="21"/>
  <c r="AO17" i="21"/>
  <c r="AS17" i="21" s="1"/>
  <c r="AR16" i="21"/>
  <c r="AO16" i="21"/>
  <c r="AS16" i="21" s="1"/>
  <c r="AR15" i="21"/>
  <c r="AO15" i="21"/>
  <c r="AS15" i="21" s="1"/>
  <c r="AZ14" i="21"/>
  <c r="AX14" i="21"/>
  <c r="AW14" i="21"/>
  <c r="AV14" i="21"/>
  <c r="AR14" i="21"/>
  <c r="AO14" i="21"/>
  <c r="AS14" i="21" s="1"/>
  <c r="AY13" i="21"/>
  <c r="AR13" i="21"/>
  <c r="AO13" i="21"/>
  <c r="AS13" i="21" s="1"/>
  <c r="AY12" i="21"/>
  <c r="AR12" i="21"/>
  <c r="AO12" i="21"/>
  <c r="AS12" i="21" s="1"/>
  <c r="AY11" i="21"/>
  <c r="AR11" i="21"/>
  <c r="AR10" i="21"/>
  <c r="AR9" i="21"/>
  <c r="AO9" i="21"/>
  <c r="AS9" i="21" s="1"/>
  <c r="AR8" i="21"/>
  <c r="AO8" i="21"/>
  <c r="AS8" i="21" s="1"/>
  <c r="AZ7" i="21"/>
  <c r="AX7" i="21"/>
  <c r="AW7" i="21"/>
  <c r="AV7" i="21"/>
  <c r="AR7" i="21"/>
  <c r="AO7" i="21"/>
  <c r="AS7" i="21" s="1"/>
  <c r="AR6" i="21"/>
  <c r="AO6" i="21"/>
  <c r="AS6" i="21" s="1"/>
  <c r="AR5" i="21"/>
  <c r="AO5" i="21"/>
  <c r="AS5" i="21" s="1"/>
  <c r="AR4" i="21"/>
  <c r="AO4" i="21"/>
  <c r="AS4" i="21" s="1"/>
  <c r="B4" i="21" a="1"/>
  <c r="B4" i="21" s="1"/>
  <c r="B28" i="21" a="1"/>
  <c r="AY14" i="21" l="1"/>
  <c r="AO10" i="21"/>
  <c r="AS10" i="21" s="1"/>
  <c r="B28" i="21"/>
  <c r="O4" i="21" a="1"/>
  <c r="O4" i="21" s="1"/>
  <c r="I4" i="21" a="1"/>
  <c r="I4" i="21" s="1"/>
  <c r="C4" i="21" a="1"/>
  <c r="W4" i="21" a="1"/>
  <c r="N4" i="21" a="1"/>
  <c r="N4" i="21" s="1"/>
  <c r="H4" i="21" a="1"/>
  <c r="H4" i="21" s="1"/>
  <c r="M4" i="21" a="1"/>
  <c r="M4" i="21" s="1"/>
  <c r="G4" i="21" a="1"/>
  <c r="G4" i="21" s="1"/>
  <c r="R4" i="21" a="1"/>
  <c r="R4" i="21" s="1"/>
  <c r="L4" i="21" a="1"/>
  <c r="L4" i="21" s="1"/>
  <c r="F4" i="21" a="1"/>
  <c r="F4" i="21" s="1"/>
  <c r="J4" i="21" a="1"/>
  <c r="J4" i="21" s="1"/>
  <c r="Q4" i="21" a="1"/>
  <c r="Q4" i="21" s="1"/>
  <c r="K4" i="21" a="1"/>
  <c r="E4" i="21" a="1"/>
  <c r="E4" i="21" s="1"/>
  <c r="P4" i="21" a="1"/>
  <c r="P4" i="21" s="1"/>
  <c r="D4" i="21" a="1"/>
  <c r="D4" i="21" s="1"/>
  <c r="AO11" i="21"/>
  <c r="AS11" i="21" s="1"/>
  <c r="X21" i="21" l="1"/>
  <c r="Y21" i="21"/>
  <c r="AC21" i="21" s="1"/>
  <c r="AH46" i="21"/>
  <c r="AI46" i="21"/>
  <c r="AM46" i="21" s="1"/>
  <c r="X13" i="21"/>
  <c r="U13" i="21" s="1"/>
  <c r="W4" i="21"/>
  <c r="X18" i="21"/>
  <c r="X12" i="21"/>
  <c r="C4" i="21"/>
  <c r="X4" i="21" s="1"/>
  <c r="X8" i="21"/>
  <c r="X6" i="21"/>
  <c r="X17" i="21"/>
  <c r="X11" i="21"/>
  <c r="X14" i="21"/>
  <c r="X5" i="21"/>
  <c r="X20" i="21"/>
  <c r="X16" i="21"/>
  <c r="X10" i="21"/>
  <c r="X19" i="21"/>
  <c r="X15" i="21"/>
  <c r="X7" i="21"/>
  <c r="X9" i="21"/>
  <c r="Y8" i="21"/>
  <c r="AC8" i="21" s="1"/>
  <c r="Y6" i="21"/>
  <c r="AC6" i="21" s="1"/>
  <c r="Y17" i="21"/>
  <c r="AC17" i="21" s="1"/>
  <c r="Y11" i="21"/>
  <c r="AC11" i="21" s="1"/>
  <c r="Y14" i="21"/>
  <c r="AC14" i="21" s="1"/>
  <c r="Y5" i="21"/>
  <c r="AC5" i="21" s="1"/>
  <c r="Y20" i="21"/>
  <c r="AC20" i="21" s="1"/>
  <c r="Y16" i="21"/>
  <c r="AC16" i="21" s="1"/>
  <c r="Y10" i="21"/>
  <c r="AC10" i="21" s="1"/>
  <c r="Y19" i="21"/>
  <c r="AC19" i="21" s="1"/>
  <c r="Y15" i="21"/>
  <c r="AC15" i="21" s="1"/>
  <c r="Y13" i="21"/>
  <c r="Y7" i="21"/>
  <c r="AC7" i="21" s="1"/>
  <c r="K4" i="21"/>
  <c r="Y4" i="21" s="1"/>
  <c r="AC4" i="21" s="1"/>
  <c r="Y9" i="21"/>
  <c r="AC9" i="21" s="1"/>
  <c r="Y18" i="21"/>
  <c r="AC18" i="21" s="1"/>
  <c r="Y12" i="21"/>
  <c r="AC12" i="21" s="1"/>
  <c r="AH43" i="21"/>
  <c r="AH42" i="21"/>
  <c r="AH47" i="21"/>
  <c r="AI47" i="21"/>
  <c r="AM47" i="21" s="1"/>
  <c r="AI42" i="21"/>
  <c r="AM42" i="21" s="1"/>
  <c r="AI43" i="21"/>
  <c r="AM43" i="21" s="1"/>
  <c r="L28" i="21" a="1"/>
  <c r="L28" i="21" s="1"/>
  <c r="N28" i="21" a="1"/>
  <c r="N28" i="21" s="1"/>
  <c r="C28" i="21" a="1"/>
  <c r="M28" i="21" a="1"/>
  <c r="M28" i="21" s="1"/>
  <c r="K28" i="21" a="1"/>
  <c r="G28" i="21" a="1"/>
  <c r="G28" i="21" s="1"/>
  <c r="O28" i="21" a="1"/>
  <c r="O28" i="21" s="1"/>
  <c r="F28" i="21" a="1"/>
  <c r="F28" i="21" s="1"/>
  <c r="D28" i="21" a="1"/>
  <c r="D28" i="21" s="1"/>
  <c r="E28" i="21" a="1"/>
  <c r="E28" i="21" s="1"/>
  <c r="AB21" i="21" l="1"/>
  <c r="Z21" i="21" s="1"/>
  <c r="U21" i="21"/>
  <c r="AB10" i="21"/>
  <c r="Z10" i="21" s="1"/>
  <c r="U10" i="21"/>
  <c r="AL4" i="21" a="1"/>
  <c r="AL4" i="21" s="1"/>
  <c r="AQ4" i="21" s="1" a="1"/>
  <c r="AQ4" i="21" s="1"/>
  <c r="V4" i="21"/>
  <c r="R40" i="21"/>
  <c r="R43" i="21"/>
  <c r="R41" i="21"/>
  <c r="R42" i="21"/>
  <c r="R39" i="21"/>
  <c r="R38" i="21"/>
  <c r="R37" i="21"/>
  <c r="Y36" i="21" s="1"/>
  <c r="R36" i="21"/>
  <c r="R35" i="21"/>
  <c r="R34" i="21"/>
  <c r="R33" i="21"/>
  <c r="R32" i="21"/>
  <c r="R31" i="21"/>
  <c r="R30" i="21"/>
  <c r="R29" i="21"/>
  <c r="K28" i="21"/>
  <c r="R28" i="21" s="1"/>
  <c r="AE46" i="21"/>
  <c r="AL46" i="21"/>
  <c r="AJ46" i="21" s="1"/>
  <c r="AB16" i="21"/>
  <c r="Z16" i="21" s="1"/>
  <c r="U16" i="21"/>
  <c r="AB20" i="21"/>
  <c r="Z20" i="21" s="1"/>
  <c r="U20" i="21"/>
  <c r="J43" i="21"/>
  <c r="J42" i="21"/>
  <c r="J40" i="21"/>
  <c r="J41" i="21"/>
  <c r="J39" i="21"/>
  <c r="J38" i="21"/>
  <c r="J37" i="21"/>
  <c r="X36" i="21" s="1"/>
  <c r="J36" i="21"/>
  <c r="J35" i="21"/>
  <c r="J34" i="21"/>
  <c r="J33" i="21"/>
  <c r="J32" i="21"/>
  <c r="J31" i="21"/>
  <c r="J30" i="21"/>
  <c r="J29" i="21"/>
  <c r="C28" i="21"/>
  <c r="J28" i="21" s="1"/>
  <c r="AB5" i="21"/>
  <c r="Z5" i="21" s="1"/>
  <c r="U5" i="21"/>
  <c r="AL47" i="21"/>
  <c r="AJ47" i="21" s="1"/>
  <c r="AE47" i="21"/>
  <c r="AB14" i="21"/>
  <c r="Z14" i="21" s="1"/>
  <c r="U14" i="21"/>
  <c r="U18" i="21"/>
  <c r="AB18" i="21"/>
  <c r="Z18" i="21" s="1"/>
  <c r="AL42" i="21"/>
  <c r="AJ42" i="21" s="1"/>
  <c r="AE42" i="21"/>
  <c r="AB11" i="21"/>
  <c r="Z11" i="21" s="1"/>
  <c r="U11" i="21"/>
  <c r="U17" i="21"/>
  <c r="AB17" i="21"/>
  <c r="Z17" i="21" s="1"/>
  <c r="AB19" i="21"/>
  <c r="Z19" i="21" s="1"/>
  <c r="U19" i="21"/>
  <c r="AC13" i="21"/>
  <c r="AB13" i="21"/>
  <c r="Z13" i="21" s="1"/>
  <c r="U9" i="21"/>
  <c r="AB9" i="21"/>
  <c r="Z9" i="21" s="1"/>
  <c r="U6" i="21"/>
  <c r="AB6" i="21"/>
  <c r="Z6" i="21" s="1"/>
  <c r="U8" i="21"/>
  <c r="AB8" i="21"/>
  <c r="Z8" i="21" s="1"/>
  <c r="AB7" i="21"/>
  <c r="Z7" i="21" s="1"/>
  <c r="U7" i="21"/>
  <c r="U4" i="21"/>
  <c r="AB4" i="21"/>
  <c r="Z4" i="21" s="1"/>
  <c r="AE43" i="21"/>
  <c r="AL43" i="21"/>
  <c r="AJ43" i="21" s="1"/>
  <c r="U15" i="21"/>
  <c r="AB15" i="21"/>
  <c r="Z15" i="21" s="1"/>
  <c r="U12" i="21"/>
  <c r="AB12" i="21"/>
  <c r="Z12" i="21" s="1"/>
  <c r="AH36" i="21" l="1"/>
  <c r="AI36" i="21"/>
  <c r="AH45" i="21"/>
  <c r="AI45" i="21"/>
  <c r="AM45" i="21" s="1"/>
  <c r="AI44" i="21"/>
  <c r="AM44" i="21" s="1"/>
  <c r="AH44" i="21"/>
  <c r="X39" i="21"/>
  <c r="Y40" i="21"/>
  <c r="X37" i="21"/>
  <c r="X28" i="21"/>
  <c r="X38" i="21"/>
  <c r="Y28" i="21"/>
  <c r="Y39" i="21"/>
  <c r="AC39" i="21" s="1"/>
  <c r="Y37" i="21"/>
  <c r="X29" i="21"/>
  <c r="X40" i="21"/>
  <c r="Y29" i="21"/>
  <c r="Y41" i="21"/>
  <c r="X30" i="21"/>
  <c r="X41" i="21"/>
  <c r="Y30" i="21"/>
  <c r="Y38" i="21"/>
  <c r="AC38" i="21" s="1"/>
  <c r="X31" i="21"/>
  <c r="Y31" i="21"/>
  <c r="V5" i="2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Y32" i="21"/>
  <c r="X32" i="21"/>
  <c r="X33" i="21"/>
  <c r="U33" i="21" s="1"/>
  <c r="Y33" i="21"/>
  <c r="AC33" i="21" s="1"/>
  <c r="X34" i="21"/>
  <c r="U34" i="21" s="1"/>
  <c r="Y34" i="21"/>
  <c r="AC34" i="21" s="1"/>
  <c r="X35" i="21"/>
  <c r="Y35" i="21"/>
  <c r="AC36" i="21"/>
  <c r="U36" i="21"/>
  <c r="F160" i="21"/>
  <c r="N145" i="21"/>
  <c r="K142" i="21"/>
  <c r="J120" i="21"/>
  <c r="E115" i="21"/>
  <c r="U28" i="21"/>
  <c r="M123" i="21"/>
  <c r="AC31" i="21"/>
  <c r="K121" i="21"/>
  <c r="O146" i="21"/>
  <c r="C157" i="21"/>
  <c r="E136" i="21"/>
  <c r="P147" i="21"/>
  <c r="I119" i="21"/>
  <c r="H118" i="21"/>
  <c r="O125" i="21"/>
  <c r="J99" i="21"/>
  <c r="F137" i="21"/>
  <c r="I163" i="21"/>
  <c r="L122" i="21"/>
  <c r="C92" i="21"/>
  <c r="C134" i="21"/>
  <c r="AC29" i="21"/>
  <c r="C113" i="21"/>
  <c r="H97" i="21"/>
  <c r="F116" i="21"/>
  <c r="E159" i="21"/>
  <c r="U37" i="21"/>
  <c r="D114" i="21"/>
  <c r="K165" i="21"/>
  <c r="P105" i="21"/>
  <c r="N168" i="21"/>
  <c r="E94" i="21"/>
  <c r="O104" i="21"/>
  <c r="N124" i="21"/>
  <c r="N103" i="21"/>
  <c r="L101" i="21"/>
  <c r="G96" i="21"/>
  <c r="AC35" i="21"/>
  <c r="J164" i="21"/>
  <c r="L143" i="21"/>
  <c r="G161" i="21"/>
  <c r="H162" i="21"/>
  <c r="D135" i="21"/>
  <c r="G138" i="21"/>
  <c r="U30" i="21"/>
  <c r="M167" i="21"/>
  <c r="O169" i="21"/>
  <c r="K100" i="21"/>
  <c r="P126" i="21"/>
  <c r="M144" i="21"/>
  <c r="AC37" i="21"/>
  <c r="G117" i="21"/>
  <c r="M102" i="21"/>
  <c r="F95" i="21"/>
  <c r="D93" i="21"/>
  <c r="AC30" i="21"/>
  <c r="U31" i="21"/>
  <c r="P170" i="21"/>
  <c r="H139" i="21"/>
  <c r="I98" i="21"/>
  <c r="L166" i="21"/>
  <c r="AC28" i="21"/>
  <c r="AC32" i="21"/>
  <c r="U35" i="21"/>
  <c r="D158" i="21"/>
  <c r="J141" i="21"/>
  <c r="I140" i="21"/>
  <c r="U32" i="21"/>
  <c r="U29" i="21"/>
  <c r="AL44" i="21" l="1"/>
  <c r="AJ44" i="21" s="1"/>
  <c r="AL45" i="21"/>
  <c r="AJ45" i="21" s="1"/>
  <c r="AE45" i="21"/>
  <c r="AE44" i="21"/>
  <c r="AC41" i="21"/>
  <c r="AC40" i="21"/>
  <c r="AH14" i="21"/>
  <c r="AI16" i="21"/>
  <c r="AH17" i="21"/>
  <c r="AI3" i="21"/>
  <c r="AI12" i="21"/>
  <c r="AI7" i="21"/>
  <c r="AI21" i="21"/>
  <c r="AB31" i="21"/>
  <c r="Z31" i="21" s="1"/>
  <c r="AI10" i="21"/>
  <c r="AJ19" i="21"/>
  <c r="AI22" i="21"/>
  <c r="AY47" i="21"/>
  <c r="AB38" i="21"/>
  <c r="Z38" i="21" s="1"/>
  <c r="AI5" i="21"/>
  <c r="AH20" i="21"/>
  <c r="AI6" i="21"/>
  <c r="AI23" i="21"/>
  <c r="AI13" i="21"/>
  <c r="AS45" i="21"/>
  <c r="AI20" i="21"/>
  <c r="AH11" i="21"/>
  <c r="AJ11" i="21"/>
  <c r="AI8" i="21"/>
  <c r="AH9" i="21"/>
  <c r="AI15" i="21"/>
  <c r="AX47" i="21"/>
  <c r="AB28" i="21"/>
  <c r="Z28" i="21" s="1"/>
  <c r="AI14" i="21"/>
  <c r="AI17" i="21"/>
  <c r="AH12" i="21"/>
  <c r="AJ12" i="21"/>
  <c r="AI19" i="21"/>
  <c r="AY45" i="21"/>
  <c r="U40" i="21"/>
  <c r="AB40" i="21"/>
  <c r="Z40" i="21" s="1"/>
  <c r="AJ14" i="21"/>
  <c r="AH19" i="21"/>
  <c r="AJ9" i="21"/>
  <c r="AB34" i="21"/>
  <c r="Z34" i="21" s="1"/>
  <c r="AJ16" i="21"/>
  <c r="AJ22" i="21"/>
  <c r="AH18" i="21"/>
  <c r="AJ18" i="21"/>
  <c r="AH21" i="21"/>
  <c r="AS46" i="21"/>
  <c r="AB37" i="21"/>
  <c r="Z37" i="21" s="1"/>
  <c r="AB32" i="21"/>
  <c r="Z32" i="21" s="1"/>
  <c r="AI4" i="21"/>
  <c r="AJ20" i="21"/>
  <c r="AH3" i="21"/>
  <c r="AJ23" i="21"/>
  <c r="AY6" i="21"/>
  <c r="AR47" i="21"/>
  <c r="AB29" i="21"/>
  <c r="Z29" i="21" s="1"/>
  <c r="AH23" i="21"/>
  <c r="AH16" i="21"/>
  <c r="AH22" i="21"/>
  <c r="AH4" i="21"/>
  <c r="AJ3" i="21"/>
  <c r="AH7" i="21"/>
  <c r="AJ7" i="21"/>
  <c r="AY46" i="21"/>
  <c r="AY4" i="21"/>
  <c r="AH6" i="21"/>
  <c r="AJ4" i="21"/>
  <c r="AI9" i="21"/>
  <c r="AH10" i="21"/>
  <c r="AS47" i="21"/>
  <c r="U41" i="21"/>
  <c r="AB41" i="21"/>
  <c r="Z41" i="21" s="1"/>
  <c r="AB35" i="21"/>
  <c r="Z35" i="21" s="1"/>
  <c r="AI18" i="21"/>
  <c r="AB36" i="21"/>
  <c r="Z36" i="21" s="1"/>
  <c r="AJ21" i="21"/>
  <c r="AH5" i="21"/>
  <c r="AJ5" i="21"/>
  <c r="AH8" i="21"/>
  <c r="AY5" i="21"/>
  <c r="AH13" i="21"/>
  <c r="AJ13" i="21"/>
  <c r="AB30" i="21"/>
  <c r="Z30" i="21" s="1"/>
  <c r="AB39" i="21"/>
  <c r="Z39" i="21" s="1"/>
  <c r="U39" i="21"/>
  <c r="AJ8" i="21"/>
  <c r="AB33" i="21"/>
  <c r="Z33" i="21" s="1"/>
  <c r="AJ10" i="21"/>
  <c r="AI11" i="21"/>
  <c r="AJ17" i="21"/>
  <c r="AJ6" i="21"/>
  <c r="AH15" i="21"/>
  <c r="AJ15" i="21"/>
  <c r="U38" i="21"/>
  <c r="H160" i="21" a="1"/>
  <c r="J122" i="21" a="1"/>
  <c r="N144" i="21" a="1"/>
  <c r="F136" i="21" a="1"/>
  <c r="M125" i="21" a="1"/>
  <c r="F96" i="21" a="1"/>
  <c r="P128" i="21" a="1"/>
  <c r="L124" i="21" a="1"/>
  <c r="H120" i="21" a="1"/>
  <c r="D116" i="21" a="1"/>
  <c r="P104" i="21" a="1"/>
  <c r="F158" i="21" a="1"/>
  <c r="L142" i="21" a="1"/>
  <c r="D92" i="21" a="1"/>
  <c r="K99" i="21" a="1"/>
  <c r="M101" i="21" a="1"/>
  <c r="I117" i="21" a="1"/>
  <c r="F94" i="21" a="1"/>
  <c r="P168" i="21" a="1"/>
  <c r="P172" i="21" a="1"/>
  <c r="I139" i="21" a="1"/>
  <c r="K163" i="21" a="1"/>
  <c r="G95" i="21" a="1"/>
  <c r="N146" i="21" a="1"/>
  <c r="I141" i="21" a="1"/>
  <c r="E137" i="21" a="1"/>
  <c r="G139" i="21" a="1"/>
  <c r="F162" i="21" a="1"/>
  <c r="O105" i="21" a="1"/>
  <c r="J118" i="21" a="1"/>
  <c r="P106" i="21" a="1"/>
  <c r="I121" i="21" a="1"/>
  <c r="H164" i="21" a="1"/>
  <c r="F114" i="21" a="1"/>
  <c r="L120" i="21" a="1"/>
  <c r="O167" i="21" a="1"/>
  <c r="G119" i="21" a="1"/>
  <c r="N102" i="21" a="1"/>
  <c r="D94" i="21" a="1"/>
  <c r="G163" i="21" a="1"/>
  <c r="L168" i="21" a="1"/>
  <c r="E117" i="21" a="1"/>
  <c r="N126" i="21" a="1"/>
  <c r="I165" i="21" a="1"/>
  <c r="M121" i="21" a="1"/>
  <c r="N122" i="21" a="1"/>
  <c r="J140" i="21" a="1"/>
  <c r="G137" i="21" a="1"/>
  <c r="J100" i="21" a="1"/>
  <c r="L102" i="21" a="1"/>
  <c r="I97" i="21" a="1"/>
  <c r="K123" i="21" a="1"/>
  <c r="K101" i="21" a="1"/>
  <c r="J142" i="21" a="1"/>
  <c r="E135" i="21" a="1"/>
  <c r="K167" i="21" a="1"/>
  <c r="E161" i="21" a="1"/>
  <c r="P148" i="21" a="1"/>
  <c r="D136" i="21" a="1"/>
  <c r="C135" i="21" a="1"/>
  <c r="C159" i="21" a="1"/>
  <c r="J162" i="21" a="1"/>
  <c r="K119" i="21" a="1"/>
  <c r="H138" i="21" a="1"/>
  <c r="K143" i="21" a="1"/>
  <c r="L164" i="21" a="1"/>
  <c r="L144" i="21" a="1"/>
  <c r="E95" i="21" a="1"/>
  <c r="P124" i="21" a="1"/>
  <c r="E113" i="21" a="1"/>
  <c r="L100" i="21" a="1"/>
  <c r="E157" i="21" a="1"/>
  <c r="M165" i="21" a="1"/>
  <c r="K141" i="21" a="1"/>
  <c r="I99" i="21" a="1"/>
  <c r="N166" i="21" a="1"/>
  <c r="D134" i="21" a="1"/>
  <c r="O145" i="21" a="1"/>
  <c r="M143" i="21" a="1"/>
  <c r="C115" i="21" a="1"/>
  <c r="G97" i="21" a="1"/>
  <c r="G115" i="21" a="1"/>
  <c r="E93" i="21" a="1"/>
  <c r="M169" i="21" a="1"/>
  <c r="P146" i="21" a="1"/>
  <c r="H96" i="21" a="1"/>
  <c r="J98" i="21" a="1"/>
  <c r="J166" i="21" a="1"/>
  <c r="M145" i="21" a="1"/>
  <c r="H116" i="21" a="1"/>
  <c r="H140" i="21" a="1"/>
  <c r="F118" i="21" a="1"/>
  <c r="N170" i="21" a="1"/>
  <c r="O171" i="21" a="1"/>
  <c r="M103" i="21" a="1"/>
  <c r="I161" i="21" a="1"/>
  <c r="D160" i="21" a="1"/>
  <c r="F138" i="21" a="1"/>
  <c r="O103" i="21" a="1"/>
  <c r="G159" i="21" a="1"/>
  <c r="O147" i="21" a="1"/>
  <c r="N104" i="21" a="1"/>
  <c r="O127" i="21" a="1"/>
  <c r="O123" i="21" a="1"/>
  <c r="C93" i="21" a="1"/>
  <c r="H98" i="21" a="1"/>
  <c r="J122" i="21" l="1"/>
  <c r="H160" i="21"/>
  <c r="G139" i="21"/>
  <c r="E93" i="21"/>
  <c r="I141" i="21"/>
  <c r="C93" i="21"/>
  <c r="K101" i="21"/>
  <c r="F114" i="21"/>
  <c r="L168" i="21"/>
  <c r="E161" i="21"/>
  <c r="I99" i="21"/>
  <c r="G95" i="21"/>
  <c r="G159" i="21"/>
  <c r="E117" i="21"/>
  <c r="I139" i="21"/>
  <c r="O123" i="21"/>
  <c r="D94" i="21"/>
  <c r="F94" i="21"/>
  <c r="L164" i="21"/>
  <c r="E157" i="21"/>
  <c r="K119" i="21"/>
  <c r="M165" i="21"/>
  <c r="O147" i="21"/>
  <c r="F162" i="21"/>
  <c r="E113" i="21"/>
  <c r="I165" i="21"/>
  <c r="O105" i="21"/>
  <c r="D116" i="21"/>
  <c r="F96" i="21"/>
  <c r="L142" i="21"/>
  <c r="E137" i="21"/>
  <c r="G137" i="21"/>
  <c r="H116" i="21"/>
  <c r="H120" i="21"/>
  <c r="O145" i="21"/>
  <c r="F138" i="21"/>
  <c r="E95" i="21"/>
  <c r="I161" i="21"/>
  <c r="O127" i="21"/>
  <c r="D92" i="21"/>
  <c r="F118" i="21"/>
  <c r="L144" i="21"/>
  <c r="E135" i="21"/>
  <c r="G119" i="21"/>
  <c r="K123" i="21"/>
  <c r="N146" i="21"/>
  <c r="J142" i="21"/>
  <c r="F136" i="21"/>
  <c r="P146" i="21"/>
  <c r="M103" i="21"/>
  <c r="N166" i="21"/>
  <c r="L100" i="21"/>
  <c r="J166" i="21"/>
  <c r="N122" i="21"/>
  <c r="M143" i="21"/>
  <c r="C115" i="21"/>
  <c r="O171" i="21"/>
  <c r="O103" i="21"/>
  <c r="L120" i="21"/>
  <c r="O167" i="21"/>
  <c r="K143" i="21"/>
  <c r="N102" i="21"/>
  <c r="C135" i="21"/>
  <c r="P172" i="21"/>
  <c r="M125" i="21"/>
  <c r="C159" i="21"/>
  <c r="N144" i="21"/>
  <c r="I117" i="21"/>
  <c r="K163" i="21"/>
  <c r="P168" i="21"/>
  <c r="L102" i="21"/>
  <c r="J162" i="21"/>
  <c r="N104" i="21"/>
  <c r="P128" i="21"/>
  <c r="J100" i="21"/>
  <c r="F158" i="21"/>
  <c r="N126" i="21"/>
  <c r="D160" i="21"/>
  <c r="J140" i="21"/>
  <c r="D136" i="21"/>
  <c r="M101" i="21"/>
  <c r="J98" i="21"/>
  <c r="H140" i="21"/>
  <c r="I121" i="21"/>
  <c r="K141" i="21"/>
  <c r="M145" i="21"/>
  <c r="P104" i="21"/>
  <c r="G97" i="21"/>
  <c r="H96" i="21"/>
  <c r="H164" i="21"/>
  <c r="G163" i="21"/>
  <c r="P106" i="21"/>
  <c r="D134" i="21"/>
  <c r="P148" i="21"/>
  <c r="N170" i="21"/>
  <c r="L124" i="21"/>
  <c r="K167" i="21"/>
  <c r="M121" i="21"/>
  <c r="J118" i="21"/>
  <c r="H138" i="21"/>
  <c r="I97" i="21"/>
  <c r="K99" i="21"/>
  <c r="M169" i="21"/>
  <c r="P124" i="21"/>
  <c r="G115" i="21"/>
  <c r="H98" i="21"/>
  <c r="AE13" i="21"/>
  <c r="AE22" i="21"/>
  <c r="AE14" i="21"/>
  <c r="AE5" i="21"/>
  <c r="AE3" i="21"/>
  <c r="AE7" i="21"/>
  <c r="AE15" i="21"/>
  <c r="AE12" i="21"/>
  <c r="AE20" i="21"/>
  <c r="AE18" i="21"/>
  <c r="AE23" i="21"/>
  <c r="AE16" i="21"/>
  <c r="AE21" i="21"/>
  <c r="AE10" i="21"/>
  <c r="AE6" i="21"/>
  <c r="AE19" i="21"/>
  <c r="AE9" i="21"/>
  <c r="AE17" i="21"/>
  <c r="AY7" i="21"/>
  <c r="AE8" i="21"/>
  <c r="AE11" i="21"/>
  <c r="AE4" i="21"/>
  <c r="H163" i="21" a="1"/>
  <c r="O126" i="21" a="1"/>
  <c r="N125" i="21" a="1"/>
  <c r="K166" i="21" a="1"/>
  <c r="M124" i="21" a="1"/>
  <c r="D115" i="21" a="1"/>
  <c r="K122" i="21" a="1"/>
  <c r="G160" i="21" a="1"/>
  <c r="E92" i="21" a="1"/>
  <c r="J163" i="21" a="1"/>
  <c r="K120" i="21" a="1"/>
  <c r="E116" i="21" a="1"/>
  <c r="G162" i="21" a="1"/>
  <c r="L123" i="21" a="1"/>
  <c r="D113" i="21" a="1"/>
  <c r="E160" i="21" a="1"/>
  <c r="N169" i="21" a="1"/>
  <c r="H161" i="21" a="1"/>
  <c r="G140" i="21" a="1"/>
  <c r="D137" i="21" a="1"/>
  <c r="G116" i="21" a="1"/>
  <c r="D159" i="21" a="1"/>
  <c r="P127" i="21" a="1"/>
  <c r="P171" i="21" a="1"/>
  <c r="M122" i="21" a="1"/>
  <c r="I162" i="21" a="1"/>
  <c r="J121" i="21" a="1"/>
  <c r="M166" i="21" a="1"/>
  <c r="F159" i="21" a="1"/>
  <c r="I118" i="21" a="1"/>
  <c r="G164" i="21" a="1"/>
  <c r="O124" i="21" a="1"/>
  <c r="H117" i="21" a="1"/>
  <c r="I120" i="21" a="1"/>
  <c r="O170" i="21" a="1"/>
  <c r="E114" i="21" a="1"/>
  <c r="O168" i="21" a="1"/>
  <c r="L167" i="21" a="1"/>
  <c r="M168" i="21" a="1"/>
  <c r="J119" i="21" a="1"/>
  <c r="F161" i="21" a="1"/>
  <c r="L121" i="21" a="1"/>
  <c r="N167" i="21" a="1"/>
  <c r="N123" i="21" a="1"/>
  <c r="F115" i="21" a="1"/>
  <c r="H119" i="21" a="1"/>
  <c r="P169" i="21" a="1"/>
  <c r="L165" i="21" a="1"/>
  <c r="E162" i="21" a="1"/>
  <c r="E134" i="21" a="1"/>
  <c r="P125" i="21" a="1"/>
  <c r="K164" i="21" a="1"/>
  <c r="I164" i="21" a="1"/>
  <c r="J161" i="21" a="1"/>
  <c r="J163" i="21" l="1"/>
  <c r="P125" i="21"/>
  <c r="G162" i="21"/>
  <c r="O170" i="21"/>
  <c r="P169" i="21"/>
  <c r="M168" i="21"/>
  <c r="K120" i="21"/>
  <c r="F159" i="21"/>
  <c r="H161" i="21"/>
  <c r="N167" i="21"/>
  <c r="D159" i="21"/>
  <c r="N169" i="21"/>
  <c r="K122" i="21"/>
  <c r="L165" i="21"/>
  <c r="L167" i="21"/>
  <c r="O168" i="21"/>
  <c r="H117" i="21"/>
  <c r="E160" i="21"/>
  <c r="I120" i="21"/>
  <c r="H119" i="21"/>
  <c r="F115" i="21"/>
  <c r="D113" i="21"/>
  <c r="I162" i="21"/>
  <c r="E116" i="21"/>
  <c r="P127" i="21"/>
  <c r="J119" i="21"/>
  <c r="O124" i="21"/>
  <c r="I164" i="21"/>
  <c r="G160" i="21"/>
  <c r="F161" i="21"/>
  <c r="I118" i="21"/>
  <c r="O126" i="21"/>
  <c r="G116" i="21"/>
  <c r="D115" i="21"/>
  <c r="M166" i="21"/>
  <c r="N125" i="21"/>
  <c r="M122" i="21"/>
  <c r="L121" i="21"/>
  <c r="J121" i="21"/>
  <c r="M124" i="21"/>
  <c r="H163" i="21"/>
  <c r="L123" i="21"/>
  <c r="K166" i="21"/>
  <c r="N123" i="21"/>
  <c r="K164" i="21"/>
  <c r="P171" i="21"/>
  <c r="E114" i="21"/>
  <c r="D137" i="21"/>
  <c r="J161" i="21"/>
  <c r="G140" i="21"/>
  <c r="G164" i="21"/>
  <c r="E162" i="21"/>
  <c r="E134" i="21"/>
  <c r="E92" i="21"/>
  <c r="E138" i="21" a="1"/>
  <c r="J117" i="21" a="1"/>
  <c r="H99" i="21" a="1"/>
  <c r="H165" i="21" a="1"/>
  <c r="G120" i="21" a="1"/>
  <c r="G98" i="21" a="1"/>
  <c r="K98" i="21" a="1"/>
  <c r="O122" i="21" a="1"/>
  <c r="C116" i="21" a="1"/>
  <c r="L99" i="21" a="1"/>
  <c r="F139" i="21" a="1"/>
  <c r="D161" i="21" a="1"/>
  <c r="H95" i="21" a="1"/>
  <c r="P107" i="21" a="1"/>
  <c r="D157" i="21" a="1"/>
  <c r="F93" i="21" a="1"/>
  <c r="G141" i="21" a="1"/>
  <c r="M142" i="21" a="1"/>
  <c r="J165" i="21" a="1"/>
  <c r="J97" i="21" a="1"/>
  <c r="C160" i="21" a="1"/>
  <c r="D138" i="21" a="1"/>
  <c r="E158" i="21" a="1"/>
  <c r="O148" i="21" a="1"/>
  <c r="F157" i="21" a="1"/>
  <c r="C94" i="21" a="1"/>
  <c r="F113" i="21" a="1"/>
  <c r="J139" i="21" a="1"/>
  <c r="E96" i="21" a="1"/>
  <c r="G94" i="21" a="1"/>
  <c r="M100" i="21" a="1"/>
  <c r="G118" i="21" a="1"/>
  <c r="C136" i="21" a="1"/>
  <c r="G114" i="21" a="1"/>
  <c r="F135" i="21" a="1"/>
  <c r="I100" i="21" a="1"/>
  <c r="F117" i="21" a="1"/>
  <c r="K144" i="21" a="1"/>
  <c r="E118" i="21" a="1"/>
  <c r="D117" i="21" a="1"/>
  <c r="N143" i="21" a="1"/>
  <c r="L125" i="21" a="1"/>
  <c r="O144" i="21" a="1"/>
  <c r="N171" i="21" a="1"/>
  <c r="K102" i="21" a="1"/>
  <c r="G136" i="21" a="1"/>
  <c r="P173" i="21" a="1"/>
  <c r="E96" i="21" l="1"/>
  <c r="G98" i="21"/>
  <c r="E118" i="21"/>
  <c r="F135" i="21"/>
  <c r="D157" i="21"/>
  <c r="J165" i="21"/>
  <c r="E138" i="21"/>
  <c r="E158" i="21"/>
  <c r="F139" i="21"/>
  <c r="G94" i="21"/>
  <c r="K102" i="21"/>
  <c r="F93" i="21"/>
  <c r="K98" i="21"/>
  <c r="G136" i="21"/>
  <c r="H95" i="21"/>
  <c r="D117" i="21"/>
  <c r="K144" i="21"/>
  <c r="J117" i="21"/>
  <c r="O122" i="21"/>
  <c r="O144" i="21"/>
  <c r="G114" i="21"/>
  <c r="L99" i="21"/>
  <c r="L125" i="21"/>
  <c r="I100" i="21"/>
  <c r="C94" i="21"/>
  <c r="F113" i="21"/>
  <c r="F117" i="21"/>
  <c r="O148" i="21"/>
  <c r="N143" i="21"/>
  <c r="C136" i="21"/>
  <c r="G120" i="21"/>
  <c r="H165" i="21"/>
  <c r="G118" i="21"/>
  <c r="J139" i="21"/>
  <c r="J97" i="21"/>
  <c r="P173" i="21"/>
  <c r="H99" i="21"/>
  <c r="M142" i="21"/>
  <c r="N171" i="21"/>
  <c r="M100" i="21"/>
  <c r="C116" i="21"/>
  <c r="C160" i="21"/>
  <c r="D161" i="21"/>
  <c r="P107" i="21"/>
  <c r="F157" i="21"/>
  <c r="D138" i="21"/>
  <c r="G141" i="21"/>
  <c r="M170" i="21" a="1"/>
  <c r="I142" i="21" a="1"/>
  <c r="O166" i="21" a="1"/>
  <c r="N121" i="21" a="1"/>
  <c r="K145" i="21" a="1"/>
  <c r="K140" i="21" a="1"/>
  <c r="M104" i="21" a="1"/>
  <c r="I138" i="21" a="1"/>
  <c r="K118" i="21" a="1"/>
  <c r="J123" i="21" a="1"/>
  <c r="L169" i="21" a="1"/>
  <c r="G166" i="21" a="1"/>
  <c r="P123" i="21" a="1"/>
  <c r="O172" i="21" a="1"/>
  <c r="E97" i="21" a="1"/>
  <c r="H115" i="21" a="1"/>
  <c r="G157" i="21" a="1"/>
  <c r="H137" i="21" a="1"/>
  <c r="J101" i="21" a="1"/>
  <c r="K124" i="21" a="1"/>
  <c r="G121" i="21" a="1"/>
  <c r="I116" i="21" a="1"/>
  <c r="G113" i="21" a="1"/>
  <c r="H141" i="21" a="1"/>
  <c r="G165" i="21" a="1"/>
  <c r="H159" i="21" a="1"/>
  <c r="I160" i="21" a="1"/>
  <c r="K162" i="21" a="1"/>
  <c r="H114" i="21" a="1"/>
  <c r="K125" i="21" a="1"/>
  <c r="D162" i="21" a="1"/>
  <c r="L163" i="21" a="1"/>
  <c r="I96" i="21" a="1"/>
  <c r="M146" i="21" a="1"/>
  <c r="G99" i="21" a="1"/>
  <c r="O102" i="21" a="1"/>
  <c r="M120" i="21" a="1"/>
  <c r="P167" i="21" a="1"/>
  <c r="F134" i="21" a="1"/>
  <c r="D139" i="21" a="1"/>
  <c r="P103" i="21" a="1"/>
  <c r="P145" i="21" a="1"/>
  <c r="N127" i="21" a="1"/>
  <c r="P149" i="21" a="1"/>
  <c r="F163" i="21" a="1"/>
  <c r="I122" i="21" a="1"/>
  <c r="P129" i="21" a="1"/>
  <c r="G158" i="21" a="1"/>
  <c r="O128" i="21" a="1"/>
  <c r="N165" i="21" a="1"/>
  <c r="F140" i="21" a="1"/>
  <c r="I166" i="21" a="1"/>
  <c r="N147" i="21" a="1"/>
  <c r="K168" i="21" a="1"/>
  <c r="M126" i="21" a="1"/>
  <c r="L145" i="21" a="1"/>
  <c r="L103" i="21" a="1"/>
  <c r="N101" i="21" a="1"/>
  <c r="L141" i="21" a="1"/>
  <c r="N105" i="21" a="1"/>
  <c r="D95" i="21" a="1"/>
  <c r="E163" i="21" a="1"/>
  <c r="O106" i="21" a="1"/>
  <c r="M164" i="21" a="1"/>
  <c r="L119" i="21" a="1"/>
  <c r="H121" i="21" a="1"/>
  <c r="F92" i="21" a="1"/>
  <c r="E119" i="21" a="1"/>
  <c r="K97" i="21" a="1"/>
  <c r="F97" i="21" a="1"/>
  <c r="H121" i="21" l="1"/>
  <c r="E119" i="21"/>
  <c r="L119" i="21"/>
  <c r="K118" i="21"/>
  <c r="G99" i="21"/>
  <c r="D162" i="21"/>
  <c r="H115" i="21"/>
  <c r="O102" i="21"/>
  <c r="K124" i="21"/>
  <c r="G121" i="21"/>
  <c r="O166" i="21"/>
  <c r="P149" i="21"/>
  <c r="F163" i="21"/>
  <c r="F134" i="21"/>
  <c r="H141" i="21"/>
  <c r="E97" i="21"/>
  <c r="P129" i="21"/>
  <c r="E163" i="21"/>
  <c r="M120" i="21"/>
  <c r="G158" i="21"/>
  <c r="D95" i="21"/>
  <c r="K168" i="21"/>
  <c r="N147" i="21"/>
  <c r="M164" i="21"/>
  <c r="K97" i="21"/>
  <c r="F97" i="21"/>
  <c r="F92" i="21"/>
  <c r="H114" i="21"/>
  <c r="G113" i="21"/>
  <c r="G157" i="21"/>
  <c r="K125" i="21"/>
  <c r="F140" i="21"/>
  <c r="K145" i="21"/>
  <c r="M126" i="21"/>
  <c r="L145" i="21"/>
  <c r="O128" i="21"/>
  <c r="M170" i="21"/>
  <c r="L141" i="21"/>
  <c r="M104" i="21"/>
  <c r="M146" i="21"/>
  <c r="L163" i="21"/>
  <c r="I142" i="21"/>
  <c r="O172" i="21"/>
  <c r="H137" i="21"/>
  <c r="I116" i="21"/>
  <c r="H159" i="21"/>
  <c r="K140" i="21"/>
  <c r="I96" i="21"/>
  <c r="P167" i="21"/>
  <c r="N101" i="21"/>
  <c r="I166" i="21"/>
  <c r="P123" i="21"/>
  <c r="N127" i="21"/>
  <c r="P145" i="21"/>
  <c r="N121" i="21"/>
  <c r="L169" i="21"/>
  <c r="P103" i="21"/>
  <c r="N105" i="21"/>
  <c r="J101" i="21"/>
  <c r="O106" i="21"/>
  <c r="I138" i="21"/>
  <c r="L103" i="21"/>
  <c r="J123" i="21"/>
  <c r="G165" i="21"/>
  <c r="K162" i="21"/>
  <c r="I160" i="21"/>
  <c r="N165" i="21"/>
  <c r="I122" i="21"/>
  <c r="D139" i="21"/>
  <c r="G166" i="21"/>
  <c r="L118" i="21" a="1"/>
  <c r="G100" i="21" a="1"/>
  <c r="E139" i="21" a="1"/>
  <c r="M163" i="21" a="1"/>
  <c r="C137" i="21" a="1"/>
  <c r="M99" i="21" a="1"/>
  <c r="G135" i="21" a="1"/>
  <c r="M119" i="21" a="1"/>
  <c r="J138" i="21" a="1"/>
  <c r="N164" i="21" a="1"/>
  <c r="O101" i="21" a="1"/>
  <c r="L98" i="21" a="1"/>
  <c r="P174" i="21" a="1"/>
  <c r="O165" i="21" a="1"/>
  <c r="J116" i="21" a="1"/>
  <c r="O121" i="21" a="1"/>
  <c r="G122" i="21" a="1"/>
  <c r="J167" i="21" a="1"/>
  <c r="G142" i="21" a="1"/>
  <c r="K96" i="21" a="1"/>
  <c r="K169" i="21" a="1"/>
  <c r="C95" i="21" a="1"/>
  <c r="H100" i="21" a="1"/>
  <c r="F98" i="21" a="1"/>
  <c r="P108" i="21" a="1"/>
  <c r="K103" i="21" a="1"/>
  <c r="C117" i="21" a="1"/>
  <c r="P130" i="21" a="1"/>
  <c r="H122" i="21" a="1"/>
  <c r="O173" i="21" a="1"/>
  <c r="G93" i="21" a="1"/>
  <c r="O143" i="21" a="1"/>
  <c r="O149" i="21" a="1"/>
  <c r="H94" i="21" a="1"/>
  <c r="D140" i="21" a="1"/>
  <c r="J160" i="21" a="1"/>
  <c r="I123" i="21" a="1"/>
  <c r="J96" i="21" a="1"/>
  <c r="N142" i="21" a="1"/>
  <c r="M141" i="21" a="1"/>
  <c r="C161" i="21" a="1"/>
  <c r="N172" i="21" a="1"/>
  <c r="F119" i="21" a="1"/>
  <c r="I101" i="21" a="1"/>
  <c r="K117" i="21" a="1"/>
  <c r="D163" i="21" a="1"/>
  <c r="F164" i="21" a="1"/>
  <c r="J143" i="21" a="1"/>
  <c r="H166" i="21" a="1"/>
  <c r="K146" i="21" a="1"/>
  <c r="F165" i="21" a="1"/>
  <c r="K103" i="21" l="1"/>
  <c r="F164" i="21"/>
  <c r="E139" i="21"/>
  <c r="G93" i="21"/>
  <c r="G122" i="21"/>
  <c r="F119" i="21"/>
  <c r="K169" i="21"/>
  <c r="G100" i="21"/>
  <c r="H94" i="21"/>
  <c r="K117" i="21"/>
  <c r="J167" i="21"/>
  <c r="J143" i="21"/>
  <c r="G135" i="21"/>
  <c r="F98" i="21"/>
  <c r="K96" i="21"/>
  <c r="K146" i="21"/>
  <c r="J116" i="21"/>
  <c r="C117" i="21"/>
  <c r="C161" i="21"/>
  <c r="I123" i="21"/>
  <c r="C137" i="21"/>
  <c r="J96" i="21"/>
  <c r="C95" i="21"/>
  <c r="H100" i="21"/>
  <c r="M119" i="21"/>
  <c r="I101" i="21"/>
  <c r="P108" i="21"/>
  <c r="O149" i="21"/>
  <c r="H122" i="21"/>
  <c r="M99" i="21"/>
  <c r="P130" i="21"/>
  <c r="O173" i="21"/>
  <c r="L118" i="21"/>
  <c r="J138" i="21"/>
  <c r="D163" i="21"/>
  <c r="L98" i="21"/>
  <c r="G142" i="21"/>
  <c r="J160" i="21"/>
  <c r="O165" i="21"/>
  <c r="M141" i="21"/>
  <c r="O101" i="21"/>
  <c r="H166" i="21"/>
  <c r="O143" i="21"/>
  <c r="M163" i="21"/>
  <c r="O121" i="21"/>
  <c r="N142" i="21"/>
  <c r="F165" i="21"/>
  <c r="N164" i="21"/>
  <c r="P174" i="21"/>
  <c r="N172" i="21"/>
  <c r="D140" i="21"/>
  <c r="H136" i="21" a="1"/>
  <c r="N120" i="21" a="1"/>
  <c r="K139" i="21" a="1"/>
  <c r="P166" i="21" a="1"/>
  <c r="L170" i="21" a="1"/>
  <c r="F120" i="21" a="1"/>
  <c r="O107" i="21" a="1"/>
  <c r="M105" i="21" a="1"/>
  <c r="G123" i="21" a="1"/>
  <c r="P150" i="21" a="1"/>
  <c r="L126" i="21" a="1"/>
  <c r="K161" i="21" a="1"/>
  <c r="E140" i="21" a="1"/>
  <c r="F121" i="21" a="1"/>
  <c r="D96" i="21" a="1"/>
  <c r="K104" i="21" a="1"/>
  <c r="O129" i="21" a="1"/>
  <c r="F141" i="21" a="1"/>
  <c r="D164" i="21" a="1"/>
  <c r="H142" i="21" a="1"/>
  <c r="N148" i="21" a="1"/>
  <c r="I95" i="21" a="1"/>
  <c r="J124" i="21" a="1"/>
  <c r="P122" i="21" a="1"/>
  <c r="E98" i="21" a="1"/>
  <c r="I167" i="21" a="1"/>
  <c r="N106" i="21" a="1"/>
  <c r="M171" i="21" a="1"/>
  <c r="K171" i="21" a="1"/>
  <c r="K116" i="21" a="1"/>
  <c r="P109" i="21" a="1"/>
  <c r="H113" i="21" a="1"/>
  <c r="G134" i="21" a="1"/>
  <c r="I143" i="21" a="1"/>
  <c r="D118" i="21" a="1"/>
  <c r="M147" i="21" a="1"/>
  <c r="N100" i="21" a="1"/>
  <c r="L140" i="21" a="1"/>
  <c r="I137" i="21" a="1"/>
  <c r="D165" i="21" a="1"/>
  <c r="N128" i="21" a="1"/>
  <c r="P102" i="21" a="1"/>
  <c r="H158" i="21" a="1"/>
  <c r="E120" i="21" a="1"/>
  <c r="G92" i="21" a="1"/>
  <c r="M127" i="21" a="1"/>
  <c r="P144" i="21" a="1"/>
  <c r="L146" i="21" a="1"/>
  <c r="K115" i="21" a="1"/>
  <c r="J102" i="21" a="1"/>
  <c r="L162" i="21" a="1"/>
  <c r="K170" i="21" a="1"/>
  <c r="I159" i="21" a="1"/>
  <c r="L104" i="21" a="1"/>
  <c r="I115" i="21" a="1"/>
  <c r="E164" i="21" a="1"/>
  <c r="K126" i="21" a="1"/>
  <c r="K104" i="21" l="1"/>
  <c r="H142" i="21"/>
  <c r="P150" i="21"/>
  <c r="G92" i="21"/>
  <c r="G123" i="21"/>
  <c r="K116" i="21"/>
  <c r="F141" i="21"/>
  <c r="E98" i="21"/>
  <c r="E120" i="21"/>
  <c r="K170" i="21"/>
  <c r="F120" i="21"/>
  <c r="G134" i="21"/>
  <c r="E140" i="21"/>
  <c r="E164" i="21"/>
  <c r="D118" i="21"/>
  <c r="D96" i="21"/>
  <c r="K126" i="21"/>
  <c r="N148" i="21"/>
  <c r="K115" i="21"/>
  <c r="F121" i="21"/>
  <c r="K171" i="21"/>
  <c r="J102" i="21"/>
  <c r="M171" i="21"/>
  <c r="I143" i="21"/>
  <c r="L162" i="21"/>
  <c r="M147" i="21"/>
  <c r="I167" i="21"/>
  <c r="L104" i="21"/>
  <c r="P144" i="21"/>
  <c r="K161" i="21"/>
  <c r="O129" i="21"/>
  <c r="L140" i="21"/>
  <c r="P166" i="21"/>
  <c r="K139" i="21"/>
  <c r="O107" i="21"/>
  <c r="P102" i="21"/>
  <c r="N106" i="21"/>
  <c r="H158" i="21"/>
  <c r="H136" i="21"/>
  <c r="N128" i="21"/>
  <c r="N100" i="21"/>
  <c r="L126" i="21"/>
  <c r="N120" i="21"/>
  <c r="L170" i="21"/>
  <c r="M127" i="21"/>
  <c r="I159" i="21"/>
  <c r="P109" i="21"/>
  <c r="L146" i="21"/>
  <c r="M105" i="21"/>
  <c r="I137" i="21"/>
  <c r="I115" i="21"/>
  <c r="J124" i="21"/>
  <c r="D164" i="21"/>
  <c r="H113" i="21"/>
  <c r="P122" i="21"/>
  <c r="I95" i="21"/>
  <c r="D165" i="21"/>
  <c r="J115" i="21" a="1"/>
  <c r="G143" i="21" a="1"/>
  <c r="C118" i="21" a="1"/>
  <c r="I124" i="21" a="1"/>
  <c r="H93" i="21" a="1"/>
  <c r="O120" i="21" a="1"/>
  <c r="J159" i="21" a="1"/>
  <c r="D141" i="21" a="1"/>
  <c r="M98" i="21" a="1"/>
  <c r="C162" i="21" a="1"/>
  <c r="H123" i="21" a="1"/>
  <c r="O174" i="21" a="1"/>
  <c r="J137" i="21" a="1"/>
  <c r="C138" i="21" a="1"/>
  <c r="H143" i="21" a="1"/>
  <c r="K127" i="21" a="1"/>
  <c r="J95" i="21" a="1"/>
  <c r="K95" i="21" a="1"/>
  <c r="H101" i="21" a="1"/>
  <c r="J144" i="21" a="1"/>
  <c r="G101" i="21" a="1"/>
  <c r="O142" i="21" a="1"/>
  <c r="N173" i="21" a="1"/>
  <c r="J168" i="21" a="1"/>
  <c r="L117" i="21" a="1"/>
  <c r="M140" i="21" a="1"/>
  <c r="F99" i="21" a="1"/>
  <c r="K147" i="21" a="1"/>
  <c r="L97" i="21" a="1"/>
  <c r="G167" i="21" a="1"/>
  <c r="I102" i="21" a="1"/>
  <c r="H167" i="21" a="1"/>
  <c r="M118" i="21" a="1"/>
  <c r="O150" i="21" a="1"/>
  <c r="C96" i="21" a="1"/>
  <c r="N141" i="21" a="1"/>
  <c r="O164" i="21" a="1"/>
  <c r="O100" i="21" a="1"/>
  <c r="N163" i="21" a="1"/>
  <c r="P151" i="21" a="1"/>
  <c r="K105" i="21" a="1"/>
  <c r="M162" i="21" a="1"/>
  <c r="G101" i="21" l="1"/>
  <c r="H93" i="21"/>
  <c r="F99" i="21"/>
  <c r="P151" i="21"/>
  <c r="J144" i="21"/>
  <c r="J168" i="21"/>
  <c r="K147" i="21"/>
  <c r="D141" i="21"/>
  <c r="K95" i="21"/>
  <c r="O174" i="21"/>
  <c r="C162" i="21"/>
  <c r="K127" i="21"/>
  <c r="N173" i="21"/>
  <c r="O150" i="21"/>
  <c r="I102" i="21"/>
  <c r="O100" i="21"/>
  <c r="I124" i="21"/>
  <c r="C138" i="21"/>
  <c r="O120" i="21"/>
  <c r="G143" i="21"/>
  <c r="C118" i="21"/>
  <c r="G167" i="21"/>
  <c r="K105" i="21"/>
  <c r="C96" i="21"/>
  <c r="J137" i="21"/>
  <c r="H167" i="21"/>
  <c r="M98" i="21"/>
  <c r="H143" i="21"/>
  <c r="J159" i="21"/>
  <c r="M118" i="21"/>
  <c r="J115" i="21"/>
  <c r="H123" i="21"/>
  <c r="N141" i="21"/>
  <c r="M162" i="21"/>
  <c r="J95" i="21"/>
  <c r="H101" i="21"/>
  <c r="N163" i="21"/>
  <c r="M140" i="21"/>
  <c r="O164" i="21"/>
  <c r="L117" i="21"/>
  <c r="O142" i="21"/>
  <c r="L97" i="21"/>
  <c r="E121" i="21" a="1"/>
  <c r="D119" i="21" a="1"/>
  <c r="M148" i="21" a="1"/>
  <c r="O151" i="21" a="1"/>
  <c r="H92" i="21" a="1"/>
  <c r="I114" i="21" a="1"/>
  <c r="F100" i="21" a="1"/>
  <c r="I168" i="21" a="1"/>
  <c r="D142" i="21" a="1"/>
  <c r="L171" i="21" a="1"/>
  <c r="O108" i="21" a="1"/>
  <c r="N129" i="21" a="1"/>
  <c r="H135" i="21" a="1"/>
  <c r="I136" i="21" a="1"/>
  <c r="J125" i="21" a="1"/>
  <c r="M106" i="21" a="1"/>
  <c r="L139" i="21" a="1"/>
  <c r="K160" i="21" a="1"/>
  <c r="F142" i="21" a="1"/>
  <c r="M172" i="21" a="1"/>
  <c r="F166" i="21" a="1"/>
  <c r="P165" i="21" a="1"/>
  <c r="P143" i="21" a="1"/>
  <c r="F122" i="21" a="1"/>
  <c r="P101" i="21" a="1"/>
  <c r="G124" i="21" a="1"/>
  <c r="P121" i="21" a="1"/>
  <c r="D166" i="21" a="1"/>
  <c r="K138" i="21" a="1"/>
  <c r="M128" i="21" a="1"/>
  <c r="L127" i="21" a="1"/>
  <c r="N119" i="21" a="1"/>
  <c r="E141" i="21" a="1"/>
  <c r="N107" i="21" a="1"/>
  <c r="D97" i="21" a="1"/>
  <c r="J103" i="21" a="1"/>
  <c r="N149" i="21" a="1"/>
  <c r="L147" i="21" a="1"/>
  <c r="I94" i="21" a="1"/>
  <c r="H157" i="21" a="1"/>
  <c r="N99" i="21" a="1"/>
  <c r="I144" i="21" a="1"/>
  <c r="E99" i="21" a="1"/>
  <c r="L161" i="21" a="1"/>
  <c r="G102" i="21" a="1"/>
  <c r="E165" i="21" a="1"/>
  <c r="O130" i="21" a="1"/>
  <c r="L105" i="21" a="1"/>
  <c r="I158" i="21" a="1"/>
  <c r="K172" i="21" a="1"/>
  <c r="H92" i="21" l="1"/>
  <c r="F100" i="21"/>
  <c r="F142" i="21"/>
  <c r="F166" i="21"/>
  <c r="E99" i="21"/>
  <c r="E121" i="21"/>
  <c r="F122" i="21"/>
  <c r="N149" i="21"/>
  <c r="E141" i="21"/>
  <c r="E165" i="21"/>
  <c r="D142" i="21"/>
  <c r="D97" i="21"/>
  <c r="D119" i="21"/>
  <c r="K172" i="21"/>
  <c r="M106" i="21"/>
  <c r="O130" i="21"/>
  <c r="I144" i="21"/>
  <c r="N99" i="21"/>
  <c r="H135" i="21"/>
  <c r="P101" i="21"/>
  <c r="J103" i="21"/>
  <c r="D166" i="21"/>
  <c r="L105" i="21"/>
  <c r="N119" i="21"/>
  <c r="G102" i="21"/>
  <c r="J125" i="21"/>
  <c r="M148" i="21"/>
  <c r="L127" i="21"/>
  <c r="L139" i="21"/>
  <c r="O151" i="21"/>
  <c r="G124" i="21"/>
  <c r="M128" i="21"/>
  <c r="K160" i="21"/>
  <c r="M172" i="21"/>
  <c r="I158" i="21"/>
  <c r="L161" i="21"/>
  <c r="I168" i="21"/>
  <c r="K138" i="21"/>
  <c r="N107" i="21"/>
  <c r="I136" i="21"/>
  <c r="P121" i="21"/>
  <c r="I94" i="21"/>
  <c r="N129" i="21"/>
  <c r="I114" i="21"/>
  <c r="H157" i="21"/>
  <c r="L171" i="21"/>
  <c r="P143" i="21"/>
  <c r="O108" i="21"/>
  <c r="L147" i="21"/>
  <c r="P165" i="21"/>
  <c r="J169" i="21" a="1"/>
  <c r="I103" i="21" a="1"/>
  <c r="D143" i="21" a="1"/>
  <c r="C163" i="21" a="1"/>
  <c r="G144" i="21" a="1"/>
  <c r="O141" i="21" a="1"/>
  <c r="M97" i="21" a="1"/>
  <c r="M117" i="21" a="1"/>
  <c r="H144" i="21" a="1"/>
  <c r="H168" i="21" a="1"/>
  <c r="K128" i="21" a="1"/>
  <c r="O99" i="21" a="1"/>
  <c r="C97" i="21" a="1"/>
  <c r="H124" i="21" a="1"/>
  <c r="C139" i="21" a="1"/>
  <c r="I125" i="21" a="1"/>
  <c r="O163" i="21" a="1"/>
  <c r="J145" i="21" a="1"/>
  <c r="G168" i="21" a="1"/>
  <c r="J158" i="21" a="1"/>
  <c r="M139" i="21" a="1"/>
  <c r="N162" i="21" a="1"/>
  <c r="J114" i="21" a="1"/>
  <c r="M161" i="21" a="1"/>
  <c r="K148" i="21" a="1"/>
  <c r="C119" i="21" a="1"/>
  <c r="J136" i="21" a="1"/>
  <c r="L116" i="21" a="1"/>
  <c r="K106" i="21" a="1"/>
  <c r="H134" i="21" a="1"/>
  <c r="K114" i="21" a="1"/>
  <c r="J94" i="21" a="1"/>
  <c r="L96" i="21" a="1"/>
  <c r="N140" i="21" a="1"/>
  <c r="O119" i="21" a="1"/>
  <c r="H102" i="21" a="1"/>
  <c r="K94" i="21" a="1"/>
  <c r="N150" i="21" a="1"/>
  <c r="O109" i="21" a="1"/>
  <c r="K148" i="21" l="1"/>
  <c r="J145" i="21"/>
  <c r="J169" i="21"/>
  <c r="D143" i="21"/>
  <c r="K114" i="21"/>
  <c r="K94" i="21"/>
  <c r="O141" i="21"/>
  <c r="C139" i="21"/>
  <c r="M139" i="21"/>
  <c r="M161" i="21"/>
  <c r="C163" i="21"/>
  <c r="M97" i="21"/>
  <c r="K128" i="21"/>
  <c r="H168" i="21"/>
  <c r="L116" i="21"/>
  <c r="K106" i="21"/>
  <c r="H144" i="21"/>
  <c r="H124" i="21"/>
  <c r="L96" i="21"/>
  <c r="N162" i="21"/>
  <c r="I125" i="21"/>
  <c r="H134" i="21"/>
  <c r="O163" i="21"/>
  <c r="N140" i="21"/>
  <c r="O99" i="21"/>
  <c r="N150" i="21"/>
  <c r="J158" i="21"/>
  <c r="O119" i="21"/>
  <c r="J94" i="21"/>
  <c r="J114" i="21"/>
  <c r="C97" i="21"/>
  <c r="I103" i="21"/>
  <c r="J136" i="21"/>
  <c r="G168" i="21"/>
  <c r="C119" i="21"/>
  <c r="O109" i="21"/>
  <c r="G144" i="21"/>
  <c r="H102" i="21"/>
  <c r="M117" i="21"/>
  <c r="I135" i="21" a="1"/>
  <c r="F143" i="21" a="1"/>
  <c r="I169" i="21" a="1"/>
  <c r="N174" i="21" a="1"/>
  <c r="J126" i="21" a="1"/>
  <c r="M173" i="21" a="1"/>
  <c r="F101" i="21" a="1"/>
  <c r="F167" i="21" a="1"/>
  <c r="E100" i="21" a="1"/>
  <c r="L128" i="21" a="1"/>
  <c r="K137" i="21" a="1"/>
  <c r="I93" i="21" a="1"/>
  <c r="P120" i="21" a="1"/>
  <c r="G103" i="21" a="1"/>
  <c r="L148" i="21" a="1"/>
  <c r="N151" i="21" a="1"/>
  <c r="G125" i="21" a="1"/>
  <c r="P100" i="21" a="1"/>
  <c r="D98" i="21" a="1"/>
  <c r="N98" i="21" a="1"/>
  <c r="K149" i="21" a="1"/>
  <c r="L172" i="21" a="1"/>
  <c r="K173" i="21" a="1"/>
  <c r="E122" i="21" a="1"/>
  <c r="P164" i="21" a="1"/>
  <c r="L160" i="21" a="1"/>
  <c r="I145" i="21" a="1"/>
  <c r="I157" i="21" a="1"/>
  <c r="M149" i="21" a="1"/>
  <c r="E142" i="21" a="1"/>
  <c r="L138" i="21" a="1"/>
  <c r="J104" i="21" a="1"/>
  <c r="M107" i="21" a="1"/>
  <c r="I113" i="21" a="1"/>
  <c r="D167" i="21" a="1"/>
  <c r="P142" i="21" a="1"/>
  <c r="E166" i="21" a="1"/>
  <c r="K159" i="21" a="1"/>
  <c r="F123" i="21" a="1"/>
  <c r="N118" i="21" a="1"/>
  <c r="N108" i="21" a="1"/>
  <c r="N130" i="21" a="1"/>
  <c r="D120" i="21" a="1"/>
  <c r="M129" i="21" a="1"/>
  <c r="L106" i="21" a="1"/>
  <c r="F101" i="21" l="1"/>
  <c r="F123" i="21"/>
  <c r="N174" i="21"/>
  <c r="D167" i="21"/>
  <c r="F143" i="21"/>
  <c r="F167" i="21"/>
  <c r="E100" i="21"/>
  <c r="E122" i="21"/>
  <c r="K149" i="21"/>
  <c r="K173" i="21"/>
  <c r="E166" i="21"/>
  <c r="E142" i="21"/>
  <c r="D120" i="21"/>
  <c r="D98" i="21"/>
  <c r="M129" i="21"/>
  <c r="M107" i="21"/>
  <c r="L148" i="21"/>
  <c r="I93" i="21"/>
  <c r="N151" i="21"/>
  <c r="P164" i="21"/>
  <c r="I157" i="21"/>
  <c r="P142" i="21"/>
  <c r="K159" i="21"/>
  <c r="I135" i="21"/>
  <c r="K137" i="21"/>
  <c r="L106" i="21"/>
  <c r="I145" i="21"/>
  <c r="N118" i="21"/>
  <c r="L128" i="21"/>
  <c r="L172" i="21"/>
  <c r="I113" i="21"/>
  <c r="N98" i="21"/>
  <c r="I169" i="21"/>
  <c r="L138" i="21"/>
  <c r="G103" i="21"/>
  <c r="L160" i="21"/>
  <c r="P120" i="21"/>
  <c r="M149" i="21"/>
  <c r="G125" i="21"/>
  <c r="M173" i="21"/>
  <c r="J126" i="21"/>
  <c r="N130" i="21"/>
  <c r="J104" i="21"/>
  <c r="N108" i="21"/>
  <c r="P100" i="21"/>
  <c r="H145" i="21" a="1"/>
  <c r="C140" i="21" a="1"/>
  <c r="K129" i="21" a="1"/>
  <c r="N161" i="21" a="1"/>
  <c r="M138" i="21" a="1"/>
  <c r="H103" i="21" a="1"/>
  <c r="O162" i="21" a="1"/>
  <c r="D144" i="21" a="1"/>
  <c r="O140" i="21" a="1"/>
  <c r="I134" i="21" a="1"/>
  <c r="J93" i="21" a="1"/>
  <c r="H125" i="21" a="1"/>
  <c r="C120" i="21" a="1"/>
  <c r="J157" i="21" a="1"/>
  <c r="K107" i="21" a="1"/>
  <c r="I92" i="21" a="1"/>
  <c r="I104" i="21" a="1"/>
  <c r="O118" i="21" a="1"/>
  <c r="N139" i="21" a="1"/>
  <c r="J113" i="21" a="1"/>
  <c r="J135" i="21" a="1"/>
  <c r="M116" i="21" a="1"/>
  <c r="C164" i="21" a="1"/>
  <c r="M160" i="21" a="1"/>
  <c r="J170" i="21" a="1"/>
  <c r="D168" i="21" a="1"/>
  <c r="M96" i="21" a="1"/>
  <c r="K113" i="21" a="1"/>
  <c r="L115" i="21" a="1"/>
  <c r="I126" i="21" a="1"/>
  <c r="G169" i="21" a="1"/>
  <c r="J146" i="21" a="1"/>
  <c r="O98" i="21" a="1"/>
  <c r="L95" i="21" a="1"/>
  <c r="C98" i="21" a="1"/>
  <c r="G145" i="21" a="1"/>
  <c r="H169" i="21" a="1"/>
  <c r="K93" i="21" a="1"/>
  <c r="N109" i="21" a="1"/>
  <c r="J170" i="21" l="1"/>
  <c r="J146" i="21"/>
  <c r="D144" i="21"/>
  <c r="D168" i="21"/>
  <c r="K113" i="21"/>
  <c r="K93" i="21"/>
  <c r="N161" i="21"/>
  <c r="H103" i="21"/>
  <c r="C120" i="21"/>
  <c r="R120" i="21" s="1"/>
  <c r="O162" i="21"/>
  <c r="M160" i="21"/>
  <c r="M96" i="21"/>
  <c r="N109" i="21"/>
  <c r="O140" i="21"/>
  <c r="M116" i="21"/>
  <c r="H169" i="21"/>
  <c r="L115" i="21"/>
  <c r="I104" i="21"/>
  <c r="I126" i="21"/>
  <c r="C98" i="21"/>
  <c r="H145" i="21"/>
  <c r="G145" i="21"/>
  <c r="J157" i="21"/>
  <c r="H125" i="21"/>
  <c r="L95" i="21"/>
  <c r="G169" i="21"/>
  <c r="J135" i="21"/>
  <c r="J113" i="21"/>
  <c r="M138" i="21"/>
  <c r="C140" i="21"/>
  <c r="I92" i="21"/>
  <c r="C164" i="21"/>
  <c r="R164" i="21" s="1"/>
  <c r="O98" i="21"/>
  <c r="J93" i="21"/>
  <c r="K107" i="21"/>
  <c r="O118" i="21"/>
  <c r="I134" i="21"/>
  <c r="K129" i="21"/>
  <c r="N139" i="21"/>
  <c r="F168" i="21" a="1"/>
  <c r="I170" i="21" a="1"/>
  <c r="M130" i="21" a="1"/>
  <c r="F124" i="21" a="1"/>
  <c r="E167" i="21" a="1"/>
  <c r="G126" i="21" a="1"/>
  <c r="F102" i="21" a="1"/>
  <c r="K136" i="21" a="1"/>
  <c r="P99" i="21" a="1"/>
  <c r="K174" i="21" a="1"/>
  <c r="J127" i="21" a="1"/>
  <c r="K92" i="21" a="1"/>
  <c r="L107" i="21" a="1"/>
  <c r="L149" i="21" a="1"/>
  <c r="M174" i="21" a="1"/>
  <c r="M150" i="21" a="1"/>
  <c r="F144" i="21" a="1"/>
  <c r="P163" i="21" a="1"/>
  <c r="I146" i="21" a="1"/>
  <c r="G104" i="21" a="1"/>
  <c r="J105" i="21" a="1"/>
  <c r="L129" i="21" a="1"/>
  <c r="N117" i="21" a="1"/>
  <c r="D99" i="21" a="1"/>
  <c r="E123" i="21" a="1"/>
  <c r="J92" i="21" a="1"/>
  <c r="L159" i="21" a="1"/>
  <c r="K158" i="21" a="1"/>
  <c r="E101" i="21" a="1"/>
  <c r="P141" i="21" a="1"/>
  <c r="D121" i="21" a="1"/>
  <c r="P119" i="21" a="1"/>
  <c r="M108" i="21" a="1"/>
  <c r="L137" i="21" a="1"/>
  <c r="K150" i="21" a="1"/>
  <c r="N97" i="21" a="1"/>
  <c r="L173" i="21" a="1"/>
  <c r="E143" i="21" a="1"/>
  <c r="J134" i="21" a="1"/>
  <c r="F102" i="21" l="1"/>
  <c r="F124" i="21"/>
  <c r="F168" i="21"/>
  <c r="F144" i="21"/>
  <c r="E101" i="21"/>
  <c r="E123" i="21"/>
  <c r="K174" i="21"/>
  <c r="K150" i="21"/>
  <c r="E143" i="21"/>
  <c r="E167" i="21"/>
  <c r="D121" i="21"/>
  <c r="D99" i="21"/>
  <c r="K92" i="21"/>
  <c r="M108" i="21"/>
  <c r="J127" i="21"/>
  <c r="L149" i="21"/>
  <c r="J105" i="21"/>
  <c r="J134" i="21"/>
  <c r="J92" i="21"/>
  <c r="L173" i="21"/>
  <c r="L129" i="21"/>
  <c r="N117" i="21"/>
  <c r="K136" i="21"/>
  <c r="P163" i="21"/>
  <c r="R163" i="21" s="1"/>
  <c r="P141" i="21"/>
  <c r="P119" i="21"/>
  <c r="R119" i="21" s="1"/>
  <c r="M174" i="21"/>
  <c r="P99" i="21"/>
  <c r="L107" i="21"/>
  <c r="M150" i="21"/>
  <c r="L137" i="21"/>
  <c r="K158" i="21"/>
  <c r="N97" i="21"/>
  <c r="G104" i="21"/>
  <c r="I146" i="21"/>
  <c r="L159" i="21"/>
  <c r="I170" i="21"/>
  <c r="G126" i="21"/>
  <c r="M130" i="21"/>
  <c r="H104" i="21" a="1"/>
  <c r="C141" i="21" a="1"/>
  <c r="I105" i="21" a="1"/>
  <c r="O139" i="21" a="1"/>
  <c r="N160" i="21" a="1"/>
  <c r="H170" i="21" a="1"/>
  <c r="N138" i="21" a="1"/>
  <c r="H146" i="21" a="1"/>
  <c r="C121" i="21" a="1"/>
  <c r="C99" i="21" a="1"/>
  <c r="L114" i="21" a="1"/>
  <c r="M115" i="21" a="1"/>
  <c r="J147" i="21" a="1"/>
  <c r="M95" i="21" a="1"/>
  <c r="D169" i="21" a="1"/>
  <c r="K130" i="21" a="1"/>
  <c r="J171" i="21" a="1"/>
  <c r="O117" i="21" a="1"/>
  <c r="C165" i="21" a="1"/>
  <c r="I127" i="21" a="1"/>
  <c r="K108" i="21" a="1"/>
  <c r="G146" i="21" a="1"/>
  <c r="L94" i="21" a="1"/>
  <c r="D145" i="21" a="1"/>
  <c r="H126" i="21" a="1"/>
  <c r="M159" i="21" a="1"/>
  <c r="G170" i="21" a="1"/>
  <c r="M137" i="21" a="1"/>
  <c r="O97" i="21" a="1"/>
  <c r="O161" i="21" a="1"/>
  <c r="K151" i="21" a="1"/>
  <c r="M109" i="21" a="1"/>
  <c r="M151" i="21" a="1"/>
  <c r="J147" i="21" l="1"/>
  <c r="J171" i="21"/>
  <c r="K151" i="21"/>
  <c r="D169" i="21"/>
  <c r="D145" i="21"/>
  <c r="M137" i="21"/>
  <c r="M115" i="21"/>
  <c r="H104" i="21"/>
  <c r="O139" i="21"/>
  <c r="K108" i="21"/>
  <c r="H126" i="21"/>
  <c r="C99" i="21"/>
  <c r="L114" i="21"/>
  <c r="K130" i="21"/>
  <c r="M159" i="21"/>
  <c r="C121" i="21"/>
  <c r="R121" i="21" s="1"/>
  <c r="L94" i="21"/>
  <c r="I105" i="21"/>
  <c r="M151" i="21"/>
  <c r="I127" i="21"/>
  <c r="C141" i="21"/>
  <c r="O117" i="21"/>
  <c r="N160" i="21"/>
  <c r="G146" i="21"/>
  <c r="O161" i="21"/>
  <c r="C165" i="21"/>
  <c r="R165" i="21" s="1"/>
  <c r="N138" i="21"/>
  <c r="G170" i="21"/>
  <c r="M95" i="21"/>
  <c r="O97" i="21"/>
  <c r="H146" i="21"/>
  <c r="H170" i="21"/>
  <c r="M109" i="21"/>
  <c r="K135" i="21" a="1"/>
  <c r="P98" i="21" a="1"/>
  <c r="K157" i="21" a="1"/>
  <c r="L136" i="21" a="1"/>
  <c r="E144" i="21" a="1"/>
  <c r="J106" i="21" a="1"/>
  <c r="E124" i="21" a="1"/>
  <c r="G105" i="21" a="1"/>
  <c r="L158" i="21" a="1"/>
  <c r="E102" i="21" a="1"/>
  <c r="I147" i="21" a="1"/>
  <c r="J128" i="21" a="1"/>
  <c r="I171" i="21" a="1"/>
  <c r="P140" i="21" a="1"/>
  <c r="L174" i="21" a="1"/>
  <c r="F169" i="21" a="1"/>
  <c r="L150" i="21" a="1"/>
  <c r="G127" i="21" a="1"/>
  <c r="N116" i="21" a="1"/>
  <c r="L108" i="21" a="1"/>
  <c r="P118" i="21" a="1"/>
  <c r="P162" i="21" a="1"/>
  <c r="F103" i="21" a="1"/>
  <c r="N96" i="21" a="1"/>
  <c r="D122" i="21" a="1"/>
  <c r="D100" i="21" a="1"/>
  <c r="F145" i="21" a="1"/>
  <c r="F125" i="21" a="1"/>
  <c r="E168" i="21" a="1"/>
  <c r="L130" i="21" a="1"/>
  <c r="K109" i="21" a="1"/>
  <c r="F103" i="21" l="1"/>
  <c r="F125" i="21"/>
  <c r="F145" i="21"/>
  <c r="F169" i="21"/>
  <c r="E124" i="21"/>
  <c r="E102" i="21"/>
  <c r="E168" i="21"/>
  <c r="E144" i="21"/>
  <c r="D100" i="21"/>
  <c r="D122" i="21"/>
  <c r="P98" i="21"/>
  <c r="K135" i="21"/>
  <c r="P118" i="21"/>
  <c r="R118" i="21" s="1"/>
  <c r="K157" i="21"/>
  <c r="G127" i="21"/>
  <c r="L130" i="21"/>
  <c r="G105" i="21"/>
  <c r="L108" i="21"/>
  <c r="I147" i="21"/>
  <c r="K109" i="21"/>
  <c r="I171" i="21"/>
  <c r="N116" i="21"/>
  <c r="P162" i="21"/>
  <c r="R162" i="21" s="1"/>
  <c r="N96" i="21"/>
  <c r="L174" i="21"/>
  <c r="P140" i="21"/>
  <c r="L150" i="21"/>
  <c r="L158" i="21"/>
  <c r="J106" i="21"/>
  <c r="L136" i="21"/>
  <c r="J128" i="21"/>
  <c r="R99" i="21"/>
  <c r="AH35" i="21" s="1"/>
  <c r="R141" i="21"/>
  <c r="AI35" i="21" s="1"/>
  <c r="H171" i="21" a="1"/>
  <c r="N137" i="21" a="1"/>
  <c r="C166" i="21" a="1"/>
  <c r="L113" i="21" a="1"/>
  <c r="M94" i="21" a="1"/>
  <c r="D170" i="21" a="1"/>
  <c r="I128" i="21" a="1"/>
  <c r="C100" i="21" a="1"/>
  <c r="G147" i="21" a="1"/>
  <c r="J172" i="21" a="1"/>
  <c r="G171" i="21" a="1"/>
  <c r="L109" i="21" a="1"/>
  <c r="D146" i="21" a="1"/>
  <c r="O116" i="21" a="1"/>
  <c r="H147" i="21" a="1"/>
  <c r="O160" i="21" a="1"/>
  <c r="M114" i="21" a="1"/>
  <c r="M136" i="21" a="1"/>
  <c r="L93" i="21" a="1"/>
  <c r="H127" i="21" a="1"/>
  <c r="I106" i="21" a="1"/>
  <c r="O138" i="21" a="1"/>
  <c r="C142" i="21" a="1"/>
  <c r="M158" i="21" a="1"/>
  <c r="H105" i="21" a="1"/>
  <c r="C122" i="21" a="1"/>
  <c r="L151" i="21" a="1"/>
  <c r="J148" i="21" a="1"/>
  <c r="O96" i="21" a="1"/>
  <c r="N159" i="21" a="1"/>
  <c r="K134" i="21" a="1"/>
  <c r="J148" i="21" l="1"/>
  <c r="J172" i="21"/>
  <c r="D146" i="21"/>
  <c r="D170" i="21"/>
  <c r="N159" i="21"/>
  <c r="C166" i="21"/>
  <c r="R166" i="21" s="1"/>
  <c r="I106" i="21"/>
  <c r="C142" i="21"/>
  <c r="L109" i="21"/>
  <c r="M94" i="21"/>
  <c r="O116" i="21"/>
  <c r="M136" i="21"/>
  <c r="H171" i="21"/>
  <c r="C100" i="21"/>
  <c r="N137" i="21"/>
  <c r="I128" i="21"/>
  <c r="M158" i="21"/>
  <c r="H147" i="21"/>
  <c r="C122" i="21"/>
  <c r="R122" i="21" s="1"/>
  <c r="H127" i="21"/>
  <c r="L151" i="21"/>
  <c r="L113" i="21"/>
  <c r="O138" i="21"/>
  <c r="G171" i="21"/>
  <c r="H105" i="21"/>
  <c r="O96" i="21"/>
  <c r="L93" i="21"/>
  <c r="O160" i="21"/>
  <c r="G147" i="21"/>
  <c r="M114" i="21"/>
  <c r="K134" i="21"/>
  <c r="R140" i="21"/>
  <c r="AI34" i="21" s="1"/>
  <c r="AL35" i="21"/>
  <c r="AJ35" i="21" s="1"/>
  <c r="AR33" i="21"/>
  <c r="AX33" i="21"/>
  <c r="AQ33" i="21"/>
  <c r="R98" i="21"/>
  <c r="AH34" i="21" s="1"/>
  <c r="N115" i="21" a="1"/>
  <c r="N95" i="21" a="1"/>
  <c r="AE35" i="21"/>
  <c r="P139" i="21" a="1"/>
  <c r="P97" i="21" a="1"/>
  <c r="L135" i="21" a="1"/>
  <c r="E145" i="21" a="1"/>
  <c r="E125" i="21" a="1"/>
  <c r="J107" i="21" a="1"/>
  <c r="P117" i="21" a="1"/>
  <c r="G128" i="21" a="1"/>
  <c r="G106" i="21" a="1"/>
  <c r="L92" i="21" a="1"/>
  <c r="I172" i="21" a="1"/>
  <c r="F170" i="21" a="1"/>
  <c r="D101" i="21" a="1"/>
  <c r="F126" i="21" a="1"/>
  <c r="J129" i="21" a="1"/>
  <c r="E103" i="21" a="1"/>
  <c r="F146" i="21" a="1"/>
  <c r="D123" i="21" a="1"/>
  <c r="I148" i="21" a="1"/>
  <c r="L157" i="21" a="1"/>
  <c r="E169" i="21" a="1"/>
  <c r="F104" i="21" a="1"/>
  <c r="P161" i="21" a="1"/>
  <c r="AM35" i="21"/>
  <c r="AM34" i="21"/>
  <c r="F126" i="21" l="1"/>
  <c r="F104" i="21"/>
  <c r="F170" i="21"/>
  <c r="F146" i="21"/>
  <c r="E103" i="21"/>
  <c r="E125" i="21"/>
  <c r="E169" i="21"/>
  <c r="E145" i="21"/>
  <c r="D101" i="21"/>
  <c r="D123" i="21"/>
  <c r="J107" i="21"/>
  <c r="P117" i="21"/>
  <c r="R117" i="21" s="1"/>
  <c r="P97" i="21"/>
  <c r="G128" i="21"/>
  <c r="L135" i="21"/>
  <c r="L157" i="21"/>
  <c r="P139" i="21"/>
  <c r="I172" i="21"/>
  <c r="N95" i="21"/>
  <c r="J129" i="21"/>
  <c r="G106" i="21"/>
  <c r="I148" i="21"/>
  <c r="N115" i="21"/>
  <c r="L92" i="21"/>
  <c r="P161" i="21"/>
  <c r="R161" i="21" s="1"/>
  <c r="R100" i="21"/>
  <c r="AL34" i="21"/>
  <c r="R142" i="21"/>
  <c r="AM36" i="21"/>
  <c r="D147" i="21" a="1"/>
  <c r="H106" i="21" a="1"/>
  <c r="M157" i="21" a="1"/>
  <c r="M135" i="21" a="1"/>
  <c r="M113" i="21" a="1"/>
  <c r="G172" i="21" a="1"/>
  <c r="H128" i="21" a="1"/>
  <c r="J173" i="21" a="1"/>
  <c r="C101" i="21" a="1"/>
  <c r="D171" i="21" a="1"/>
  <c r="C143" i="21" a="1"/>
  <c r="N158" i="21" a="1"/>
  <c r="I107" i="21" a="1"/>
  <c r="H172" i="21" a="1"/>
  <c r="N136" i="21" a="1"/>
  <c r="G148" i="21" a="1"/>
  <c r="I129" i="21" a="1"/>
  <c r="C167" i="21" a="1"/>
  <c r="H148" i="21" a="1"/>
  <c r="O159" i="21" a="1"/>
  <c r="AE34" i="21"/>
  <c r="M93" i="21" a="1"/>
  <c r="C123" i="21" a="1"/>
  <c r="O115" i="21" a="1"/>
  <c r="O137" i="21" a="1"/>
  <c r="J149" i="21" a="1"/>
  <c r="O95" i="21" a="1"/>
  <c r="L134" i="21" a="1"/>
  <c r="J149" i="21" l="1"/>
  <c r="J173" i="21"/>
  <c r="D147" i="21"/>
  <c r="D171" i="21"/>
  <c r="AR36" i="21"/>
  <c r="AX36" i="21"/>
  <c r="AX34" i="21"/>
  <c r="AR34" i="21"/>
  <c r="O95" i="21"/>
  <c r="O137" i="21"/>
  <c r="C143" i="21"/>
  <c r="H128" i="21"/>
  <c r="C123" i="21"/>
  <c r="R123" i="21" s="1"/>
  <c r="N136" i="21"/>
  <c r="I107" i="21"/>
  <c r="I129" i="21"/>
  <c r="M93" i="21"/>
  <c r="O159" i="21"/>
  <c r="M113" i="21"/>
  <c r="L134" i="21"/>
  <c r="N158" i="21"/>
  <c r="C101" i="21"/>
  <c r="H172" i="21"/>
  <c r="O115" i="21"/>
  <c r="H148" i="21"/>
  <c r="G172" i="21"/>
  <c r="H106" i="21"/>
  <c r="C167" i="21"/>
  <c r="R167" i="21" s="1"/>
  <c r="G148" i="21"/>
  <c r="M135" i="21"/>
  <c r="M157" i="21"/>
  <c r="AB45" i="21"/>
  <c r="AB44" i="21"/>
  <c r="AJ34" i="21"/>
  <c r="R97" i="21"/>
  <c r="AH33" i="21" s="1"/>
  <c r="R139" i="21"/>
  <c r="AI33" i="21" s="1"/>
  <c r="AE36" i="21"/>
  <c r="J108" i="21" a="1"/>
  <c r="J130" i="21" a="1"/>
  <c r="I173" i="21" a="1"/>
  <c r="G129" i="21" a="1"/>
  <c r="F127" i="21" a="1"/>
  <c r="P138" i="21" a="1"/>
  <c r="D124" i="21" a="1"/>
  <c r="I149" i="21" a="1"/>
  <c r="F171" i="21" a="1"/>
  <c r="E170" i="21" a="1"/>
  <c r="P116" i="21" a="1"/>
  <c r="E126" i="21" a="1"/>
  <c r="M92" i="21" a="1"/>
  <c r="E146" i="21" a="1"/>
  <c r="P160" i="21" a="1"/>
  <c r="D102" i="21" a="1"/>
  <c r="E104" i="21" a="1"/>
  <c r="N114" i="21" a="1"/>
  <c r="N94" i="21" a="1"/>
  <c r="G107" i="21" a="1"/>
  <c r="F147" i="21" a="1"/>
  <c r="M134" i="21" a="1"/>
  <c r="F105" i="21" a="1"/>
  <c r="P96" i="21" a="1"/>
  <c r="F127" i="21" l="1"/>
  <c r="F105" i="21"/>
  <c r="F171" i="21"/>
  <c r="F147" i="21"/>
  <c r="E126" i="21"/>
  <c r="E104" i="21"/>
  <c r="E170" i="21"/>
  <c r="E146" i="21"/>
  <c r="D102" i="21"/>
  <c r="D124" i="21"/>
  <c r="AQ36" i="21"/>
  <c r="AL36" i="21"/>
  <c r="AJ36" i="21" s="1"/>
  <c r="AQ34" i="21"/>
  <c r="I149" i="21"/>
  <c r="M92" i="21"/>
  <c r="P138" i="21"/>
  <c r="P160" i="21"/>
  <c r="R160" i="21" s="1"/>
  <c r="P96" i="21"/>
  <c r="P116" i="21"/>
  <c r="R116" i="21" s="1"/>
  <c r="I173" i="21"/>
  <c r="N114" i="21"/>
  <c r="J130" i="21"/>
  <c r="N94" i="21"/>
  <c r="J108" i="21"/>
  <c r="G107" i="21"/>
  <c r="M134" i="21"/>
  <c r="G129" i="21"/>
  <c r="AX32" i="21"/>
  <c r="AL33" i="21"/>
  <c r="AJ33" i="21" s="1"/>
  <c r="R101" i="21"/>
  <c r="AH37" i="21" s="1"/>
  <c r="R143" i="21"/>
  <c r="AI37" i="21" s="1"/>
  <c r="H149" i="21" a="1"/>
  <c r="G173" i="21" a="1"/>
  <c r="D148" i="21" a="1"/>
  <c r="J109" i="21" a="1"/>
  <c r="N157" i="21" a="1"/>
  <c r="C124" i="21" a="1"/>
  <c r="AE33" i="21"/>
  <c r="G149" i="21" a="1"/>
  <c r="O94" i="21" a="1"/>
  <c r="J150" i="21" a="1"/>
  <c r="H129" i="21" a="1"/>
  <c r="O158" i="21" a="1"/>
  <c r="C102" i="21" a="1"/>
  <c r="H107" i="21" a="1"/>
  <c r="AM33" i="21"/>
  <c r="O114" i="21" a="1"/>
  <c r="C168" i="21" a="1"/>
  <c r="I130" i="21" a="1"/>
  <c r="D172" i="21" a="1"/>
  <c r="H173" i="21" a="1"/>
  <c r="C144" i="21" a="1"/>
  <c r="J174" i="21" a="1"/>
  <c r="O136" i="21" a="1"/>
  <c r="I108" i="21" a="1"/>
  <c r="N135" i="21" a="1"/>
  <c r="AE37" i="21"/>
  <c r="J174" i="21" l="1"/>
  <c r="J150" i="21"/>
  <c r="D172" i="21"/>
  <c r="D148" i="21"/>
  <c r="AQ35" i="21"/>
  <c r="AQ37" i="21"/>
  <c r="C124" i="21"/>
  <c r="R124" i="21" s="1"/>
  <c r="O114" i="21"/>
  <c r="O94" i="21"/>
  <c r="G149" i="21"/>
  <c r="G173" i="21"/>
  <c r="H107" i="21"/>
  <c r="O136" i="21"/>
  <c r="N135" i="21"/>
  <c r="H129" i="21"/>
  <c r="O158" i="21"/>
  <c r="N157" i="21"/>
  <c r="I108" i="21"/>
  <c r="C144" i="21"/>
  <c r="I130" i="21"/>
  <c r="C102" i="21"/>
  <c r="C168" i="21"/>
  <c r="R168" i="21" s="1"/>
  <c r="H173" i="21"/>
  <c r="H149" i="21"/>
  <c r="J109" i="21"/>
  <c r="R96" i="21"/>
  <c r="AH32" i="21" s="1"/>
  <c r="AX37" i="21"/>
  <c r="AR37" i="21"/>
  <c r="AR35" i="21"/>
  <c r="AX35" i="21"/>
  <c r="AL37" i="21"/>
  <c r="AJ37" i="21" s="1"/>
  <c r="R138" i="21"/>
  <c r="AI32" i="21" s="1"/>
  <c r="D103" i="21" a="1"/>
  <c r="F172" i="21" a="1"/>
  <c r="P159" i="21" a="1"/>
  <c r="J151" i="21" a="1"/>
  <c r="D125" i="21" a="1"/>
  <c r="I174" i="21" a="1"/>
  <c r="P137" i="21" a="1"/>
  <c r="F128" i="21" a="1"/>
  <c r="E105" i="21" a="1"/>
  <c r="G130" i="21" a="1"/>
  <c r="P115" i="21" a="1"/>
  <c r="E147" i="21" a="1"/>
  <c r="G108" i="21" a="1"/>
  <c r="I109" i="21" a="1"/>
  <c r="F106" i="21" a="1"/>
  <c r="E171" i="21" a="1"/>
  <c r="P95" i="21" a="1"/>
  <c r="N93" i="21" a="1"/>
  <c r="E127" i="21" a="1"/>
  <c r="N113" i="21" a="1"/>
  <c r="AM37" i="21"/>
  <c r="I150" i="21" a="1"/>
  <c r="F148" i="21" a="1"/>
  <c r="N134" i="21" a="1"/>
  <c r="F106" i="21" l="1"/>
  <c r="F128" i="21"/>
  <c r="F148" i="21"/>
  <c r="F172" i="21"/>
  <c r="E105" i="21"/>
  <c r="E127" i="21"/>
  <c r="J151" i="21"/>
  <c r="E147" i="21"/>
  <c r="E171" i="21"/>
  <c r="D125" i="21"/>
  <c r="D103" i="21"/>
  <c r="P137" i="21"/>
  <c r="N113" i="21"/>
  <c r="N134" i="21"/>
  <c r="N93" i="21"/>
  <c r="I174" i="21"/>
  <c r="G130" i="21"/>
  <c r="I150" i="21"/>
  <c r="G108" i="21"/>
  <c r="P95" i="21"/>
  <c r="P159" i="21"/>
  <c r="R159" i="21" s="1"/>
  <c r="I109" i="21"/>
  <c r="P115" i="21"/>
  <c r="R115" i="21" s="1"/>
  <c r="AL32" i="21"/>
  <c r="AJ32" i="21" s="1"/>
  <c r="AR31" i="21"/>
  <c r="AX31" i="21"/>
  <c r="AR43" i="21"/>
  <c r="R102" i="21"/>
  <c r="AH38" i="21" s="1"/>
  <c r="AR32" i="21"/>
  <c r="R144" i="21"/>
  <c r="AI38" i="21" s="1"/>
  <c r="AQ43" i="21"/>
  <c r="AQ32" i="21"/>
  <c r="AQ31" i="21"/>
  <c r="O93" i="21" a="1"/>
  <c r="G109" i="21" a="1"/>
  <c r="G150" i="21" a="1"/>
  <c r="H108" i="21" a="1"/>
  <c r="H174" i="21" a="1"/>
  <c r="C103" i="21" a="1"/>
  <c r="D149" i="21" a="1"/>
  <c r="O157" i="21" a="1"/>
  <c r="C125" i="21" a="1"/>
  <c r="H150" i="21" a="1"/>
  <c r="I151" i="21" a="1"/>
  <c r="H130" i="21" a="1"/>
  <c r="O135" i="21" a="1"/>
  <c r="D173" i="21" a="1"/>
  <c r="C169" i="21" a="1"/>
  <c r="C145" i="21" a="1"/>
  <c r="AM32" i="21"/>
  <c r="G174" i="21" a="1"/>
  <c r="AE32" i="21"/>
  <c r="O113" i="21" a="1"/>
  <c r="N92" i="21" a="1"/>
  <c r="D173" i="21" l="1"/>
  <c r="D149" i="21"/>
  <c r="H108" i="21"/>
  <c r="H174" i="21"/>
  <c r="O157" i="21"/>
  <c r="H150" i="21"/>
  <c r="O135" i="21"/>
  <c r="G109" i="21"/>
  <c r="I151" i="21"/>
  <c r="C169" i="21"/>
  <c r="R169" i="21" s="1"/>
  <c r="G150" i="21"/>
  <c r="G174" i="21"/>
  <c r="N92" i="21"/>
  <c r="C145" i="21"/>
  <c r="O93" i="21"/>
  <c r="O113" i="21"/>
  <c r="C125" i="21"/>
  <c r="R125" i="21" s="1"/>
  <c r="H130" i="21"/>
  <c r="C103" i="21"/>
  <c r="R95" i="21"/>
  <c r="AH31" i="21" s="1"/>
  <c r="AQ39" i="21"/>
  <c r="AQ38" i="21"/>
  <c r="AL38" i="21"/>
  <c r="AJ38" i="21" s="1"/>
  <c r="AX38" i="21"/>
  <c r="AX39" i="21"/>
  <c r="AR39" i="21"/>
  <c r="AR38" i="21"/>
  <c r="R137" i="21"/>
  <c r="AI31" i="21" s="1"/>
  <c r="AM38" i="21"/>
  <c r="AE38" i="21"/>
  <c r="E172" i="21" a="1"/>
  <c r="P114" i="21" a="1"/>
  <c r="G151" i="21" a="1"/>
  <c r="D104" i="21" a="1"/>
  <c r="D126" i="21" a="1"/>
  <c r="E106" i="21" a="1"/>
  <c r="F129" i="21" a="1"/>
  <c r="H109" i="21" a="1"/>
  <c r="P136" i="21" a="1"/>
  <c r="O134" i="21" a="1"/>
  <c r="P158" i="21" a="1"/>
  <c r="F173" i="21" a="1"/>
  <c r="F149" i="21" a="1"/>
  <c r="F107" i="21" a="1"/>
  <c r="E148" i="21" a="1"/>
  <c r="E128" i="21" a="1"/>
  <c r="P94" i="21" a="1"/>
  <c r="H151" i="21" a="1"/>
  <c r="O92" i="21" a="1"/>
  <c r="F129" i="21" l="1"/>
  <c r="F107" i="21"/>
  <c r="F173" i="21"/>
  <c r="F149" i="21"/>
  <c r="E106" i="21"/>
  <c r="E128" i="21"/>
  <c r="E148" i="21"/>
  <c r="E172" i="21"/>
  <c r="D104" i="21"/>
  <c r="D126" i="21"/>
  <c r="H109" i="21"/>
  <c r="G151" i="21"/>
  <c r="P94" i="21"/>
  <c r="P114" i="21"/>
  <c r="R114" i="21" s="1"/>
  <c r="P158" i="21"/>
  <c r="R158" i="21" s="1"/>
  <c r="O134" i="21"/>
  <c r="P136" i="21"/>
  <c r="H151" i="21"/>
  <c r="O92" i="21"/>
  <c r="AL31" i="21"/>
  <c r="AJ31" i="21" s="1"/>
  <c r="AR30" i="21"/>
  <c r="AX30" i="21"/>
  <c r="R103" i="21"/>
  <c r="AH39" i="21" s="1"/>
  <c r="AQ30" i="21"/>
  <c r="R145" i="21"/>
  <c r="AI39" i="21" s="1"/>
  <c r="AM39" i="21" s="1"/>
  <c r="C104" i="21" a="1"/>
  <c r="C126" i="21" a="1"/>
  <c r="D174" i="21" a="1"/>
  <c r="AM31" i="21"/>
  <c r="D150" i="21" a="1"/>
  <c r="AE31" i="21"/>
  <c r="C170" i="21" a="1"/>
  <c r="C146" i="21" a="1"/>
  <c r="D174" i="21" l="1"/>
  <c r="D150" i="21"/>
  <c r="C146" i="21"/>
  <c r="C126" i="21"/>
  <c r="R126" i="21" s="1"/>
  <c r="C104" i="21"/>
  <c r="C170" i="21"/>
  <c r="R170" i="21" s="1"/>
  <c r="R136" i="21"/>
  <c r="AI30" i="21" s="1"/>
  <c r="R94" i="21"/>
  <c r="AH30" i="21" s="1"/>
  <c r="AL39" i="21"/>
  <c r="AJ39" i="21" s="1"/>
  <c r="AE39" i="21"/>
  <c r="P157" i="21" a="1"/>
  <c r="F108" i="21" a="1"/>
  <c r="F150" i="21" a="1"/>
  <c r="D127" i="21" a="1"/>
  <c r="D151" i="21" a="1"/>
  <c r="P135" i="21" a="1"/>
  <c r="D105" i="21" a="1"/>
  <c r="E129" i="21" a="1"/>
  <c r="E107" i="21" a="1"/>
  <c r="F174" i="21" a="1"/>
  <c r="E149" i="21" a="1"/>
  <c r="P93" i="21" a="1"/>
  <c r="F130" i="21" a="1"/>
  <c r="E173" i="21" a="1"/>
  <c r="P113" i="21" a="1"/>
  <c r="F108" i="21" l="1"/>
  <c r="F130" i="21"/>
  <c r="F150" i="21"/>
  <c r="F174" i="21"/>
  <c r="E107" i="21"/>
  <c r="E129" i="21"/>
  <c r="E173" i="21"/>
  <c r="E149" i="21"/>
  <c r="D151" i="21"/>
  <c r="D105" i="21"/>
  <c r="D127" i="21"/>
  <c r="P113" i="21"/>
  <c r="R113" i="21" s="1"/>
  <c r="P157" i="21"/>
  <c r="R157" i="21" s="1"/>
  <c r="P135" i="21"/>
  <c r="P93" i="21"/>
  <c r="AX29" i="21"/>
  <c r="AL30" i="21"/>
  <c r="AJ30" i="21" s="1"/>
  <c r="AR29" i="21"/>
  <c r="R104" i="21"/>
  <c r="AH40" i="21" s="1"/>
  <c r="AQ29" i="21"/>
  <c r="R146" i="21"/>
  <c r="AI40" i="21" s="1"/>
  <c r="AE30" i="21"/>
  <c r="F109" i="21" a="1"/>
  <c r="C171" i="21" a="1"/>
  <c r="C147" i="21" a="1"/>
  <c r="C105" i="21" a="1"/>
  <c r="C127" i="21" a="1"/>
  <c r="AM30" i="21"/>
  <c r="F151" i="21" a="1"/>
  <c r="F109" i="21" l="1"/>
  <c r="F151" i="21"/>
  <c r="C105" i="21"/>
  <c r="C147" i="21"/>
  <c r="C127" i="21"/>
  <c r="R127" i="21" s="1"/>
  <c r="C171" i="21"/>
  <c r="R171" i="21" s="1"/>
  <c r="AR42" i="21"/>
  <c r="AX40" i="21"/>
  <c r="AX42" i="21"/>
  <c r="AR40" i="21"/>
  <c r="AE40" i="21"/>
  <c r="AQ40" i="21"/>
  <c r="AQ42" i="21"/>
  <c r="AL40" i="21"/>
  <c r="AJ40" i="21" s="1"/>
  <c r="R93" i="21"/>
  <c r="AH29" i="21" s="1"/>
  <c r="R135" i="21"/>
  <c r="AI29" i="21" s="1"/>
  <c r="AM40" i="21"/>
  <c r="D106" i="21" a="1"/>
  <c r="E174" i="21" a="1"/>
  <c r="E108" i="21" a="1"/>
  <c r="E130" i="21" a="1"/>
  <c r="P92" i="21" a="1"/>
  <c r="E150" i="21" a="1"/>
  <c r="D128" i="21" a="1"/>
  <c r="P134" i="21" a="1"/>
  <c r="E130" i="21" l="1"/>
  <c r="E108" i="21"/>
  <c r="E150" i="21"/>
  <c r="E174" i="21"/>
  <c r="D106" i="21"/>
  <c r="D128" i="21"/>
  <c r="P92" i="21"/>
  <c r="R92" i="21" s="1"/>
  <c r="AH28" i="21" s="1"/>
  <c r="AX27" i="21" s="1"/>
  <c r="P134" i="21"/>
  <c r="R134" i="21" s="1"/>
  <c r="AI28" i="21" s="1"/>
  <c r="AQ27" i="21" s="1"/>
  <c r="R105" i="21"/>
  <c r="AH41" i="21" s="1"/>
  <c r="AQ28" i="21"/>
  <c r="AL29" i="21"/>
  <c r="AJ29" i="21" s="1"/>
  <c r="AR28" i="21"/>
  <c r="AX28" i="21"/>
  <c r="R147" i="21"/>
  <c r="AI41" i="21" s="1"/>
  <c r="C106" i="21" a="1"/>
  <c r="E151" i="21" a="1"/>
  <c r="C148" i="21" a="1"/>
  <c r="AM29" i="21"/>
  <c r="C128" i="21" a="1"/>
  <c r="AE29" i="21"/>
  <c r="C172" i="21" a="1"/>
  <c r="E109" i="21" a="1"/>
  <c r="E109" i="21" l="1"/>
  <c r="E151" i="21"/>
  <c r="C148" i="21"/>
  <c r="C128" i="21"/>
  <c r="R128" i="21" s="1"/>
  <c r="C172" i="21"/>
  <c r="R172" i="21" s="1"/>
  <c r="C106" i="21"/>
  <c r="AL28" i="21"/>
  <c r="AJ28" i="21" s="1"/>
  <c r="AR27" i="21"/>
  <c r="AE41" i="21"/>
  <c r="AQ46" i="21"/>
  <c r="AQ44" i="21"/>
  <c r="AQ41" i="21"/>
  <c r="AQ47" i="21"/>
  <c r="AQ45" i="21"/>
  <c r="AL41" i="21"/>
  <c r="AJ41" i="21" s="1"/>
  <c r="AX44" i="21"/>
  <c r="AX46" i="21"/>
  <c r="AR44" i="21"/>
  <c r="AR46" i="21"/>
  <c r="AX41" i="21"/>
  <c r="AX45" i="21"/>
  <c r="AR45" i="21"/>
  <c r="AR41" i="21"/>
  <c r="AX43" i="21"/>
  <c r="AM41" i="21"/>
  <c r="D107" i="21" a="1"/>
  <c r="AE28" i="21"/>
  <c r="AM28" i="21"/>
  <c r="D129" i="21" a="1"/>
  <c r="D107" i="21" l="1"/>
  <c r="D129" i="21"/>
  <c r="R148" i="21"/>
  <c r="R106" i="21"/>
  <c r="C173" i="21" a="1"/>
  <c r="C149" i="21" a="1"/>
  <c r="C129" i="21" a="1"/>
  <c r="C107" i="21" a="1"/>
  <c r="C129" i="21" l="1"/>
  <c r="R129" i="21" s="1"/>
  <c r="C107" i="21"/>
  <c r="C149" i="21"/>
  <c r="C173" i="21"/>
  <c r="R173" i="21" s="1"/>
  <c r="D130" i="21" a="1"/>
  <c r="D108" i="21" a="1"/>
  <c r="D130" i="21" l="1"/>
  <c r="D108" i="21"/>
  <c r="R149" i="21"/>
  <c r="R107" i="21"/>
  <c r="C150" i="21" a="1"/>
  <c r="C130" i="21" a="1"/>
  <c r="D109" i="21" a="1"/>
  <c r="C174" i="21" a="1"/>
  <c r="C108" i="21" a="1"/>
  <c r="D109" i="21" l="1"/>
  <c r="C108" i="21"/>
  <c r="C130" i="21"/>
  <c r="R130" i="21" s="1"/>
  <c r="C174" i="21"/>
  <c r="R174" i="21" s="1"/>
  <c r="C150" i="21"/>
  <c r="R150" i="21" l="1"/>
  <c r="R108" i="21"/>
  <c r="C151" i="21" a="1"/>
  <c r="C109" i="21" a="1"/>
  <c r="C109" i="21" l="1"/>
  <c r="R109" i="21" s="1"/>
  <c r="C151" i="21"/>
  <c r="R151" i="2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U3" authorId="0" shapeId="0" xr:uid="{40764A00-2D82-4D92-A4B4-8B9AE7D53684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bid</t>
        </r>
      </text>
    </comment>
    <comment ref="AC3" authorId="0" shapeId="0" xr:uid="{F868ECFA-599B-42C0-9605-47620C77FDB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offer</t>
        </r>
      </text>
    </comment>
    <comment ref="U27" authorId="0" shapeId="0" xr:uid="{1F8847E6-AC70-40B2-A051-4F0BA15B096F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bid</t>
        </r>
      </text>
    </comment>
    <comment ref="AC27" authorId="0" shapeId="0" xr:uid="{1EF82208-7222-4055-9A30-3CA2492E9F66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offer</t>
        </r>
      </text>
    </comment>
    <comment ref="U51" authorId="0" shapeId="0" xr:uid="{AB20B36B-99F4-45FC-8C69-D7E89A9E6042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bid</t>
        </r>
      </text>
    </comment>
    <comment ref="AC51" authorId="0" shapeId="0" xr:uid="{724F7A76-BD11-4055-9600-86A9D3E3760E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offer</t>
        </r>
      </text>
    </comment>
    <comment ref="U78" authorId="0" shapeId="0" xr:uid="{30DA0ECA-B415-4051-8D9B-31F02AB287F7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bid</t>
        </r>
      </text>
    </comment>
    <comment ref="AC78" authorId="0" shapeId="0" xr:uid="{2478442F-E1F3-4E96-8E29-955EB40F0DA2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broker with best offer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<sst xmlns="http://schemas.openxmlformats.org/spreadsheetml/2006/main" count="1971" uniqueCount="876">
  <si>
    <t>bonos</t>
  </si>
  <si>
    <t>BID</t>
  </si>
  <si>
    <t>OFFER</t>
  </si>
  <si>
    <t>Tenors</t>
  </si>
  <si>
    <t>ENMX</t>
  </si>
  <si>
    <t>RTMX</t>
  </si>
  <si>
    <t>SIFM</t>
  </si>
  <si>
    <t>TMEX</t>
  </si>
  <si>
    <t>GFIM</t>
  </si>
  <si>
    <t>MEI</t>
  </si>
  <si>
    <t>VAR</t>
  </si>
  <si>
    <t>SIPO</t>
  </si>
  <si>
    <t>{mx} MBONO RUN - FINAMEX</t>
  </si>
  <si>
    <t>Brkr</t>
  </si>
  <si>
    <t>Bid</t>
  </si>
  <si>
    <t>Offer</t>
  </si>
  <si>
    <t xml:space="preserve"> ∆Chg</t>
  </si>
  <si>
    <t>Close</t>
  </si>
  <si>
    <t>Mid</t>
  </si>
  <si>
    <t>TIIES</t>
  </si>
  <si>
    <t>{mx} TIIE RUN - FINAMEX</t>
  </si>
  <si>
    <t>∆Chg</t>
  </si>
  <si>
    <t>Tenor Spread</t>
  </si>
  <si>
    <t>TIIE SPREAD</t>
  </si>
  <si>
    <t>{mx} TIIE SPREADS RUN - FINAMEX</t>
  </si>
  <si>
    <t>UDI BONOS</t>
  </si>
  <si>
    <t>{MX} UDIBONO RUN - FINAMEX</t>
  </si>
  <si>
    <t xml:space="preserve">      BONOS GUBERNAMENTALES       ENLACE              BONOS GUBERNAMENTALES     </t>
  </si>
  <si>
    <t>Tenor</t>
  </si>
  <si>
    <t>bid</t>
  </si>
  <si>
    <t>ask</t>
  </si>
  <si>
    <t>last</t>
  </si>
  <si>
    <t>tenorbueno</t>
  </si>
  <si>
    <t>Ask</t>
  </si>
  <si>
    <t>en</t>
  </si>
  <si>
    <t xml:space="preserve">301223        -            X            521134        -            X            </t>
  </si>
  <si>
    <t>fb</t>
  </si>
  <si>
    <t>mz</t>
  </si>
  <si>
    <t xml:space="preserve">320924        -            X            541136        -            X            </t>
  </si>
  <si>
    <t>ab</t>
  </si>
  <si>
    <t>my</t>
  </si>
  <si>
    <t>jn</t>
  </si>
  <si>
    <t>jl</t>
  </si>
  <si>
    <t>ag</t>
  </si>
  <si>
    <t>sp</t>
  </si>
  <si>
    <t xml:space="preserve">380326        -            X            601147        -            X            </t>
  </si>
  <si>
    <t>ot</t>
  </si>
  <si>
    <t>nv</t>
  </si>
  <si>
    <t>dc</t>
  </si>
  <si>
    <t xml:space="preserve">420327        -            X                                                    </t>
  </si>
  <si>
    <t xml:space="preserve">440627        -            X                                                    </t>
  </si>
  <si>
    <t xml:space="preserve">480531        -            X                                                    </t>
  </si>
  <si>
    <t xml:space="preserve">                                                                                </t>
  </si>
  <si>
    <t>UDIS</t>
  </si>
  <si>
    <t xml:space="preserve">                    REALES        ENLACE                                        </t>
  </si>
  <si>
    <t>tenor</t>
  </si>
  <si>
    <t xml:space="preserve">                   IRS            ENLACE              BASIS SOFR                </t>
  </si>
  <si>
    <t>TIIE</t>
  </si>
  <si>
    <t>last/val</t>
  </si>
  <si>
    <t>Tenor (L)</t>
  </si>
  <si>
    <t xml:space="preserve">2002x1          -            X                                                  </t>
  </si>
  <si>
    <t xml:space="preserve">               SPREAD IRS                              SPREAD IRS               </t>
  </si>
  <si>
    <t>Spread</t>
  </si>
  <si>
    <t>Spread/Fly</t>
  </si>
  <si>
    <t>Tenor 1</t>
  </si>
  <si>
    <t>Tenor 2</t>
  </si>
  <si>
    <t>Tenor 3</t>
  </si>
  <si>
    <t>Tenor 1 (L)</t>
  </si>
  <si>
    <t>Tenor 2 (L)</t>
  </si>
  <si>
    <t>Tenor 3 (L)</t>
  </si>
  <si>
    <t>Univ Name</t>
  </si>
  <si>
    <t>CETES</t>
  </si>
  <si>
    <t>mtyDays</t>
  </si>
  <si>
    <t>ENE</t>
  </si>
  <si>
    <t xml:space="preserve">101   RONDA MAY31  48                                                           </t>
  </si>
  <si>
    <t xml:space="preserve">    174  DIC23  48</t>
  </si>
  <si>
    <t>FEB</t>
  </si>
  <si>
    <t>MAR</t>
  </si>
  <si>
    <t xml:space="preserve">103       CAMA  DIC23                                                           </t>
  </si>
  <si>
    <t>ABR</t>
  </si>
  <si>
    <t>MAY</t>
  </si>
  <si>
    <t xml:space="preserve">105       CAMA  SEP24                                                           </t>
  </si>
  <si>
    <t>JUN</t>
  </si>
  <si>
    <t>JUL</t>
  </si>
  <si>
    <t xml:space="preserve">107       CAMA  DIC24                                                           </t>
  </si>
  <si>
    <t>AGO</t>
  </si>
  <si>
    <t>SEP</t>
  </si>
  <si>
    <t xml:space="preserve">109       CAMA  MAR25                                                           </t>
  </si>
  <si>
    <t>OCT</t>
  </si>
  <si>
    <t>NOV</t>
  </si>
  <si>
    <t xml:space="preserve">111       CAMA  MAR26                                                           </t>
  </si>
  <si>
    <t>DIC</t>
  </si>
  <si>
    <t xml:space="preserve">113       CAMA  SEP26                                                           </t>
  </si>
  <si>
    <t xml:space="preserve">115       CAMA  MAR27                                                           </t>
  </si>
  <si>
    <t xml:space="preserve">117       CAMA  JUN27                                                           </t>
  </si>
  <si>
    <t xml:space="preserve">119        CAMA MAY29                                                           </t>
  </si>
  <si>
    <t xml:space="preserve">121        CAMA MAY31                                                           </t>
  </si>
  <si>
    <t xml:space="preserve">125       CAMA  NOV34                                                           </t>
  </si>
  <si>
    <t xml:space="preserve">127       CAMA  NOV36                                                           </t>
  </si>
  <si>
    <t xml:space="preserve">129       CAMA  NOV38                                                           </t>
  </si>
  <si>
    <t xml:space="preserve">131       CAMA  NOV42                                                           </t>
  </si>
  <si>
    <t xml:space="preserve">133       CAMA  NOV47                                                           </t>
  </si>
  <si>
    <t xml:space="preserve">135       CAMA  JUL53                                                           </t>
  </si>
  <si>
    <t>("bbg://screens/gptf%20973%2013%201","SIFM")</t>
  </si>
  <si>
    <t xml:space="preserve">LN  Plazo      TV           LQ  TO      MCpa   TCpa   TVta   MVta        UH     </t>
  </si>
  <si>
    <t>DOS</t>
  </si>
  <si>
    <t>sp24</t>
  </si>
  <si>
    <t>TRES</t>
  </si>
  <si>
    <t>mz27</t>
  </si>
  <si>
    <t>UNO</t>
  </si>
  <si>
    <t>CINCO</t>
  </si>
  <si>
    <t>TIIE ICAP</t>
  </si>
  <si>
    <t xml:space="preserve">TIIE SPREADS                            TIIE SPREADS                            </t>
  </si>
  <si>
    <t>"973/12/1",,"cols=1;rows=26")</t>
  </si>
  <si>
    <t>d</t>
  </si>
  <si>
    <t xml:space="preserve">76  27         CTS 230713   48  D                                    11.150     </t>
  </si>
  <si>
    <t xml:space="preserve">77  48         CTS 230803   48  D                                    11.350     </t>
  </si>
  <si>
    <t xml:space="preserve">78  76         CTS 230831   48  D                                    11.350     </t>
  </si>
  <si>
    <t xml:space="preserve">79  83         CTS 230907   48  D                                    11.360     </t>
  </si>
  <si>
    <t xml:space="preserve">80  90         CTS 230914   48  D                                    11.270     </t>
  </si>
  <si>
    <t xml:space="preserve">81  97         CTS 230921   48  D        100 11.420 11.390    100    11.410     </t>
  </si>
  <si>
    <t xml:space="preserve">82  111        CTS 231005   48  D        100 11.460                  11.410     </t>
  </si>
  <si>
    <t xml:space="preserve">83  125        CTS 231019   48  D        100 11.450                  11.400     </t>
  </si>
  <si>
    <t xml:space="preserve">84  138        CTS 231101   48  D        100 11.460                  11.410     </t>
  </si>
  <si>
    <t xml:space="preserve">85  153        CTS 231116   48  D        100 11.450                  11.400     </t>
  </si>
  <si>
    <t xml:space="preserve">86  167        CTS 231130   48  D        100 11.440                  11.390     </t>
  </si>
  <si>
    <t xml:space="preserve">87  181        CTS 231214   48  D        100 11.430 11.330    100    11.390     </t>
  </si>
  <si>
    <t xml:space="preserve">88  209        CTS 240111   48  D        100 11.420                  11.370     </t>
  </si>
  <si>
    <t xml:space="preserve">89  237        CTS 240208   48  D        100 11.440                  11.340     </t>
  </si>
  <si>
    <t xml:space="preserve">90  265        CTS 240307   48  D        100 11.430                  11.330     </t>
  </si>
  <si>
    <t xml:space="preserve">91  293        CTS 240404   48  D        100 11.430                  11.330     </t>
  </si>
  <si>
    <t xml:space="preserve">92  321        CTS 240502   48  D        100 11.430                  11.330     </t>
  </si>
  <si>
    <t xml:space="preserve">93  349        CTS 240530   48  D        100 11.330 11.210    100    11.310     </t>
  </si>
  <si>
    <t xml:space="preserve">94  475        CTS 241003   48  D        100 11.330 11.290    100    11.310     </t>
  </si>
  <si>
    <t xml:space="preserve">95  531        CTS 241128   48  D        100 11.230                  11.210     </t>
  </si>
  <si>
    <t xml:space="preserve">96  587        CTS 250123   48  D        100 11.110                  11.090     </t>
  </si>
  <si>
    <t xml:space="preserve">97  601        CTS 250206   48  D        100 11.040                  11.020     </t>
  </si>
  <si>
    <t xml:space="preserve">98  643        CTS 250320   48  D        100 11.000 10.910    100    10.980     </t>
  </si>
  <si>
    <t xml:space="preserve">99  699        CTS 250515   48  D        100 10.900 10.830    100    10.890     </t>
  </si>
  <si>
    <t>("bbg://screens/gptf%201596%204%201","TMEX")</t>
  </si>
  <si>
    <t xml:space="preserve">                                     BONOS                                      </t>
  </si>
  <si>
    <t xml:space="preserve">                                     REALES                                     </t>
  </si>
  <si>
    <t xml:space="preserve">                                    REPORTOS                                    </t>
  </si>
  <si>
    <t xml:space="preserve">                                 MEDIOS Y PICOS                                 </t>
  </si>
  <si>
    <t>"1596/15/1",,"cols=1;rows=26")</t>
  </si>
  <si>
    <t xml:space="preserve">                                     CETES                                      </t>
  </si>
  <si>
    <t>Last</t>
  </si>
  <si>
    <t xml:space="preserve">52  27       CT                         -                        11.15          </t>
  </si>
  <si>
    <t xml:space="preserve">53  30-50    CT                         -                                       </t>
  </si>
  <si>
    <t xml:space="preserve">54  50-70    CT                         -11.36   100                            </t>
  </si>
  <si>
    <t xml:space="preserve">55  70-90    CT                         -                                       </t>
  </si>
  <si>
    <t xml:space="preserve">56  90       CT                         -                        11.27          </t>
  </si>
  <si>
    <t xml:space="preserve">57  97       CT                         -                        11.41          </t>
  </si>
  <si>
    <t xml:space="preserve">58  111      CT                         -                        11.41          </t>
  </si>
  <si>
    <t xml:space="preserve">59  125      CT                         -                        11.40          </t>
  </si>
  <si>
    <t xml:space="preserve">60  138      CT                         -                        11.41          </t>
  </si>
  <si>
    <t xml:space="preserve">61  153      CT                         -                        11.40          </t>
  </si>
  <si>
    <t xml:space="preserve">62  167      CT                         -                        11.39          </t>
  </si>
  <si>
    <t xml:space="preserve">63  181      CT              100   11.49-11.29   100             11.39          </t>
  </si>
  <si>
    <t xml:space="preserve">64  209      CT              100   11.47-11.27   100             11.37          </t>
  </si>
  <si>
    <t xml:space="preserve">65  237      CT              100   11.44-11.24   100             11.34          </t>
  </si>
  <si>
    <t xml:space="preserve">66  265      CT              100   11.43-11.23   100             11.33          </t>
  </si>
  <si>
    <t xml:space="preserve">67  293      CT              100   11.43-11.23   100             11.33          </t>
  </si>
  <si>
    <t xml:space="preserve">68  321      CT              100   11.43-11.23   100             11.33          </t>
  </si>
  <si>
    <t xml:space="preserve">69  349      CT              100   11.33-11.28   100             11.31          </t>
  </si>
  <si>
    <t xml:space="preserve">70  475      CT              100   11.34-11.28   100             11.31          </t>
  </si>
  <si>
    <t xml:space="preserve">71  531      CT              100   11.24-11.12   100             11.21          </t>
  </si>
  <si>
    <t xml:space="preserve">72  587      CT              100   11.12-10.99   100             11.09          </t>
  </si>
  <si>
    <t xml:space="preserve">73  601      CT              100   11.05-10.92   100             11.02          </t>
  </si>
  <si>
    <t xml:space="preserve">74  643      CT              100   11.01-10.90   100             10.98          </t>
  </si>
  <si>
    <t xml:space="preserve">75  699      CT              100   10.92-10.82   100             10.89          </t>
  </si>
  <si>
    <t>("bbg://screens/gptf%201602%2011%201","GFIM")</t>
  </si>
  <si>
    <t xml:space="preserve">Ln  Rem Days  Bond        Ty Stl R   BSz  Bid    OpnMkt  Offer  OSz   R Last    </t>
  </si>
  <si>
    <t xml:space="preserve">Tasa Fija                                                                       </t>
  </si>
  <si>
    <t>CUATRO</t>
  </si>
  <si>
    <t xml:space="preserve">Reales                                                                          </t>
  </si>
  <si>
    <t>Local Name</t>
  </si>
  <si>
    <t>3v6v9</t>
  </si>
  <si>
    <t>3M-6M-9M</t>
  </si>
  <si>
    <t>6v9v1</t>
  </si>
  <si>
    <t>6M-9M-1Y</t>
  </si>
  <si>
    <t>9v1v2</t>
  </si>
  <si>
    <t>9M-1Y-2Y</t>
  </si>
  <si>
    <t>1v19v2</t>
  </si>
  <si>
    <t>1Y-19M-2Y</t>
  </si>
  <si>
    <t>1v2v3</t>
  </si>
  <si>
    <t>1Y-2Y-3Y</t>
  </si>
  <si>
    <t>2v3v4</t>
  </si>
  <si>
    <t>2Y-3Y-4Y</t>
  </si>
  <si>
    <t>2v5v10</t>
  </si>
  <si>
    <t>2Y-5Y-10Y</t>
  </si>
  <si>
    <t>3v4v5</t>
  </si>
  <si>
    <t>3Y-4Y-5Y</t>
  </si>
  <si>
    <t>5v7v10</t>
  </si>
  <si>
    <t>5Y-7Y-10Y</t>
  </si>
  <si>
    <t>3v6</t>
  </si>
  <si>
    <t>3M-6M</t>
  </si>
  <si>
    <t>6v9</t>
  </si>
  <si>
    <t>6M-9M</t>
  </si>
  <si>
    <t>9v1</t>
  </si>
  <si>
    <t>9M-1Y</t>
  </si>
  <si>
    <t>1v2</t>
  </si>
  <si>
    <t>1Y-2Y</t>
  </si>
  <si>
    <t>1v3</t>
  </si>
  <si>
    <t>1Y-3Y</t>
  </si>
  <si>
    <t>2v3</t>
  </si>
  <si>
    <t>2Y-3Y</t>
  </si>
  <si>
    <t>2v4</t>
  </si>
  <si>
    <t>2Y-4Y</t>
  </si>
  <si>
    <t>2v5</t>
  </si>
  <si>
    <t>2Y-5Y</t>
  </si>
  <si>
    <t>2v10</t>
  </si>
  <si>
    <t>2Y-10Y</t>
  </si>
  <si>
    <t>3v4</t>
  </si>
  <si>
    <t>3Y-4Y</t>
  </si>
  <si>
    <t>3v5</t>
  </si>
  <si>
    <t>3Y-5Y</t>
  </si>
  <si>
    <t>3v10</t>
  </si>
  <si>
    <t>3Y-10Y</t>
  </si>
  <si>
    <t>4v5</t>
  </si>
  <si>
    <t>5v6</t>
  </si>
  <si>
    <t>5Y-6Y</t>
  </si>
  <si>
    <t>5v7</t>
  </si>
  <si>
    <t>5Y-7Y</t>
  </si>
  <si>
    <t>5v10</t>
  </si>
  <si>
    <t>5Y-10Y</t>
  </si>
  <si>
    <t>6v7</t>
  </si>
  <si>
    <t>6Y-7Y</t>
  </si>
  <si>
    <t>7v10</t>
  </si>
  <si>
    <t>7Y-10Y</t>
  </si>
  <si>
    <t>9v10</t>
  </si>
  <si>
    <t>9Y-10Y</t>
  </si>
  <si>
    <t>10v12</t>
  </si>
  <si>
    <t>10Y-12Y</t>
  </si>
  <si>
    <t>10v15</t>
  </si>
  <si>
    <t>10Y-15Y</t>
  </si>
  <si>
    <t>12v15</t>
  </si>
  <si>
    <t>12Y-15Y</t>
  </si>
  <si>
    <t>15v20</t>
  </si>
  <si>
    <t>15Y-20Y</t>
  </si>
  <si>
    <t>4v5v7</t>
  </si>
  <si>
    <t>4Y-5Y-7Y</t>
  </si>
  <si>
    <t>2m3</t>
  </si>
  <si>
    <t>6v1</t>
  </si>
  <si>
    <t>6Y-1Y</t>
  </si>
  <si>
    <t>("bbg://screens/gptf%201025%2016%201","MEIM")</t>
  </si>
  <si>
    <t xml:space="preserve">     SPREADS   BONOS                                                            </t>
  </si>
  <si>
    <t xml:space="preserve">M MAY 29 - M M           -                                                      </t>
  </si>
  <si>
    <t xml:space="preserve">M NOV 34 - M N           -                                                      </t>
  </si>
  <si>
    <t>MEIM</t>
  </si>
  <si>
    <t xml:space="preserve">     UDIBONOS     MEI                                                           </t>
  </si>
  <si>
    <t xml:space="preserve">      SPREADS     UDIBONOS                                                      </t>
  </si>
  <si>
    <t xml:space="preserve">      CBICS                                                                     </t>
  </si>
  <si>
    <t>K("bbg://screens/gptf%201595%204%201","VRMX")</t>
  </si>
  <si>
    <t>("bbg://screens/gptf%20973%2013%201","SIPO")</t>
  </si>
  <si>
    <t xml:space="preserve">LN  Plazo      TV           LQ  TO       MCpa   TCpa   TVta   MVta     UH       </t>
  </si>
  <si>
    <t>TENOR</t>
  </si>
  <si>
    <t>Spreads</t>
  </si>
  <si>
    <t>Tenor1</t>
  </si>
  <si>
    <t>Tenor2</t>
  </si>
  <si>
    <t>Tenor 1 L</t>
  </si>
  <si>
    <t>Tenor 2 L</t>
  </si>
  <si>
    <t>CONCAT</t>
  </si>
  <si>
    <t>TMEX6</t>
  </si>
  <si>
    <t>Max Bid</t>
  </si>
  <si>
    <t>Broker</t>
  </si>
  <si>
    <t>Min Bid</t>
  </si>
  <si>
    <t>Max Offer</t>
  </si>
  <si>
    <t>Min Offer</t>
  </si>
  <si>
    <t>2M-3M</t>
  </si>
  <si>
    <t>Ordenados 1</t>
  </si>
  <si>
    <t>Ordenados 2</t>
  </si>
  <si>
    <t>Ordenados tenor</t>
  </si>
  <si>
    <t>MAX</t>
  </si>
  <si>
    <t>MIN</t>
  </si>
  <si>
    <t>Bond</t>
  </si>
  <si>
    <t>Mids</t>
  </si>
  <si>
    <t>Chg</t>
  </si>
  <si>
    <t>MID</t>
  </si>
  <si>
    <t>Start</t>
  </si>
  <si>
    <t>End</t>
  </si>
  <si>
    <t>Spread Tenor</t>
  </si>
  <si>
    <t>Bid Path</t>
  </si>
  <si>
    <t>Bid Spread</t>
  </si>
  <si>
    <t>Offer Path</t>
  </si>
  <si>
    <t>Offer Spread</t>
  </si>
  <si>
    <t>3m3m</t>
  </si>
  <si>
    <t>6m6m</t>
  </si>
  <si>
    <t>9m9m</t>
  </si>
  <si>
    <t>13m13m</t>
  </si>
  <si>
    <t>26m26m</t>
  </si>
  <si>
    <t>65m65m</t>
  </si>
  <si>
    <t>130m130m</t>
  </si>
  <si>
    <t>Udibono Spreads</t>
  </si>
  <si>
    <t>BEI</t>
  </si>
  <si>
    <t>UDI</t>
  </si>
  <si>
    <t>{mx} UDIBONO RUN - FINAMEX</t>
  </si>
  <si>
    <t>Fly Quoting Mbono</t>
  </si>
  <si>
    <t>Quote</t>
  </si>
  <si>
    <t>Fly Quoting TIIE</t>
  </si>
  <si>
    <t>{mx} TIIE via Spread - FINAMEX</t>
  </si>
  <si>
    <t>TIIE Via Spread Python</t>
  </si>
  <si>
    <t>-</t>
  </si>
  <si>
    <t>Rate</t>
  </si>
  <si>
    <t xml:space="preserve">195x1                /             X    195x1SOFR            /             X    </t>
  </si>
  <si>
    <t xml:space="preserve">123        CAMA MAY33                                                           </t>
  </si>
  <si>
    <t>Excel TIIE Spread via Spread</t>
  </si>
  <si>
    <t>Python TIIE Spread via Spread</t>
  </si>
  <si>
    <t>Belly</t>
  </si>
  <si>
    <t>Wing 1</t>
  </si>
  <si>
    <t>Wing 2</t>
  </si>
  <si>
    <t>Long</t>
  </si>
  <si>
    <t>Short</t>
  </si>
  <si>
    <t>Spread Quoting TIIE and Mbono</t>
  </si>
  <si>
    <t>8v9v10</t>
  </si>
  <si>
    <t>8Y-9Y-10Y</t>
  </si>
  <si>
    <t>10v20</t>
  </si>
  <si>
    <t>10Y-20Y</t>
  </si>
  <si>
    <t xml:space="preserve">500533        -            X                                                    </t>
  </si>
  <si>
    <t>2m3m</t>
  </si>
  <si>
    <t xml:space="preserve">341224        -            X            561138        -            X            </t>
  </si>
  <si>
    <t xml:space="preserve">400926        -            X            620753        -            X            </t>
  </si>
  <si>
    <t xml:space="preserve">23                           48                                                 </t>
  </si>
  <si>
    <t xml:space="preserve">22                           48                                                 </t>
  </si>
  <si>
    <t xml:space="preserve">21                           48                                                 </t>
  </si>
  <si>
    <t xml:space="preserve">20                           48                                                 </t>
  </si>
  <si>
    <t xml:space="preserve">19                           48                                                 </t>
  </si>
  <si>
    <t xml:space="preserve">156x1                /             X    156x1SOFR            /             X    </t>
  </si>
  <si>
    <t>CHECK CATALOGUE</t>
  </si>
  <si>
    <t>3mx6m</t>
  </si>
  <si>
    <t>9mx1y</t>
  </si>
  <si>
    <t>2yx3y</t>
  </si>
  <si>
    <t>4yx5y</t>
  </si>
  <si>
    <t>4Y-5Y</t>
  </si>
  <si>
    <t>1yx2y</t>
  </si>
  <si>
    <t>3yx4y</t>
  </si>
  <si>
    <t>5yx10y</t>
  </si>
  <si>
    <t>7yx10y</t>
  </si>
  <si>
    <t>10yx12y</t>
  </si>
  <si>
    <t>5yx7y</t>
  </si>
  <si>
    <t>2yx10y</t>
  </si>
  <si>
    <t>6mx9m</t>
  </si>
  <si>
    <t>3M VS 6M</t>
  </si>
  <si>
    <t>6M VS 9M</t>
  </si>
  <si>
    <t>9M VS 1 Y</t>
  </si>
  <si>
    <t>1 VS 2 Y</t>
  </si>
  <si>
    <t>1Y-1Y</t>
  </si>
  <si>
    <t>2 VS 3 Y</t>
  </si>
  <si>
    <t>3 VS 4 Y</t>
  </si>
  <si>
    <t>4 VS 5 Y</t>
  </si>
  <si>
    <t>5 VS 7 Y</t>
  </si>
  <si>
    <t>7 VS 10 Y</t>
  </si>
  <si>
    <t>5 VS 10 Y</t>
  </si>
  <si>
    <t>15 VS 20 VS 30</t>
  </si>
  <si>
    <t>15Y-20Y-30Y</t>
  </si>
  <si>
    <t>3Mx6M</t>
  </si>
  <si>
    <t>6Mx9M</t>
  </si>
  <si>
    <t>9Mx1Y</t>
  </si>
  <si>
    <t>1Yx2Y</t>
  </si>
  <si>
    <t>2Yx3Y</t>
  </si>
  <si>
    <t>3Yx4Y</t>
  </si>
  <si>
    <t>4Yx5Y</t>
  </si>
  <si>
    <t>3Yx5Y</t>
  </si>
  <si>
    <t>2Yx5Y</t>
  </si>
  <si>
    <t>5Yx7Y</t>
  </si>
  <si>
    <t>5Yx10Y</t>
  </si>
  <si>
    <t>7Yx10Y</t>
  </si>
  <si>
    <t>10Yx12Y</t>
  </si>
  <si>
    <t>12Yx15Y</t>
  </si>
  <si>
    <t>10Yx15Y</t>
  </si>
  <si>
    <t>15Yx20Y</t>
  </si>
  <si>
    <t>10Yx20Y</t>
  </si>
  <si>
    <t>5Y-7Y-10</t>
  </si>
  <si>
    <t>15 VS 20 Y</t>
  </si>
  <si>
    <t>20 VS 30 Y</t>
  </si>
  <si>
    <t>20Y-30Y</t>
  </si>
  <si>
    <t>12 VS 15 Y</t>
  </si>
  <si>
    <t xml:space="preserve">2052yx3y             -             X                                            </t>
  </si>
  <si>
    <t xml:space="preserve">2062yx10y            -             X                                            </t>
  </si>
  <si>
    <t xml:space="preserve">2073yx4y             -             X                                            </t>
  </si>
  <si>
    <t>[3]</t>
  </si>
  <si>
    <t>[9, 6]</t>
  </si>
  <si>
    <t>[9]</t>
  </si>
  <si>
    <t>[13]</t>
  </si>
  <si>
    <t>[26]</t>
  </si>
  <si>
    <t>[65, 52]</t>
  </si>
  <si>
    <t>[65]</t>
  </si>
  <si>
    <t>[130]</t>
  </si>
  <si>
    <t>[3, 6]</t>
  </si>
  <si>
    <t>[13, 9]</t>
  </si>
  <si>
    <t>3m6m</t>
  </si>
  <si>
    <t>3m9m</t>
  </si>
  <si>
    <t>[3, 6, 9]</t>
  </si>
  <si>
    <t>3m13m</t>
  </si>
  <si>
    <t>[3, 6, 9, 13]</t>
  </si>
  <si>
    <t>6m9m</t>
  </si>
  <si>
    <t>[6, 9]</t>
  </si>
  <si>
    <t>6m3m</t>
  </si>
  <si>
    <t>[6, 3]</t>
  </si>
  <si>
    <t>[6]</t>
  </si>
  <si>
    <t>6m13m</t>
  </si>
  <si>
    <t>[6, 9, 13]</t>
  </si>
  <si>
    <t>9m13m</t>
  </si>
  <si>
    <t>[9, 13]</t>
  </si>
  <si>
    <t>9m6m</t>
  </si>
  <si>
    <t>9m3m</t>
  </si>
  <si>
    <t>[9, 6, 3]</t>
  </si>
  <si>
    <t>13m3m</t>
  </si>
  <si>
    <t>[13, 9, 6, 3]</t>
  </si>
  <si>
    <t>13m6m</t>
  </si>
  <si>
    <t>[13, 9, 6]</t>
  </si>
  <si>
    <t>13m9m</t>
  </si>
  <si>
    <t>65m52m</t>
  </si>
  <si>
    <t>65m39m</t>
  </si>
  <si>
    <t>2v3v5</t>
  </si>
  <si>
    <t>2Y-3Y-5Y</t>
  </si>
  <si>
    <t>5v6v7</t>
  </si>
  <si>
    <t>5Y-6Y-7Y</t>
  </si>
  <si>
    <t>10 VS 12 Y</t>
  </si>
  <si>
    <t>Tenor3</t>
  </si>
  <si>
    <t>Tenor 3 L</t>
  </si>
  <si>
    <t>Ordenados3</t>
  </si>
  <si>
    <t>TIIE FLIES</t>
  </si>
  <si>
    <t>{mx} TIIE FLIES RUN - FINAMEX</t>
  </si>
  <si>
    <t>Tenorname</t>
  </si>
  <si>
    <t>nicename</t>
  </si>
  <si>
    <t>1 VS 2 VS 3 Y</t>
  </si>
  <si>
    <t>3 VS 5 Y</t>
  </si>
  <si>
    <t>6M/9M/1Y</t>
  </si>
  <si>
    <t>2Y-5Y-10</t>
  </si>
  <si>
    <t xml:space="preserve">91x1                 /             X    91x1SOFR             /             X    </t>
  </si>
  <si>
    <t>2 VS 5 VS 10 Y</t>
  </si>
  <si>
    <t>20Yx30Y</t>
  </si>
  <si>
    <t xml:space="preserve">2039mx1y             -             X    2117yx10y            -             X    </t>
  </si>
  <si>
    <t>2Yx10Y</t>
  </si>
  <si>
    <t>10/12/15</t>
  </si>
  <si>
    <t>10Y-12Y-15Y</t>
  </si>
  <si>
    <t>26m65m</t>
  </si>
  <si>
    <t>26m52m</t>
  </si>
  <si>
    <t>[26, 39, 52]</t>
  </si>
  <si>
    <t>26m39m</t>
  </si>
  <si>
    <t>[26, 39]</t>
  </si>
  <si>
    <t>65m26m</t>
  </si>
  <si>
    <t>91m91m</t>
  </si>
  <si>
    <t>2 VS 10 Y</t>
  </si>
  <si>
    <t xml:space="preserve">    MXN - TIIE Fixed vs TIIE Float                MXN TIIE Spreads              </t>
  </si>
  <si>
    <t xml:space="preserve">3x1              .  /    .        x     2m3              .  /    .        x     </t>
  </si>
  <si>
    <t xml:space="preserve">9x1              .  /    .        x     6v9              .  /    .        x     </t>
  </si>
  <si>
    <t xml:space="preserve">13x1             .  /    .        x     6v1              .  /    .        x     </t>
  </si>
  <si>
    <t xml:space="preserve">52x1             .  /    .        x     1v3              .  /    .        x     </t>
  </si>
  <si>
    <t xml:space="preserve">91x1             .  /    .        x     2v4              .  /    .        x     </t>
  </si>
  <si>
    <t xml:space="preserve">156x1            .  /    .        x     2v10             .  /    .        x     </t>
  </si>
  <si>
    <t xml:space="preserve">195x1            .  /    .        x     3v4              .  /    .        x     </t>
  </si>
  <si>
    <t xml:space="preserve">260x1            .  /    .        x     3v5              .  /    .        x     </t>
  </si>
  <si>
    <t xml:space="preserve">3v6v9            .  /    .        x     5v6              .  /    .        x     </t>
  </si>
  <si>
    <t xml:space="preserve">1v2v3            .  /    .        x     7v10             .  /    .        x     </t>
  </si>
  <si>
    <t xml:space="preserve">2v3v4            .  /    .        x     9v10             .  /    .        x     </t>
  </si>
  <si>
    <t xml:space="preserve">3v4v5            .  /    .        x     10v12            .  /    .        x     </t>
  </si>
  <si>
    <t xml:space="preserve">5v7v10           .  /    .        x     12v15            .  /    .        x     </t>
  </si>
  <si>
    <t>12v15v20</t>
  </si>
  <si>
    <t>12Y-15Y-20Y</t>
  </si>
  <si>
    <t>20Y</t>
  </si>
  <si>
    <t xml:space="preserve">52x1                 /             X    52x1SOFR             /             X    </t>
  </si>
  <si>
    <t xml:space="preserve">260x1                /             X    260x1SOFR            /             X    </t>
  </si>
  <si>
    <t xml:space="preserve">2084yx5y             -             X                                            </t>
  </si>
  <si>
    <t xml:space="preserve">2041yx2y             -             X    21210yx12y           -             X    </t>
  </si>
  <si>
    <t xml:space="preserve">2X1            /            x     11.5               SOFR-TIIE SEF              </t>
  </si>
  <si>
    <t xml:space="preserve">1v19v2           .  /    .        x     6v7              .  /    .        x     </t>
  </si>
  <si>
    <t xml:space="preserve">39x1             .  /    .        x     1v2              .  /    .        x     </t>
  </si>
  <si>
    <t xml:space="preserve">130x1            .  /    .        x     2v5              .  /    .        x     </t>
  </si>
  <si>
    <t xml:space="preserve">6v9v1            .  /    .        x     5v7              .  /    .        x     </t>
  </si>
  <si>
    <t xml:space="preserve">9v1v2            .  /    .        x     5v10             .  /    .        x     </t>
  </si>
  <si>
    <t xml:space="preserve">12v15v20         .  /    .        x     15v20            .  /    .        x     </t>
  </si>
  <si>
    <t xml:space="preserve">360325        -            X            581142        -            X            </t>
  </si>
  <si>
    <t>195m195m</t>
  </si>
  <si>
    <t xml:space="preserve">24                           48                                                 </t>
  </si>
  <si>
    <t xml:space="preserve">9Mx1Y                /             X    7Yx10Y               /             X    </t>
  </si>
  <si>
    <t xml:space="preserve">6Mx9M                /             X    5Yx10Y               /             X    </t>
  </si>
  <si>
    <t xml:space="preserve">    6 X 1  168D                                     11.4450                     </t>
  </si>
  <si>
    <t xml:space="preserve">3Mx6M                /             X    2Yx10Y               /             X    </t>
  </si>
  <si>
    <t xml:space="preserve">     BONOS     MEI                           BONOS SUSTENTABLES                 </t>
  </si>
  <si>
    <t xml:space="preserve">   39 X 1 1092D                                      8.9600                     </t>
  </si>
  <si>
    <t xml:space="preserve">       6M VS 9M                                     -0.1850                     </t>
  </si>
  <si>
    <t xml:space="preserve">     10 VS 12 Y                                      0.0200                     </t>
  </si>
  <si>
    <t xml:space="preserve">39x1                 /             X    39x1SOFR             /             X    </t>
  </si>
  <si>
    <t xml:space="preserve">65x1                 /             X    65x1SOFR             /             X    </t>
  </si>
  <si>
    <t>156m156m</t>
  </si>
  <si>
    <t xml:space="preserve">13x1                 /             X    13x1SOFR             /             X    </t>
  </si>
  <si>
    <t xml:space="preserve">130x1                /             X    130x1SOFR            /             X    </t>
  </si>
  <si>
    <t xml:space="preserve">518 19999      MY35 ASG     48  D                                               </t>
  </si>
  <si>
    <t>[91]</t>
  </si>
  <si>
    <t xml:space="preserve">2x1              .  /    .        x     4v5              .  /    .        x     </t>
  </si>
  <si>
    <t xml:space="preserve">1Yx2Y                /             X    10/12/15             /             X    </t>
  </si>
  <si>
    <t xml:space="preserve">3Yx4Y                /             X    12Yx15Y              /             X    </t>
  </si>
  <si>
    <t xml:space="preserve">4Yx5Y                /             X    10Yx15Y              /             X    </t>
  </si>
  <si>
    <t xml:space="preserve">5Yx7Y                /             X    20Yx30Y              /             X    </t>
  </si>
  <si>
    <t xml:space="preserve">2Yx5Y                /             X    10Yx20Y              /             X    </t>
  </si>
  <si>
    <t xml:space="preserve">26x1                 /             X    26x1SOFR             /             X    </t>
  </si>
  <si>
    <t xml:space="preserve">9x1                  /             X    9x1SOFR              /             X    </t>
  </si>
  <si>
    <t xml:space="preserve">2Yx3Y                /             X    10Yx12Y              /             X    </t>
  </si>
  <si>
    <t xml:space="preserve">1691135        -           X       4.270                                        </t>
  </si>
  <si>
    <t xml:space="preserve">            TIIE SEF SPREAD             26X1           /            x     53.5  </t>
  </si>
  <si>
    <t xml:space="preserve">460529        -            X                                                    </t>
  </si>
  <si>
    <t xml:space="preserve">M DIC 23 135             -              MS MAY 35 4321           -              </t>
  </si>
  <si>
    <t xml:space="preserve">M 24 DOS 408             -                                                      </t>
  </si>
  <si>
    <t xml:space="preserve">M DIC 24 499             -                                                      </t>
  </si>
  <si>
    <t xml:space="preserve">M 25 MAR 590             -                                                      </t>
  </si>
  <si>
    <t xml:space="preserve">M MAR 26 954             -                                                      </t>
  </si>
  <si>
    <t xml:space="preserve">M SEP 26 1136            -                                                      </t>
  </si>
  <si>
    <t xml:space="preserve">M 27 TRES 1318           -                                                      </t>
  </si>
  <si>
    <t xml:space="preserve">M JUN 27 1409            -                                                      </t>
  </si>
  <si>
    <t xml:space="preserve">M MAY 29 2137            -                 114 NOV 23            -              </t>
  </si>
  <si>
    <t xml:space="preserve">M MAY 33 3593            -                                                      </t>
  </si>
  <si>
    <t xml:space="preserve">M NOV 34 4139            -                                                      </t>
  </si>
  <si>
    <t xml:space="preserve">M NOV 36 4867            -                                                      </t>
  </si>
  <si>
    <t xml:space="preserve">M NOV 38 5595            -                                                      </t>
  </si>
  <si>
    <t xml:space="preserve">M NOV 42 7051            -                                                      </t>
  </si>
  <si>
    <t xml:space="preserve">M NOV 47 8871            -                                                      </t>
  </si>
  <si>
    <t xml:space="preserve">M JUL 53 10964           -                                                      </t>
  </si>
  <si>
    <t xml:space="preserve">UD 114 NOV 23                -                                                  </t>
  </si>
  <si>
    <t xml:space="preserve">UD 863 DIC 25                -                                                  </t>
  </si>
  <si>
    <t xml:space="preserve">UD 1227 DIC 26               -                                                  </t>
  </si>
  <si>
    <t xml:space="preserve">UD 1955 NOV 28               -                                                  </t>
  </si>
  <si>
    <t xml:space="preserve">UD 3047 NOV 31               -                                                  </t>
  </si>
  <si>
    <t xml:space="preserve">UD 4503 NOV 35               -                                                  </t>
  </si>
  <si>
    <t xml:space="preserve">UD 6323 NOV 40               -                                                  </t>
  </si>
  <si>
    <t xml:space="preserve">UD 7415 NOV 43               -                                                  </t>
  </si>
  <si>
    <t xml:space="preserve">UD 8507 NOV 46               -                                                  </t>
  </si>
  <si>
    <t xml:space="preserve">UD 9963 NOV 50               -                                                  </t>
  </si>
  <si>
    <t xml:space="preserve">1641123        -           X       6.370                                        </t>
  </si>
  <si>
    <t xml:space="preserve">1651225        -           X       5.570                                        </t>
  </si>
  <si>
    <t xml:space="preserve">1661226        -           X       5.370                                        </t>
  </si>
  <si>
    <t xml:space="preserve">1671128        -           X       4.580                                        </t>
  </si>
  <si>
    <t xml:space="preserve">1681131        -           X       4.450                                        </t>
  </si>
  <si>
    <t xml:space="preserve">1701140        -           X       4.340                                        </t>
  </si>
  <si>
    <t xml:space="preserve">1711143        -           X       4.430                                        </t>
  </si>
  <si>
    <t xml:space="preserve">1721146        -           X       4.420                                        </t>
  </si>
  <si>
    <t xml:space="preserve">1731150        -           X       4.450                                        </t>
  </si>
  <si>
    <t xml:space="preserve">13716    48       -           X    11.36                                        </t>
  </si>
  <si>
    <t xml:space="preserve">13823    48       -           X    11.20                     REALES             </t>
  </si>
  <si>
    <t xml:space="preserve">13965    48       -           X    11.40                                        </t>
  </si>
  <si>
    <t>14072    48       -           X    11.391641123        -           X       6.370</t>
  </si>
  <si>
    <t xml:space="preserve">            CETES                 ENLACE160660   48       -           X    10.92</t>
  </si>
  <si>
    <t>1369     48       -           X    11.35161716   48       -           X    10.87</t>
  </si>
  <si>
    <t>14179    48       -           X    11.411651225        -           X       5.570</t>
  </si>
  <si>
    <t>14286    48       -           X    11.401661226        -           X       5.370</t>
  </si>
  <si>
    <t>14399    48       -           X    11.431671128        -           X       4.580</t>
  </si>
  <si>
    <t>144114   48       -           X    11.411681131        -           X       4.450</t>
  </si>
  <si>
    <t>145128   48       -           X    11.401691135        -           X       4.270</t>
  </si>
  <si>
    <t>146142   48       -           X    11.421701140        -           X       4.340</t>
  </si>
  <si>
    <t>147156   48       -           X    11.411711143        -           X       4.430</t>
  </si>
  <si>
    <t>148170   48       -           X    11.431721146        -           X       4.420</t>
  </si>
  <si>
    <t>149198   48       -           X    11.391731150        -           X       4.450</t>
  </si>
  <si>
    <t xml:space="preserve">150226   48       -           X    11.35                                        </t>
  </si>
  <si>
    <t xml:space="preserve">151254   48       -           X    11.34                                        </t>
  </si>
  <si>
    <t xml:space="preserve">152282   48       -           X    11.24                                        </t>
  </si>
  <si>
    <t xml:space="preserve">153310   48       -           X    11.31                                        </t>
  </si>
  <si>
    <t xml:space="preserve">154338   48       -           X    11.31                                        </t>
  </si>
  <si>
    <t xml:space="preserve">155436   48       -           X    11.36                                        </t>
  </si>
  <si>
    <t xml:space="preserve">156492   48       -           X    11.30                                        </t>
  </si>
  <si>
    <t xml:space="preserve">157548   48       -           X    11.13                                        </t>
  </si>
  <si>
    <t xml:space="preserve">158562   48       -           X    10.94                                        </t>
  </si>
  <si>
    <t xml:space="preserve">159604   48       -           X    10.92                                        </t>
  </si>
  <si>
    <t xml:space="preserve">4   408      SP24                       -                                       </t>
  </si>
  <si>
    <t xml:space="preserve">6   499      DC24                       -                                       </t>
  </si>
  <si>
    <t xml:space="preserve">8   590      MZ25                       -                                       </t>
  </si>
  <si>
    <t xml:space="preserve">10  954      MZ26                       -                                       </t>
  </si>
  <si>
    <t xml:space="preserve">13  1318     MZ27                       -                                       </t>
  </si>
  <si>
    <t xml:space="preserve">15  1409     JN27                       -                                       </t>
  </si>
  <si>
    <t xml:space="preserve">39  4        G2I 24                     -                                       </t>
  </si>
  <si>
    <t xml:space="preserve">43  955      MZ26 24                    -                                       </t>
  </si>
  <si>
    <t xml:space="preserve">44  958      MZ26 MD                    -                                       </t>
  </si>
  <si>
    <t xml:space="preserve">45  20       CT MD                      -                                       </t>
  </si>
  <si>
    <t xml:space="preserve">46  286      CT MD                      -                                       </t>
  </si>
  <si>
    <t xml:space="preserve">520 863        UD DC25      48  D                                       5.560   </t>
  </si>
  <si>
    <t xml:space="preserve">525 6323       UD NV40      48  D                                       4.340   </t>
  </si>
  <si>
    <t xml:space="preserve">503 499        DC24         48  D                                      10.580   </t>
  </si>
  <si>
    <t xml:space="preserve">504 590        MZ25         48  D                                      10.100   </t>
  </si>
  <si>
    <t xml:space="preserve">519 114        UD NV23      48  D                                       6.370   </t>
  </si>
  <si>
    <t xml:space="preserve">41  1227       UD DC26      48  D                                               </t>
  </si>
  <si>
    <t xml:space="preserve">36  114        UD NV23      48  D                                     6.370     </t>
  </si>
  <si>
    <t xml:space="preserve">8   590        MZ25         48  D                                               </t>
  </si>
  <si>
    <t xml:space="preserve">14  1318       TRES         48  D                                               </t>
  </si>
  <si>
    <t xml:space="preserve">22  3593       MY33         48  D                                               </t>
  </si>
  <si>
    <t xml:space="preserve">34  10964      JL53         48  D                                               </t>
  </si>
  <si>
    <t xml:space="preserve">45  3047       UD NV31      48  D                                               </t>
  </si>
  <si>
    <t xml:space="preserve">51  7415       UD NV43      48  D                                               </t>
  </si>
  <si>
    <t xml:space="preserve">55  9963       UD NV50      48  D                                               </t>
  </si>
  <si>
    <t xml:space="preserve">12  1136       SP26         48  D                                               </t>
  </si>
  <si>
    <t xml:space="preserve">2   135        DC23         48  D                                               </t>
  </si>
  <si>
    <t xml:space="preserve">4   408        DOS          48  D                                               </t>
  </si>
  <si>
    <t xml:space="preserve">5   499        DC24         48  D                                    10.580     </t>
  </si>
  <si>
    <t xml:space="preserve">6   499        DC24         48  D                                               </t>
  </si>
  <si>
    <t xml:space="preserve">16  1409       JN27         48  D                                               </t>
  </si>
  <si>
    <t xml:space="preserve">10  954        MZ26         48  D                                               </t>
  </si>
  <si>
    <t xml:space="preserve">18  2137       MY29         48  D                                               </t>
  </si>
  <si>
    <t xml:space="preserve">20  2865       MY31         48  D                                               </t>
  </si>
  <si>
    <t xml:space="preserve">24  4139       NV34         48  D                                               </t>
  </si>
  <si>
    <t xml:space="preserve">26  4867       NV36         48  D                                               </t>
  </si>
  <si>
    <t xml:space="preserve">28  5595       NV38         48  D                                               </t>
  </si>
  <si>
    <t xml:space="preserve">30  7051       NV42         48  D                                               </t>
  </si>
  <si>
    <t xml:space="preserve">32  8871       NV47         48  D                                               </t>
  </si>
  <si>
    <t xml:space="preserve">37  114        UD NV23      48  D                                               </t>
  </si>
  <si>
    <t xml:space="preserve">38  863        UD DC25      48  D                                     5.560     </t>
  </si>
  <si>
    <t xml:space="preserve">39  863        UD DC25      48  D                                               </t>
  </si>
  <si>
    <t xml:space="preserve">43  1955       UD NV28      48  D                                               </t>
  </si>
  <si>
    <t xml:space="preserve">47  4503       UD NV35      48  D                                               </t>
  </si>
  <si>
    <t xml:space="preserve">48  6323       UD NV40      48  D                                     4.340     </t>
  </si>
  <si>
    <t xml:space="preserve">49  6323       UD NV40      48  D                                               </t>
  </si>
  <si>
    <t xml:space="preserve">53  8507       UD NV46      48  D                                               </t>
  </si>
  <si>
    <t xml:space="preserve">M MAY 31 2865            -              UD 863 DIC 25            -              </t>
  </si>
  <si>
    <t xml:space="preserve">501 135        DC23         48  D                                      11.420   </t>
  </si>
  <si>
    <t xml:space="preserve">502 408        DOS          48  D                                      10.990   </t>
  </si>
  <si>
    <t xml:space="preserve">521 1227       UD DC26      48  D                                       5.370   </t>
  </si>
  <si>
    <t xml:space="preserve">522 1955       UD NV28      48  D                                       4.580   </t>
  </si>
  <si>
    <t xml:space="preserve">523 3047       UD NV31      48  D                                       4.450   </t>
  </si>
  <si>
    <t xml:space="preserve">524 4503       UD NV35      48  D                                       4.270   </t>
  </si>
  <si>
    <t xml:space="preserve">526 7415       UD NV43      48  D                                       4.430   </t>
  </si>
  <si>
    <t xml:space="preserve">505 954        MZ26         48  D                                       9.570   </t>
  </si>
  <si>
    <t xml:space="preserve">506 1136       SP26         48  D                                       9.560   </t>
  </si>
  <si>
    <t xml:space="preserve">507 1318       TRES         48  D                                       9.330   </t>
  </si>
  <si>
    <t xml:space="preserve">508 1409       JN27         48  D                                       9.220   </t>
  </si>
  <si>
    <t xml:space="preserve">509 2137       MY29         48  D                                       8.840   </t>
  </si>
  <si>
    <t xml:space="preserve">510 2865       MY31         48  D                                       8.820   </t>
  </si>
  <si>
    <t xml:space="preserve">511 3593       MY33         48  D                                       8.820   </t>
  </si>
  <si>
    <t xml:space="preserve">512 4139       NV34         48  D                                       8.820   </t>
  </si>
  <si>
    <t xml:space="preserve">527 8507       UD NV46      48  D                                       4.420   </t>
  </si>
  <si>
    <t xml:space="preserve">528 9963       UD NV50      48  D                                       4.440   </t>
  </si>
  <si>
    <t xml:space="preserve">40  1227       UD DC26      48  D                                     5.370     </t>
  </si>
  <si>
    <t xml:space="preserve">42  1955       UD NV28      48  D                                     4.580     </t>
  </si>
  <si>
    <t xml:space="preserve">44  3047       UD NV31      48  D                                     4.450     </t>
  </si>
  <si>
    <t xml:space="preserve">46  4503       UD NV35      48  D                                     4.270     </t>
  </si>
  <si>
    <t xml:space="preserve">50  7415       UD NV43      48  D                                     4.430     </t>
  </si>
  <si>
    <t xml:space="preserve">52  8507       UD NV46      48  D                                     4.420     </t>
  </si>
  <si>
    <t xml:space="preserve">54  9963       UD NV50      48  D                                     4.440     </t>
  </si>
  <si>
    <t xml:space="preserve">1   135        DC23         48  D                                    11.420     </t>
  </si>
  <si>
    <t xml:space="preserve">07/24/2023  TIIE 11.5050                SOFR/TIIE BASIS                         </t>
  </si>
  <si>
    <t xml:space="preserve">   52 X 1 1456D                                      8.5950                     </t>
  </si>
  <si>
    <t xml:space="preserve">   91 X 1 2548D                                      8.2300                     </t>
  </si>
  <si>
    <t xml:space="preserve">  156 X 1 4368D                                      8.2100                     </t>
  </si>
  <si>
    <t xml:space="preserve">  195 X 1 5460D                                      8.2750                     </t>
  </si>
  <si>
    <t xml:space="preserve">  260 X 1 7280D                                      8.2750                     </t>
  </si>
  <si>
    <t xml:space="preserve">  390 X 110920D                                      8.2550                     </t>
  </si>
  <si>
    <t xml:space="preserve">1   135       DIC 23         48                                                 </t>
  </si>
  <si>
    <t xml:space="preserve">2   408       DOS            48                                                 </t>
  </si>
  <si>
    <t xml:space="preserve">3   499       DIC 24         48                                                 </t>
  </si>
  <si>
    <t xml:space="preserve">4   590       MAR 25         48                                                 </t>
  </si>
  <si>
    <t xml:space="preserve">5   954       MAR 26         48                                                 </t>
  </si>
  <si>
    <t xml:space="preserve">6   1136      SEP 26         48                                                 </t>
  </si>
  <si>
    <t xml:space="preserve">7   1318      TRES           48                                                 </t>
  </si>
  <si>
    <t xml:space="preserve">8   1409      JUN 27         48                                                 </t>
  </si>
  <si>
    <t xml:space="preserve">9   2137      MAY 29         48                                                 </t>
  </si>
  <si>
    <t xml:space="preserve">10  2865      MAY 31         48                                                 </t>
  </si>
  <si>
    <t xml:space="preserve">11  3593      MAY 33         48                                                 </t>
  </si>
  <si>
    <t xml:space="preserve">12  4139      NOV 34         48                                                 </t>
  </si>
  <si>
    <t xml:space="preserve">13  4867      NOV 36         48                                                 </t>
  </si>
  <si>
    <t xml:space="preserve">14  5595      NOV 38         48                                                 </t>
  </si>
  <si>
    <t xml:space="preserve">15  7051      NOV 42         48                                                 </t>
  </si>
  <si>
    <t xml:space="preserve">16  8871      NOV 47         48                                                 </t>
  </si>
  <si>
    <t xml:space="preserve">17  10964     JUL 53         48                                                 </t>
  </si>
  <si>
    <t xml:space="preserve">18  4321      MAY 35 S       48                                                 </t>
  </si>
  <si>
    <t xml:space="preserve">25  114       UDI NOV 23     48                                                 </t>
  </si>
  <si>
    <t xml:space="preserve">26  863       UDI DIC 25     48                                                 </t>
  </si>
  <si>
    <t xml:space="preserve">27  1227      UDI DIC 26     48                                                 </t>
  </si>
  <si>
    <t xml:space="preserve">28  1955      UDI NOV 28     48                                                 </t>
  </si>
  <si>
    <t xml:space="preserve">29  3047      UDI NOV 31     48                                                 </t>
  </si>
  <si>
    <t xml:space="preserve">30  4503      UDI NOV 35     48                                                 </t>
  </si>
  <si>
    <t xml:space="preserve">31  6323      UDI NOV 40     48                                                 </t>
  </si>
  <si>
    <t xml:space="preserve">32  7415      UDI NOV 43     48                                                 </t>
  </si>
  <si>
    <t xml:space="preserve">33  8507      UDI NOV 46     48                                                 </t>
  </si>
  <si>
    <t xml:space="preserve">34  9963      UDI NOV 50     48                                                 </t>
  </si>
  <si>
    <t xml:space="preserve">36  2368      CBIC 002       48                                                 </t>
  </si>
  <si>
    <t xml:space="preserve">37  2732      CBIC 004       48                                                 </t>
  </si>
  <si>
    <t xml:space="preserve">38  3411      CBIC 006       48                                                 </t>
  </si>
  <si>
    <t xml:space="preserve">39  3775      CBIC 009       48                                                 </t>
  </si>
  <si>
    <t xml:space="preserve">       1 VS 2 Y                                     -1.2550                     </t>
  </si>
  <si>
    <t xml:space="preserve">27  114      UD NV23                    -                         6.37          </t>
  </si>
  <si>
    <t xml:space="preserve">28  863      UD DC25                    -                         5.56          </t>
  </si>
  <si>
    <t xml:space="preserve">29  1227     UD DC26                    -                         5.37          </t>
  </si>
  <si>
    <t xml:space="preserve">30  1955     UD NV28                    -                         4.58          </t>
  </si>
  <si>
    <t xml:space="preserve">31  3047     UD NV31                    -                         4.45          </t>
  </si>
  <si>
    <t xml:space="preserve">32  4503     UD NV35                    -                         4.27          </t>
  </si>
  <si>
    <t xml:space="preserve">       2 VS 3 Y                                     -0.7150                     </t>
  </si>
  <si>
    <t xml:space="preserve">33  6323     UD NV40                    -                         4.34          </t>
  </si>
  <si>
    <t xml:space="preserve">34  7415     UD NV43                    -                         4.43          </t>
  </si>
  <si>
    <t xml:space="preserve">35  8507     UD NV46                    -                         4.42          </t>
  </si>
  <si>
    <t xml:space="preserve">36  9963     UD NV50                    -                         4.44          </t>
  </si>
  <si>
    <t xml:space="preserve">       3 VS 4 Y                                     -0.3650                     </t>
  </si>
  <si>
    <t xml:space="preserve">       4 VS 5 Y                                     -0.2050                     </t>
  </si>
  <si>
    <t xml:space="preserve">       5 VS 7 Y                                     -0.1600                     </t>
  </si>
  <si>
    <t xml:space="preserve">      2 VS 10 Y                                     -1.4850                     </t>
  </si>
  <si>
    <t xml:space="preserve">102    135  DIC23  48                                         11.42             </t>
  </si>
  <si>
    <t xml:space="preserve">001      135  DIC23  48                     /                         11.42     </t>
  </si>
  <si>
    <t xml:space="preserve">002      408  SEP24  48                     /                         10.99     </t>
  </si>
  <si>
    <t xml:space="preserve">003      499  DIC24  48                     /                         10.58     </t>
  </si>
  <si>
    <t xml:space="preserve">004      590  MAR25  48                     /                         10.10     </t>
  </si>
  <si>
    <t xml:space="preserve">005      954  MAR26  48                     /                          9.57     </t>
  </si>
  <si>
    <t xml:space="preserve">006     1136  SEP26  48                     /                          9.56     </t>
  </si>
  <si>
    <t xml:space="preserve">007     1318  MAR27  48                     /                          9.33     </t>
  </si>
  <si>
    <t xml:space="preserve">008     1409  JUN27  48                     /                          9.22     </t>
  </si>
  <si>
    <t xml:space="preserve">009     2137  MAY29  48                     /                          8.84     </t>
  </si>
  <si>
    <t xml:space="preserve">010     2865  MAY31  48                     /                          8.82     </t>
  </si>
  <si>
    <t xml:space="preserve">011     3593  MAY33  48                     /                          8.82     </t>
  </si>
  <si>
    <t xml:space="preserve">012     4139  NOV34  48                     /                          8.82     </t>
  </si>
  <si>
    <t xml:space="preserve">013     4867  NOV36  48                     /                          8.81     </t>
  </si>
  <si>
    <t xml:space="preserve">014     5595  NOV38  48                     /                          8.88     </t>
  </si>
  <si>
    <t xml:space="preserve">015     7051  NOV42  48                     /                          8.91     </t>
  </si>
  <si>
    <t xml:space="preserve">016     8871  NOV47  48                     /                          8.87     </t>
  </si>
  <si>
    <t xml:space="preserve">017    10964  JUL53  48                     /                          8.90     </t>
  </si>
  <si>
    <t xml:space="preserve">020    114 UDI NOV23 48                     /                          6.37     </t>
  </si>
  <si>
    <t xml:space="preserve">021    863 UDI DIC25 48                     /                          5.56     </t>
  </si>
  <si>
    <t xml:space="preserve">022   1227 UDI DIC26 48                     /                          5.37     </t>
  </si>
  <si>
    <t xml:space="preserve">023   1955 UDI NOV28 48                     /                          4.58     </t>
  </si>
  <si>
    <t xml:space="preserve">024   3047 UDI NOV31 48                     /                          4.45     </t>
  </si>
  <si>
    <t xml:space="preserve">025   4503 UDI NOV35 48                     /                          4.27     </t>
  </si>
  <si>
    <t xml:space="preserve">026   6323 UDI NOV40 48                     /                          4.34     </t>
  </si>
  <si>
    <t xml:space="preserve">027   7415 UDI NOV43 48                     /                          4.43     </t>
  </si>
  <si>
    <t xml:space="preserve">028   8507 UDI NOV46 48                     /                          4.42     </t>
  </si>
  <si>
    <t xml:space="preserve">029   9963 UDI NOV50 48                     /                          4.44     </t>
  </si>
  <si>
    <t xml:space="preserve">136  4321 MS MAY35 48                                          8.85             </t>
  </si>
  <si>
    <t xml:space="preserve">24  10964    JL53             10    8.95-8.80    10               8.90          </t>
  </si>
  <si>
    <t xml:space="preserve">2   135      DC23             10   11.47-11.32   10              11.42          </t>
  </si>
  <si>
    <t xml:space="preserve">23  8871     NV47             10    8.92-8.77    10               8.87          </t>
  </si>
  <si>
    <t xml:space="preserve">22  7051     NV42             10    8.96-8.81    10               8.91          </t>
  </si>
  <si>
    <t xml:space="preserve">5   499      DC24             10   10.63-10.48   10              10.58          </t>
  </si>
  <si>
    <t xml:space="preserve">21  5595     NV38             10    8.93-8.78    10               8.88          </t>
  </si>
  <si>
    <t xml:space="preserve">7   590      MZ25             10   10.15-10.00   10              10.10          </t>
  </si>
  <si>
    <t xml:space="preserve">9   954      MZ26             10    9.62-9.47    10               9.57          </t>
  </si>
  <si>
    <t xml:space="preserve">18  3593     MY33             10    8.87-8.72    10               8.82          </t>
  </si>
  <si>
    <t xml:space="preserve">17  2865     MY31             10    8.87-8.72    10               8.82          </t>
  </si>
  <si>
    <t xml:space="preserve">11  1136     SP26             10    9.61-9.46    10               9.56          </t>
  </si>
  <si>
    <t xml:space="preserve">16  2137     MY29             10    8.89-8.74    10               8.84          </t>
  </si>
  <si>
    <t xml:space="preserve">12  1318     MZ27             10    9.38-9.23    10               9.33          </t>
  </si>
  <si>
    <t xml:space="preserve">14  1409     JN27             10    9.27-9.12    10               9.22          </t>
  </si>
  <si>
    <t xml:space="preserve">001    114 UDI NOV23 48                                              6.3700     </t>
  </si>
  <si>
    <t>113390x1        -            X          127390x1        -            X     29.50</t>
  </si>
  <si>
    <t>10652x1         -            X          12052x1         -            X     34.00</t>
  </si>
  <si>
    <t>10539x1         -            X          11939x1         -            X     41.00</t>
  </si>
  <si>
    <t>10765x1         -            X          12165x1         -            X     28.00</t>
  </si>
  <si>
    <t>109130x1        -            X          123130x1        -            X     26.00</t>
  </si>
  <si>
    <t>110156x1        -            X          124156x1        -            X     29.50</t>
  </si>
  <si>
    <t>10891x1         -            X          12291x1         -            X     25.00</t>
  </si>
  <si>
    <t>111195x1        -            X          125195x1        -            X     27.00</t>
  </si>
  <si>
    <t>112260x1        -            X          126260x1        -            X     31.50</t>
  </si>
  <si>
    <t xml:space="preserve">011    CBIC008  135  48                                              6.6300     </t>
  </si>
  <si>
    <t xml:space="preserve">012   CBIC002  2368  48                                              3.9800     </t>
  </si>
  <si>
    <t xml:space="preserve">013   CBIC004  2732  48                                              4.2800     </t>
  </si>
  <si>
    <t xml:space="preserve">014   CBIC006  3411  48                                              4.3700     </t>
  </si>
  <si>
    <t xml:space="preserve">015   CBIC009  3775  48                                              4.5100     </t>
  </si>
  <si>
    <t xml:space="preserve">108    590  MAR25  48        10   10.13   10.01    10         10.11             </t>
  </si>
  <si>
    <t xml:space="preserve">134  10964  JUL53  48        10    8.93    8.81    10          8.91             </t>
  </si>
  <si>
    <t xml:space="preserve">110    954  MAR26  48        10    9.59    9.47    10          9.57             </t>
  </si>
  <si>
    <t xml:space="preserve">370326        -            X      9.570 591147   8.900- 8.780   10 X 10   8.880 </t>
  </si>
  <si>
    <t xml:space="preserve">112   1136  SEP26  48        10    9.58    9.46    10          9.56             </t>
  </si>
  <si>
    <t xml:space="preserve">132   8871  NOV47  48        10    8.90    8.78    10          8.88             </t>
  </si>
  <si>
    <t xml:space="preserve">114   1318  MAR27  48        10    9.35    9.23    10          9.33             </t>
  </si>
  <si>
    <t xml:space="preserve">350325        -            X     10.110 571142   8.930- 8.810   10 X 10   8.910 </t>
  </si>
  <si>
    <t xml:space="preserve">33  10964      JL53         48  D                    8.800     10     8.900     </t>
  </si>
  <si>
    <t xml:space="preserve">130   7051  NOV42  48        10    8.93    8.81    10          8.91             </t>
  </si>
  <si>
    <t xml:space="preserve">116   1409  JUN27  48        10    9.24    9.12    10          9.22             </t>
  </si>
  <si>
    <t xml:space="preserve">390926   9.580- 9.460   10 X 10   9.560 610753   8.930- 8.810   10 X 10   8.910 </t>
  </si>
  <si>
    <t xml:space="preserve">331224        -            X     10.580 551138   8.910- 8.790   10 X 10   8.890 </t>
  </si>
  <si>
    <t xml:space="preserve">118   2137  MAY29  48        10    8.86    8.74    10          8.84             </t>
  </si>
  <si>
    <t xml:space="preserve">31  8871       NV47         48  D                    8.770     10     8.870     </t>
  </si>
  <si>
    <t xml:space="preserve">128   5595  NOV38  48        10    8.91    8.79    10          8.89             </t>
  </si>
  <si>
    <t xml:space="preserve">410327   9.350- 9.230   10 X 10   9.330 3850535        -            X     8.850 </t>
  </si>
  <si>
    <t xml:space="preserve">7   590        MZ25         48  D                   10.000     10    10.100     </t>
  </si>
  <si>
    <t xml:space="preserve">106    499  DIC24  48        10   10.60   10.48    10         10.58             </t>
  </si>
  <si>
    <t xml:space="preserve">29  7051       NV42         48  D                    8.810     10     8.910     </t>
  </si>
  <si>
    <t xml:space="preserve">9   954        MZ26         48  D                    9.470     10     9.570     </t>
  </si>
  <si>
    <t xml:space="preserve">430627   9.240- 9.120   10 X 10   9.220                                         </t>
  </si>
  <si>
    <t xml:space="preserve">11  1136       SP26         48  D                    9.460     10     9.560     </t>
  </si>
  <si>
    <t xml:space="preserve">120   2865  MAY31  48        10    8.84    8.72    10          8.82             </t>
  </si>
  <si>
    <t xml:space="preserve">27  5595       NV38         48  D                    8.780     10     8.880     </t>
  </si>
  <si>
    <t xml:space="preserve">13  1318       TRES         48  D                    9.230     10     9.330     </t>
  </si>
  <si>
    <t xml:space="preserve">450529   8.860- 8.740   10 X 10   8.840                                         </t>
  </si>
  <si>
    <t xml:space="preserve">15  1409       JN27         48  D                    9.120     10     9.220     </t>
  </si>
  <si>
    <t xml:space="preserve">470531   8.840- 8.720   10 X 10   8.820                                         </t>
  </si>
  <si>
    <t xml:space="preserve">17  2137       MY29         48  D                    8.740     10     8.840     </t>
  </si>
  <si>
    <t xml:space="preserve">25  4321     MY35 S                     -                         8.85          </t>
  </si>
  <si>
    <t xml:space="preserve">3   408      SP24             10   11.00-10.89   10              10.99          </t>
  </si>
  <si>
    <t xml:space="preserve">3   408        DOS          48  D         10 11.000                  10.990     </t>
  </si>
  <si>
    <t xml:space="preserve">104    408  SEP24  48        10   11.00                       10.99             </t>
  </si>
  <si>
    <t xml:space="preserve">65x1             .  /    .        x     2v3              .  / -68.00      x3    </t>
  </si>
  <si>
    <t xml:space="preserve">513 4867       NV36         48  D                                       8.810   </t>
  </si>
  <si>
    <t xml:space="preserve">514 5595       NV38         48  D                                       8.880   </t>
  </si>
  <si>
    <t xml:space="preserve">515 7051       NV42         48  D                                       8.910   </t>
  </si>
  <si>
    <t xml:space="preserve">516 8871       NV47         48  D                                       8.870   </t>
  </si>
  <si>
    <t xml:space="preserve">517 10964      JL53         48  D                                       8.900   </t>
  </si>
  <si>
    <t xml:space="preserve">2013mx6m             -  -6.00      X12002095yx7y             -             X    </t>
  </si>
  <si>
    <t xml:space="preserve">3X1       11.47/11.51   1600x1600 11.5  2Y-4Y          /            x     -112  </t>
  </si>
  <si>
    <t xml:space="preserve">19  2865       MY31         48  D         10  8.840  8.720     10     8.820     </t>
  </si>
  <si>
    <t xml:space="preserve">2026mx9m       -19.00- -14.00  750 X750 2105yx10y            -             X    </t>
  </si>
  <si>
    <t xml:space="preserve">21  3593       MY33         48  D         20  8.830  8.720     10     8.820     </t>
  </si>
  <si>
    <t xml:space="preserve">23  4139       NV34         48  D         20  8.830  8.720     10     8.820     </t>
  </si>
  <si>
    <t xml:space="preserve">291223        -            X     11.420 511134   8.830- 8.720   10 X 10   8.820 </t>
  </si>
  <si>
    <t xml:space="preserve">19  4139     NV34             10    8.83-8.72    10               8.82          </t>
  </si>
  <si>
    <t xml:space="preserve">124   4139  NOV34  48        10    8.83    8.72    10          8.82             </t>
  </si>
  <si>
    <t xml:space="preserve">25  4867       NV36         48  D         10  8.820  8.710     10     8.810     </t>
  </si>
  <si>
    <t xml:space="preserve">126   4867  NOV36  48        10    8.82    8.72    10          8.82             </t>
  </si>
  <si>
    <t xml:space="preserve">310924  11.000-         10 X     10.990 531136   8.820- 8.720   10 X 10   8.820 </t>
  </si>
  <si>
    <t xml:space="preserve">20  4867     NV36             10    8.82-8.71    10               8.81          </t>
  </si>
  <si>
    <t xml:space="preserve">   26 X 1  728D                  9.6700   200        9.6750                     </t>
  </si>
  <si>
    <t xml:space="preserve">9M-1Y     -37.0/-35.0    600x600        65X1           /            x     27    </t>
  </si>
  <si>
    <t xml:space="preserve">   13 X 1  364D                 10.9100   300       10.9300                     </t>
  </si>
  <si>
    <t>1003x1    11.470-11.500  1000X1000      1143x1          -            X     93.50</t>
  </si>
  <si>
    <t xml:space="preserve">122   3593  MAY33  48        10    8.82    8.72    10          8.82             </t>
  </si>
  <si>
    <t xml:space="preserve">490533   8.820- 8.720   10 X 10   8.820                                         </t>
  </si>
  <si>
    <t>1016x1          -11.445      X500       1156x1          -            X     83.50</t>
  </si>
  <si>
    <t>10313x1         -10.920      X300       11713x1         -            X     74.00</t>
  </si>
  <si>
    <t xml:space="preserve">3M-6M     -11.0/-8.0    2400x1200       39X1       39.0/44.0      10x10   41.5  </t>
  </si>
  <si>
    <t>1029x1    11.200-11.300  500 X500       1169x1          -            X     79.00</t>
  </si>
  <si>
    <t xml:space="preserve">018    4322 MS MAY35 48                     /                          8.85     </t>
  </si>
  <si>
    <t xml:space="preserve">016 SP  UDI DIC25 863                                                5.8000     </t>
  </si>
  <si>
    <t xml:space="preserve">017     MP MAR25 590 48                                             10.4700     </t>
  </si>
  <si>
    <t xml:space="preserve">018     MP MAR26 954 48                                             10.5500     </t>
  </si>
  <si>
    <t>10426x1    9.620- 9.680  200 X200       11826x1         -            X     55.50</t>
  </si>
  <si>
    <t xml:space="preserve">019    MP SEP26 1136 48                                             10.8000     </t>
  </si>
  <si>
    <t xml:space="preserve">020    MP MAR27 1318 48                                             10.7500     </t>
  </si>
  <si>
    <t xml:space="preserve">021    MP JUN27 1409 48                                             10.6800     </t>
  </si>
  <si>
    <t xml:space="preserve">022    MP MAY29 2137 48                                             10.8600     </t>
  </si>
  <si>
    <t xml:space="preserve">023    MP MAY31 2865 48                                             12.2100     </t>
  </si>
  <si>
    <t xml:space="preserve">    9 X 1  252D                 11.2900   500       11.2650                     </t>
  </si>
  <si>
    <t xml:space="preserve">26x1             .  /    .        x     9v1           -37.00/ -35.00     3x3    </t>
  </si>
  <si>
    <t xml:space="preserve">48  566      CT MD                      -                10.94                  </t>
  </si>
  <si>
    <t xml:space="preserve">47  563      CT 24                      -              10.9334                  </t>
  </si>
  <si>
    <t xml:space="preserve">   3 X 1    84D    1000 11.4800 11.5200  1000       11.5050                     </t>
  </si>
  <si>
    <t xml:space="preserve">50  608      CT MD                      -                10.92                  </t>
  </si>
  <si>
    <t xml:space="preserve">49  605      CT 24                      -              10.9131                  </t>
  </si>
  <si>
    <t xml:space="preserve">      9M VS 1 Y       5 -0.3800 -0.3500     5       -0.3350                     </t>
  </si>
  <si>
    <t xml:space="preserve">  130 X 1 3640D      50  8.1300  8.1800    50        8.1900                     </t>
  </si>
  <si>
    <t xml:space="preserve">35  19999      MY35 ASG     48  D         10  8.850                             </t>
  </si>
  <si>
    <t xml:space="preserve">42  594      MZ25 MD                    -                10.11                  </t>
  </si>
  <si>
    <t xml:space="preserve">41  591      MZ25 24                    -              10.1055                  </t>
  </si>
  <si>
    <t xml:space="preserve">6x1              .  /    .        x     3v6           -11.00/    .       3x     </t>
  </si>
  <si>
    <t xml:space="preserve">   65 X 1 1820D      50  8.3500  8.3900    50        8.3900                     </t>
  </si>
  <si>
    <t xml:space="preserve">010   9963 UDI NOV50 48        10    4.5500    4.3500      10        4.4500     </t>
  </si>
  <si>
    <t xml:space="preserve">009   8507 UDI NOV46 48        10    4.5200    4.3200      10        4.4200     </t>
  </si>
  <si>
    <t xml:space="preserve">008   7415 UDI NOV43 48        10    4.5300    4.3300      10        4.4300     </t>
  </si>
  <si>
    <t xml:space="preserve">007   6323 UDI NOV40 48        10    4.4400    4.2400      10        4.3400     </t>
  </si>
  <si>
    <t xml:space="preserve">006   4503 UDI NOV35 48        10    4.3700    4.1700      10        4.2700     </t>
  </si>
  <si>
    <t xml:space="preserve">005   3047 UDI NOV31 48        10    4.5500    4.3500      10        4.4500     </t>
  </si>
  <si>
    <t xml:space="preserve">004   1955 UDI NOV28 48        10    4.6800    4.4800      10        4.5800     </t>
  </si>
  <si>
    <t xml:space="preserve">002    863 UDI DIC25 48        10    5.6700    5.4700      10        5.5700     </t>
  </si>
  <si>
    <t xml:space="preserve">003   1227 UDI DIC26 48        10    5.4700    5.2700      10        5.3700     </t>
  </si>
  <si>
    <t xml:space="preserve">6x1            11.38 / 11.43    500X500 6x1SOFR              /             X    </t>
  </si>
  <si>
    <t xml:space="preserve">3x1            11.475/ 11.505  1000X10003x1SOFR              /             X    </t>
  </si>
  <si>
    <t xml:space="preserve">             TIIE SWAPS SEF             3Y-5Y          /            x     -0.585</t>
  </si>
  <si>
    <t xml:space="preserve">2Y-5Y          /            x     -129.5                                        </t>
  </si>
  <si>
    <t xml:space="preserve">6X1       11.38/11.43   1000x2000 11.42 5Y-10Y         /            x     -20.5 </t>
  </si>
  <si>
    <t xml:space="preserve">9X1       11.21/11.28    570x570  11.26 2Y-10Y         /            x     -150  </t>
  </si>
  <si>
    <t xml:space="preserve">13X1      10.86/10.93    400x400  10.92 9M-1Y-2Y       /            x     -1.4  </t>
  </si>
  <si>
    <t xml:space="preserve">26X1           /            x     9.655 1Y-2Y-3Y  -57.0/-51.0   1600x1600       </t>
  </si>
  <si>
    <t xml:space="preserve">39X1           /            x     8.945 3M-6M-9M       /12.0        x1600 8     </t>
  </si>
  <si>
    <t xml:space="preserve">52X1           /            x     8.56  6M-9M-1Y       /            x     18    </t>
  </si>
  <si>
    <t xml:space="preserve">65X1           /            x     8.36  2Y-5Y-10       /            x     -4.5  </t>
  </si>
  <si>
    <t xml:space="preserve">91X1           /            x     8.205 5Y-7Y-10       /            x     -10.5 </t>
  </si>
  <si>
    <t xml:space="preserve">130X1          /            x     8.155 3Y-4Y-5Y       /            x     -55.5 </t>
  </si>
  <si>
    <t xml:space="preserve">195X1          /            x     8.172 6X1            /            x     75    </t>
  </si>
  <si>
    <t xml:space="preserve">117X1          /            x     8.17  13X1           /            x     75    </t>
  </si>
  <si>
    <t xml:space="preserve">6M-9M     -19.0/-14.5    850x850  -16   52X1       26.0/34.0      10x10   33.5  </t>
  </si>
  <si>
    <t xml:space="preserve">1Y-2Y          /            x     -126.591X1       18.0/22.0      10x10         </t>
  </si>
  <si>
    <t xml:space="preserve">2Y-3Y     -72.0/-68.0    220x220  -71   130X1      19.0/23.0      10x10         </t>
  </si>
  <si>
    <t xml:space="preserve">3Y-4Y     -40.5/-36.0    170x170  -38.5 156X1          /            x     26.5  </t>
  </si>
  <si>
    <t xml:space="preserve">4Y-5Y     -22.0/-19.0    140x140  -20   260X1          /            x     31    </t>
  </si>
  <si>
    <t xml:space="preserve">5Y-7Y          /            x     -15.5 390X1          /            x     33.5  </t>
  </si>
  <si>
    <t xml:space="preserve">7Y-10Y         /            x     -5                                            </t>
  </si>
  <si>
    <t xml:space="preserve">          2023/07/21 07:29  R.0:00:00                                           </t>
  </si>
  <si>
    <t xml:space="preserve">          2023/07/21 07:29  R.0:00:00    11.19 11.4 11.42 11.31 11.505          </t>
  </si>
  <si>
    <t xml:space="preserve">38  3        G2I MD         2000   11.30-11.25   1000    11.30                  </t>
  </si>
  <si>
    <t>[26, 39, 52, 65]</t>
  </si>
  <si>
    <t>[65, 52, 39, 26]</t>
  </si>
  <si>
    <t>[65, 52, 39]</t>
  </si>
  <si>
    <t>260m260m</t>
  </si>
  <si>
    <t>390m390m</t>
  </si>
  <si>
    <t>mz29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</si>
</sst>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"/>
    <numFmt numFmtId="168" formatCode="mmmyy"/>
    <numFmt numFmtId="169" formatCode="\+#,##0.0;\-#,##0.0"/>
    <numFmt numFmtId="170" formatCode="_-[$€-2]* #,##0.00_-;\-[$€-2]* #,##0.00_-;_-[$€-2]* &quot;-&quot;??_-"/>
    <numFmt numFmtId="171" formatCode="0&quot;m&quot;"/>
  </numFmts>
  <fonts count="90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9.9"/>
      <color theme="10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0"/>
      <name val="Calibri"/>
      <family val="2"/>
      <scheme val="minor"/>
    </font>
    <font>
      <sz val="11"/>
      <color rgb="FF0061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.5"/>
      <name val="Frutiger 45 Light"/>
    </font>
    <font>
      <b/>
      <sz val="11"/>
      <color rgb="FFF79B4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u/>
      <sz val="8.9499999999999993"/>
      <color indexed="12"/>
      <name val="Frutiger 45 Light"/>
      <family val="2"/>
    </font>
    <font>
      <u/>
      <sz val="8.9499999999999993"/>
      <color theme="10"/>
      <name val="Frutiger 45 Light"/>
      <family val="2"/>
    </font>
    <font>
      <sz val="11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FFFFF"/>
      <name val="Calibri"/>
      <family val="2"/>
    </font>
    <font>
      <sz val="11"/>
      <color rgb="FF008000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sz val="11"/>
      <color rgb="FFFF9900"/>
      <name val="Calibri"/>
      <family val="2"/>
    </font>
    <font>
      <b/>
      <sz val="11"/>
      <color rgb="FF44546A"/>
      <name val="Calibri"/>
      <family val="2"/>
    </font>
    <font>
      <b/>
      <sz val="11"/>
      <color rgb="FF003366"/>
      <name val="Calibri"/>
      <family val="2"/>
    </font>
    <font>
      <sz val="11"/>
      <color rgb="FF3F3F76"/>
      <name val="Calibri"/>
      <family val="2"/>
    </font>
    <font>
      <sz val="11"/>
      <color rgb="FF33339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44546A"/>
      <name val="Calibri"/>
      <family val="2"/>
    </font>
    <font>
      <b/>
      <sz val="13"/>
      <color rgb="FF44546A"/>
      <name val="Calibri"/>
      <family val="2"/>
    </font>
    <font>
      <u/>
      <sz val="8.9499999999999993"/>
      <color rgb="FF0563C1"/>
      <name val="Frutiger 45 Light"/>
    </font>
    <font>
      <u/>
      <sz val="8.9499999999999993"/>
      <color rgb="FF0000FF"/>
      <name val="Frutiger 45 Light"/>
    </font>
    <font>
      <u/>
      <sz val="11"/>
      <color rgb="FF0563C1"/>
      <name val="Calibri"/>
      <family val="2"/>
    </font>
    <font>
      <sz val="11"/>
      <color rgb="FF9C57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sz val="11"/>
      <color rgb="FFFF0000"/>
      <name val="Calibri"/>
      <family val="2"/>
    </font>
    <font>
      <b/>
      <sz val="18"/>
      <color rgb="FF44546A"/>
      <name val="Calibri Light"/>
      <family val="2"/>
    </font>
    <font>
      <b/>
      <sz val="11"/>
      <name val="Calibri"/>
      <family val="2"/>
    </font>
    <font>
      <sz val="11"/>
      <color theme="1"/>
      <name val="Consolas"/>
      <family val="3"/>
    </font>
    <font>
      <sz val="10"/>
      <color theme="1"/>
      <name val="Consolas"/>
      <family val="3"/>
    </font>
    <font>
      <b/>
      <sz val="11"/>
      <color theme="1"/>
      <name val="Consolas"/>
      <family val="3"/>
    </font>
    <font>
      <sz val="11"/>
      <name val="Consolas"/>
      <family val="3"/>
    </font>
    <font>
      <sz val="11"/>
      <color theme="0" tint="-4.9989318521683403E-2"/>
      <name val="Calibri"/>
      <family val="2"/>
      <scheme val="minor"/>
    </font>
    <font>
      <u/>
      <sz val="9.9"/>
      <color theme="10"/>
      <name val="Consolas"/>
      <family val="3"/>
    </font>
    <font>
      <sz val="10"/>
      <name val="Consolas"/>
      <family val="3"/>
    </font>
    <font>
      <sz val="9"/>
      <color theme="1"/>
      <name val="Consolas"/>
      <family val="3"/>
    </font>
    <font>
      <sz val="8"/>
      <color theme="1"/>
      <name val="Consolas"/>
      <family val="3"/>
    </font>
    <font>
      <sz val="11"/>
      <color theme="6" tint="-0.499984740745262"/>
      <name val="Calibri"/>
      <family val="2"/>
      <scheme val="minor"/>
    </font>
    <font>
      <sz val="9"/>
      <name val="Consolas"/>
      <family val="3"/>
    </font>
    <font>
      <sz val="8"/>
      <color theme="1"/>
      <name val="Calibri"/>
      <family val="2"/>
      <scheme val="minor"/>
    </font>
    <font>
      <sz val="8"/>
      <color theme="6" tint="-0.499984740745262"/>
      <name val="Consolas"/>
      <family val="3"/>
    </font>
    <font>
      <sz val="11"/>
      <color theme="0" tint="-4.9989318521683403E-2"/>
      <name val="Consolas"/>
      <family val="3"/>
    </font>
    <font>
      <sz val="11"/>
      <color theme="6" tint="0.39997558519241921"/>
      <name val="Calibri"/>
      <family val="2"/>
      <scheme val="minor"/>
    </font>
    <font>
      <sz val="11"/>
      <color theme="0"/>
      <name val="Calibri"/>
      <family val="2"/>
    </font>
    <font>
      <sz val="11"/>
      <color rgb="FFFFFF00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  <scheme val="minor"/>
    </font>
  </fonts>
  <fills count="7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rgb="FF4F81BD"/>
        <bgColor indexed="64"/>
      </patternFill>
    </fill>
    <fill>
      <patternFill patternType="solid">
        <fgColor rgb="FFF7CAAC"/>
      </patternFill>
    </fill>
    <fill>
      <patternFill patternType="solid">
        <fgColor rgb="FF8EAADB"/>
      </patternFill>
    </fill>
    <fill>
      <patternFill patternType="solid">
        <fgColor rgb="FFD9E2F3"/>
      </patternFill>
    </fill>
    <fill>
      <patternFill patternType="solid">
        <fgColor rgb="FFDEEAF6"/>
      </patternFill>
    </fill>
    <fill>
      <patternFill patternType="solid">
        <fgColor rgb="FFFBE4D5"/>
      </patternFill>
    </fill>
    <fill>
      <patternFill patternType="solid">
        <fgColor rgb="FFECECEC"/>
      </patternFill>
    </fill>
    <fill>
      <patternFill patternType="solid">
        <fgColor rgb="FFFFF2CB"/>
      </patternFill>
    </fill>
    <fill>
      <patternFill patternType="solid">
        <fgColor rgb="FFE2EFD9"/>
      </patternFill>
    </fill>
    <fill>
      <patternFill patternType="solid">
        <fgColor rgb="FFB4C6E7"/>
      </patternFill>
    </fill>
    <fill>
      <patternFill patternType="solid">
        <fgColor rgb="FFDADADA"/>
      </patternFill>
    </fill>
    <fill>
      <patternFill patternType="solid">
        <fgColor rgb="FFFFE598"/>
      </patternFill>
    </fill>
    <fill>
      <patternFill patternType="solid">
        <fgColor rgb="FFBDD6EE"/>
      </patternFill>
    </fill>
    <fill>
      <patternFill patternType="solid">
        <fgColor rgb="FFC5E0B3"/>
      </patternFill>
    </fill>
    <fill>
      <patternFill patternType="solid">
        <fgColor rgb="FFF4B083"/>
      </patternFill>
    </fill>
    <fill>
      <patternFill patternType="solid">
        <fgColor rgb="FFC8C8C8"/>
      </patternFill>
    </fill>
    <fill>
      <patternFill patternType="solid">
        <fgColor rgb="FFFFD965"/>
      </patternFill>
    </fill>
    <fill>
      <patternFill patternType="solid">
        <fgColor rgb="FF9CC2E5"/>
      </patternFill>
    </fill>
    <fill>
      <patternFill patternType="solid">
        <fgColor rgb="FFA8D08D"/>
      </patternFill>
    </fill>
    <fill>
      <patternFill patternType="solid">
        <fgColor rgb="FF4472C4"/>
      </patternFill>
    </fill>
    <fill>
      <patternFill patternType="solid">
        <fgColor rgb="FFED7D31"/>
      </patternFill>
    </fill>
    <fill>
      <patternFill patternType="solid">
        <fgColor rgb="FFFFC000"/>
      </patternFill>
    </fill>
    <fill>
      <patternFill patternType="solid">
        <fgColor rgb="FF5B9BD5"/>
      </patternFill>
    </fill>
    <fill>
      <patternFill patternType="solid">
        <fgColor rgb="FF70AD47"/>
      </patternFill>
    </fill>
    <fill>
      <patternFill patternType="solid">
        <fgColor rgb="FFCCFFCC"/>
      </patternFill>
    </fill>
    <fill>
      <patternFill patternType="solid">
        <fgColor rgb="FF969696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medium">
        <color theme="4" tint="0.3999755851924192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EAADB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4472C4"/>
      </top>
      <bottom style="double">
        <color rgb="FF4472C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</borders>
  <cellStyleXfs count="6211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13" fillId="12" borderId="0" applyNumberFormat="0" applyBorder="0" applyAlignment="0" applyProtection="0"/>
    <xf numFmtId="164" fontId="16" fillId="0" borderId="0" applyFont="0" applyFill="0" applyBorder="0" applyAlignment="0" applyProtection="0"/>
    <xf numFmtId="0" fontId="17" fillId="0" borderId="18" applyNumberFormat="0" applyFill="0" applyAlignment="0" applyProtection="0"/>
    <xf numFmtId="0" fontId="2" fillId="13" borderId="19" applyNumberFormat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170" fontId="16" fillId="0" borderId="0" applyFont="0" applyFill="0" applyBorder="0" applyAlignment="0" applyProtection="0"/>
    <xf numFmtId="0" fontId="19" fillId="0" borderId="0"/>
    <xf numFmtId="0" fontId="21" fillId="0" borderId="24" applyNumberFormat="0" applyFill="0" applyAlignment="0" applyProtection="0"/>
    <xf numFmtId="0" fontId="22" fillId="0" borderId="25" applyNumberFormat="0" applyFill="0" applyAlignment="0" applyProtection="0"/>
    <xf numFmtId="0" fontId="17" fillId="0" borderId="0" applyNumberFormat="0" applyFill="0" applyBorder="0" applyAlignment="0" applyProtection="0"/>
    <xf numFmtId="0" fontId="23" fillId="17" borderId="0" applyNumberFormat="0" applyBorder="0" applyAlignment="0" applyProtection="0"/>
    <xf numFmtId="0" fontId="24" fillId="19" borderId="26" applyNumberFormat="0" applyAlignment="0" applyProtection="0"/>
    <xf numFmtId="0" fontId="25" fillId="20" borderId="27" applyNumberFormat="0" applyAlignment="0" applyProtection="0"/>
    <xf numFmtId="0" fontId="26" fillId="20" borderId="26" applyNumberFormat="0" applyAlignment="0" applyProtection="0"/>
    <xf numFmtId="0" fontId="27" fillId="0" borderId="28" applyNumberFormat="0" applyFill="0" applyAlignment="0" applyProtection="0"/>
    <xf numFmtId="0" fontId="28" fillId="0" borderId="0" applyNumberFormat="0" applyFill="0" applyBorder="0" applyAlignment="0" applyProtection="0"/>
    <xf numFmtId="0" fontId="16" fillId="21" borderId="29" applyNumberFormat="0" applyFont="0" applyAlignment="0" applyProtection="0"/>
    <xf numFmtId="0" fontId="29" fillId="0" borderId="0" applyNumberFormat="0" applyFill="0" applyBorder="0" applyAlignment="0" applyProtection="0"/>
    <xf numFmtId="0" fontId="4" fillId="0" borderId="30" applyNumberFormat="0" applyFill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31" fillId="18" borderId="0" applyNumberFormat="0" applyBorder="0" applyAlignment="0" applyProtection="0"/>
    <xf numFmtId="0" fontId="30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18" borderId="0" applyNumberFormat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43" fontId="16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19" fillId="0" borderId="0"/>
    <xf numFmtId="43" fontId="34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5" fillId="0" borderId="0" applyNumberFormat="0" applyFill="0" applyBorder="0" applyAlignment="0" applyProtection="0"/>
    <xf numFmtId="0" fontId="36" fillId="0" borderId="0"/>
    <xf numFmtId="0" fontId="36" fillId="0" borderId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34" fillId="0" borderId="0"/>
    <xf numFmtId="0" fontId="34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9" borderId="0" applyNumberFormat="0" applyBorder="0" applyAlignment="0" applyProtection="0"/>
    <xf numFmtId="0" fontId="23" fillId="17" borderId="0" applyNumberFormat="0" applyBorder="0" applyAlignment="0" applyProtection="0"/>
    <xf numFmtId="0" fontId="39" fillId="47" borderId="0"/>
    <xf numFmtId="0" fontId="38" fillId="45" borderId="0" applyNumberFormat="0" applyBorder="0" applyAlignment="0" applyProtection="0"/>
    <xf numFmtId="0" fontId="26" fillId="20" borderId="26" applyNumberFormat="0" applyAlignment="0" applyProtection="0"/>
    <xf numFmtId="0" fontId="2" fillId="13" borderId="19" applyNumberFormat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13" fillId="12" borderId="0" applyNumberFormat="0" applyBorder="0" applyAlignment="0" applyProtection="0"/>
    <xf numFmtId="0" fontId="21" fillId="0" borderId="24" applyNumberFormat="0" applyFill="0" applyAlignment="0" applyProtection="0"/>
    <xf numFmtId="0" fontId="22" fillId="0" borderId="25" applyNumberFormat="0" applyFill="0" applyAlignment="0" applyProtection="0"/>
    <xf numFmtId="0" fontId="17" fillId="0" borderId="18" applyNumberFormat="0" applyFill="0" applyAlignment="0" applyProtection="0"/>
    <xf numFmtId="0" fontId="17" fillId="0" borderId="0" applyNumberForma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24" fillId="19" borderId="26" applyNumberFormat="0" applyAlignment="0" applyProtection="0"/>
    <xf numFmtId="0" fontId="27" fillId="0" borderId="28" applyNumberFormat="0" applyFill="0" applyAlignment="0" applyProtection="0"/>
    <xf numFmtId="0" fontId="16" fillId="0" borderId="0"/>
    <xf numFmtId="0" fontId="34" fillId="0" borderId="0"/>
    <xf numFmtId="0" fontId="34" fillId="0" borderId="0"/>
    <xf numFmtId="0" fontId="19" fillId="0" borderId="0"/>
    <xf numFmtId="0" fontId="34" fillId="0" borderId="0"/>
    <xf numFmtId="0" fontId="16" fillId="0" borderId="0"/>
    <xf numFmtId="0" fontId="19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44" borderId="34" applyNumberFormat="0" applyFont="0" applyAlignment="0" applyProtection="0"/>
    <xf numFmtId="0" fontId="16" fillId="21" borderId="29" applyNumberFormat="0" applyFont="0" applyAlignment="0" applyProtection="0"/>
    <xf numFmtId="0" fontId="25" fillId="20" borderId="27" applyNumberFormat="0" applyAlignment="0" applyProtection="0"/>
    <xf numFmtId="9" fontId="3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4" fillId="0" borderId="30" applyNumberFormat="0" applyFill="0" applyAlignment="0" applyProtection="0"/>
    <xf numFmtId="0" fontId="28" fillId="0" borderId="0" applyNumberFormat="0" applyFill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34" fillId="0" borderId="0"/>
    <xf numFmtId="43" fontId="16" fillId="0" borderId="0" applyFont="0" applyFill="0" applyBorder="0" applyAlignment="0" applyProtection="0"/>
    <xf numFmtId="0" fontId="16" fillId="0" borderId="0"/>
    <xf numFmtId="0" fontId="17" fillId="0" borderId="0" applyNumberFormat="0" applyFill="0" applyBorder="0" applyAlignment="0" applyProtection="0"/>
    <xf numFmtId="0" fontId="34" fillId="0" borderId="0"/>
    <xf numFmtId="0" fontId="24" fillId="19" borderId="26" applyNumberFormat="0" applyAlignment="0" applyProtection="0"/>
    <xf numFmtId="0" fontId="27" fillId="0" borderId="28" applyNumberFormat="0" applyFill="0" applyAlignment="0" applyProtection="0"/>
    <xf numFmtId="0" fontId="2" fillId="13" borderId="19" applyNumberFormat="0" applyAlignment="0" applyProtection="0"/>
    <xf numFmtId="0" fontId="28" fillId="0" borderId="0" applyNumberFormat="0" applyFill="0" applyBorder="0" applyAlignment="0" applyProtection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9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33" fillId="18" borderId="0" applyNumberFormat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34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9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9" fontId="19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9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39" fillId="46" borderId="32" applyNumberFormat="0" applyAlignment="0" applyProtection="0"/>
    <xf numFmtId="0" fontId="40" fillId="0" borderId="33" applyNumberFormat="0" applyFill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43" borderId="31" applyNumberFormat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34" fillId="44" borderId="34" applyNumberFormat="0" applyFont="0" applyAlignment="0" applyProtection="0"/>
    <xf numFmtId="0" fontId="16" fillId="21" borderId="29" applyNumberFormat="0" applyFont="0" applyAlignment="0" applyProtection="0"/>
    <xf numFmtId="9" fontId="19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9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9" fontId="19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9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9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9" fontId="19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43" fontId="34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43" fontId="34" fillId="0" borderId="0" applyFont="0" applyFill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44" fontId="19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23" borderId="0" applyNumberFormat="0" applyBorder="0" applyAlignment="0" applyProtection="0"/>
    <xf numFmtId="0" fontId="16" fillId="16" borderId="0" applyNumberFormat="0" applyBorder="0" applyAlignment="0" applyProtection="0"/>
    <xf numFmtId="44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43" fontId="16" fillId="0" borderId="0" applyFon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0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2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3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4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1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5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56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48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7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8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59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60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7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7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7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7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7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7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49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1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2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3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4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6" fillId="65" borderId="0"/>
    <xf numFmtId="0" fontId="47" fillId="66" borderId="0"/>
    <xf numFmtId="0" fontId="47" fillId="66" borderId="0"/>
    <xf numFmtId="0" fontId="47" fillId="67" borderId="0"/>
    <xf numFmtId="0" fontId="47" fillId="67" borderId="0"/>
    <xf numFmtId="0" fontId="47" fillId="13" borderId="0"/>
    <xf numFmtId="0" fontId="47" fillId="13" borderId="0"/>
    <xf numFmtId="0" fontId="47" fillId="68" borderId="0"/>
    <xf numFmtId="0" fontId="47" fillId="68" borderId="0"/>
    <xf numFmtId="0" fontId="47" fillId="69" borderId="0"/>
    <xf numFmtId="0" fontId="47" fillId="69" borderId="0"/>
    <xf numFmtId="0" fontId="47" fillId="70" borderId="0"/>
    <xf numFmtId="0" fontId="47" fillId="70" borderId="0"/>
    <xf numFmtId="0" fontId="48" fillId="17" borderId="0"/>
    <xf numFmtId="0" fontId="50" fillId="71" borderId="0"/>
    <xf numFmtId="0" fontId="51" fillId="20" borderId="26"/>
    <xf numFmtId="0" fontId="49" fillId="13" borderId="19"/>
    <xf numFmtId="0" fontId="49" fillId="13" borderId="19"/>
    <xf numFmtId="0" fontId="49" fillId="72" borderId="35"/>
    <xf numFmtId="0" fontId="52" fillId="0" borderId="28"/>
    <xf numFmtId="0" fontId="52" fillId="0" borderId="28"/>
    <xf numFmtId="0" fontId="53" fillId="0" borderId="36"/>
    <xf numFmtId="0" fontId="49" fillId="13" borderId="19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0" fontId="54" fillId="0" borderId="0"/>
    <xf numFmtId="0" fontId="54" fillId="0" borderId="0"/>
    <xf numFmtId="0" fontId="55" fillId="0" borderId="0"/>
    <xf numFmtId="0" fontId="56" fillId="19" borderId="26"/>
    <xf numFmtId="0" fontId="56" fillId="19" borderId="26"/>
    <xf numFmtId="0" fontId="57" fillId="19" borderId="37"/>
    <xf numFmtId="0" fontId="58" fillId="0" borderId="0"/>
    <xf numFmtId="0" fontId="59" fillId="12" borderId="0"/>
    <xf numFmtId="0" fontId="60" fillId="0" borderId="38"/>
    <xf numFmtId="0" fontId="61" fillId="0" borderId="39"/>
    <xf numFmtId="0" fontId="54" fillId="0" borderId="40"/>
    <xf numFmtId="0" fontId="54" fillId="0" borderId="0"/>
    <xf numFmtId="0" fontId="62" fillId="0" borderId="0">
      <alignment vertical="top"/>
    </xf>
    <xf numFmtId="0" fontId="63" fillId="0" borderId="0">
      <alignment vertical="top"/>
    </xf>
    <xf numFmtId="0" fontId="64" fillId="0" borderId="0"/>
    <xf numFmtId="0" fontId="56" fillId="19" borderId="26"/>
    <xf numFmtId="0" fontId="52" fillId="0" borderId="28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3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44" fontId="19" fillId="0" borderId="0"/>
    <xf numFmtId="0" fontId="66" fillId="18" borderId="0"/>
    <xf numFmtId="0" fontId="65" fillId="18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4" fillId="0" borderId="0"/>
    <xf numFmtId="0" fontId="34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9" fillId="21" borderId="41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41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19" fillId="21" borderId="29"/>
    <xf numFmtId="0" fontId="67" fillId="20" borderId="27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9" fontId="19" fillId="0" borderId="0"/>
    <xf numFmtId="0" fontId="68" fillId="0" borderId="0"/>
    <xf numFmtId="0" fontId="68" fillId="0" borderId="0"/>
    <xf numFmtId="0" fontId="68" fillId="0" borderId="0"/>
    <xf numFmtId="0" fontId="69" fillId="0" borderId="0"/>
    <xf numFmtId="0" fontId="70" fillId="0" borderId="42"/>
    <xf numFmtId="0" fontId="68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0" borderId="0"/>
    <xf numFmtId="0" fontId="34" fillId="0" borderId="0"/>
    <xf numFmtId="43" fontId="34" fillId="0" borderId="0" applyFont="0" applyFill="0" applyBorder="0" applyAlignment="0" applyProtection="0"/>
    <xf numFmtId="0" fontId="16" fillId="22" borderId="0" applyNumberFormat="0" applyBorder="0" applyAlignment="0" applyProtection="0"/>
    <xf numFmtId="0" fontId="16" fillId="25" borderId="0" applyNumberFormat="0" applyBorder="0" applyAlignment="0" applyProtection="0"/>
    <xf numFmtId="0" fontId="16" fillId="16" borderId="0" applyNumberFormat="0" applyBorder="0" applyAlignment="0" applyProtection="0"/>
    <xf numFmtId="0" fontId="16" fillId="32" borderId="0" applyNumberFormat="0" applyBorder="0" applyAlignment="0" applyProtection="0"/>
    <xf numFmtId="0" fontId="16" fillId="36" borderId="0" applyNumberFormat="0" applyBorder="0" applyAlignment="0" applyProtection="0"/>
    <xf numFmtId="0" fontId="16" fillId="40" borderId="0" applyNumberFormat="0" applyBorder="0" applyAlignment="0" applyProtection="0"/>
    <xf numFmtId="0" fontId="16" fillId="23" borderId="0" applyNumberFormat="0" applyBorder="0" applyAlignment="0" applyProtection="0"/>
    <xf numFmtId="0" fontId="16" fillId="26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6" fillId="37" borderId="0" applyNumberFormat="0" applyBorder="0" applyAlignment="0" applyProtection="0"/>
    <xf numFmtId="0" fontId="16" fillId="41" borderId="0" applyNumberFormat="0" applyBorder="0" applyAlignment="0" applyProtection="0"/>
    <xf numFmtId="0" fontId="16" fillId="24" borderId="0" applyNumberFormat="0" applyBorder="0" applyAlignment="0" applyProtection="0"/>
    <xf numFmtId="0" fontId="16" fillId="27" borderId="0" applyNumberFormat="0" applyBorder="0" applyAlignment="0" applyProtection="0"/>
    <xf numFmtId="0" fontId="16" fillId="30" borderId="0" applyNumberFormat="0" applyBorder="0" applyAlignment="0" applyProtection="0"/>
    <xf numFmtId="0" fontId="16" fillId="34" borderId="0" applyNumberFormat="0" applyBorder="0" applyAlignment="0" applyProtection="0"/>
    <xf numFmtId="0" fontId="16" fillId="38" borderId="0" applyNumberFormat="0" applyBorder="0" applyAlignment="0" applyProtection="0"/>
    <xf numFmtId="0" fontId="16" fillId="42" borderId="0" applyNumberFormat="0" applyBorder="0" applyAlignment="0" applyProtection="0"/>
    <xf numFmtId="0" fontId="16" fillId="0" borderId="0"/>
    <xf numFmtId="0" fontId="16" fillId="21" borderId="29" applyNumberFormat="0" applyFont="0" applyAlignment="0" applyProtection="0"/>
    <xf numFmtId="43" fontId="19" fillId="0" borderId="0"/>
    <xf numFmtId="0" fontId="17" fillId="0" borderId="0" applyNumberFormat="0" applyFill="0" applyBorder="0" applyAlignment="0" applyProtection="0"/>
    <xf numFmtId="0" fontId="24" fillId="19" borderId="26" applyNumberFormat="0" applyAlignment="0" applyProtection="0"/>
    <xf numFmtId="0" fontId="27" fillId="0" borderId="28" applyNumberFormat="0" applyFill="0" applyAlignment="0" applyProtection="0"/>
    <xf numFmtId="0" fontId="28" fillId="0" borderId="0" applyNumberFormat="0" applyFill="0" applyBorder="0" applyAlignment="0" applyProtection="0"/>
    <xf numFmtId="0" fontId="16" fillId="0" borderId="0"/>
    <xf numFmtId="0" fontId="16" fillId="21" borderId="29" applyNumberFormat="0" applyFont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16" borderId="0" applyNumberFormat="0" applyBorder="0" applyAlignment="0" applyProtection="0"/>
    <xf numFmtId="0" fontId="16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2" borderId="0" applyNumberFormat="0" applyBorder="0" applyAlignment="0" applyProtection="0"/>
    <xf numFmtId="0" fontId="16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6" borderId="0" applyNumberFormat="0" applyBorder="0" applyAlignment="0" applyProtection="0"/>
    <xf numFmtId="0" fontId="16" fillId="37" borderId="0" applyNumberFormat="0" applyBorder="0" applyAlignment="0" applyProtection="0"/>
    <xf numFmtId="0" fontId="16" fillId="38" borderId="0" applyNumberFormat="0" applyBorder="0" applyAlignment="0" applyProtection="0"/>
    <xf numFmtId="0" fontId="16" fillId="40" borderId="0" applyNumberFormat="0" applyBorder="0" applyAlignment="0" applyProtection="0"/>
    <xf numFmtId="0" fontId="16" fillId="41" borderId="0" applyNumberFormat="0" applyBorder="0" applyAlignment="0" applyProtection="0"/>
    <xf numFmtId="0" fontId="16" fillId="42" borderId="0" applyNumberFormat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43" fontId="34" fillId="0" borderId="0" applyFont="0" applyFill="0" applyBorder="0" applyAlignment="0" applyProtection="0"/>
    <xf numFmtId="0" fontId="34" fillId="0" borderId="0"/>
    <xf numFmtId="43" fontId="34" fillId="0" borderId="0" applyFont="0" applyFill="0" applyBorder="0" applyAlignment="0" applyProtection="0"/>
    <xf numFmtId="0" fontId="34" fillId="0" borderId="0"/>
    <xf numFmtId="0" fontId="16" fillId="0" borderId="0"/>
    <xf numFmtId="0" fontId="19" fillId="0" borderId="0"/>
    <xf numFmtId="0" fontId="34" fillId="0" borderId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2" fillId="13" borderId="19" applyNumberFormat="0" applyAlignment="0" applyProtection="0"/>
  </cellStyleXfs>
  <cellXfs count="302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0" fontId="3" fillId="0" borderId="0" xfId="1" applyAlignment="1" applyProtection="1"/>
    <xf numFmtId="0" fontId="4" fillId="0" borderId="1" xfId="0" applyFont="1" applyBorder="1"/>
    <xf numFmtId="0" fontId="0" fillId="0" borderId="1" xfId="0" applyBorder="1"/>
    <xf numFmtId="2" fontId="1" fillId="4" borderId="0" xfId="0" applyNumberFormat="1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8" fontId="1" fillId="4" borderId="0" xfId="0" applyNumberFormat="1" applyFont="1" applyFill="1" applyAlignment="1">
      <alignment horizontal="center"/>
    </xf>
    <xf numFmtId="3" fontId="1" fillId="4" borderId="0" xfId="0" applyNumberFormat="1" applyFont="1" applyFill="1" applyAlignment="1">
      <alignment horizontal="center"/>
    </xf>
    <xf numFmtId="1" fontId="7" fillId="4" borderId="0" xfId="0" applyNumberFormat="1" applyFont="1" applyFill="1" applyAlignment="1">
      <alignment horizontal="center"/>
    </xf>
    <xf numFmtId="1" fontId="8" fillId="4" borderId="0" xfId="0" applyNumberFormat="1" applyFont="1" applyFill="1" applyAlignment="1">
      <alignment horizontal="center"/>
    </xf>
    <xf numFmtId="2" fontId="8" fillId="4" borderId="0" xfId="0" applyNumberFormat="1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65" fontId="8" fillId="4" borderId="0" xfId="0" applyNumberFormat="1" applyFont="1" applyFill="1" applyAlignment="1">
      <alignment horizontal="center"/>
    </xf>
    <xf numFmtId="165" fontId="1" fillId="4" borderId="0" xfId="0" applyNumberFormat="1" applyFont="1" applyFill="1" applyAlignment="1">
      <alignment horizontal="center"/>
    </xf>
    <xf numFmtId="0" fontId="2" fillId="4" borderId="0" xfId="0" quotePrefix="1" applyFont="1" applyFill="1" applyAlignment="1">
      <alignment horizontal="center"/>
    </xf>
    <xf numFmtId="169" fontId="1" fillId="6" borderId="0" xfId="0" applyNumberFormat="1" applyFont="1" applyFill="1" applyAlignment="1">
      <alignment horizontal="center"/>
    </xf>
    <xf numFmtId="0" fontId="0" fillId="0" borderId="0" xfId="0" applyAlignment="1">
      <alignment vertical="center"/>
    </xf>
    <xf numFmtId="0" fontId="0" fillId="7" borderId="0" xfId="0" applyFill="1"/>
    <xf numFmtId="0" fontId="0" fillId="7" borderId="0" xfId="0" applyFill="1" applyAlignment="1">
      <alignment vertical="center"/>
    </xf>
    <xf numFmtId="0" fontId="2" fillId="8" borderId="7" xfId="0" applyFont="1" applyFill="1" applyBorder="1" applyAlignment="1">
      <alignment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right" vertical="center"/>
    </xf>
    <xf numFmtId="0" fontId="2" fillId="8" borderId="10" xfId="0" applyFont="1" applyFill="1" applyBorder="1" applyAlignment="1">
      <alignment vertical="center"/>
    </xf>
    <xf numFmtId="0" fontId="0" fillId="10" borderId="8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/>
    </xf>
    <xf numFmtId="0" fontId="10" fillId="3" borderId="12" xfId="0" applyFont="1" applyFill="1" applyBorder="1" applyAlignment="1">
      <alignment horizontal="right" vertical="center"/>
    </xf>
    <xf numFmtId="0" fontId="11" fillId="11" borderId="13" xfId="0" applyFont="1" applyFill="1" applyBorder="1" applyAlignment="1">
      <alignment vertical="center"/>
    </xf>
    <xf numFmtId="0" fontId="10" fillId="3" borderId="11" xfId="0" applyFont="1" applyFill="1" applyBorder="1" applyAlignment="1">
      <alignment horizontal="right" vertical="center"/>
    </xf>
    <xf numFmtId="0" fontId="11" fillId="11" borderId="10" xfId="0" applyFont="1" applyFill="1" applyBorder="1" applyAlignment="1">
      <alignment vertical="center"/>
    </xf>
    <xf numFmtId="0" fontId="9" fillId="2" borderId="8" xfId="0" applyFont="1" applyFill="1" applyBorder="1" applyAlignment="1">
      <alignment horizontal="left" vertical="center"/>
    </xf>
    <xf numFmtId="0" fontId="9" fillId="2" borderId="7" xfId="0" applyFont="1" applyFill="1" applyBorder="1" applyAlignment="1">
      <alignment horizontal="left" vertical="center"/>
    </xf>
    <xf numFmtId="0" fontId="9" fillId="2" borderId="9" xfId="0" applyFont="1" applyFill="1" applyBorder="1" applyAlignment="1">
      <alignment horizontal="left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2" fontId="1" fillId="4" borderId="17" xfId="0" applyNumberFormat="1" applyFont="1" applyFill="1" applyBorder="1" applyAlignment="1">
      <alignment horizontal="center"/>
    </xf>
    <xf numFmtId="0" fontId="5" fillId="7" borderId="0" xfId="0" applyFont="1" applyFill="1"/>
    <xf numFmtId="0" fontId="5" fillId="7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right" vertical="center"/>
    </xf>
    <xf numFmtId="0" fontId="5" fillId="7" borderId="0" xfId="0" applyFont="1" applyFill="1" applyAlignment="1">
      <alignment horizontal="left" vertical="center"/>
    </xf>
    <xf numFmtId="0" fontId="5" fillId="7" borderId="0" xfId="0" applyFont="1" applyFill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right" vertical="center"/>
    </xf>
    <xf numFmtId="0" fontId="0" fillId="7" borderId="0" xfId="0" applyFill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0" fillId="7" borderId="7" xfId="0" applyFill="1" applyBorder="1" applyAlignment="1">
      <alignment horizontal="center" vertical="center"/>
    </xf>
    <xf numFmtId="0" fontId="10" fillId="7" borderId="12" xfId="0" applyFont="1" applyFill="1" applyBorder="1" applyAlignment="1">
      <alignment horizontal="right" vertical="center"/>
    </xf>
    <xf numFmtId="0" fontId="11" fillId="7" borderId="13" xfId="0" applyFont="1" applyFill="1" applyBorder="1" applyAlignment="1">
      <alignment vertical="center"/>
    </xf>
    <xf numFmtId="0" fontId="4" fillId="7" borderId="8" xfId="0" applyFont="1" applyFill="1" applyBorder="1" applyAlignment="1">
      <alignment horizontal="center" vertical="center"/>
    </xf>
    <xf numFmtId="0" fontId="12" fillId="7" borderId="0" xfId="0" applyFont="1" applyFill="1"/>
    <xf numFmtId="0" fontId="5" fillId="7" borderId="0" xfId="0" applyFont="1" applyFill="1" applyAlignment="1">
      <alignment horizontal="right"/>
    </xf>
    <xf numFmtId="0" fontId="5" fillId="7" borderId="0" xfId="0" applyFont="1" applyFill="1" applyAlignment="1">
      <alignment horizontal="left"/>
    </xf>
    <xf numFmtId="0" fontId="6" fillId="7" borderId="0" xfId="0" applyFont="1" applyFill="1"/>
    <xf numFmtId="0" fontId="0" fillId="0" borderId="0" xfId="0" quotePrefix="1"/>
    <xf numFmtId="2" fontId="20" fillId="4" borderId="0" xfId="0" applyNumberFormat="1" applyFont="1" applyFill="1" applyAlignment="1">
      <alignment horizontal="center"/>
    </xf>
    <xf numFmtId="164" fontId="7" fillId="4" borderId="0" xfId="3" applyFont="1" applyFill="1" applyBorder="1" applyAlignment="1">
      <alignment horizontal="center"/>
    </xf>
    <xf numFmtId="0" fontId="71" fillId="0" borderId="0" xfId="0" applyFont="1"/>
    <xf numFmtId="0" fontId="72" fillId="0" borderId="0" xfId="0" applyFont="1"/>
    <xf numFmtId="0" fontId="73" fillId="0" borderId="1" xfId="0" applyFont="1" applyBorder="1"/>
    <xf numFmtId="0" fontId="73" fillId="0" borderId="0" xfId="0" applyFont="1"/>
    <xf numFmtId="0" fontId="74" fillId="7" borderId="0" xfId="0" applyFont="1" applyFill="1"/>
    <xf numFmtId="0" fontId="71" fillId="0" borderId="1" xfId="0" applyFont="1" applyBorder="1"/>
    <xf numFmtId="0" fontId="71" fillId="7" borderId="0" xfId="0" applyFont="1" applyFill="1"/>
    <xf numFmtId="0" fontId="10" fillId="0" borderId="12" xfId="0" applyFont="1" applyBorder="1" applyAlignment="1">
      <alignment horizontal="right" vertical="center"/>
    </xf>
    <xf numFmtId="0" fontId="11" fillId="0" borderId="13" xfId="0" applyFont="1" applyBorder="1" applyAlignment="1">
      <alignment vertical="center"/>
    </xf>
    <xf numFmtId="0" fontId="72" fillId="0" borderId="0" xfId="0" applyFont="1" applyAlignment="1">
      <alignment horizontal="center"/>
    </xf>
    <xf numFmtId="0" fontId="2" fillId="8" borderId="11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8" borderId="8" xfId="0" applyFont="1" applyFill="1" applyBorder="1" applyAlignment="1">
      <alignment horizontal="center" vertical="center"/>
    </xf>
    <xf numFmtId="167" fontId="0" fillId="0" borderId="0" xfId="0" applyNumberFormat="1"/>
    <xf numFmtId="2" fontId="0" fillId="0" borderId="0" xfId="0" applyNumberFormat="1"/>
    <xf numFmtId="0" fontId="75" fillId="0" borderId="0" xfId="0" applyFont="1"/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76" fillId="0" borderId="0" xfId="1" applyFont="1" applyAlignment="1" applyProtection="1"/>
    <xf numFmtId="0" fontId="77" fillId="7" borderId="0" xfId="0" applyFont="1" applyFill="1"/>
    <xf numFmtId="0" fontId="72" fillId="7" borderId="0" xfId="0" applyFont="1" applyFill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11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78" fillId="0" borderId="0" xfId="0" applyFont="1"/>
    <xf numFmtId="0" fontId="78" fillId="0" borderId="0" xfId="0" applyFont="1" applyAlignment="1">
      <alignment horizontal="center"/>
    </xf>
    <xf numFmtId="0" fontId="79" fillId="0" borderId="0" xfId="0" applyFont="1"/>
    <xf numFmtId="0" fontId="78" fillId="0" borderId="0" xfId="0" applyFont="1" applyAlignment="1">
      <alignment horizontal="left"/>
    </xf>
    <xf numFmtId="165" fontId="10" fillId="3" borderId="11" xfId="0" applyNumberFormat="1" applyFont="1" applyFill="1" applyBorder="1" applyAlignment="1">
      <alignment horizontal="right" vertical="center"/>
    </xf>
    <xf numFmtId="0" fontId="2" fillId="0" borderId="10" xfId="0" applyFont="1" applyBorder="1" applyAlignment="1">
      <alignment vertical="center"/>
    </xf>
    <xf numFmtId="0" fontId="4" fillId="0" borderId="0" xfId="0" applyFont="1"/>
    <xf numFmtId="0" fontId="80" fillId="0" borderId="0" xfId="0" applyFont="1"/>
    <xf numFmtId="0" fontId="81" fillId="0" borderId="0" xfId="2" applyFont="1" applyFill="1"/>
    <xf numFmtId="165" fontId="5" fillId="0" borderId="0" xfId="0" applyNumberFormat="1" applyFont="1" applyAlignment="1">
      <alignment horizontal="center"/>
    </xf>
    <xf numFmtId="0" fontId="71" fillId="0" borderId="0" xfId="0" applyFont="1" applyAlignment="1">
      <alignment horizontal="left"/>
    </xf>
    <xf numFmtId="166" fontId="10" fillId="3" borderId="14" xfId="0" applyNumberFormat="1" applyFont="1" applyFill="1" applyBorder="1" applyAlignment="1">
      <alignment horizontal="right" vertical="center"/>
    </xf>
    <xf numFmtId="166" fontId="11" fillId="11" borderId="15" xfId="0" applyNumberFormat="1" applyFont="1" applyFill="1" applyBorder="1" applyAlignment="1">
      <alignment vertical="center"/>
    </xf>
    <xf numFmtId="166" fontId="4" fillId="9" borderId="9" xfId="0" applyNumberFormat="1" applyFont="1" applyFill="1" applyBorder="1" applyAlignment="1">
      <alignment horizontal="center" vertical="center"/>
    </xf>
    <xf numFmtId="165" fontId="10" fillId="3" borderId="12" xfId="0" applyNumberFormat="1" applyFont="1" applyFill="1" applyBorder="1" applyAlignment="1">
      <alignment horizontal="right" vertical="center"/>
    </xf>
    <xf numFmtId="166" fontId="11" fillId="11" borderId="13" xfId="0" applyNumberFormat="1" applyFont="1" applyFill="1" applyBorder="1" applyAlignment="1">
      <alignment vertical="center"/>
    </xf>
    <xf numFmtId="0" fontId="82" fillId="0" borderId="0" xfId="0" applyFont="1"/>
    <xf numFmtId="0" fontId="2" fillId="8" borderId="12" xfId="0" applyFont="1" applyFill="1" applyBorder="1" applyAlignment="1">
      <alignment horizontal="center" vertical="center"/>
    </xf>
    <xf numFmtId="0" fontId="83" fillId="0" borderId="0" xfId="0" applyFont="1"/>
    <xf numFmtId="15" fontId="72" fillId="0" borderId="0" xfId="0" applyNumberFormat="1" applyFont="1"/>
    <xf numFmtId="15" fontId="71" fillId="0" borderId="0" xfId="0" applyNumberFormat="1" applyFont="1"/>
    <xf numFmtId="0" fontId="4" fillId="0" borderId="0" xfId="0" applyFont="1" applyAlignment="1">
      <alignment horizontal="left" vertical="center"/>
    </xf>
    <xf numFmtId="2" fontId="4" fillId="9" borderId="8" xfId="0" applyNumberFormat="1" applyFont="1" applyFill="1" applyBorder="1" applyAlignment="1">
      <alignment horizontal="center" vertical="center"/>
    </xf>
    <xf numFmtId="2" fontId="11" fillId="11" borderId="10" xfId="0" applyNumberFormat="1" applyFont="1" applyFill="1" applyBorder="1" applyAlignment="1">
      <alignment vertical="center"/>
    </xf>
    <xf numFmtId="2" fontId="4" fillId="9" borderId="7" xfId="0" applyNumberFormat="1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0" fontId="84" fillId="0" borderId="0" xfId="0" applyFont="1"/>
    <xf numFmtId="2" fontId="0" fillId="0" borderId="4" xfId="0" applyNumberFormat="1" applyBorder="1"/>
    <xf numFmtId="2" fontId="0" fillId="0" borderId="44" xfId="0" applyNumberFormat="1" applyBorder="1"/>
    <xf numFmtId="2" fontId="0" fillId="0" borderId="5" xfId="0" applyNumberFormat="1" applyBorder="1"/>
    <xf numFmtId="0" fontId="0" fillId="0" borderId="6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4" fillId="0" borderId="0" xfId="0" applyFont="1" applyAlignment="1">
      <alignment vertical="center"/>
    </xf>
    <xf numFmtId="17" fontId="0" fillId="0" borderId="0" xfId="0" quotePrefix="1" applyNumberFormat="1"/>
    <xf numFmtId="2" fontId="1" fillId="4" borderId="49" xfId="0" applyNumberFormat="1" applyFont="1" applyFill="1" applyBorder="1" applyAlignment="1">
      <alignment horizontal="center"/>
    </xf>
    <xf numFmtId="3" fontId="1" fillId="4" borderId="50" xfId="0" applyNumberFormat="1" applyFont="1" applyFill="1" applyBorder="1" applyAlignment="1">
      <alignment horizontal="center"/>
    </xf>
    <xf numFmtId="0" fontId="2" fillId="4" borderId="50" xfId="0" applyFont="1" applyFill="1" applyBorder="1" applyAlignment="1">
      <alignment horizontal="center"/>
    </xf>
    <xf numFmtId="166" fontId="2" fillId="4" borderId="50" xfId="0" applyNumberFormat="1" applyFont="1" applyFill="1" applyBorder="1" applyAlignment="1">
      <alignment horizontal="center"/>
    </xf>
    <xf numFmtId="0" fontId="2" fillId="4" borderId="12" xfId="0" applyFont="1" applyFill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2" fontId="20" fillId="4" borderId="12" xfId="0" applyNumberFormat="1" applyFont="1" applyFill="1" applyBorder="1" applyAlignment="1">
      <alignment horizontal="center"/>
    </xf>
    <xf numFmtId="2" fontId="20" fillId="4" borderId="14" xfId="0" applyNumberFormat="1" applyFont="1" applyFill="1" applyBorder="1" applyAlignment="1">
      <alignment horizontal="center"/>
    </xf>
    <xf numFmtId="3" fontId="1" fillId="4" borderId="17" xfId="0" applyNumberFormat="1" applyFont="1" applyFill="1" applyBorder="1" applyAlignment="1">
      <alignment horizontal="center"/>
    </xf>
    <xf numFmtId="168" fontId="1" fillId="4" borderId="17" xfId="0" quotePrefix="1" applyNumberFormat="1" applyFont="1" applyFill="1" applyBorder="1" applyAlignment="1">
      <alignment horizontal="center"/>
    </xf>
    <xf numFmtId="2" fontId="20" fillId="4" borderId="17" xfId="0" applyNumberFormat="1" applyFont="1" applyFill="1" applyBorder="1" applyAlignment="1">
      <alignment horizontal="center"/>
    </xf>
    <xf numFmtId="2" fontId="8" fillId="4" borderId="17" xfId="0" applyNumberFormat="1" applyFont="1" applyFill="1" applyBorder="1" applyAlignment="1">
      <alignment horizontal="center"/>
    </xf>
    <xf numFmtId="169" fontId="1" fillId="6" borderId="17" xfId="0" applyNumberFormat="1" applyFont="1" applyFill="1" applyBorder="1" applyAlignment="1">
      <alignment horizontal="center"/>
    </xf>
    <xf numFmtId="165" fontId="1" fillId="4" borderId="17" xfId="0" applyNumberFormat="1" applyFont="1" applyFill="1" applyBorder="1" applyAlignment="1">
      <alignment horizontal="center"/>
    </xf>
    <xf numFmtId="2" fontId="8" fillId="4" borderId="6" xfId="0" applyNumberFormat="1" applyFont="1" applyFill="1" applyBorder="1" applyAlignment="1">
      <alignment horizontal="center"/>
    </xf>
    <xf numFmtId="165" fontId="1" fillId="4" borderId="6" xfId="0" applyNumberFormat="1" applyFont="1" applyFill="1" applyBorder="1" applyAlignment="1">
      <alignment horizontal="center"/>
    </xf>
    <xf numFmtId="166" fontId="20" fillId="4" borderId="17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  <xf numFmtId="2" fontId="20" fillId="4" borderId="50" xfId="0" applyNumberFormat="1" applyFont="1" applyFill="1" applyBorder="1" applyAlignment="1">
      <alignment horizontal="center"/>
    </xf>
    <xf numFmtId="2" fontId="20" fillId="4" borderId="49" xfId="0" applyNumberFormat="1" applyFont="1" applyFill="1" applyBorder="1" applyAlignment="1">
      <alignment horizontal="center"/>
    </xf>
    <xf numFmtId="168" fontId="1" fillId="4" borderId="50" xfId="0" quotePrefix="1" applyNumberFormat="1" applyFont="1" applyFill="1" applyBorder="1" applyAlignment="1">
      <alignment horizontal="center"/>
    </xf>
    <xf numFmtId="2" fontId="8" fillId="4" borderId="50" xfId="0" applyNumberFormat="1" applyFont="1" applyFill="1" applyBorder="1" applyAlignment="1">
      <alignment horizontal="center"/>
    </xf>
    <xf numFmtId="166" fontId="20" fillId="4" borderId="0" xfId="0" applyNumberFormat="1" applyFont="1" applyFill="1" applyAlignment="1">
      <alignment horizontal="center"/>
    </xf>
    <xf numFmtId="166" fontId="7" fillId="4" borderId="0" xfId="0" applyNumberFormat="1" applyFont="1" applyFill="1" applyAlignment="1">
      <alignment horizontal="center"/>
    </xf>
    <xf numFmtId="2" fontId="20" fillId="4" borderId="16" xfId="0" applyNumberFormat="1" applyFont="1" applyFill="1" applyBorder="1" applyAlignment="1">
      <alignment horizontal="center"/>
    </xf>
    <xf numFmtId="3" fontId="1" fillId="4" borderId="49" xfId="0" applyNumberFormat="1" applyFont="1" applyFill="1" applyBorder="1" applyAlignment="1">
      <alignment horizontal="center"/>
    </xf>
    <xf numFmtId="3" fontId="1" fillId="4" borderId="51" xfId="0" applyNumberFormat="1" applyFont="1" applyFill="1" applyBorder="1" applyAlignment="1">
      <alignment horizontal="center"/>
    </xf>
    <xf numFmtId="1" fontId="20" fillId="4" borderId="12" xfId="0" applyNumberFormat="1" applyFont="1" applyFill="1" applyBorder="1" applyAlignment="1">
      <alignment horizontal="center"/>
    </xf>
    <xf numFmtId="1" fontId="8" fillId="4" borderId="13" xfId="0" applyNumberFormat="1" applyFont="1" applyFill="1" applyBorder="1" applyAlignment="1">
      <alignment horizontal="center"/>
    </xf>
    <xf numFmtId="1" fontId="20" fillId="4" borderId="14" xfId="0" applyNumberFormat="1" applyFont="1" applyFill="1" applyBorder="1" applyAlignment="1">
      <alignment horizontal="center"/>
    </xf>
    <xf numFmtId="0" fontId="28" fillId="4" borderId="0" xfId="0" applyFont="1" applyFill="1" applyAlignment="1">
      <alignment horizontal="center"/>
    </xf>
    <xf numFmtId="168" fontId="1" fillId="4" borderId="0" xfId="0" quotePrefix="1" applyNumberFormat="1" applyFont="1" applyFill="1" applyAlignment="1">
      <alignment horizontal="center"/>
    </xf>
    <xf numFmtId="0" fontId="2" fillId="4" borderId="51" xfId="0" applyFont="1" applyFill="1" applyBorder="1" applyAlignment="1">
      <alignment horizontal="center"/>
    </xf>
    <xf numFmtId="165" fontId="8" fillId="4" borderId="17" xfId="0" applyNumberFormat="1" applyFont="1" applyFill="1" applyBorder="1" applyAlignment="1">
      <alignment horizontal="center"/>
    </xf>
    <xf numFmtId="0" fontId="86" fillId="74" borderId="0" xfId="31505" applyFont="1" applyFill="1" applyAlignment="1">
      <alignment horizontal="center"/>
    </xf>
    <xf numFmtId="1" fontId="2" fillId="4" borderId="49" xfId="0" applyNumberFormat="1" applyFont="1" applyFill="1" applyBorder="1" applyAlignment="1">
      <alignment horizontal="center"/>
    </xf>
    <xf numFmtId="1" fontId="2" fillId="4" borderId="50" xfId="0" applyNumberFormat="1" applyFont="1" applyFill="1" applyBorder="1" applyAlignment="1">
      <alignment horizontal="center"/>
    </xf>
    <xf numFmtId="1" fontId="2" fillId="4" borderId="51" xfId="0" applyNumberFormat="1" applyFont="1" applyFill="1" applyBorder="1" applyAlignment="1">
      <alignment horizontal="center"/>
    </xf>
    <xf numFmtId="0" fontId="86" fillId="74" borderId="17" xfId="31505" applyFont="1" applyFill="1" applyBorder="1" applyAlignment="1">
      <alignment horizontal="center"/>
    </xf>
    <xf numFmtId="168" fontId="1" fillId="4" borderId="12" xfId="0" applyNumberFormat="1" applyFont="1" applyFill="1" applyBorder="1" applyAlignment="1">
      <alignment horizontal="center"/>
    </xf>
    <xf numFmtId="169" fontId="1" fillId="6" borderId="13" xfId="0" applyNumberFormat="1" applyFont="1" applyFill="1" applyBorder="1" applyAlignment="1">
      <alignment horizontal="center"/>
    </xf>
    <xf numFmtId="168" fontId="1" fillId="4" borderId="12" xfId="0" quotePrefix="1" applyNumberFormat="1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3" fontId="1" fillId="4" borderId="43" xfId="0" applyNumberFormat="1" applyFont="1" applyFill="1" applyBorder="1" applyAlignment="1">
      <alignment horizontal="center"/>
    </xf>
    <xf numFmtId="168" fontId="1" fillId="4" borderId="43" xfId="0" quotePrefix="1" applyNumberFormat="1" applyFont="1" applyFill="1" applyBorder="1" applyAlignment="1">
      <alignment horizontal="center"/>
    </xf>
    <xf numFmtId="2" fontId="20" fillId="4" borderId="43" xfId="0" applyNumberFormat="1" applyFont="1" applyFill="1" applyBorder="1" applyAlignment="1">
      <alignment horizontal="center"/>
    </xf>
    <xf numFmtId="2" fontId="8" fillId="4" borderId="43" xfId="0" applyNumberFormat="1" applyFont="1" applyFill="1" applyBorder="1" applyAlignment="1">
      <alignment horizontal="center"/>
    </xf>
    <xf numFmtId="165" fontId="1" fillId="4" borderId="43" xfId="0" applyNumberFormat="1" applyFont="1" applyFill="1" applyBorder="1" applyAlignment="1">
      <alignment horizontal="center"/>
    </xf>
    <xf numFmtId="1" fontId="2" fillId="4" borderId="0" xfId="0" applyNumberFormat="1" applyFont="1" applyFill="1" applyAlignment="1">
      <alignment horizontal="center"/>
    </xf>
    <xf numFmtId="0" fontId="2" fillId="4" borderId="49" xfId="0" applyFont="1" applyFill="1" applyBorder="1" applyAlignment="1">
      <alignment horizontal="left"/>
    </xf>
    <xf numFmtId="0" fontId="1" fillId="74" borderId="12" xfId="0" applyFont="1" applyFill="1" applyBorder="1" applyAlignment="1">
      <alignment horizontal="center"/>
    </xf>
    <xf numFmtId="164" fontId="7" fillId="4" borderId="14" xfId="3" applyFont="1" applyFill="1" applyBorder="1" applyAlignment="1">
      <alignment horizontal="center"/>
    </xf>
    <xf numFmtId="164" fontId="7" fillId="4" borderId="17" xfId="3" applyFont="1" applyFill="1" applyBorder="1" applyAlignment="1">
      <alignment horizontal="center"/>
    </xf>
    <xf numFmtId="164" fontId="7" fillId="4" borderId="15" xfId="3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1" fillId="4" borderId="50" xfId="0" applyFont="1" applyFill="1" applyBorder="1" applyAlignment="1">
      <alignment horizontal="center"/>
    </xf>
    <xf numFmtId="166" fontId="2" fillId="5" borderId="13" xfId="0" applyNumberFormat="1" applyFont="1" applyFill="1" applyBorder="1" applyAlignment="1">
      <alignment horizontal="center"/>
    </xf>
    <xf numFmtId="167" fontId="1" fillId="4" borderId="14" xfId="0" applyNumberFormat="1" applyFont="1" applyFill="1" applyBorder="1" applyAlignment="1">
      <alignment horizontal="center"/>
    </xf>
    <xf numFmtId="2" fontId="2" fillId="5" borderId="15" xfId="0" applyNumberFormat="1" applyFont="1" applyFill="1" applyBorder="1" applyAlignment="1">
      <alignment horizontal="center"/>
    </xf>
    <xf numFmtId="166" fontId="2" fillId="5" borderId="15" xfId="0" applyNumberFormat="1" applyFont="1" applyFill="1" applyBorder="1" applyAlignment="1">
      <alignment horizontal="center"/>
    </xf>
    <xf numFmtId="0" fontId="86" fillId="74" borderId="12" xfId="31505" applyFont="1" applyFill="1" applyBorder="1" applyAlignment="1">
      <alignment horizontal="center"/>
    </xf>
    <xf numFmtId="0" fontId="86" fillId="74" borderId="14" xfId="31505" applyFont="1" applyFill="1" applyBorder="1" applyAlignment="1">
      <alignment horizontal="center"/>
    </xf>
    <xf numFmtId="1" fontId="2" fillId="4" borderId="12" xfId="0" applyNumberFormat="1" applyFont="1" applyFill="1" applyBorder="1" applyAlignment="1">
      <alignment horizontal="center"/>
    </xf>
    <xf numFmtId="1" fontId="2" fillId="4" borderId="13" xfId="0" applyNumberFormat="1" applyFont="1" applyFill="1" applyBorder="1" applyAlignment="1">
      <alignment horizontal="center"/>
    </xf>
    <xf numFmtId="3" fontId="2" fillId="4" borderId="50" xfId="0" applyNumberFormat="1" applyFont="1" applyFill="1" applyBorder="1" applyAlignment="1">
      <alignment horizontal="center"/>
    </xf>
    <xf numFmtId="164" fontId="1" fillId="4" borderId="0" xfId="3" applyFont="1" applyFill="1" applyBorder="1" applyAlignment="1">
      <alignment horizontal="center"/>
    </xf>
    <xf numFmtId="167" fontId="20" fillId="4" borderId="6" xfId="0" applyNumberFormat="1" applyFont="1" applyFill="1" applyBorder="1" applyAlignment="1">
      <alignment horizontal="center"/>
    </xf>
    <xf numFmtId="167" fontId="8" fillId="4" borderId="6" xfId="0" applyNumberFormat="1" applyFont="1" applyFill="1" applyBorder="1" applyAlignment="1">
      <alignment horizontal="center"/>
    </xf>
    <xf numFmtId="167" fontId="20" fillId="4" borderId="17" xfId="0" applyNumberFormat="1" applyFont="1" applyFill="1" applyBorder="1" applyAlignment="1">
      <alignment horizontal="center"/>
    </xf>
    <xf numFmtId="167" fontId="8" fillId="4" borderId="17" xfId="0" applyNumberFormat="1" applyFont="1" applyFill="1" applyBorder="1" applyAlignment="1">
      <alignment horizontal="center"/>
    </xf>
    <xf numFmtId="0" fontId="86" fillId="4" borderId="0" xfId="31505" applyFont="1" applyFill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17" xfId="0" applyFont="1" applyFill="1" applyBorder="1" applyAlignment="1">
      <alignment horizontal="center"/>
    </xf>
    <xf numFmtId="167" fontId="2" fillId="75" borderId="0" xfId="0" applyNumberFormat="1" applyFont="1" applyFill="1" applyAlignment="1">
      <alignment horizontal="center"/>
    </xf>
    <xf numFmtId="167" fontId="2" fillId="75" borderId="17" xfId="0" applyNumberFormat="1" applyFont="1" applyFill="1" applyBorder="1" applyAlignment="1">
      <alignment horizontal="center"/>
    </xf>
    <xf numFmtId="165" fontId="2" fillId="75" borderId="0" xfId="0" applyNumberFormat="1" applyFont="1" applyFill="1" applyAlignment="1">
      <alignment horizontal="center"/>
    </xf>
    <xf numFmtId="165" fontId="2" fillId="75" borderId="17" xfId="0" applyNumberFormat="1" applyFont="1" applyFill="1" applyBorder="1" applyAlignment="1">
      <alignment horizontal="center"/>
    </xf>
    <xf numFmtId="2" fontId="2" fillId="75" borderId="13" xfId="0" applyNumberFormat="1" applyFont="1" applyFill="1" applyBorder="1" applyAlignment="1">
      <alignment horizontal="center"/>
    </xf>
    <xf numFmtId="2" fontId="2" fillId="75" borderId="15" xfId="0" applyNumberFormat="1" applyFont="1" applyFill="1" applyBorder="1" applyAlignment="1">
      <alignment horizontal="center"/>
    </xf>
    <xf numFmtId="167" fontId="85" fillId="4" borderId="12" xfId="0" applyNumberFormat="1" applyFont="1" applyFill="1" applyBorder="1" applyAlignment="1">
      <alignment horizontal="center"/>
    </xf>
    <xf numFmtId="167" fontId="85" fillId="4" borderId="14" xfId="0" applyNumberFormat="1" applyFont="1" applyFill="1" applyBorder="1" applyAlignment="1">
      <alignment horizontal="center"/>
    </xf>
    <xf numFmtId="0" fontId="2" fillId="75" borderId="0" xfId="0" applyFont="1" applyFill="1" applyAlignment="1">
      <alignment horizontal="center"/>
    </xf>
    <xf numFmtId="1" fontId="2" fillId="75" borderId="13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3" xfId="0" applyBorder="1" applyAlignment="1">
      <alignment horizontal="center"/>
    </xf>
    <xf numFmtId="165" fontId="2" fillId="4" borderId="0" xfId="0" applyNumberFormat="1" applyFont="1" applyFill="1" applyAlignment="1">
      <alignment horizontal="center"/>
    </xf>
    <xf numFmtId="0" fontId="0" fillId="0" borderId="4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5" xfId="0" applyBorder="1" applyAlignment="1">
      <alignment horizontal="center"/>
    </xf>
    <xf numFmtId="0" fontId="1" fillId="4" borderId="51" xfId="0" applyFont="1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4" xfId="0" applyBorder="1" applyAlignment="1">
      <alignment horizontal="center"/>
    </xf>
    <xf numFmtId="1" fontId="2" fillId="74" borderId="0" xfId="0" applyNumberFormat="1" applyFont="1" applyFill="1" applyAlignment="1">
      <alignment horizontal="center"/>
    </xf>
    <xf numFmtId="1" fontId="2" fillId="6" borderId="13" xfId="0" applyNumberFormat="1" applyFont="1" applyFill="1" applyBorder="1" applyAlignment="1">
      <alignment horizontal="center"/>
    </xf>
    <xf numFmtId="1" fontId="2" fillId="4" borderId="14" xfId="0" applyNumberFormat="1" applyFont="1" applyFill="1" applyBorder="1" applyAlignment="1">
      <alignment horizontal="center"/>
    </xf>
    <xf numFmtId="1" fontId="2" fillId="74" borderId="17" xfId="0" applyNumberFormat="1" applyFont="1" applyFill="1" applyBorder="1" applyAlignment="1">
      <alignment horizontal="center"/>
    </xf>
    <xf numFmtId="1" fontId="2" fillId="6" borderId="15" xfId="0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4" xfId="0" applyBorder="1" applyAlignment="1">
      <alignment horizontal="center"/>
    </xf>
    <xf numFmtId="171" fontId="18" fillId="73" borderId="50" xfId="0" applyNumberFormat="1" applyFont="1" applyFill="1" applyBorder="1" applyAlignment="1">
      <alignment horizontal="center"/>
    </xf>
    <xf numFmtId="1" fontId="2" fillId="4" borderId="17" xfId="0" applyNumberFormat="1" applyFont="1" applyFill="1" applyBorder="1" applyAlignment="1">
      <alignment horizontal="center"/>
    </xf>
    <xf numFmtId="1" fontId="2" fillId="4" borderId="15" xfId="0" applyNumberFormat="1" applyFont="1" applyFill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44" xfId="0" applyNumberFormat="1" applyBorder="1" applyAlignment="1">
      <alignment horizontal="center"/>
    </xf>
    <xf numFmtId="2" fontId="87" fillId="4" borderId="0" xfId="0" applyNumberFormat="1" applyFont="1" applyFill="1" applyAlignment="1">
      <alignment horizontal="center"/>
    </xf>
    <xf numFmtId="1" fontId="2" fillId="4" borderId="49" xfId="0" applyNumberFormat="1" applyFont="1" applyFill="1" applyBorder="1" applyAlignment="1">
      <alignment horizontal="left"/>
    </xf>
    <xf numFmtId="3" fontId="2" fillId="4" borderId="50" xfId="0" applyNumberFormat="1" applyFont="1" applyFill="1" applyBorder="1"/>
    <xf numFmtId="1" fontId="2" fillId="4" borderId="50" xfId="0" applyNumberFormat="1" applyFont="1" applyFill="1" applyBorder="1" applyAlignment="1">
      <alignment horizontal="left"/>
    </xf>
    <xf numFmtId="1" fontId="2" fillId="4" borderId="0" xfId="0" applyNumberFormat="1" applyFont="1" applyFill="1" applyAlignment="1">
      <alignment horizontal="left"/>
    </xf>
    <xf numFmtId="2" fontId="2" fillId="74" borderId="0" xfId="0" applyNumberFormat="1" applyFont="1" applyFill="1" applyAlignment="1">
      <alignment horizontal="center"/>
    </xf>
    <xf numFmtId="0" fontId="88" fillId="74" borderId="0" xfId="31505" applyFont="1" applyFill="1" applyAlignment="1">
      <alignment horizontal="center"/>
    </xf>
    <xf numFmtId="0" fontId="88" fillId="74" borderId="17" xfId="31505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0" fontId="1" fillId="7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2" fontId="2" fillId="4" borderId="0" xfId="0" applyNumberFormat="1" applyFont="1" applyFill="1" applyAlignment="1">
      <alignment horizontal="center"/>
    </xf>
    <xf numFmtId="167" fontId="20" fillId="4" borderId="0" xfId="0" applyNumberFormat="1" applyFont="1" applyFill="1" applyAlignment="1">
      <alignment horizontal="center"/>
    </xf>
    <xf numFmtId="167" fontId="8" fillId="4" borderId="0" xfId="0" applyNumberFormat="1" applyFont="1" applyFill="1" applyAlignment="1">
      <alignment horizontal="center"/>
    </xf>
    <xf numFmtId="171" fontId="1" fillId="4" borderId="0" xfId="0" applyNumberFormat="1" applyFont="1" applyFill="1" applyAlignment="1">
      <alignment horizontal="center"/>
    </xf>
    <xf numFmtId="1" fontId="20" fillId="4" borderId="0" xfId="0" applyNumberFormat="1" applyFont="1" applyFill="1" applyAlignment="1">
      <alignment horizontal="center"/>
    </xf>
    <xf numFmtId="3" fontId="1" fillId="4" borderId="13" xfId="0" applyNumberFormat="1" applyFont="1" applyFill="1" applyBorder="1" applyAlignment="1">
      <alignment horizontal="center"/>
    </xf>
    <xf numFmtId="3" fontId="1" fillId="4" borderId="15" xfId="0" applyNumberFormat="1" applyFont="1" applyFill="1" applyBorder="1" applyAlignment="1">
      <alignment horizontal="center"/>
    </xf>
    <xf numFmtId="1" fontId="8" fillId="4" borderId="17" xfId="0" applyNumberFormat="1" applyFont="1" applyFill="1" applyBorder="1" applyAlignment="1">
      <alignment horizontal="center"/>
    </xf>
    <xf numFmtId="1" fontId="2" fillId="75" borderId="0" xfId="0" applyNumberFormat="1" applyFont="1" applyFill="1" applyAlignment="1">
      <alignment horizontal="center"/>
    </xf>
    <xf numFmtId="1" fontId="2" fillId="75" borderId="50" xfId="0" applyNumberFormat="1" applyFont="1" applyFill="1" applyBorder="1" applyAlignment="1">
      <alignment horizontal="center"/>
    </xf>
    <xf numFmtId="1" fontId="2" fillId="6" borderId="0" xfId="0" applyNumberFormat="1" applyFont="1" applyFill="1" applyAlignment="1">
      <alignment horizontal="center"/>
    </xf>
    <xf numFmtId="1" fontId="2" fillId="6" borderId="17" xfId="0" applyNumberFormat="1" applyFont="1" applyFill="1" applyBorder="1" applyAlignment="1">
      <alignment horizontal="center"/>
    </xf>
    <xf numFmtId="165" fontId="2" fillId="74" borderId="0" xfId="0" applyNumberFormat="1" applyFont="1" applyFill="1" applyAlignment="1">
      <alignment horizontal="center"/>
    </xf>
    <xf numFmtId="165" fontId="2" fillId="4" borderId="17" xfId="0" applyNumberFormat="1" applyFont="1" applyFill="1" applyBorder="1" applyAlignment="1">
      <alignment horizontal="center"/>
    </xf>
    <xf numFmtId="165" fontId="7" fillId="4" borderId="17" xfId="0" applyNumberFormat="1" applyFont="1" applyFill="1" applyBorder="1" applyAlignment="1">
      <alignment horizontal="center"/>
    </xf>
    <xf numFmtId="1" fontId="2" fillId="4" borderId="52" xfId="0" applyNumberFormat="1" applyFont="1" applyFill="1" applyBorder="1" applyAlignment="1">
      <alignment horizontal="left"/>
    </xf>
    <xf numFmtId="1" fontId="2" fillId="4" borderId="53" xfId="0" applyNumberFormat="1" applyFont="1" applyFill="1" applyBorder="1" applyAlignment="1">
      <alignment horizontal="center"/>
    </xf>
    <xf numFmtId="1" fontId="2" fillId="4" borderId="54" xfId="0" applyNumberFormat="1" applyFont="1" applyFill="1" applyBorder="1" applyAlignment="1">
      <alignment horizontal="center"/>
    </xf>
    <xf numFmtId="1" fontId="2" fillId="4" borderId="55" xfId="0" applyNumberFormat="1" applyFont="1" applyFill="1" applyBorder="1" applyAlignment="1">
      <alignment horizontal="center"/>
    </xf>
    <xf numFmtId="1" fontId="2" fillId="4" borderId="56" xfId="0" applyNumberFormat="1" applyFont="1" applyFill="1" applyBorder="1" applyAlignment="1">
      <alignment horizontal="center"/>
    </xf>
    <xf numFmtId="1" fontId="2" fillId="4" borderId="57" xfId="0" applyNumberFormat="1" applyFont="1" applyFill="1" applyBorder="1" applyAlignment="1">
      <alignment horizontal="center"/>
    </xf>
    <xf numFmtId="1" fontId="2" fillId="4" borderId="58" xfId="0" applyNumberFormat="1" applyFont="1" applyFill="1" applyBorder="1" applyAlignment="1">
      <alignment horizontal="center"/>
    </xf>
    <xf numFmtId="1" fontId="2" fillId="4" borderId="59" xfId="0" applyNumberFormat="1" applyFont="1" applyFill="1" applyBorder="1" applyAlignment="1">
      <alignment horizontal="center"/>
    </xf>
    <xf numFmtId="2" fontId="7" fillId="75" borderId="0" xfId="0" applyNumberFormat="1" applyFont="1" applyFill="1" applyAlignment="1">
      <alignment horizontal="center"/>
    </xf>
    <xf numFmtId="2" fontId="7" fillId="75" borderId="17" xfId="0" applyNumberFormat="1" applyFont="1" applyFill="1" applyBorder="1" applyAlignment="1">
      <alignment horizontal="center"/>
    </xf>
    <xf numFmtId="0" fontId="2" fillId="4" borderId="12" xfId="0" applyFont="1" applyFill="1" applyBorder="1" applyAlignment="1">
      <alignment horizontal="left"/>
    </xf>
    <xf numFmtId="165" fontId="18" fillId="73" borderId="0" xfId="0" applyNumberFormat="1" applyFont="1" applyFill="1" applyAlignment="1">
      <alignment horizontal="center"/>
    </xf>
    <xf numFmtId="2" fontId="2" fillId="75" borderId="0" xfId="0" applyNumberFormat="1" applyFont="1" applyFill="1" applyAlignment="1">
      <alignment horizontal="center"/>
    </xf>
    <xf numFmtId="2" fontId="2" fillId="75" borderId="17" xfId="0" applyNumberFormat="1" applyFont="1" applyFill="1" applyBorder="1" applyAlignment="1">
      <alignment horizontal="center"/>
    </xf>
    <xf numFmtId="165" fontId="7" fillId="4" borderId="0" xfId="0" applyNumberFormat="1" applyFont="1" applyFill="1" applyAlignment="1">
      <alignment horizontal="center"/>
    </xf>
    <xf numFmtId="165" fontId="7" fillId="4" borderId="58" xfId="0" applyNumberFormat="1" applyFont="1" applyFill="1" applyBorder="1" applyAlignment="1">
      <alignment horizontal="center"/>
    </xf>
    <xf numFmtId="165" fontId="20" fillId="4" borderId="0" xfId="0" applyNumberFormat="1" applyFont="1" applyFill="1" applyAlignment="1">
      <alignment horizontal="center"/>
    </xf>
    <xf numFmtId="165" fontId="7" fillId="75" borderId="0" xfId="0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6" xfId="0" applyFill="1" applyBorder="1" applyAlignment="1">
      <alignment horizontal="center"/>
    </xf>
    <xf numFmtId="1" fontId="2" fillId="76" borderId="0" xfId="0" applyNumberFormat="1" applyFont="1" applyFill="1" applyAlignment="1">
      <alignment horizontal="center"/>
    </xf>
    <xf numFmtId="0" fontId="0" fillId="76" borderId="0" xfId="0" applyFill="1" applyAlignment="1">
      <alignment horizontal="center"/>
    </xf>
    <xf numFmtId="49" fontId="0" fillId="0" borderId="4" xfId="0" applyNumberFormat="1" applyBorder="1" applyAlignment="1">
      <alignment horizontal="center"/>
    </xf>
    <xf numFmtId="0" fontId="6" fillId="4" borderId="0" xfId="0" applyFont="1" applyFill="1" applyAlignment="1">
      <alignment horizontal="center"/>
    </xf>
    <xf numFmtId="164" fontId="89" fillId="4" borderId="17" xfId="3" applyFont="1" applyFill="1" applyBorder="1" applyAlignment="1">
      <alignment horizontal="center"/>
    </xf>
    <xf numFmtId="167" fontId="2" fillId="75" borderId="0" xfId="0" applyNumberFormat="1" applyFont="1" applyFill="1" applyAlignment="1">
      <alignment horizontal="center" wrapText="1"/>
    </xf>
    <xf numFmtId="0" fontId="2" fillId="8" borderId="11" xfId="0" applyFont="1" applyFill="1" applyBorder="1" applyAlignment="1">
      <alignment horizontal="center" vertical="center"/>
    </xf>
    <xf numFmtId="0" fontId="2" fillId="8" borderId="43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</cellXfs>
  <cellStyles count="62112">
    <cellStyle name="20% - Accent1 10" xfId="3396" xr:uid="{791C6719-4CCE-4B33-BF34-079AB7C178B1}"/>
    <cellStyle name="20% - Accent1 10 2" xfId="7128" xr:uid="{B4AD2A6D-D66D-4C52-BCED-C4C5BBF36191}"/>
    <cellStyle name="20% - Accent1 10 2 2" xfId="14836" xr:uid="{2E3D579D-52BF-4030-ACF0-EB83DE68E1FC}"/>
    <cellStyle name="20% - Accent1 10 2 2 2" xfId="30248" xr:uid="{BE9785A4-8531-41DB-A56C-F3A768A4B9AB}"/>
    <cellStyle name="20% - Accent1 10 2 2 2 2" xfId="31012" xr:uid="{B55FC4DE-1083-4F0F-B4B8-BF7605D431A5}"/>
    <cellStyle name="20% - Accent1 10 2 2 3" xfId="31011" xr:uid="{433393FA-87BE-4449-9B42-E6E25A870585}"/>
    <cellStyle name="20% - Accent1 10 2 3" xfId="22543" xr:uid="{E6248B98-4269-40A1-A54D-73F02ADD39A8}"/>
    <cellStyle name="20% - Accent1 10 2 3 2" xfId="31013" xr:uid="{48C4C462-E7FA-4DAC-8624-1EE5B4D79390}"/>
    <cellStyle name="20% - Accent1 10 2 4" xfId="31010" xr:uid="{5DB259F3-5830-45EF-88AF-E5C061005C0D}"/>
    <cellStyle name="20% - Accent1 10 3" xfId="11107" xr:uid="{ECBC3D59-3D67-43B0-8F3A-88A953255411}"/>
    <cellStyle name="20% - Accent1 10 3 2" xfId="26520" xr:uid="{A837336E-B19F-4708-9811-70A73983FB2E}"/>
    <cellStyle name="20% - Accent1 10 3 2 2" xfId="31015" xr:uid="{3471B85F-2B04-4746-984B-A4594644FDC3}"/>
    <cellStyle name="20% - Accent1 10 3 3" xfId="31014" xr:uid="{65E07BA7-CF2E-4E81-B33F-CA4679207014}"/>
    <cellStyle name="20% - Accent1 10 4" xfId="18815" xr:uid="{A4A60407-CF85-4F09-B09B-DE39321CCDDD}"/>
    <cellStyle name="20% - Accent1 10 4 2" xfId="31016" xr:uid="{2FC92AFF-A9E6-4A4F-9C37-D04817EAEE44}"/>
    <cellStyle name="20% - Accent1 10 5" xfId="31009" xr:uid="{80BAC328-D081-4994-B54B-BD8B23CE2F11}"/>
    <cellStyle name="20% - Accent1 11" xfId="3416" xr:uid="{2179B818-66C6-4C3F-BA27-11C40D832B4F}"/>
    <cellStyle name="20% - Accent1 11 2" xfId="7148" xr:uid="{35742101-F9EA-4182-B84D-4D681A03E962}"/>
    <cellStyle name="20% - Accent1 11 2 2" xfId="14856" xr:uid="{00732B6B-73D6-43FC-8412-2E015AD4EDFB}"/>
    <cellStyle name="20% - Accent1 11 2 2 2" xfId="30268" xr:uid="{23B49397-4897-4393-9570-CA51354F6231}"/>
    <cellStyle name="20% - Accent1 11 2 2 2 2" xfId="31020" xr:uid="{2951C41E-8D88-432C-AA3C-AAA8C364B37B}"/>
    <cellStyle name="20% - Accent1 11 2 2 3" xfId="31019" xr:uid="{99C54414-45A6-48AE-940B-8CDC9CDE4E75}"/>
    <cellStyle name="20% - Accent1 11 2 3" xfId="22563" xr:uid="{3EAD90D7-B7BE-4541-9011-E36FC13DBE61}"/>
    <cellStyle name="20% - Accent1 11 2 3 2" xfId="31021" xr:uid="{CF4168CB-E0F9-446A-AD8D-7BB1A3475FE2}"/>
    <cellStyle name="20% - Accent1 11 2 4" xfId="31018" xr:uid="{CEF6F148-916A-4C58-B468-AA29BFE7E67C}"/>
    <cellStyle name="20% - Accent1 11 3" xfId="11127" xr:uid="{364C0513-D619-4C34-8F2D-A11F09A06248}"/>
    <cellStyle name="20% - Accent1 11 3 2" xfId="26540" xr:uid="{95601CD0-6C0D-4927-9F64-6399F06A9775}"/>
    <cellStyle name="20% - Accent1 11 3 2 2" xfId="31023" xr:uid="{3A15BBFB-D4F3-4453-B41D-7A5EA96404D0}"/>
    <cellStyle name="20% - Accent1 11 3 3" xfId="31022" xr:uid="{D3604B24-B9F8-499C-8EAC-F95EC699A4A9}"/>
    <cellStyle name="20% - Accent1 11 4" xfId="18835" xr:uid="{DC3F0B61-7BB9-4AF3-A492-D82C09ABBB40}"/>
    <cellStyle name="20% - Accent1 11 4 2" xfId="31024" xr:uid="{DD6B540B-1E7D-4ECF-BEAF-1B33099FE8C6}"/>
    <cellStyle name="20% - Accent1 11 5" xfId="31017" xr:uid="{480A8951-CFA7-4DC8-B794-CEAFF5F9F5B5}"/>
    <cellStyle name="20% - Accent1 12" xfId="3436" xr:uid="{DB8D5E61-B7E4-4729-8153-B934B27CECC9}"/>
    <cellStyle name="20% - Accent1 12 2" xfId="7168" xr:uid="{6D614231-C6B0-4FFC-B043-6CA5EB3768B1}"/>
    <cellStyle name="20% - Accent1 12 2 2" xfId="14876" xr:uid="{27F50AC1-0519-425C-89E9-336C60BFF6BE}"/>
    <cellStyle name="20% - Accent1 12 2 2 2" xfId="30288" xr:uid="{DAF6BCAE-39C4-4BDE-B512-0A814DD27C1B}"/>
    <cellStyle name="20% - Accent1 12 2 2 2 2" xfId="31028" xr:uid="{5FE2076E-0FA9-42FD-B7CB-E2D969A091E2}"/>
    <cellStyle name="20% - Accent1 12 2 2 3" xfId="31027" xr:uid="{9F0DF7A6-199E-48F0-BE98-4678B2735F7B}"/>
    <cellStyle name="20% - Accent1 12 2 3" xfId="22583" xr:uid="{87C18481-F799-46DF-B844-D398CDF379A9}"/>
    <cellStyle name="20% - Accent1 12 2 3 2" xfId="31029" xr:uid="{58818FE9-F51C-4EAD-93CD-80C1F9F58EBB}"/>
    <cellStyle name="20% - Accent1 12 2 4" xfId="31026" xr:uid="{6314E993-93B5-4DC2-A5D6-F20B61F21725}"/>
    <cellStyle name="20% - Accent1 12 3" xfId="11147" xr:uid="{FE9B45C3-7613-428A-A54C-4356E62ED7A0}"/>
    <cellStyle name="20% - Accent1 12 3 2" xfId="26560" xr:uid="{02157EFE-0A89-4989-8E94-957D7102AAB9}"/>
    <cellStyle name="20% - Accent1 12 3 2 2" xfId="31031" xr:uid="{B21F4155-6D08-4EEE-9714-4A0BB83AC12B}"/>
    <cellStyle name="20% - Accent1 12 3 3" xfId="31030" xr:uid="{EB22F6E5-4C49-47E3-B97B-BCB58B92D38A}"/>
    <cellStyle name="20% - Accent1 12 4" xfId="18855" xr:uid="{EE330A82-1124-4678-B8D5-D9408DD8B108}"/>
    <cellStyle name="20% - Accent1 12 4 2" xfId="31032" xr:uid="{E702ACBD-E692-4E42-B652-2409921D0CF7}"/>
    <cellStyle name="20% - Accent1 12 5" xfId="31025" xr:uid="{8A913298-8027-452A-9A2C-060BD6DC1E16}"/>
    <cellStyle name="20% - Accent1 13" xfId="3456" xr:uid="{8CA6BD00-568D-4B6C-91EF-43568E096B69}"/>
    <cellStyle name="20% - Accent1 13 2" xfId="7188" xr:uid="{344948D5-03B7-424F-8925-EA8EFCC8D1C7}"/>
    <cellStyle name="20% - Accent1 13 2 2" xfId="14896" xr:uid="{5DCA3C15-064E-4135-B1D5-C6377D8C7DD6}"/>
    <cellStyle name="20% - Accent1 13 2 2 2" xfId="30308" xr:uid="{789A219D-25FE-460A-A639-4FF2740DF686}"/>
    <cellStyle name="20% - Accent1 13 2 2 2 2" xfId="31036" xr:uid="{230D46FF-5904-4380-8BB1-E3F1DB2B645C}"/>
    <cellStyle name="20% - Accent1 13 2 2 3" xfId="31035" xr:uid="{15B42E60-CE7B-4A6D-A937-DFDABF426C0F}"/>
    <cellStyle name="20% - Accent1 13 2 3" xfId="22603" xr:uid="{38233E65-2FB8-42EE-956C-B437477F43CD}"/>
    <cellStyle name="20% - Accent1 13 2 3 2" xfId="31037" xr:uid="{8E27487D-422D-441A-8DAD-290BDC71F06A}"/>
    <cellStyle name="20% - Accent1 13 2 4" xfId="31034" xr:uid="{6DAFB67B-8592-4DA0-824E-329BC1DFD598}"/>
    <cellStyle name="20% - Accent1 13 3" xfId="11167" xr:uid="{3B9AB32F-23AD-4E75-9F18-9A46E04D3441}"/>
    <cellStyle name="20% - Accent1 13 3 2" xfId="26580" xr:uid="{55CAFC40-E1C2-4F92-9AEA-DB2FF3625175}"/>
    <cellStyle name="20% - Accent1 13 3 2 2" xfId="31039" xr:uid="{3176C940-3E2B-4DDD-BF06-C986327ACEB8}"/>
    <cellStyle name="20% - Accent1 13 3 3" xfId="31038" xr:uid="{CE6111CF-BA9D-4B4F-B31C-608D50A698BB}"/>
    <cellStyle name="20% - Accent1 13 4" xfId="18875" xr:uid="{ACAA94BD-F1BD-4191-8278-4511A8928538}"/>
    <cellStyle name="20% - Accent1 13 4 2" xfId="31040" xr:uid="{98CEE91B-B16C-418C-86B8-59C1EA0B8859}"/>
    <cellStyle name="20% - Accent1 13 5" xfId="31033" xr:uid="{D24AC8D5-7094-4F7B-AD4B-6126B48C2B8A}"/>
    <cellStyle name="20% - Accent1 14" xfId="3476" xr:uid="{AA9F7AC9-1563-4C34-9101-14AA4A694CA3}"/>
    <cellStyle name="20% - Accent1 14 2" xfId="7208" xr:uid="{F400F334-5EC0-4913-809F-41BAEAB15584}"/>
    <cellStyle name="20% - Accent1 14 2 2" xfId="14916" xr:uid="{99F28437-AE72-4A19-9CA5-805B42D80862}"/>
    <cellStyle name="20% - Accent1 14 2 2 2" xfId="30328" xr:uid="{4368815E-9C53-459D-B3B4-0E044C2D2728}"/>
    <cellStyle name="20% - Accent1 14 2 2 2 2" xfId="31044" xr:uid="{D4CA5269-5F10-44A1-892B-BE5BF7DB0B4E}"/>
    <cellStyle name="20% - Accent1 14 2 2 3" xfId="31043" xr:uid="{FCC3AB48-EF26-4DF8-B749-BE9A74DD3CAC}"/>
    <cellStyle name="20% - Accent1 14 2 3" xfId="22623" xr:uid="{5C868F90-E8DE-48A1-B418-39F45C53EBC0}"/>
    <cellStyle name="20% - Accent1 14 2 3 2" xfId="31045" xr:uid="{BBB0DF8F-D912-48C7-8DFD-F2DFE690E224}"/>
    <cellStyle name="20% - Accent1 14 2 4" xfId="31042" xr:uid="{4C64E17B-B755-44CE-9D3C-35A8A3515ADE}"/>
    <cellStyle name="20% - Accent1 14 3" xfId="11187" xr:uid="{8F00622C-B855-44D6-84DD-1CD8D2C3E1ED}"/>
    <cellStyle name="20% - Accent1 14 3 2" xfId="26600" xr:uid="{8D45474D-E501-4318-B50A-354E2E2443B9}"/>
    <cellStyle name="20% - Accent1 14 3 2 2" xfId="31047" xr:uid="{AC10110A-2707-49D8-8567-DA1288674D47}"/>
    <cellStyle name="20% - Accent1 14 3 3" xfId="31046" xr:uid="{D90CDC65-5FC3-406D-9BC6-AE97533DF4CC}"/>
    <cellStyle name="20% - Accent1 14 4" xfId="18895" xr:uid="{8371C0F6-5D28-475B-B825-7F9BE28F9EB3}"/>
    <cellStyle name="20% - Accent1 14 4 2" xfId="31048" xr:uid="{71A67260-DE23-48AB-9E6D-3DF9F85CE5C6}"/>
    <cellStyle name="20% - Accent1 14 5" xfId="31041" xr:uid="{3207F5CA-4C3B-481D-B04A-C6080E981B47}"/>
    <cellStyle name="20% - Accent1 15" xfId="3496" xr:uid="{9AEBE18E-38F6-45BD-8025-DCDB21C3815B}"/>
    <cellStyle name="20% - Accent1 15 2" xfId="7228" xr:uid="{C639D546-C47F-4D07-BBE4-1E4640D0F542}"/>
    <cellStyle name="20% - Accent1 15 2 2" xfId="14936" xr:uid="{81AF3B2C-2C74-4484-A917-879D03A4FE9C}"/>
    <cellStyle name="20% - Accent1 15 2 2 2" xfId="30348" xr:uid="{909B354A-86D7-48D2-B944-4E3DF02EEA90}"/>
    <cellStyle name="20% - Accent1 15 2 2 2 2" xfId="31052" xr:uid="{D999B8A8-4891-48FF-A3AE-35EC092D9010}"/>
    <cellStyle name="20% - Accent1 15 2 2 3" xfId="31051" xr:uid="{D12B781A-B217-4D6D-A97D-49FAB973FEE5}"/>
    <cellStyle name="20% - Accent1 15 2 3" xfId="22643" xr:uid="{052D6DA4-63D6-465B-9A4A-EDDE269D4439}"/>
    <cellStyle name="20% - Accent1 15 2 3 2" xfId="31053" xr:uid="{4AFEA9EB-1EE5-473C-9D1D-6C1A92E2D3E2}"/>
    <cellStyle name="20% - Accent1 15 2 4" xfId="31050" xr:uid="{E3A0DD13-B050-4FAF-8C18-63B5F02F2866}"/>
    <cellStyle name="20% - Accent1 15 3" xfId="11207" xr:uid="{18DDC199-CCA4-4F87-9A60-E3CD6F0FEBCA}"/>
    <cellStyle name="20% - Accent1 15 3 2" xfId="26620" xr:uid="{EDF4EEF4-3614-4F22-A042-9C4ED4B70027}"/>
    <cellStyle name="20% - Accent1 15 3 2 2" xfId="31055" xr:uid="{6A51078A-E788-4C42-BC51-600A8C1213AE}"/>
    <cellStyle name="20% - Accent1 15 3 3" xfId="31054" xr:uid="{0D6219A6-D56C-48D8-BB60-98E369835B38}"/>
    <cellStyle name="20% - Accent1 15 4" xfId="18915" xr:uid="{BF0D8353-CAB3-469B-8369-CC2939F17C98}"/>
    <cellStyle name="20% - Accent1 15 4 2" xfId="31056" xr:uid="{2538BCF6-179B-40C4-8FA4-3670B0BD44B9}"/>
    <cellStyle name="20% - Accent1 15 5" xfId="31049" xr:uid="{DBB2EE78-0725-4443-AE03-CA753086E4F1}"/>
    <cellStyle name="20% - Accent1 16" xfId="3516" xr:uid="{DE922123-DEAA-45C9-B30A-F6AED91BFA6F}"/>
    <cellStyle name="20% - Accent1 16 2" xfId="7248" xr:uid="{7EBA6602-2CA7-4C83-93C5-7F7892202FE0}"/>
    <cellStyle name="20% - Accent1 16 2 2" xfId="14956" xr:uid="{BEFC4DC4-FFBE-4663-AEA1-43C98DF897E4}"/>
    <cellStyle name="20% - Accent1 16 2 2 2" xfId="30368" xr:uid="{B05AC6C7-FC0D-41B1-8898-4CC9750F5055}"/>
    <cellStyle name="20% - Accent1 16 2 2 2 2" xfId="31060" xr:uid="{BBBEF690-D314-48BA-940E-CDD3438B35CA}"/>
    <cellStyle name="20% - Accent1 16 2 2 3" xfId="31059" xr:uid="{07ED71F6-87C1-4D42-AB93-6374BB79088D}"/>
    <cellStyle name="20% - Accent1 16 2 3" xfId="22663" xr:uid="{C01A0A7F-8458-4336-A026-1F631366A188}"/>
    <cellStyle name="20% - Accent1 16 2 3 2" xfId="31061" xr:uid="{7EFFA460-5BAE-4C36-BBCC-E8CFC280B929}"/>
    <cellStyle name="20% - Accent1 16 2 4" xfId="31058" xr:uid="{FE2F9E42-439A-438C-99C6-D3A98A85156C}"/>
    <cellStyle name="20% - Accent1 16 3" xfId="11227" xr:uid="{544C7D6C-8EB9-46C0-BACD-05A175DBC60B}"/>
    <cellStyle name="20% - Accent1 16 3 2" xfId="26640" xr:uid="{CF07825B-8C6E-4828-909A-2BF5E423FCFA}"/>
    <cellStyle name="20% - Accent1 16 3 2 2" xfId="31063" xr:uid="{52B6A130-EF58-474B-A6D4-6236493C69AE}"/>
    <cellStyle name="20% - Accent1 16 3 3" xfId="31062" xr:uid="{554ABB85-1E9C-4F3E-9562-2E68D772BA80}"/>
    <cellStyle name="20% - Accent1 16 4" xfId="18935" xr:uid="{39D2F906-81B8-4FB8-91E5-935633452BE4}"/>
    <cellStyle name="20% - Accent1 16 4 2" xfId="31064" xr:uid="{312FC5D5-389D-4FF4-883C-E2E20B49DA4A}"/>
    <cellStyle name="20% - Accent1 16 5" xfId="31057" xr:uid="{609182BF-A564-4AC3-BFD3-979B3FD07B10}"/>
    <cellStyle name="20% - Accent1 17" xfId="3536" xr:uid="{A1272588-DF07-4606-9492-D3942301A608}"/>
    <cellStyle name="20% - Accent1 17 2" xfId="7268" xr:uid="{40F0F9CF-A621-47B2-BB63-8396C49D8123}"/>
    <cellStyle name="20% - Accent1 17 2 2" xfId="14976" xr:uid="{394183AC-211C-4A55-A98E-C41F8ED8682A}"/>
    <cellStyle name="20% - Accent1 17 2 2 2" xfId="30388" xr:uid="{0A8C6C6F-BA1E-40B2-B4AF-1A80B654D3D8}"/>
    <cellStyle name="20% - Accent1 17 2 2 2 2" xfId="31068" xr:uid="{09BD5EF1-81A9-481D-AA9D-D28641203A71}"/>
    <cellStyle name="20% - Accent1 17 2 2 3" xfId="31067" xr:uid="{47CA6D72-DD3F-4B79-8731-4353D0819995}"/>
    <cellStyle name="20% - Accent1 17 2 3" xfId="22683" xr:uid="{3A1A1C00-3B96-4F02-B61B-EB54B8347434}"/>
    <cellStyle name="20% - Accent1 17 2 3 2" xfId="31069" xr:uid="{28D6E220-457A-4C31-BE1C-470B0F123887}"/>
    <cellStyle name="20% - Accent1 17 2 4" xfId="31066" xr:uid="{9710F5F3-30B1-45F1-9B7D-F4DDC3C58B50}"/>
    <cellStyle name="20% - Accent1 17 3" xfId="11247" xr:uid="{B9D711A8-4037-4BB0-9C5D-BA5DD6DB3DB0}"/>
    <cellStyle name="20% - Accent1 17 3 2" xfId="26660" xr:uid="{EF24EE26-FB1B-4749-91DD-9416BB4F66AB}"/>
    <cellStyle name="20% - Accent1 17 3 2 2" xfId="31071" xr:uid="{5CE8FDAE-996F-4D0F-BD4B-8653E642E451}"/>
    <cellStyle name="20% - Accent1 17 3 3" xfId="31070" xr:uid="{2FE3A48C-6AF3-4385-B98A-78D59FE776BF}"/>
    <cellStyle name="20% - Accent1 17 4" xfId="18955" xr:uid="{D81D6679-F427-4827-8577-639D914959D7}"/>
    <cellStyle name="20% - Accent1 17 4 2" xfId="31072" xr:uid="{6D7FE7D3-06E3-4323-8662-9C1B9A8EDD9B}"/>
    <cellStyle name="20% - Accent1 17 5" xfId="31065" xr:uid="{3EB4141D-AACD-486D-AED9-E69FF7967AFE}"/>
    <cellStyle name="20% - Accent1 18" xfId="3556" xr:uid="{79AB7986-C58D-4D0E-94F4-8E7AEAD90E70}"/>
    <cellStyle name="20% - Accent1 18 2" xfId="7288" xr:uid="{DD4FE8BC-94F7-4A3A-8572-A2B7BE4E31E6}"/>
    <cellStyle name="20% - Accent1 18 2 2" xfId="14996" xr:uid="{2341D9B5-09BB-41D4-AD1A-255E19286B0C}"/>
    <cellStyle name="20% - Accent1 18 2 2 2" xfId="30408" xr:uid="{349816E7-1D4F-4ED1-A9B7-B1F8F523C91F}"/>
    <cellStyle name="20% - Accent1 18 2 2 2 2" xfId="31076" xr:uid="{22A68A11-CD49-405E-96AA-E8AFF3DD7724}"/>
    <cellStyle name="20% - Accent1 18 2 2 3" xfId="31075" xr:uid="{91BF9CC5-BA50-4369-ACA9-5CEB90D65FA2}"/>
    <cellStyle name="20% - Accent1 18 2 3" xfId="22703" xr:uid="{C97E39CA-FC06-4774-9E9C-917A43E4D213}"/>
    <cellStyle name="20% - Accent1 18 2 3 2" xfId="31077" xr:uid="{AA6186BD-FE5F-4579-8DB5-17FF2FD81242}"/>
    <cellStyle name="20% - Accent1 18 2 4" xfId="31074" xr:uid="{BAD8D1A5-D179-46D6-9CE6-278B2BE81475}"/>
    <cellStyle name="20% - Accent1 18 3" xfId="11267" xr:uid="{D0174259-E1B4-4139-AA9E-6D182C8638C9}"/>
    <cellStyle name="20% - Accent1 18 3 2" xfId="26680" xr:uid="{166E21D6-751D-41F6-B500-2344374D2B9D}"/>
    <cellStyle name="20% - Accent1 18 3 2 2" xfId="31079" xr:uid="{E6D1FF83-1B59-497A-BFEB-D2495CCBA55B}"/>
    <cellStyle name="20% - Accent1 18 3 3" xfId="31078" xr:uid="{6C5DA42E-55CF-4673-B345-4292DB46803B}"/>
    <cellStyle name="20% - Accent1 18 4" xfId="18975" xr:uid="{FA73153D-1E13-44C6-98C5-074201E7F5FB}"/>
    <cellStyle name="20% - Accent1 18 4 2" xfId="31080" xr:uid="{45CAE14F-11B0-48EA-89A4-4F7B01045C61}"/>
    <cellStyle name="20% - Accent1 18 5" xfId="31073" xr:uid="{7D8E300D-E962-4018-9464-BB134A1A36B3}"/>
    <cellStyle name="20% - Accent1 19" xfId="3577" xr:uid="{C0C2F0C7-089B-4715-A035-4E6195DB17D1}"/>
    <cellStyle name="20% - Accent1 19 2" xfId="7308" xr:uid="{1B93EA13-8A2E-46D7-881C-4A69CD6D8248}"/>
    <cellStyle name="20% - Accent1 19 2 2" xfId="15016" xr:uid="{34ABC52F-06D4-47A0-BB34-85959835F2CB}"/>
    <cellStyle name="20% - Accent1 19 2 2 2" xfId="30428" xr:uid="{061C16F7-EAB4-4F4A-8597-341162E7374B}"/>
    <cellStyle name="20% - Accent1 19 2 2 2 2" xfId="31084" xr:uid="{2C9A6114-A161-400F-A95E-3F1E706AE753}"/>
    <cellStyle name="20% - Accent1 19 2 2 3" xfId="31083" xr:uid="{CC61953C-9AA4-455B-BCE6-7426C16BF3FD}"/>
    <cellStyle name="20% - Accent1 19 2 3" xfId="22723" xr:uid="{B5A6C136-A5BB-41BC-BFD4-8FAF528F615F}"/>
    <cellStyle name="20% - Accent1 19 2 3 2" xfId="31085" xr:uid="{A35E94C1-067E-4C08-9F96-ED3D94B039A9}"/>
    <cellStyle name="20% - Accent1 19 2 4" xfId="31082" xr:uid="{91E8C9E6-A335-4421-A0D1-2FF0CD17DA39}"/>
    <cellStyle name="20% - Accent1 19 3" xfId="11287" xr:uid="{8097797F-C325-4406-8BFA-9F6C389BE39D}"/>
    <cellStyle name="20% - Accent1 19 3 2" xfId="26700" xr:uid="{1E26892D-2337-4EF0-BD63-2113065EA561}"/>
    <cellStyle name="20% - Accent1 19 3 2 2" xfId="31087" xr:uid="{8AF99530-FE90-4742-A224-E84FF006D912}"/>
    <cellStyle name="20% - Accent1 19 3 3" xfId="31086" xr:uid="{5D2D5332-BB04-4489-A673-0CA17BD36F22}"/>
    <cellStyle name="20% - Accent1 19 4" xfId="18995" xr:uid="{884C7F3E-2070-4D14-A3FD-727DDB902426}"/>
    <cellStyle name="20% - Accent1 19 4 2" xfId="31088" xr:uid="{733CF2B1-420E-4DFB-80D2-F37701C94A62}"/>
    <cellStyle name="20% - Accent1 19 5" xfId="31081" xr:uid="{F1C9DE62-136B-4A15-AC1D-36C748B00286}"/>
    <cellStyle name="20% - Accent1 2" xfId="75" xr:uid="{C2D075C6-11F0-4F4A-B00F-EC289BB6D368}"/>
    <cellStyle name="20% - Accent1 2 10" xfId="31089" xr:uid="{DAFA96A3-4462-4A68-B577-6C302E9F9AB4}"/>
    <cellStyle name="20% - Accent1 2 2" xfId="139" xr:uid="{75E089DB-1C2E-4C9A-BBA5-C9AE44E1B6F2}"/>
    <cellStyle name="20% - Accent1 2 2 2" xfId="202" xr:uid="{A464B523-C38C-496A-A136-B408AF29AF2F}"/>
    <cellStyle name="20% - Accent1 2 2 2 2" xfId="407" xr:uid="{662F62BC-DB23-4FB8-B48E-ED498180C915}"/>
    <cellStyle name="20% - Accent1 2 2 2 2 2" xfId="1069" xr:uid="{F692C439-61EC-4DDA-897C-6087C7EE0B83}"/>
    <cellStyle name="20% - Accent1 2 2 2 2 2 2" xfId="2537" xr:uid="{82FCCB7B-E42F-4912-916F-0E8C1C9388D6}"/>
    <cellStyle name="20% - Accent1 2 2 2 2 2 2 2" xfId="6269" xr:uid="{B2465F90-62D8-45A7-B537-F643C6AF0F29}"/>
    <cellStyle name="20% - Accent1 2 2 2 2 2 2 2 2" xfId="13977" xr:uid="{CF000CF5-5B77-4D23-AB29-F2513EAC7B95}"/>
    <cellStyle name="20% - Accent1 2 2 2 2 2 2 2 2 2" xfId="29389" xr:uid="{3E4D8B68-701F-4312-B128-0DE322ECC28C}"/>
    <cellStyle name="20% - Accent1 2 2 2 2 2 2 2 2 2 2" xfId="31097" xr:uid="{BA8F37E4-6A21-485F-870C-BBB36245980F}"/>
    <cellStyle name="20% - Accent1 2 2 2 2 2 2 2 2 3" xfId="31096" xr:uid="{E59D9794-A7DE-4E4F-B7EE-AE14CD0466E7}"/>
    <cellStyle name="20% - Accent1 2 2 2 2 2 2 2 3" xfId="21684" xr:uid="{85DF90AA-36AA-4713-825B-4F64BBD23AAD}"/>
    <cellStyle name="20% - Accent1 2 2 2 2 2 2 2 3 2" xfId="31098" xr:uid="{628A3C74-E739-4203-9D2A-3C131C290650}"/>
    <cellStyle name="20% - Accent1 2 2 2 2 2 2 2 4" xfId="31095" xr:uid="{1A1920F0-0EA8-4999-AFC2-074A3331E41C}"/>
    <cellStyle name="20% - Accent1 2 2 2 2 2 2 3" xfId="10248" xr:uid="{304C88D5-F825-4409-9296-DDE8C7A877E8}"/>
    <cellStyle name="20% - Accent1 2 2 2 2 2 2 3 2" xfId="25661" xr:uid="{CC02815F-FF86-4FBB-A28C-CFE9FB69AD59}"/>
    <cellStyle name="20% - Accent1 2 2 2 2 2 2 3 2 2" xfId="31100" xr:uid="{CC87DDAD-9C67-4E7D-B51F-B35BB47EDA66}"/>
    <cellStyle name="20% - Accent1 2 2 2 2 2 2 3 3" xfId="31099" xr:uid="{D327A922-C579-4468-A00D-0B5E8F0F1E81}"/>
    <cellStyle name="20% - Accent1 2 2 2 2 2 2 4" xfId="17956" xr:uid="{60C922F6-A4CC-40AD-A636-B852FF7CDE2B}"/>
    <cellStyle name="20% - Accent1 2 2 2 2 2 2 4 2" xfId="31101" xr:uid="{8B1BD4F9-3175-42D1-843F-CFC2EC01D346}"/>
    <cellStyle name="20% - Accent1 2 2 2 2 2 2 5" xfId="31094" xr:uid="{751CB17B-0418-4DCE-85AF-7E53C84DDECE}"/>
    <cellStyle name="20% - Accent1 2 2 2 2 2 3" xfId="4806" xr:uid="{1DED766B-E390-409A-A9E7-B5BB23433567}"/>
    <cellStyle name="20% - Accent1 2 2 2 2 2 3 2" xfId="12514" xr:uid="{0283085F-6F70-4781-9679-6AFEA8016DCC}"/>
    <cellStyle name="20% - Accent1 2 2 2 2 2 3 2 2" xfId="27926" xr:uid="{F937B22B-CBD2-4E68-866A-86F9F7743588}"/>
    <cellStyle name="20% - Accent1 2 2 2 2 2 3 2 2 2" xfId="31104" xr:uid="{E174C7CE-73FF-4FA4-9841-50BA625AF233}"/>
    <cellStyle name="20% - Accent1 2 2 2 2 2 3 2 3" xfId="31103" xr:uid="{59A810A5-282B-40F5-BE2C-D7B6398AEECB}"/>
    <cellStyle name="20% - Accent1 2 2 2 2 2 3 3" xfId="20221" xr:uid="{DB15203C-DA79-4F3E-9C85-9F4F92309D7D}"/>
    <cellStyle name="20% - Accent1 2 2 2 2 2 3 3 2" xfId="31105" xr:uid="{986DA17A-C413-406F-BDB6-78A4E6B01693}"/>
    <cellStyle name="20% - Accent1 2 2 2 2 2 3 4" xfId="31102" xr:uid="{C3EE6F5F-23F7-4D20-954F-86C691EECFF7}"/>
    <cellStyle name="20% - Accent1 2 2 2 2 2 4" xfId="8789" xr:uid="{CB5BE5DE-2CFC-483A-BD93-9EC2409D0AAC}"/>
    <cellStyle name="20% - Accent1 2 2 2 2 2 4 2" xfId="24202" xr:uid="{078B43D4-C386-46D8-B8C8-03F47BD7AC6E}"/>
    <cellStyle name="20% - Accent1 2 2 2 2 2 4 2 2" xfId="31107" xr:uid="{AF2F122C-BB5F-4439-9868-769F86BD33BA}"/>
    <cellStyle name="20% - Accent1 2 2 2 2 2 4 3" xfId="31106" xr:uid="{C2F6E180-D93D-4DC4-86BF-C568360E949C}"/>
    <cellStyle name="20% - Accent1 2 2 2 2 2 5" xfId="16497" xr:uid="{10B26C8F-36F6-4C39-9083-8547E5DD27F0}"/>
    <cellStyle name="20% - Accent1 2 2 2 2 2 5 2" xfId="31108" xr:uid="{93D63E32-A50A-44FA-9CA9-6617850337C4}"/>
    <cellStyle name="20% - Accent1 2 2 2 2 2 6" xfId="31093" xr:uid="{C199BDB5-FAF3-45A5-B9D1-86D7B2AAA501}"/>
    <cellStyle name="20% - Accent1 2 2 2 2 3" xfId="1899" xr:uid="{5CC60CAE-E68C-4CE6-907E-A9CDE6215F0C}"/>
    <cellStyle name="20% - Accent1 2 2 2 2 3 2" xfId="5631" xr:uid="{898371D3-2EC0-415A-BADC-2B74863F7DAD}"/>
    <cellStyle name="20% - Accent1 2 2 2 2 3 2 2" xfId="13339" xr:uid="{2540AEF3-A436-4592-BEA9-47968E30EC8A}"/>
    <cellStyle name="20% - Accent1 2 2 2 2 3 2 2 2" xfId="28751" xr:uid="{BDDB9FAB-E699-440F-A63B-94B44588F218}"/>
    <cellStyle name="20% - Accent1 2 2 2 2 3 2 2 2 2" xfId="31112" xr:uid="{B3F3C4C9-DF1C-452B-B247-E2BB7AE9BE68}"/>
    <cellStyle name="20% - Accent1 2 2 2 2 3 2 2 3" xfId="31111" xr:uid="{E16285E2-D87A-4A8F-8426-A40AA17592FF}"/>
    <cellStyle name="20% - Accent1 2 2 2 2 3 2 3" xfId="21046" xr:uid="{CBA90728-8417-4024-97FD-0D8F3B31632D}"/>
    <cellStyle name="20% - Accent1 2 2 2 2 3 2 3 2" xfId="31113" xr:uid="{D42DFD1F-EAA6-43C4-842B-B5AAA3669D2B}"/>
    <cellStyle name="20% - Accent1 2 2 2 2 3 2 4" xfId="31110" xr:uid="{832FEB9C-3D52-4C95-A6D3-40419EA5FE2F}"/>
    <cellStyle name="20% - Accent1 2 2 2 2 3 3" xfId="9610" xr:uid="{4A1C7488-AD71-41B6-807B-1772F02F738E}"/>
    <cellStyle name="20% - Accent1 2 2 2 2 3 3 2" xfId="25023" xr:uid="{A70B9EE5-92FC-4342-8B94-575A5F18ABDF}"/>
    <cellStyle name="20% - Accent1 2 2 2 2 3 3 2 2" xfId="31115" xr:uid="{366CC030-CA1B-46F3-A1BF-E06753B5026A}"/>
    <cellStyle name="20% - Accent1 2 2 2 2 3 3 3" xfId="31114" xr:uid="{F10F9753-9759-4878-8150-C25AD4976725}"/>
    <cellStyle name="20% - Accent1 2 2 2 2 3 4" xfId="17318" xr:uid="{400A3320-A6C8-4C45-A111-840773F00C2B}"/>
    <cellStyle name="20% - Accent1 2 2 2 2 3 4 2" xfId="31116" xr:uid="{97F3E8C7-CF64-4437-801E-88152378F09C}"/>
    <cellStyle name="20% - Accent1 2 2 2 2 3 5" xfId="31109" xr:uid="{0439E589-233A-4A7A-9173-A76F55669306}"/>
    <cellStyle name="20% - Accent1 2 2 2 2 4" xfId="4154" xr:uid="{0FF3AB3A-5BC2-4396-A816-9CBE69609BC4}"/>
    <cellStyle name="20% - Accent1 2 2 2 2 4 2" xfId="11862" xr:uid="{FF434556-F990-4955-AC3F-3B3E6671DEF1}"/>
    <cellStyle name="20% - Accent1 2 2 2 2 4 2 2" xfId="27274" xr:uid="{D93706D7-E6CD-4506-B72B-75BE8CF34AB0}"/>
    <cellStyle name="20% - Accent1 2 2 2 2 4 2 2 2" xfId="31119" xr:uid="{1378F2F0-5CE4-4B63-AACA-39A8A65B03D8}"/>
    <cellStyle name="20% - Accent1 2 2 2 2 4 2 3" xfId="31118" xr:uid="{7DDEB721-DE01-4FF2-AD89-9DC8166BED00}"/>
    <cellStyle name="20% - Accent1 2 2 2 2 4 3" xfId="19569" xr:uid="{D15C925D-E820-44C4-B7E6-0A09193611FF}"/>
    <cellStyle name="20% - Accent1 2 2 2 2 4 3 2" xfId="31120" xr:uid="{B37F8FE2-187D-4009-B189-0C29E3B9E35A}"/>
    <cellStyle name="20% - Accent1 2 2 2 2 4 4" xfId="31117" xr:uid="{D44E48C5-75B0-4B7F-B907-5AD7D27F06AE}"/>
    <cellStyle name="20% - Accent1 2 2 2 2 5" xfId="8151" xr:uid="{D2B9D122-E2F0-49A7-A938-1EA711A2F2F8}"/>
    <cellStyle name="20% - Accent1 2 2 2 2 5 2" xfId="23564" xr:uid="{23FA805F-F229-4B0C-AFCD-31DEC863C9D9}"/>
    <cellStyle name="20% - Accent1 2 2 2 2 5 2 2" xfId="31122" xr:uid="{34340E19-D509-49AC-95D3-BA1534CE0546}"/>
    <cellStyle name="20% - Accent1 2 2 2 2 5 3" xfId="31121" xr:uid="{7589B0F3-D466-40D4-9A69-24708B703148}"/>
    <cellStyle name="20% - Accent1 2 2 2 2 6" xfId="15859" xr:uid="{87F0597C-75D3-42D3-8F0D-EBB5756B5AA7}"/>
    <cellStyle name="20% - Accent1 2 2 2 2 6 2" xfId="31123" xr:uid="{CA97219D-8450-42AC-B619-60C1E07BD6AC}"/>
    <cellStyle name="20% - Accent1 2 2 2 2 7" xfId="31092" xr:uid="{16067FF0-BF72-4B77-A5FD-242F4D53019C}"/>
    <cellStyle name="20% - Accent1 2 2 2 3" xfId="868" xr:uid="{1F6C8176-38F9-4620-AE7F-13E9B9855E2E}"/>
    <cellStyle name="20% - Accent1 2 2 2 3 2" xfId="2339" xr:uid="{30A8170B-1041-4320-9DB2-8B637632769D}"/>
    <cellStyle name="20% - Accent1 2 2 2 3 2 2" xfId="6071" xr:uid="{44E1461D-4048-4391-B625-F705E0C25744}"/>
    <cellStyle name="20% - Accent1 2 2 2 3 2 2 2" xfId="13779" xr:uid="{885EAE91-8CC1-45D4-A87B-09A6B348A769}"/>
    <cellStyle name="20% - Accent1 2 2 2 3 2 2 2 2" xfId="29191" xr:uid="{96F8EE4C-FE77-48BA-AA9D-D9F9DE4CBD8A}"/>
    <cellStyle name="20% - Accent1 2 2 2 3 2 2 2 2 2" xfId="31128" xr:uid="{7B8D8EAB-783A-46FB-9C05-5B00566E1C3D}"/>
    <cellStyle name="20% - Accent1 2 2 2 3 2 2 2 3" xfId="31127" xr:uid="{6F4E9F55-8AFE-4BF5-ADA0-876CCBFDDB4D}"/>
    <cellStyle name="20% - Accent1 2 2 2 3 2 2 3" xfId="21486" xr:uid="{10706A94-E3F8-4FDA-BD07-B2B877B68467}"/>
    <cellStyle name="20% - Accent1 2 2 2 3 2 2 3 2" xfId="31129" xr:uid="{B1C900E2-7E13-42F2-AC9A-3FE5E073ED58}"/>
    <cellStyle name="20% - Accent1 2 2 2 3 2 2 4" xfId="31126" xr:uid="{6BC7F0BD-7071-4958-8362-773A3680C9D2}"/>
    <cellStyle name="20% - Accent1 2 2 2 3 2 3" xfId="10050" xr:uid="{DAB16D43-1455-4E5C-9357-34879327E1F9}"/>
    <cellStyle name="20% - Accent1 2 2 2 3 2 3 2" xfId="25463" xr:uid="{200D559D-8479-4748-99B0-3C64AB32D9D3}"/>
    <cellStyle name="20% - Accent1 2 2 2 3 2 3 2 2" xfId="31131" xr:uid="{1B25FD5E-25E7-4468-BA54-7D0CB55D4869}"/>
    <cellStyle name="20% - Accent1 2 2 2 3 2 3 3" xfId="31130" xr:uid="{B05B77A5-AE0B-4630-B588-532CB574574A}"/>
    <cellStyle name="20% - Accent1 2 2 2 3 2 4" xfId="17758" xr:uid="{C25410DC-C43A-40D8-B84B-5C6BEA2D2F4C}"/>
    <cellStyle name="20% - Accent1 2 2 2 3 2 4 2" xfId="31132" xr:uid="{D3CDF557-2AC2-4F67-81C1-44DA028E3396}"/>
    <cellStyle name="20% - Accent1 2 2 2 3 2 5" xfId="31125" xr:uid="{4031756D-1FB0-46E5-97A0-357A30E6815E}"/>
    <cellStyle name="20% - Accent1 2 2 2 3 3" xfId="4605" xr:uid="{4F1F76EF-DB21-4F28-925F-7FE3E5A2AD6E}"/>
    <cellStyle name="20% - Accent1 2 2 2 3 3 2" xfId="12313" xr:uid="{4D24D406-0596-4AC7-B826-96C05BC15AC0}"/>
    <cellStyle name="20% - Accent1 2 2 2 3 3 2 2" xfId="27725" xr:uid="{2F9DE840-A262-4D2E-A03C-3EEDA6EF0BE3}"/>
    <cellStyle name="20% - Accent1 2 2 2 3 3 2 2 2" xfId="31135" xr:uid="{ECA41220-920F-47D4-9065-C824E98E6F3A}"/>
    <cellStyle name="20% - Accent1 2 2 2 3 3 2 3" xfId="31134" xr:uid="{3D962B00-2E71-4062-8CEA-5BF3DEFE29AC}"/>
    <cellStyle name="20% - Accent1 2 2 2 3 3 3" xfId="20020" xr:uid="{36ACB40E-FB18-4BEC-AF02-BA533DA6A35E}"/>
    <cellStyle name="20% - Accent1 2 2 2 3 3 3 2" xfId="31136" xr:uid="{26DAD3BF-56F9-456E-A62E-9983DDE2FD27}"/>
    <cellStyle name="20% - Accent1 2 2 2 3 3 4" xfId="31133" xr:uid="{A5494545-93EC-4B45-862F-4CA1CA6BC019}"/>
    <cellStyle name="20% - Accent1 2 2 2 3 4" xfId="8591" xr:uid="{0D049DFB-1571-4548-A5B1-6AE42692221D}"/>
    <cellStyle name="20% - Accent1 2 2 2 3 4 2" xfId="24004" xr:uid="{94D9E12E-A0D0-482E-9376-4C5628D0FA75}"/>
    <cellStyle name="20% - Accent1 2 2 2 3 4 2 2" xfId="31138" xr:uid="{BD65CA14-D7D0-49C9-91DA-BAFE42C2AA84}"/>
    <cellStyle name="20% - Accent1 2 2 2 3 4 3" xfId="31137" xr:uid="{F51EBCBF-3609-496C-A3D0-91DBEC16F6D0}"/>
    <cellStyle name="20% - Accent1 2 2 2 3 5" xfId="16299" xr:uid="{B8EEEE00-5E6E-450D-BFBB-F8AEB6C7CD3A}"/>
    <cellStyle name="20% - Accent1 2 2 2 3 5 2" xfId="31139" xr:uid="{D7C9E175-A0B5-4F13-85F5-403D7715699B}"/>
    <cellStyle name="20% - Accent1 2 2 2 3 6" xfId="31124" xr:uid="{9E052802-A48C-405A-9F11-BACB07ADE0E1}"/>
    <cellStyle name="20% - Accent1 2 2 2 4" xfId="1701" xr:uid="{91D404BB-B4E3-468D-BAA2-CE9120290C3B}"/>
    <cellStyle name="20% - Accent1 2 2 2 4 2" xfId="5433" xr:uid="{4E3C8051-13D3-4E78-8B1A-44E1F988BD35}"/>
    <cellStyle name="20% - Accent1 2 2 2 4 2 2" xfId="13141" xr:uid="{77014765-0792-47F7-99B2-F931058E87F0}"/>
    <cellStyle name="20% - Accent1 2 2 2 4 2 2 2" xfId="28553" xr:uid="{59996224-32FB-4D30-B470-96615834FD67}"/>
    <cellStyle name="20% - Accent1 2 2 2 4 2 2 2 2" xfId="31143" xr:uid="{4F167CC3-EC5F-4C93-B27B-DEBBE7460806}"/>
    <cellStyle name="20% - Accent1 2 2 2 4 2 2 3" xfId="31142" xr:uid="{41B1B57C-B7A9-460B-A15D-7E666AACBC24}"/>
    <cellStyle name="20% - Accent1 2 2 2 4 2 3" xfId="20848" xr:uid="{FEC6F208-2C62-4823-995B-D2321100CB26}"/>
    <cellStyle name="20% - Accent1 2 2 2 4 2 3 2" xfId="31144" xr:uid="{C4EF443A-5F2F-48BD-9E41-1DC8A792F13E}"/>
    <cellStyle name="20% - Accent1 2 2 2 4 2 4" xfId="31141" xr:uid="{62485949-149F-4C5A-A035-F5E59A9B6BFB}"/>
    <cellStyle name="20% - Accent1 2 2 2 4 3" xfId="9412" xr:uid="{12277BE6-2F3A-4A25-A438-7D505DC38A4F}"/>
    <cellStyle name="20% - Accent1 2 2 2 4 3 2" xfId="24825" xr:uid="{0818E280-29F0-4EC3-A693-ECC387D7F0AA}"/>
    <cellStyle name="20% - Accent1 2 2 2 4 3 2 2" xfId="31146" xr:uid="{28805FB6-4EF4-468B-9ECB-370DA7FA1DCC}"/>
    <cellStyle name="20% - Accent1 2 2 2 4 3 3" xfId="31145" xr:uid="{FCC801D0-9E41-4E97-957E-52F25A83C879}"/>
    <cellStyle name="20% - Accent1 2 2 2 4 4" xfId="17120" xr:uid="{BA996DEF-D0A0-4016-8EF8-8E1A8E4F2F29}"/>
    <cellStyle name="20% - Accent1 2 2 2 4 4 2" xfId="31147" xr:uid="{CBE343F8-AD5F-4779-A3A6-056591DA6013}"/>
    <cellStyle name="20% - Accent1 2 2 2 4 5" xfId="31140" xr:uid="{308B5F74-68BE-457A-A4A5-BEA44027AF11}"/>
    <cellStyle name="20% - Accent1 2 2 2 5" xfId="3953" xr:uid="{B33C24D8-E064-463E-BFDA-2BD0D79A837F}"/>
    <cellStyle name="20% - Accent1 2 2 2 5 2" xfId="11661" xr:uid="{F9456703-B831-4F1F-AEA4-99E16DE55A94}"/>
    <cellStyle name="20% - Accent1 2 2 2 5 2 2" xfId="27073" xr:uid="{6C58C4D9-33E5-4D33-8BB6-F88DC0E666B6}"/>
    <cellStyle name="20% - Accent1 2 2 2 5 2 2 2" xfId="31150" xr:uid="{9C904F22-18DF-43AA-AE93-5915282EFE92}"/>
    <cellStyle name="20% - Accent1 2 2 2 5 2 3" xfId="31149" xr:uid="{41923354-38AF-408D-B140-C7E4279FFD66}"/>
    <cellStyle name="20% - Accent1 2 2 2 5 3" xfId="19368" xr:uid="{47F5C8A8-436C-4272-B5F9-D310CA777F10}"/>
    <cellStyle name="20% - Accent1 2 2 2 5 3 2" xfId="31151" xr:uid="{73CE36E8-C3FF-418D-A5A0-42BDE553EFF3}"/>
    <cellStyle name="20% - Accent1 2 2 2 5 4" xfId="31148" xr:uid="{28ACB66D-9DC8-4A6C-B2CD-4BB94626F854}"/>
    <cellStyle name="20% - Accent1 2 2 2 6" xfId="7953" xr:uid="{A82DC392-FA1F-4EA5-931F-F2B5D59FF595}"/>
    <cellStyle name="20% - Accent1 2 2 2 6 2" xfId="23366" xr:uid="{7F5E1E3B-D32C-4232-B07A-634068757AE6}"/>
    <cellStyle name="20% - Accent1 2 2 2 6 2 2" xfId="31153" xr:uid="{3AE796D3-DC2B-48BB-AF7F-FB8849B38828}"/>
    <cellStyle name="20% - Accent1 2 2 2 6 3" xfId="31152" xr:uid="{B4BD77F4-DD2B-4D89-AC5A-771EA5F19E56}"/>
    <cellStyle name="20% - Accent1 2 2 2 7" xfId="15661" xr:uid="{2437151D-8061-4597-BB5C-7FEFFBC30D1E}"/>
    <cellStyle name="20% - Accent1 2 2 2 7 2" xfId="31154" xr:uid="{47E010BD-311D-49D4-BB71-A143B76ADE81}"/>
    <cellStyle name="20% - Accent1 2 2 2 8" xfId="31091" xr:uid="{AEC02A15-D80D-4775-9BA7-CA995B572C12}"/>
    <cellStyle name="20% - Accent1 2 2 3" xfId="356" xr:uid="{5BE34C7C-1861-41B0-8C93-5C2176041F1D}"/>
    <cellStyle name="20% - Accent1 2 2 3 2" xfId="1018" xr:uid="{E42AF426-B7F1-4A9F-8C69-3A4979F3AA1E}"/>
    <cellStyle name="20% - Accent1 2 2 3 2 2" xfId="2487" xr:uid="{51289E13-F440-476E-940E-7799B001BFFB}"/>
    <cellStyle name="20% - Accent1 2 2 3 2 2 2" xfId="6219" xr:uid="{74D9EC43-7565-4B90-9D9A-79092CF5B1BC}"/>
    <cellStyle name="20% - Accent1 2 2 3 2 2 2 2" xfId="13927" xr:uid="{C4212B34-BCEC-455A-B0D9-820AFFEEBE5A}"/>
    <cellStyle name="20% - Accent1 2 2 3 2 2 2 2 2" xfId="29339" xr:uid="{74750F57-0002-430C-B8F3-DF27EF82B049}"/>
    <cellStyle name="20% - Accent1 2 2 3 2 2 2 2 2 2" xfId="31160" xr:uid="{7F317021-3143-406B-AD73-1AEC271005B8}"/>
    <cellStyle name="20% - Accent1 2 2 3 2 2 2 2 3" xfId="31159" xr:uid="{A059721D-308D-4DE5-9199-0CD56DBD4BDD}"/>
    <cellStyle name="20% - Accent1 2 2 3 2 2 2 3" xfId="21634" xr:uid="{3E3A5B43-CB31-45D2-B95F-5826297B6D17}"/>
    <cellStyle name="20% - Accent1 2 2 3 2 2 2 3 2" xfId="31161" xr:uid="{9B926E49-D7BB-476C-AD4B-DE8510A40AEC}"/>
    <cellStyle name="20% - Accent1 2 2 3 2 2 2 4" xfId="31158" xr:uid="{350AB6D4-FE14-4123-8BEB-30992764BF1F}"/>
    <cellStyle name="20% - Accent1 2 2 3 2 2 3" xfId="10198" xr:uid="{B1E4D432-0CFC-47CA-92DF-BB17E2DEF2BB}"/>
    <cellStyle name="20% - Accent1 2 2 3 2 2 3 2" xfId="25611" xr:uid="{20C5AF8E-752A-4A31-A409-C6C47E476702}"/>
    <cellStyle name="20% - Accent1 2 2 3 2 2 3 2 2" xfId="31163" xr:uid="{A30A685F-B112-498B-BB92-9DFFFFE7E280}"/>
    <cellStyle name="20% - Accent1 2 2 3 2 2 3 3" xfId="31162" xr:uid="{1B000A0C-B4FC-4283-9803-7C0B2BA4E491}"/>
    <cellStyle name="20% - Accent1 2 2 3 2 2 4" xfId="17906" xr:uid="{F97F8D7E-7C8B-4CBC-AC52-E9ECA22581C8}"/>
    <cellStyle name="20% - Accent1 2 2 3 2 2 4 2" xfId="31164" xr:uid="{BF8F4805-A970-4C7C-8980-280003C1B0A8}"/>
    <cellStyle name="20% - Accent1 2 2 3 2 2 5" xfId="31157" xr:uid="{DDEBBB41-CB9F-4312-9C96-CE371879431D}"/>
    <cellStyle name="20% - Accent1 2 2 3 2 3" xfId="4755" xr:uid="{F0E17C33-31D3-46F9-9B0C-77B20CDA7343}"/>
    <cellStyle name="20% - Accent1 2 2 3 2 3 2" xfId="12463" xr:uid="{3EB1B0CD-36B9-4A95-8F55-3A589275BA55}"/>
    <cellStyle name="20% - Accent1 2 2 3 2 3 2 2" xfId="27875" xr:uid="{1A045D36-293D-4FD4-B909-FF07417F0F19}"/>
    <cellStyle name="20% - Accent1 2 2 3 2 3 2 2 2" xfId="31167" xr:uid="{92AB9C14-7129-42C6-8E2D-DE5D5DF662B8}"/>
    <cellStyle name="20% - Accent1 2 2 3 2 3 2 3" xfId="31166" xr:uid="{72BC4688-0993-485B-875B-31B5E679BB91}"/>
    <cellStyle name="20% - Accent1 2 2 3 2 3 3" xfId="20170" xr:uid="{AB3B735D-1A5B-482C-BE52-5BD867384353}"/>
    <cellStyle name="20% - Accent1 2 2 3 2 3 3 2" xfId="31168" xr:uid="{1FA4083F-6CF3-48FD-9A7A-F9DFC87D9F2B}"/>
    <cellStyle name="20% - Accent1 2 2 3 2 3 4" xfId="31165" xr:uid="{358670FF-7366-4E85-924B-80A753035346}"/>
    <cellStyle name="20% - Accent1 2 2 3 2 4" xfId="8739" xr:uid="{07E9C111-256E-46FF-9CB2-B56F1D35C3A6}"/>
    <cellStyle name="20% - Accent1 2 2 3 2 4 2" xfId="24152" xr:uid="{501E94D0-573C-42DE-A627-96BCC391339D}"/>
    <cellStyle name="20% - Accent1 2 2 3 2 4 2 2" xfId="31170" xr:uid="{847A55BA-76DC-462A-BD5D-8F0A994ECDDC}"/>
    <cellStyle name="20% - Accent1 2 2 3 2 4 3" xfId="31169" xr:uid="{73CDF6E5-9465-4C71-8738-514D44ECDD85}"/>
    <cellStyle name="20% - Accent1 2 2 3 2 5" xfId="16447" xr:uid="{D2CC709B-46F3-4251-A933-24CD9CFFD3F1}"/>
    <cellStyle name="20% - Accent1 2 2 3 2 5 2" xfId="31171" xr:uid="{AD259013-7432-413E-9A04-AF35D1ADEF70}"/>
    <cellStyle name="20% - Accent1 2 2 3 2 6" xfId="31156" xr:uid="{D1924516-CA57-498E-BDC8-B6B4EC52BF96}"/>
    <cellStyle name="20% - Accent1 2 2 3 3" xfId="1849" xr:uid="{A89C4E66-FECD-4684-931B-A45D3311E18A}"/>
    <cellStyle name="20% - Accent1 2 2 3 3 2" xfId="5581" xr:uid="{CED961F0-A5D8-4255-8AE7-678BDD80B646}"/>
    <cellStyle name="20% - Accent1 2 2 3 3 2 2" xfId="13289" xr:uid="{B1C6FF3E-F479-4702-B90B-6909748DDDD0}"/>
    <cellStyle name="20% - Accent1 2 2 3 3 2 2 2" xfId="28701" xr:uid="{142C1BC1-1CDA-4E80-9C0A-A70D7DBEE99C}"/>
    <cellStyle name="20% - Accent1 2 2 3 3 2 2 2 2" xfId="31175" xr:uid="{C44A1EC7-43D0-4B0D-B578-8D820087553B}"/>
    <cellStyle name="20% - Accent1 2 2 3 3 2 2 3" xfId="31174" xr:uid="{0F58C274-4460-4C92-A641-181E443122BC}"/>
    <cellStyle name="20% - Accent1 2 2 3 3 2 3" xfId="20996" xr:uid="{B368D2C5-569B-49C5-945B-A38FF3DEACD2}"/>
    <cellStyle name="20% - Accent1 2 2 3 3 2 3 2" xfId="31176" xr:uid="{D949D238-5382-45A2-9A19-7AB95FCDC733}"/>
    <cellStyle name="20% - Accent1 2 2 3 3 2 4" xfId="31173" xr:uid="{3ED00701-24CE-4554-A034-BDB4A08A181C}"/>
    <cellStyle name="20% - Accent1 2 2 3 3 3" xfId="9560" xr:uid="{B879D077-2385-4D9F-91FF-AA7A71FEC1EA}"/>
    <cellStyle name="20% - Accent1 2 2 3 3 3 2" xfId="24973" xr:uid="{33CCBAE0-B111-401F-A969-B3E6E92DB403}"/>
    <cellStyle name="20% - Accent1 2 2 3 3 3 2 2" xfId="31178" xr:uid="{030DA5BB-13D7-43ED-99B2-EF1169EE9297}"/>
    <cellStyle name="20% - Accent1 2 2 3 3 3 3" xfId="31177" xr:uid="{40990C52-1D34-467B-9E24-10CC45A77B8C}"/>
    <cellStyle name="20% - Accent1 2 2 3 3 4" xfId="17268" xr:uid="{8C3D256D-642A-4FF9-97DA-2AA3507578F0}"/>
    <cellStyle name="20% - Accent1 2 2 3 3 4 2" xfId="31179" xr:uid="{8B9C25FB-4E2B-4FD5-9C6D-C29752AD582A}"/>
    <cellStyle name="20% - Accent1 2 2 3 3 5" xfId="31172" xr:uid="{1C47999D-DE85-430F-85B5-715AFB87D180}"/>
    <cellStyle name="20% - Accent1 2 2 3 4" xfId="4103" xr:uid="{F84DDEC0-758D-47FE-995B-18DEC331B9B6}"/>
    <cellStyle name="20% - Accent1 2 2 3 4 2" xfId="11811" xr:uid="{8AE47506-F9AF-4E9B-838B-A24072B79308}"/>
    <cellStyle name="20% - Accent1 2 2 3 4 2 2" xfId="27223" xr:uid="{ED131053-93AD-4C00-A894-B1F6F34804EE}"/>
    <cellStyle name="20% - Accent1 2 2 3 4 2 2 2" xfId="31182" xr:uid="{7CF413CF-0892-4011-ADBE-6350789C3389}"/>
    <cellStyle name="20% - Accent1 2 2 3 4 2 3" xfId="31181" xr:uid="{D77B937A-7B55-4432-8624-74F292B2A4BB}"/>
    <cellStyle name="20% - Accent1 2 2 3 4 3" xfId="19518" xr:uid="{5B112A83-AB65-4527-A2D2-D46304C00FB4}"/>
    <cellStyle name="20% - Accent1 2 2 3 4 3 2" xfId="31183" xr:uid="{DC3F323C-7FCE-4B8D-8198-9603CFACE010}"/>
    <cellStyle name="20% - Accent1 2 2 3 4 4" xfId="31180" xr:uid="{2E92F3CD-F70B-4093-9DB3-9282B877F3E5}"/>
    <cellStyle name="20% - Accent1 2 2 3 5" xfId="8101" xr:uid="{66483138-A717-4425-8F62-AD76FA4D6FB0}"/>
    <cellStyle name="20% - Accent1 2 2 3 5 2" xfId="23514" xr:uid="{46591489-69D3-41DA-AFDF-19ECC259A5B0}"/>
    <cellStyle name="20% - Accent1 2 2 3 5 2 2" xfId="31185" xr:uid="{6674724A-3DCD-46C8-831C-8BE4B373AEED}"/>
    <cellStyle name="20% - Accent1 2 2 3 5 3" xfId="31184" xr:uid="{13AB6934-4085-4E73-A6FB-197C9A34A436}"/>
    <cellStyle name="20% - Accent1 2 2 3 6" xfId="15809" xr:uid="{B46C549F-7F2D-423E-9788-0CD5E8779799}"/>
    <cellStyle name="20% - Accent1 2 2 3 6 2" xfId="31186" xr:uid="{B41FFF55-85D8-4CF4-A1FF-35B652EE191A}"/>
    <cellStyle name="20% - Accent1 2 2 3 7" xfId="31155" xr:uid="{9E12B03C-FA5B-483A-A8DF-EEF6A0324330}"/>
    <cellStyle name="20% - Accent1 2 2 4" xfId="812" xr:uid="{D1E10452-6995-40EA-BA41-A42DAD62DA8F}"/>
    <cellStyle name="20% - Accent1 2 2 4 2" xfId="2289" xr:uid="{FF444FD4-22C5-4558-8BCF-486CDA58D585}"/>
    <cellStyle name="20% - Accent1 2 2 4 2 2" xfId="6021" xr:uid="{8594075A-C912-4608-A1BF-A6C4348E5989}"/>
    <cellStyle name="20% - Accent1 2 2 4 2 2 2" xfId="13729" xr:uid="{56ED5882-7306-4D75-8B67-DB04AB531981}"/>
    <cellStyle name="20% - Accent1 2 2 4 2 2 2 2" xfId="29141" xr:uid="{03BDB538-C61C-4D75-9845-15325872FA51}"/>
    <cellStyle name="20% - Accent1 2 2 4 2 2 2 2 2" xfId="31191" xr:uid="{A9A569A0-F920-44BD-8A9A-FB596BFBF2DF}"/>
    <cellStyle name="20% - Accent1 2 2 4 2 2 2 3" xfId="31190" xr:uid="{E72A3335-79CC-4D45-BE67-0B45DB4066DE}"/>
    <cellStyle name="20% - Accent1 2 2 4 2 2 3" xfId="21436" xr:uid="{8C965EE0-7B57-44AA-8819-22D2E86A0F47}"/>
    <cellStyle name="20% - Accent1 2 2 4 2 2 3 2" xfId="31192" xr:uid="{15BD5ED4-0662-4DA1-AC91-11D4115299C7}"/>
    <cellStyle name="20% - Accent1 2 2 4 2 2 4" xfId="31189" xr:uid="{8F1ADE7C-4FBD-4183-AEA5-CEF2231B8B79}"/>
    <cellStyle name="20% - Accent1 2 2 4 2 3" xfId="10000" xr:uid="{8DD6B950-2717-4721-9E13-E7A922DABB83}"/>
    <cellStyle name="20% - Accent1 2 2 4 2 3 2" xfId="25413" xr:uid="{16A47E29-E58C-4F1A-8D07-D322BAD2D128}"/>
    <cellStyle name="20% - Accent1 2 2 4 2 3 2 2" xfId="31194" xr:uid="{6D06F053-2CA4-416D-87AC-1BA1CAA5CF85}"/>
    <cellStyle name="20% - Accent1 2 2 4 2 3 3" xfId="31193" xr:uid="{E82924FF-C150-4F1A-A419-89B8737DAA08}"/>
    <cellStyle name="20% - Accent1 2 2 4 2 4" xfId="17708" xr:uid="{7C55017C-E15E-4F9F-994E-2D43C887A41D}"/>
    <cellStyle name="20% - Accent1 2 2 4 2 4 2" xfId="31195" xr:uid="{1C560BAE-2666-4877-B58C-C7FB2DC64250}"/>
    <cellStyle name="20% - Accent1 2 2 4 2 5" xfId="31188" xr:uid="{3EEE42E8-78A1-4971-A4DF-088CD0FFF5BE}"/>
    <cellStyle name="20% - Accent1 2 2 4 3" xfId="4549" xr:uid="{EB65C120-86EB-4549-9FF1-2BCC3B4A0FA8}"/>
    <cellStyle name="20% - Accent1 2 2 4 3 2" xfId="12257" xr:uid="{98A574A3-7F23-4206-89DE-E07347058749}"/>
    <cellStyle name="20% - Accent1 2 2 4 3 2 2" xfId="27669" xr:uid="{7B40683B-A6AD-42B3-87B4-E3320A8F7B6A}"/>
    <cellStyle name="20% - Accent1 2 2 4 3 2 2 2" xfId="31198" xr:uid="{7557663A-866A-4A93-9A17-9E67E30E8F09}"/>
    <cellStyle name="20% - Accent1 2 2 4 3 2 3" xfId="31197" xr:uid="{C6110469-75B1-4D29-BC1D-25D1231DDDBC}"/>
    <cellStyle name="20% - Accent1 2 2 4 3 3" xfId="19964" xr:uid="{5E4514CD-DF43-4BE0-894C-4282AE1DC8A0}"/>
    <cellStyle name="20% - Accent1 2 2 4 3 3 2" xfId="31199" xr:uid="{2B75DF01-B90D-459D-821C-076026401D0D}"/>
    <cellStyle name="20% - Accent1 2 2 4 3 4" xfId="31196" xr:uid="{002802B7-4AC6-46E0-95EB-1D432532EF35}"/>
    <cellStyle name="20% - Accent1 2 2 4 4" xfId="8541" xr:uid="{F53F6805-7404-40B8-81C5-BB9D5C71AD99}"/>
    <cellStyle name="20% - Accent1 2 2 4 4 2" xfId="23954" xr:uid="{AC84472D-77D0-4415-910F-5D8653829D1F}"/>
    <cellStyle name="20% - Accent1 2 2 4 4 2 2" xfId="31201" xr:uid="{1658D153-41D8-420F-B188-68D625E23C4D}"/>
    <cellStyle name="20% - Accent1 2 2 4 4 3" xfId="31200" xr:uid="{396930A9-99A1-4924-B35E-B6988022EAB8}"/>
    <cellStyle name="20% - Accent1 2 2 4 5" xfId="16249" xr:uid="{52E81E1F-0AE5-4BE0-A018-528766EBF7B0}"/>
    <cellStyle name="20% - Accent1 2 2 4 5 2" xfId="31202" xr:uid="{BAD9CAD5-206F-4C8F-9EB9-BCCB4C165A8C}"/>
    <cellStyle name="20% - Accent1 2 2 4 6" xfId="31187" xr:uid="{60EECDD9-E8D3-4E12-8E97-5E1ED5009B66}"/>
    <cellStyle name="20% - Accent1 2 2 5" xfId="1650" xr:uid="{49DE61ED-5D21-41FB-9493-17F6EBEE6DBE}"/>
    <cellStyle name="20% - Accent1 2 2 5 2" xfId="5382" xr:uid="{A8A34FAB-B49E-48BE-BB2C-01718F5D3EFB}"/>
    <cellStyle name="20% - Accent1 2 2 5 2 2" xfId="13090" xr:uid="{5E3CBA47-7161-497E-B292-8F6413B8EF72}"/>
    <cellStyle name="20% - Accent1 2 2 5 2 2 2" xfId="28502" xr:uid="{00790106-2B70-4980-B70D-8458CC9FDD80}"/>
    <cellStyle name="20% - Accent1 2 2 5 2 2 2 2" xfId="31206" xr:uid="{3CC4079F-7441-48ED-BBFC-6D793D5B6CC4}"/>
    <cellStyle name="20% - Accent1 2 2 5 2 2 3" xfId="31205" xr:uid="{58C28672-A468-4626-84C7-A4898573EEC6}"/>
    <cellStyle name="20% - Accent1 2 2 5 2 3" xfId="20797" xr:uid="{0E0D52E8-C7DE-4E0B-AF78-75F06842D003}"/>
    <cellStyle name="20% - Accent1 2 2 5 2 3 2" xfId="31207" xr:uid="{F45F0DA5-3C7A-415D-9401-6C24C568E228}"/>
    <cellStyle name="20% - Accent1 2 2 5 2 4" xfId="31204" xr:uid="{9E7682DD-FD87-47A7-8A45-5EB60D9E960E}"/>
    <cellStyle name="20% - Accent1 2 2 5 3" xfId="9362" xr:uid="{F4AF24AD-B08C-42F1-879B-1FE6BFFA498A}"/>
    <cellStyle name="20% - Accent1 2 2 5 3 2" xfId="24775" xr:uid="{9AEC404E-BFC0-44BC-9B21-AC36197578A3}"/>
    <cellStyle name="20% - Accent1 2 2 5 3 2 2" xfId="31209" xr:uid="{1928D685-D972-43D5-9A64-F7B2A10E137F}"/>
    <cellStyle name="20% - Accent1 2 2 5 3 3" xfId="31208" xr:uid="{90F33378-ADA7-4BED-96B3-C66227C006FC}"/>
    <cellStyle name="20% - Accent1 2 2 5 4" xfId="17070" xr:uid="{D59359A3-4DE8-49A8-82C9-A8E10DBCFE62}"/>
    <cellStyle name="20% - Accent1 2 2 5 4 2" xfId="31210" xr:uid="{A819B656-135A-4498-801C-DD5E9EF77898}"/>
    <cellStyle name="20% - Accent1 2 2 5 5" xfId="31203" xr:uid="{83520710-8039-4ED5-BCE4-3CA68A833D67}"/>
    <cellStyle name="20% - Accent1 2 2 6" xfId="3897" xr:uid="{B734F488-EBFA-4AEA-ADAD-583ED23524A9}"/>
    <cellStyle name="20% - Accent1 2 2 6 2" xfId="11605" xr:uid="{7BC937F1-8CEE-4C84-A4D5-13FD7EA1D758}"/>
    <cellStyle name="20% - Accent1 2 2 6 2 2" xfId="27017" xr:uid="{6CE9FBC9-B8E7-4203-8FBA-343A09228C4A}"/>
    <cellStyle name="20% - Accent1 2 2 6 2 2 2" xfId="31213" xr:uid="{21A8D356-B711-4897-A2A0-53DFA6DC98E5}"/>
    <cellStyle name="20% - Accent1 2 2 6 2 3" xfId="31212" xr:uid="{EEB22BD2-2A42-4A56-87D7-9272875279BC}"/>
    <cellStyle name="20% - Accent1 2 2 6 3" xfId="19312" xr:uid="{97EF8D3D-E894-43E0-8DDD-9ACEE4AF15E0}"/>
    <cellStyle name="20% - Accent1 2 2 6 3 2" xfId="31214" xr:uid="{A5A6C681-1F65-4155-9DFE-FC479699878E}"/>
    <cellStyle name="20% - Accent1 2 2 6 4" xfId="31211" xr:uid="{9F8511ED-CBF3-4806-B73F-667FDAB5B02F}"/>
    <cellStyle name="20% - Accent1 2 2 7" xfId="7885" xr:uid="{F1C5A5FD-AA60-4CC0-ADB3-F47810858902}"/>
    <cellStyle name="20% - Accent1 2 2 7 2" xfId="23298" xr:uid="{D5A6FE7C-4B7C-40E3-B087-B2140194F850}"/>
    <cellStyle name="20% - Accent1 2 2 7 2 2" xfId="31216" xr:uid="{13F84DC8-2371-4578-9FC8-09273FA07050}"/>
    <cellStyle name="20% - Accent1 2 2 7 3" xfId="31215" xr:uid="{34CD1DA8-B081-4068-B6C6-EA7419CF7F3F}"/>
    <cellStyle name="20% - Accent1 2 2 8" xfId="15593" xr:uid="{93FDF7CA-BE83-4FEC-AA62-7641006CA837}"/>
    <cellStyle name="20% - Accent1 2 2 8 2" xfId="31217" xr:uid="{B8CA5260-0804-46D2-9DCC-16E0A0E58683}"/>
    <cellStyle name="20% - Accent1 2 2 9" xfId="31090" xr:uid="{9D69B00B-E36A-416A-B12A-F483FB1A46E2}"/>
    <cellStyle name="20% - Accent1 2 3" xfId="183" xr:uid="{46E7961D-AD56-4ACE-B96F-27F5EDD6B6D5}"/>
    <cellStyle name="20% - Accent1 2 3 2" xfId="392" xr:uid="{14FC2104-E1AC-494B-9075-F91B852D2DD1}"/>
    <cellStyle name="20% - Accent1 2 3 2 2" xfId="1054" xr:uid="{56ED062D-AB9C-49EF-9CA8-724AADA0DB32}"/>
    <cellStyle name="20% - Accent1 2 3 2 2 2" xfId="2522" xr:uid="{1AD3CAAE-24A5-49D0-BBE6-29C17DCB2289}"/>
    <cellStyle name="20% - Accent1 2 3 2 2 2 2" xfId="6254" xr:uid="{57783CC4-CF03-4231-920F-0C3ED9A84919}"/>
    <cellStyle name="20% - Accent1 2 3 2 2 2 2 2" xfId="13962" xr:uid="{5E0BFD73-A966-44A7-886D-E8507F034636}"/>
    <cellStyle name="20% - Accent1 2 3 2 2 2 2 2 2" xfId="29374" xr:uid="{A5AA5431-F6B0-45D7-91DB-44987AE4C3A9}"/>
    <cellStyle name="20% - Accent1 2 3 2 2 2 2 2 2 2" xfId="31224" xr:uid="{C3FF5E2E-EB6D-4D4F-ACEF-73C5AC2DFCAE}"/>
    <cellStyle name="20% - Accent1 2 3 2 2 2 2 2 3" xfId="31223" xr:uid="{5E888F6E-50EB-46EC-AAA9-D02EB5407FAA}"/>
    <cellStyle name="20% - Accent1 2 3 2 2 2 2 3" xfId="21669" xr:uid="{2F11C3FF-5C7E-441E-A813-6BDB0534C2CF}"/>
    <cellStyle name="20% - Accent1 2 3 2 2 2 2 3 2" xfId="31225" xr:uid="{B4D03ED1-4BD1-41B8-B266-24B5C62BB2F1}"/>
    <cellStyle name="20% - Accent1 2 3 2 2 2 2 4" xfId="31222" xr:uid="{61A51EEE-217E-4C99-9A96-53D816E1CEAD}"/>
    <cellStyle name="20% - Accent1 2 3 2 2 2 3" xfId="10233" xr:uid="{B9FB9791-2328-4123-AE89-50256DE828EF}"/>
    <cellStyle name="20% - Accent1 2 3 2 2 2 3 2" xfId="25646" xr:uid="{439DD80E-6154-4A6A-97B3-D6FBCB7088CD}"/>
    <cellStyle name="20% - Accent1 2 3 2 2 2 3 2 2" xfId="31227" xr:uid="{64FD29E5-E3F3-43E6-8A81-87CF5D3CE20D}"/>
    <cellStyle name="20% - Accent1 2 3 2 2 2 3 3" xfId="31226" xr:uid="{E165ABAB-A130-4FE3-BCE1-216A12F39D0B}"/>
    <cellStyle name="20% - Accent1 2 3 2 2 2 4" xfId="17941" xr:uid="{AC974F99-A14E-49E4-9567-93665AD0BDE6}"/>
    <cellStyle name="20% - Accent1 2 3 2 2 2 4 2" xfId="31228" xr:uid="{C4FB1DAF-4076-4FA6-ADAD-CC7D41D4C05C}"/>
    <cellStyle name="20% - Accent1 2 3 2 2 2 5" xfId="31221" xr:uid="{F1EE89A0-6804-4141-BAA0-0B0C1483B91E}"/>
    <cellStyle name="20% - Accent1 2 3 2 2 3" xfId="4791" xr:uid="{1F0DF4D1-261C-4F0B-AD85-710C377E6C3D}"/>
    <cellStyle name="20% - Accent1 2 3 2 2 3 2" xfId="12499" xr:uid="{E1A4618C-C630-417E-86EE-5947D4BDCC06}"/>
    <cellStyle name="20% - Accent1 2 3 2 2 3 2 2" xfId="27911" xr:uid="{1BE6F6A7-CD01-4B2F-8C4D-A700EF8E2EE3}"/>
    <cellStyle name="20% - Accent1 2 3 2 2 3 2 2 2" xfId="31231" xr:uid="{2D2FF4B9-6E49-4815-BA3C-9F38F990A222}"/>
    <cellStyle name="20% - Accent1 2 3 2 2 3 2 3" xfId="31230" xr:uid="{B034B803-1825-4CFC-8EF7-AFC4833F2747}"/>
    <cellStyle name="20% - Accent1 2 3 2 2 3 3" xfId="20206" xr:uid="{8C1E6D54-D6FB-4014-9594-106A8303CE1C}"/>
    <cellStyle name="20% - Accent1 2 3 2 2 3 3 2" xfId="31232" xr:uid="{BFA3B7F4-966D-4B70-BC4D-5BAB1E51330E}"/>
    <cellStyle name="20% - Accent1 2 3 2 2 3 4" xfId="31229" xr:uid="{FBA9FCF9-C62A-4C5A-BC49-E46969229B0E}"/>
    <cellStyle name="20% - Accent1 2 3 2 2 4" xfId="8774" xr:uid="{292B67F7-C864-45B9-B114-423B33B30328}"/>
    <cellStyle name="20% - Accent1 2 3 2 2 4 2" xfId="24187" xr:uid="{FD4FB585-2345-418D-8C39-89A5CD3BF617}"/>
    <cellStyle name="20% - Accent1 2 3 2 2 4 2 2" xfId="31234" xr:uid="{798E408F-D341-4A54-AC44-ED40E2BDD003}"/>
    <cellStyle name="20% - Accent1 2 3 2 2 4 3" xfId="31233" xr:uid="{30309D0F-5D5F-4665-9718-D476C7F849D0}"/>
    <cellStyle name="20% - Accent1 2 3 2 2 5" xfId="16482" xr:uid="{1F659474-F5C5-4275-8A56-ADCAAABA11E1}"/>
    <cellStyle name="20% - Accent1 2 3 2 2 5 2" xfId="31235" xr:uid="{6D221005-EF30-4033-B4FF-7AB269B28EC1}"/>
    <cellStyle name="20% - Accent1 2 3 2 2 6" xfId="31220" xr:uid="{DB949CD2-F5AA-4312-AF78-73AA25996E80}"/>
    <cellStyle name="20% - Accent1 2 3 2 3" xfId="1884" xr:uid="{8CCA4E13-F734-470B-850B-F16BD53267CF}"/>
    <cellStyle name="20% - Accent1 2 3 2 3 2" xfId="5616" xr:uid="{3BC11068-AFBA-4C82-9838-EBD8481BC85E}"/>
    <cellStyle name="20% - Accent1 2 3 2 3 2 2" xfId="13324" xr:uid="{C985AF50-F43A-4254-9BCA-E0024425DEE3}"/>
    <cellStyle name="20% - Accent1 2 3 2 3 2 2 2" xfId="28736" xr:uid="{D14C81C0-9B45-4823-AAFB-03E13422BADC}"/>
    <cellStyle name="20% - Accent1 2 3 2 3 2 2 2 2" xfId="31239" xr:uid="{561607BE-7248-497A-9806-B8C971FD11BA}"/>
    <cellStyle name="20% - Accent1 2 3 2 3 2 2 3" xfId="31238" xr:uid="{198B61AE-A01B-4C08-83E3-24C562E71150}"/>
    <cellStyle name="20% - Accent1 2 3 2 3 2 3" xfId="21031" xr:uid="{D974E700-02F8-49D2-A79F-E3FB912D98E3}"/>
    <cellStyle name="20% - Accent1 2 3 2 3 2 3 2" xfId="31240" xr:uid="{72B4A167-D30E-4EE7-AD95-E021FC130960}"/>
    <cellStyle name="20% - Accent1 2 3 2 3 2 4" xfId="31237" xr:uid="{D5DE5275-5ACF-404E-8980-0990ECB2A2CC}"/>
    <cellStyle name="20% - Accent1 2 3 2 3 3" xfId="9595" xr:uid="{3852C427-DDBA-4F6E-8819-87029F12E6DD}"/>
    <cellStyle name="20% - Accent1 2 3 2 3 3 2" xfId="25008" xr:uid="{870F4FC7-A5AD-4208-9069-7E425AC1733F}"/>
    <cellStyle name="20% - Accent1 2 3 2 3 3 2 2" xfId="31242" xr:uid="{1CC22F5D-E067-42B6-AD33-CE14C0C92A79}"/>
    <cellStyle name="20% - Accent1 2 3 2 3 3 3" xfId="31241" xr:uid="{6C86A0DA-796A-4D96-B923-676214E3E877}"/>
    <cellStyle name="20% - Accent1 2 3 2 3 4" xfId="17303" xr:uid="{F7BFCE46-A2BA-47B5-9E7F-06D0FD4AACA0}"/>
    <cellStyle name="20% - Accent1 2 3 2 3 4 2" xfId="31243" xr:uid="{535B656B-A457-4EA7-9EDE-0373F5800D8E}"/>
    <cellStyle name="20% - Accent1 2 3 2 3 5" xfId="31236" xr:uid="{90A9930A-7988-4ACD-A7A0-002D34E53F46}"/>
    <cellStyle name="20% - Accent1 2 3 2 4" xfId="4139" xr:uid="{F2D693D3-89AD-4B87-8DD6-F424E2726801}"/>
    <cellStyle name="20% - Accent1 2 3 2 4 2" xfId="11847" xr:uid="{B4CA319C-C194-496B-BF6E-CB9C1794F241}"/>
    <cellStyle name="20% - Accent1 2 3 2 4 2 2" xfId="27259" xr:uid="{71FBDCBD-4331-4687-B8C9-230996068A70}"/>
    <cellStyle name="20% - Accent1 2 3 2 4 2 2 2" xfId="31246" xr:uid="{20132669-829E-47B6-BF5E-765525375BA3}"/>
    <cellStyle name="20% - Accent1 2 3 2 4 2 3" xfId="31245" xr:uid="{4C3825C0-64BC-4ADE-BEC6-C1D2D4165B48}"/>
    <cellStyle name="20% - Accent1 2 3 2 4 3" xfId="19554" xr:uid="{B11F3EAF-FE6C-434B-A6E3-1BE455147FC9}"/>
    <cellStyle name="20% - Accent1 2 3 2 4 3 2" xfId="31247" xr:uid="{768D0E75-5FC8-4A5E-9AA9-21107744E813}"/>
    <cellStyle name="20% - Accent1 2 3 2 4 4" xfId="31244" xr:uid="{C4A10219-B87E-4A3D-842B-0491B05E573C}"/>
    <cellStyle name="20% - Accent1 2 3 2 5" xfId="8136" xr:uid="{A43193E5-4568-4876-AF8E-AA57D3B60140}"/>
    <cellStyle name="20% - Accent1 2 3 2 5 2" xfId="23549" xr:uid="{CB530C9A-6DA0-4253-B65F-1D06DA92B5E7}"/>
    <cellStyle name="20% - Accent1 2 3 2 5 2 2" xfId="31249" xr:uid="{5DAB536A-4427-41AB-BCB2-71D9CB18E49E}"/>
    <cellStyle name="20% - Accent1 2 3 2 5 3" xfId="31248" xr:uid="{243FC290-BDC6-45C5-A6DF-F4480D1AC81F}"/>
    <cellStyle name="20% - Accent1 2 3 2 6" xfId="15844" xr:uid="{FB6E51EE-73EA-4F02-85F9-91FE3FD16E2B}"/>
    <cellStyle name="20% - Accent1 2 3 2 6 2" xfId="31250" xr:uid="{BBA8BB56-73FA-40D6-9825-AB61FA770262}"/>
    <cellStyle name="20% - Accent1 2 3 2 7" xfId="31219" xr:uid="{46C41C41-F646-4399-9C19-0D1282AA7579}"/>
    <cellStyle name="20% - Accent1 2 3 3" xfId="849" xr:uid="{38AEAFD6-5903-4DFB-93C7-7735A08A513E}"/>
    <cellStyle name="20% - Accent1 2 3 3 2" xfId="2324" xr:uid="{ACF5A8EF-C42F-4CF6-94C0-D9C7505057AC}"/>
    <cellStyle name="20% - Accent1 2 3 3 2 2" xfId="6056" xr:uid="{8CA28C6A-F080-42BF-B66C-973307020292}"/>
    <cellStyle name="20% - Accent1 2 3 3 2 2 2" xfId="13764" xr:uid="{669438F8-248F-4548-9C67-62183B22025F}"/>
    <cellStyle name="20% - Accent1 2 3 3 2 2 2 2" xfId="29176" xr:uid="{9997631F-D6A2-49D9-AD75-4C984757DE67}"/>
    <cellStyle name="20% - Accent1 2 3 3 2 2 2 2 2" xfId="31255" xr:uid="{65602259-9EC7-452B-906A-C67EFE0FF295}"/>
    <cellStyle name="20% - Accent1 2 3 3 2 2 2 3" xfId="31254" xr:uid="{DC5EC0A2-713A-4F24-8003-F77D2AE8CF95}"/>
    <cellStyle name="20% - Accent1 2 3 3 2 2 3" xfId="21471" xr:uid="{01F2CE13-78DD-4029-B9A9-21FBAAE2A12A}"/>
    <cellStyle name="20% - Accent1 2 3 3 2 2 3 2" xfId="31256" xr:uid="{3BA5F299-2D54-4429-A274-1AF58397ABBE}"/>
    <cellStyle name="20% - Accent1 2 3 3 2 2 4" xfId="31253" xr:uid="{6106B7D8-C1E7-4C46-94FB-43AC5974AEE9}"/>
    <cellStyle name="20% - Accent1 2 3 3 2 3" xfId="10035" xr:uid="{F5B50505-6653-40F0-B7CE-B21986928F89}"/>
    <cellStyle name="20% - Accent1 2 3 3 2 3 2" xfId="25448" xr:uid="{DCC47959-02EC-423B-AF6B-E24ECCB54E2F}"/>
    <cellStyle name="20% - Accent1 2 3 3 2 3 2 2" xfId="31258" xr:uid="{E7B10FA7-17D7-48C8-A1F6-251A81DB10FC}"/>
    <cellStyle name="20% - Accent1 2 3 3 2 3 3" xfId="31257" xr:uid="{F088C325-2A1E-4D3F-8263-82929AF9C4D1}"/>
    <cellStyle name="20% - Accent1 2 3 3 2 4" xfId="17743" xr:uid="{4E6C4EE5-31A8-4E2D-8967-2DDAEE7BE5AB}"/>
    <cellStyle name="20% - Accent1 2 3 3 2 4 2" xfId="31259" xr:uid="{F08A0179-529B-4965-BD1F-D0C5D6286FBB}"/>
    <cellStyle name="20% - Accent1 2 3 3 2 5" xfId="31252" xr:uid="{A5E0FDB8-041E-4018-812C-545A83FF72FF}"/>
    <cellStyle name="20% - Accent1 2 3 3 3" xfId="4586" xr:uid="{CB7FA0F0-1D97-4097-B432-5B82865B64C5}"/>
    <cellStyle name="20% - Accent1 2 3 3 3 2" xfId="12294" xr:uid="{5DB83B34-457B-4F4A-AD98-4EF34E86A389}"/>
    <cellStyle name="20% - Accent1 2 3 3 3 2 2" xfId="27706" xr:uid="{90698764-A2A7-4EE8-85CA-B3F833221477}"/>
    <cellStyle name="20% - Accent1 2 3 3 3 2 2 2" xfId="31262" xr:uid="{2A623E71-B838-4E43-9E71-77F5B4574053}"/>
    <cellStyle name="20% - Accent1 2 3 3 3 2 3" xfId="31261" xr:uid="{2E26C259-60C3-4AB1-8BB8-1010D2199328}"/>
    <cellStyle name="20% - Accent1 2 3 3 3 3" xfId="20001" xr:uid="{93433C32-87AF-4851-8662-309320A2D224}"/>
    <cellStyle name="20% - Accent1 2 3 3 3 3 2" xfId="31263" xr:uid="{665D25CB-00EA-4A96-9F9E-EF7EB5AC44C3}"/>
    <cellStyle name="20% - Accent1 2 3 3 3 4" xfId="31260" xr:uid="{0B6DF840-0249-4528-9A37-C6E054139F96}"/>
    <cellStyle name="20% - Accent1 2 3 3 4" xfId="8576" xr:uid="{BA64C0D4-01A5-4889-A267-A6F612DEDF9A}"/>
    <cellStyle name="20% - Accent1 2 3 3 4 2" xfId="23989" xr:uid="{E89367C8-A08F-44EF-8BD8-5A939738D029}"/>
    <cellStyle name="20% - Accent1 2 3 3 4 2 2" xfId="31265" xr:uid="{7D430CA3-D195-405C-A6C7-82D7FD1AC25C}"/>
    <cellStyle name="20% - Accent1 2 3 3 4 3" xfId="31264" xr:uid="{F7279681-D77A-4EC7-9DF9-08C2BDB5E25E}"/>
    <cellStyle name="20% - Accent1 2 3 3 5" xfId="16284" xr:uid="{2F3E8BB5-7786-4767-AE59-1CB5E57E3117}"/>
    <cellStyle name="20% - Accent1 2 3 3 5 2" xfId="31266" xr:uid="{8C59620C-4605-408B-8A33-B886CBDAB3F1}"/>
    <cellStyle name="20% - Accent1 2 3 3 6" xfId="31251" xr:uid="{158B9976-A77D-4A41-827B-368FBB2A8190}"/>
    <cellStyle name="20% - Accent1 2 3 4" xfId="1686" xr:uid="{B80CC545-AD94-4582-87E7-504DFC864579}"/>
    <cellStyle name="20% - Accent1 2 3 4 2" xfId="5418" xr:uid="{BE7FEC96-C3BF-4844-8EC7-ED5DA8EF35F3}"/>
    <cellStyle name="20% - Accent1 2 3 4 2 2" xfId="13126" xr:uid="{C5D0570D-206B-4693-8524-82C19771F739}"/>
    <cellStyle name="20% - Accent1 2 3 4 2 2 2" xfId="28538" xr:uid="{1E5183C7-F4C3-49F1-B018-55BFF9C5BC10}"/>
    <cellStyle name="20% - Accent1 2 3 4 2 2 2 2" xfId="31270" xr:uid="{84FDF814-CD35-4051-BAD0-80BF69D66E44}"/>
    <cellStyle name="20% - Accent1 2 3 4 2 2 3" xfId="31269" xr:uid="{8CE20B37-E599-4572-93CF-76F958809D7E}"/>
    <cellStyle name="20% - Accent1 2 3 4 2 3" xfId="20833" xr:uid="{BFB1910B-034D-418B-B877-53F0514DF1FB}"/>
    <cellStyle name="20% - Accent1 2 3 4 2 3 2" xfId="31271" xr:uid="{BBFE653D-98FC-4C12-9D96-E879CB3C31E6}"/>
    <cellStyle name="20% - Accent1 2 3 4 2 4" xfId="31268" xr:uid="{A393EA53-46C8-4306-B765-E0FF3BA3466D}"/>
    <cellStyle name="20% - Accent1 2 3 4 3" xfId="9397" xr:uid="{DB7EDF00-2D9B-4D2F-BF5C-CE9FF57A7028}"/>
    <cellStyle name="20% - Accent1 2 3 4 3 2" xfId="24810" xr:uid="{AC6DD6C0-DCE6-4B0F-95DB-AB4AF50780E0}"/>
    <cellStyle name="20% - Accent1 2 3 4 3 2 2" xfId="31273" xr:uid="{1050FED3-3A52-4AF6-A6E6-68F8769D486C}"/>
    <cellStyle name="20% - Accent1 2 3 4 3 3" xfId="31272" xr:uid="{ADA98B4B-820B-4FDE-BAE0-AB94A52E6C54}"/>
    <cellStyle name="20% - Accent1 2 3 4 4" xfId="17105" xr:uid="{440A6578-BA0B-4C69-BD89-941F11935C87}"/>
    <cellStyle name="20% - Accent1 2 3 4 4 2" xfId="31274" xr:uid="{FCEA4A71-A56B-47C5-AC72-71BDC5CBF60C}"/>
    <cellStyle name="20% - Accent1 2 3 4 5" xfId="31267" xr:uid="{A81F3924-93D6-4412-8299-E4A682B4C122}"/>
    <cellStyle name="20% - Accent1 2 3 5" xfId="3934" xr:uid="{0DAB87B2-D79C-42B8-851B-4A15F1AF6ABB}"/>
    <cellStyle name="20% - Accent1 2 3 5 2" xfId="11642" xr:uid="{E8C427F4-1EFD-4890-ACA5-90C7AC161858}"/>
    <cellStyle name="20% - Accent1 2 3 5 2 2" xfId="27054" xr:uid="{93E72192-D120-4695-A9AF-67AC8324F0E2}"/>
    <cellStyle name="20% - Accent1 2 3 5 2 2 2" xfId="31277" xr:uid="{D64274AB-629B-40EA-8842-49C395F290F3}"/>
    <cellStyle name="20% - Accent1 2 3 5 2 3" xfId="31276" xr:uid="{C69993CA-1E65-43E2-9FA0-9212E352217F}"/>
    <cellStyle name="20% - Accent1 2 3 5 3" xfId="19349" xr:uid="{55023FA2-6790-4EFF-9226-0C96BF5044F8}"/>
    <cellStyle name="20% - Accent1 2 3 5 3 2" xfId="31278" xr:uid="{8F1340F0-B787-4693-BF0E-E8F2B3D4655B}"/>
    <cellStyle name="20% - Accent1 2 3 5 4" xfId="31275" xr:uid="{292AF5BA-2216-47AF-B9D8-A0ED09EF25D6}"/>
    <cellStyle name="20% - Accent1 2 3 6" xfId="7938" xr:uid="{7D4A1CDF-A53C-45C8-86CC-E32F40C73BBF}"/>
    <cellStyle name="20% - Accent1 2 3 6 2" xfId="23351" xr:uid="{F863DF2F-1B84-4157-B4E8-05C9D979EB38}"/>
    <cellStyle name="20% - Accent1 2 3 6 2 2" xfId="31280" xr:uid="{48636A38-2E7F-4596-B324-0047023FB9F8}"/>
    <cellStyle name="20% - Accent1 2 3 6 3" xfId="31279" xr:uid="{9334CB91-CEB3-4E5B-998A-874050362CC8}"/>
    <cellStyle name="20% - Accent1 2 3 7" xfId="15646" xr:uid="{54B43A97-1ECC-464A-9E81-52B7B05AC0F5}"/>
    <cellStyle name="20% - Accent1 2 3 7 2" xfId="31281" xr:uid="{3E0F509C-F3C1-411D-AD18-AB0C2741BA59}"/>
    <cellStyle name="20% - Accent1 2 3 8" xfId="31218" xr:uid="{3C1850D5-0084-4E82-9E35-C5B1F35D1310}"/>
    <cellStyle name="20% - Accent1 2 4" xfId="339" xr:uid="{E85CA509-7A38-4A9F-A40E-6B5779BBEE26}"/>
    <cellStyle name="20% - Accent1 2 4 2" xfId="1002" xr:uid="{0C0DEB23-FD1F-4442-A77D-C9AD20639870}"/>
    <cellStyle name="20% - Accent1 2 4 2 2" xfId="2472" xr:uid="{12A96A58-55A5-4E69-92DA-1C0FE87D8D26}"/>
    <cellStyle name="20% - Accent1 2 4 2 2 2" xfId="6204" xr:uid="{17908E20-BDD0-46C4-9D62-00A5273AFD28}"/>
    <cellStyle name="20% - Accent1 2 4 2 2 2 2" xfId="13912" xr:uid="{AFD68A97-6014-411F-B9B8-91F2BFAB6DB7}"/>
    <cellStyle name="20% - Accent1 2 4 2 2 2 2 2" xfId="29324" xr:uid="{8B34000C-3AE1-4ED3-8D04-C13DBE786B5D}"/>
    <cellStyle name="20% - Accent1 2 4 2 2 2 2 2 2" xfId="31287" xr:uid="{FC5AA2AF-D97F-4472-A89A-7FEF15477873}"/>
    <cellStyle name="20% - Accent1 2 4 2 2 2 2 3" xfId="31286" xr:uid="{F8521D1D-E350-47DA-8DF7-C1E5EBE87801}"/>
    <cellStyle name="20% - Accent1 2 4 2 2 2 3" xfId="21619" xr:uid="{3AAA69F9-982C-462E-989F-2F467F94F367}"/>
    <cellStyle name="20% - Accent1 2 4 2 2 2 3 2" xfId="31288" xr:uid="{00D60E77-FC48-4BDF-AF0C-1A674D128409}"/>
    <cellStyle name="20% - Accent1 2 4 2 2 2 4" xfId="31285" xr:uid="{5F2C1B90-D32E-4476-838C-C1B4C8F7AD2D}"/>
    <cellStyle name="20% - Accent1 2 4 2 2 3" xfId="10183" xr:uid="{45F7BC4E-BD90-4C37-9CDC-A4AC9A35023A}"/>
    <cellStyle name="20% - Accent1 2 4 2 2 3 2" xfId="25596" xr:uid="{C66676A0-5824-4219-9892-486F72FC42A6}"/>
    <cellStyle name="20% - Accent1 2 4 2 2 3 2 2" xfId="31290" xr:uid="{0553A608-4F5B-4053-8E43-1E93AE6DF939}"/>
    <cellStyle name="20% - Accent1 2 4 2 2 3 3" xfId="31289" xr:uid="{8A77DEDB-D13C-4041-8D92-09E5B31C498F}"/>
    <cellStyle name="20% - Accent1 2 4 2 2 4" xfId="17891" xr:uid="{EAA0F587-584B-4476-9B34-1425F8D68F1D}"/>
    <cellStyle name="20% - Accent1 2 4 2 2 4 2" xfId="31291" xr:uid="{C4C1C9EF-B23A-49D9-BD6B-9AD601BB17D9}"/>
    <cellStyle name="20% - Accent1 2 4 2 2 5" xfId="31284" xr:uid="{BC61EB0E-4F92-4AB4-A59B-D8FEA876FE8F}"/>
    <cellStyle name="20% - Accent1 2 4 2 3" xfId="4739" xr:uid="{D7EDBC32-569C-42E5-A223-9A9569AFC745}"/>
    <cellStyle name="20% - Accent1 2 4 2 3 2" xfId="12447" xr:uid="{38F238F0-5CFA-40BD-A7C7-1B449670566A}"/>
    <cellStyle name="20% - Accent1 2 4 2 3 2 2" xfId="27859" xr:uid="{87FABFCB-5FBE-4EDA-97C2-E8AC2201271A}"/>
    <cellStyle name="20% - Accent1 2 4 2 3 2 2 2" xfId="31294" xr:uid="{38976A8F-0814-4DCB-B44A-ADE1A7A831BB}"/>
    <cellStyle name="20% - Accent1 2 4 2 3 2 3" xfId="31293" xr:uid="{83ED1C71-7E6F-4B5F-8D68-C98900051FD9}"/>
    <cellStyle name="20% - Accent1 2 4 2 3 3" xfId="20154" xr:uid="{C5F06D3A-2165-44CF-B5E5-4F8BE889381F}"/>
    <cellStyle name="20% - Accent1 2 4 2 3 3 2" xfId="31295" xr:uid="{111A1B8C-FF7A-4820-B5A6-6945C1BAE4C8}"/>
    <cellStyle name="20% - Accent1 2 4 2 3 4" xfId="31292" xr:uid="{487C7F42-9531-44B9-BCCA-EAA4DD73A3BC}"/>
    <cellStyle name="20% - Accent1 2 4 2 4" xfId="8724" xr:uid="{2FA8551C-5FBF-4E24-A55D-E87CB612AE8C}"/>
    <cellStyle name="20% - Accent1 2 4 2 4 2" xfId="24137" xr:uid="{0DE42F2F-F34C-471B-B0F8-3E158027962C}"/>
    <cellStyle name="20% - Accent1 2 4 2 4 2 2" xfId="31297" xr:uid="{767B81A9-E1EF-43B6-835D-5FF2BEFF3630}"/>
    <cellStyle name="20% - Accent1 2 4 2 4 3" xfId="31296" xr:uid="{D27E811B-0DD0-4A23-AA87-72199E152153}"/>
    <cellStyle name="20% - Accent1 2 4 2 5" xfId="16432" xr:uid="{54980456-99DD-4385-BE8E-6235A1DA151B}"/>
    <cellStyle name="20% - Accent1 2 4 2 5 2" xfId="31298" xr:uid="{57A76D3D-77EC-44B3-901D-731D9714A6E8}"/>
    <cellStyle name="20% - Accent1 2 4 2 6" xfId="31283" xr:uid="{CAC5FE0F-6C09-4445-AE99-8BD881E9FDD3}"/>
    <cellStyle name="20% - Accent1 2 4 3" xfId="1834" xr:uid="{F546DE56-B249-4E68-A3F7-30686B4C1A37}"/>
    <cellStyle name="20% - Accent1 2 4 3 2" xfId="5566" xr:uid="{DDABBA95-803B-4B08-88B6-C17C6CC83E5A}"/>
    <cellStyle name="20% - Accent1 2 4 3 2 2" xfId="13274" xr:uid="{CBB05890-F3B4-4951-9CBE-6CAC90563703}"/>
    <cellStyle name="20% - Accent1 2 4 3 2 2 2" xfId="28686" xr:uid="{CAB34129-00EF-4F41-8A0D-254050867032}"/>
    <cellStyle name="20% - Accent1 2 4 3 2 2 2 2" xfId="31302" xr:uid="{4C775327-C4CA-492F-900D-FC50705F04E2}"/>
    <cellStyle name="20% - Accent1 2 4 3 2 2 3" xfId="31301" xr:uid="{5072EFD6-174C-4228-BB53-A3310DCCDFC1}"/>
    <cellStyle name="20% - Accent1 2 4 3 2 3" xfId="20981" xr:uid="{63C1674A-0BB6-479A-8284-3BD634F0750A}"/>
    <cellStyle name="20% - Accent1 2 4 3 2 3 2" xfId="31303" xr:uid="{749F30B5-85F3-422D-9EFE-E061ADA8BE88}"/>
    <cellStyle name="20% - Accent1 2 4 3 2 4" xfId="31300" xr:uid="{6221D4B4-FD32-49C5-A942-F620DD2FBCCF}"/>
    <cellStyle name="20% - Accent1 2 4 3 3" xfId="9545" xr:uid="{D635E90A-E8BD-4DA6-AE96-6D5A9561726A}"/>
    <cellStyle name="20% - Accent1 2 4 3 3 2" xfId="24958" xr:uid="{B69C8974-BD4F-4722-B187-A50C63754159}"/>
    <cellStyle name="20% - Accent1 2 4 3 3 2 2" xfId="31305" xr:uid="{BA488BD1-123F-4EA5-8501-264F69D01BA3}"/>
    <cellStyle name="20% - Accent1 2 4 3 3 3" xfId="31304" xr:uid="{E9E52468-31D3-4CB2-B54B-FE86B1ED690A}"/>
    <cellStyle name="20% - Accent1 2 4 3 4" xfId="17253" xr:uid="{4173D0EF-2359-424C-A8B1-CF1206318CBF}"/>
    <cellStyle name="20% - Accent1 2 4 3 4 2" xfId="31306" xr:uid="{2F3644FE-BE00-4B4F-9C66-C5A364E88554}"/>
    <cellStyle name="20% - Accent1 2 4 3 5" xfId="31299" xr:uid="{01CD62BF-A6F4-4A8B-A01D-1D60324C23CD}"/>
    <cellStyle name="20% - Accent1 2 4 4" xfId="4087" xr:uid="{7B354C59-B7DD-4A3D-A42E-296061520AC0}"/>
    <cellStyle name="20% - Accent1 2 4 4 2" xfId="11795" xr:uid="{0D30FB8D-05F3-431D-A035-511717D06D8F}"/>
    <cellStyle name="20% - Accent1 2 4 4 2 2" xfId="27207" xr:uid="{C5EABA18-78E0-4BDD-9BC8-918176F4CEFD}"/>
    <cellStyle name="20% - Accent1 2 4 4 2 2 2" xfId="31309" xr:uid="{CE4E7820-8489-4961-A760-F55FDEF29E83}"/>
    <cellStyle name="20% - Accent1 2 4 4 2 3" xfId="31308" xr:uid="{7DFDEACE-7E66-4CCF-B5B7-78940FA444A2}"/>
    <cellStyle name="20% - Accent1 2 4 4 3" xfId="19502" xr:uid="{C59C4469-43A2-4F2C-A4A0-8232145C8D43}"/>
    <cellStyle name="20% - Accent1 2 4 4 3 2" xfId="31310" xr:uid="{8A30A36B-FEC6-4676-B627-6D4393D45E9C}"/>
    <cellStyle name="20% - Accent1 2 4 4 4" xfId="31307" xr:uid="{776F9510-4F47-453C-9555-E3D24088A929}"/>
    <cellStyle name="20% - Accent1 2 4 5" xfId="8086" xr:uid="{EFC9A69B-2C4D-4A0C-B125-F15B807A151E}"/>
    <cellStyle name="20% - Accent1 2 4 5 2" xfId="23499" xr:uid="{43BBC18B-F328-4BF7-8518-0842D008C42B}"/>
    <cellStyle name="20% - Accent1 2 4 5 2 2" xfId="31312" xr:uid="{A8934EA7-820E-45E2-8F6D-BE68380A16DC}"/>
    <cellStyle name="20% - Accent1 2 4 5 3" xfId="31311" xr:uid="{B9AC0A06-8095-44F9-A2D8-E80348EC5430}"/>
    <cellStyle name="20% - Accent1 2 4 6" xfId="15794" xr:uid="{C653166E-9A67-4DF1-8B2C-E40E02F46420}"/>
    <cellStyle name="20% - Accent1 2 4 6 2" xfId="31313" xr:uid="{91A31176-4FAE-4D59-A7CA-F6D5AE1ED125}"/>
    <cellStyle name="20% - Accent1 2 4 7" xfId="31282" xr:uid="{45E422D7-443E-4FD6-AB8B-CC7CCD6B9B95}"/>
    <cellStyle name="20% - Accent1 2 5" xfId="785" xr:uid="{E22F84B3-BF74-4C54-966F-2AA0250A2D4B}"/>
    <cellStyle name="20% - Accent1 2 5 2" xfId="2274" xr:uid="{10E4D8B6-D032-4EE1-B87B-7A129C40A5C5}"/>
    <cellStyle name="20% - Accent1 2 5 2 2" xfId="6006" xr:uid="{4671CA86-DF1F-4FF3-8807-127CCDEC3456}"/>
    <cellStyle name="20% - Accent1 2 5 2 2 2" xfId="13714" xr:uid="{81F7DB93-E384-40B6-8773-8E6B838AE89F}"/>
    <cellStyle name="20% - Accent1 2 5 2 2 2 2" xfId="29126" xr:uid="{F7E6E765-41B8-46F1-A90A-62C3808A780D}"/>
    <cellStyle name="20% - Accent1 2 5 2 2 2 2 2" xfId="31318" xr:uid="{7EF3E19C-0423-4118-A51A-7CE9BD0D64D4}"/>
    <cellStyle name="20% - Accent1 2 5 2 2 2 3" xfId="31317" xr:uid="{4B5C1D04-7726-4E7A-8B7D-9190748E1532}"/>
    <cellStyle name="20% - Accent1 2 5 2 2 3" xfId="21421" xr:uid="{ECD9640D-06D3-4B28-BCF7-63B2AE67C0BA}"/>
    <cellStyle name="20% - Accent1 2 5 2 2 3 2" xfId="31319" xr:uid="{772C009D-62E5-46C3-BA41-A08239724242}"/>
    <cellStyle name="20% - Accent1 2 5 2 2 4" xfId="31316" xr:uid="{4BB87095-6B3A-49E9-805A-23A71F29DA3C}"/>
    <cellStyle name="20% - Accent1 2 5 2 3" xfId="9985" xr:uid="{EF34234D-4D6C-465B-AB71-2685FB105715}"/>
    <cellStyle name="20% - Accent1 2 5 2 3 2" xfId="25398" xr:uid="{BABE5F15-2E8C-495F-9AE8-01B7AB393366}"/>
    <cellStyle name="20% - Accent1 2 5 2 3 2 2" xfId="31321" xr:uid="{AD0D8ED5-497E-4665-910A-31AC05AF99B1}"/>
    <cellStyle name="20% - Accent1 2 5 2 3 3" xfId="31320" xr:uid="{22D3E4EF-744B-445E-91BF-0578FACBBD4E}"/>
    <cellStyle name="20% - Accent1 2 5 2 4" xfId="17693" xr:uid="{05746F43-D297-4C0C-B47C-98DD31177691}"/>
    <cellStyle name="20% - Accent1 2 5 2 4 2" xfId="31322" xr:uid="{564EE3B9-E9D4-4399-B22D-47A8DEDC8111}"/>
    <cellStyle name="20% - Accent1 2 5 2 5" xfId="31315" xr:uid="{4DACA88F-18DA-4823-AB42-336D816EA64F}"/>
    <cellStyle name="20% - Accent1 2 5 3" xfId="4529" xr:uid="{A678E959-43EC-4C8A-932E-DA45B104FBB3}"/>
    <cellStyle name="20% - Accent1 2 5 3 2" xfId="12237" xr:uid="{CF288EFA-CAA0-4489-A643-0D1D3751FDE7}"/>
    <cellStyle name="20% - Accent1 2 5 3 2 2" xfId="27649" xr:uid="{4C6EDD4C-EC67-4E94-8204-F212209C5086}"/>
    <cellStyle name="20% - Accent1 2 5 3 2 2 2" xfId="31325" xr:uid="{C3DA6A7F-CE80-4E1A-A946-79AEB59B7EAD}"/>
    <cellStyle name="20% - Accent1 2 5 3 2 3" xfId="31324" xr:uid="{08245F2C-A574-4BEF-896A-37D8E06BA509}"/>
    <cellStyle name="20% - Accent1 2 5 3 3" xfId="19944" xr:uid="{72CADEDF-03D7-4B4A-89C9-8D2CB0214FA2}"/>
    <cellStyle name="20% - Accent1 2 5 3 3 2" xfId="31326" xr:uid="{64D5E23B-EC29-4E95-9B5A-7A3231781EF7}"/>
    <cellStyle name="20% - Accent1 2 5 3 4" xfId="31323" xr:uid="{B2578CA9-1510-44AC-A195-D3BCAEFD8173}"/>
    <cellStyle name="20% - Accent1 2 5 4" xfId="8526" xr:uid="{DBC447F5-CFF3-4022-A066-FAF37EF037FE}"/>
    <cellStyle name="20% - Accent1 2 5 4 2" xfId="23939" xr:uid="{DFB615ED-6B90-4263-AB32-6F9D715BF47A}"/>
    <cellStyle name="20% - Accent1 2 5 4 2 2" xfId="31328" xr:uid="{2E320C31-6EC1-42D6-BA95-7B255352E37D}"/>
    <cellStyle name="20% - Accent1 2 5 4 3" xfId="31327" xr:uid="{EC3A55BF-A840-4DDB-969C-8BFA5A96CBD9}"/>
    <cellStyle name="20% - Accent1 2 5 5" xfId="16234" xr:uid="{297FF58F-3466-4FA8-8B51-3CC334FB45B7}"/>
    <cellStyle name="20% - Accent1 2 5 5 2" xfId="31329" xr:uid="{B7F80DC4-2781-46A7-9CF6-BE4F9480C85D}"/>
    <cellStyle name="20% - Accent1 2 5 6" xfId="31314" xr:uid="{8212508E-30B7-4C58-93C9-B854A999F81A}"/>
    <cellStyle name="20% - Accent1 2 6" xfId="1632" xr:uid="{70B7B1DF-4D4F-4D62-A80C-10288DB69ECD}"/>
    <cellStyle name="20% - Accent1 2 6 2" xfId="5366" xr:uid="{F7CCC387-057E-4B29-9786-DFDCA09F1E78}"/>
    <cellStyle name="20% - Accent1 2 6 2 2" xfId="13074" xr:uid="{65407BF1-186C-4AC9-9B3A-81DC5AC4C090}"/>
    <cellStyle name="20% - Accent1 2 6 2 2 2" xfId="28486" xr:uid="{3B484383-E63F-4BD9-921B-17BF48B29D81}"/>
    <cellStyle name="20% - Accent1 2 6 2 2 2 2" xfId="31333" xr:uid="{560487D5-440D-475B-BF11-9EE97BE649A3}"/>
    <cellStyle name="20% - Accent1 2 6 2 2 3" xfId="31332" xr:uid="{1C0B2263-C795-4257-8F5A-67516BF11376}"/>
    <cellStyle name="20% - Accent1 2 6 2 3" xfId="20781" xr:uid="{CB408577-F6DB-4AE8-9B79-41A01A4A4329}"/>
    <cellStyle name="20% - Accent1 2 6 2 3 2" xfId="31334" xr:uid="{19E49F33-0F9E-4F64-AC40-49557CB72B0F}"/>
    <cellStyle name="20% - Accent1 2 6 2 4" xfId="31331" xr:uid="{560C52A3-41D3-4C9F-9245-21A5A3398F39}"/>
    <cellStyle name="20% - Accent1 2 6 3" xfId="9347" xr:uid="{57FCD6A9-EA31-4749-8125-C8838986BC11}"/>
    <cellStyle name="20% - Accent1 2 6 3 2" xfId="24760" xr:uid="{63E6E08E-3BFF-485B-93E7-091500A9D484}"/>
    <cellStyle name="20% - Accent1 2 6 3 2 2" xfId="31336" xr:uid="{2910F3B0-42D0-4E7A-9517-44A493DD77B6}"/>
    <cellStyle name="20% - Accent1 2 6 3 3" xfId="31335" xr:uid="{7BCF7BBD-C05F-42CF-8C6A-D60DBFFF3EC5}"/>
    <cellStyle name="20% - Accent1 2 6 4" xfId="17055" xr:uid="{25FC2242-DABC-415B-970F-876EC994A6BB}"/>
    <cellStyle name="20% - Accent1 2 6 4 2" xfId="31337" xr:uid="{83CDA420-60DA-4485-98FC-7933FA07076B}"/>
    <cellStyle name="20% - Accent1 2 6 5" xfId="31330" xr:uid="{CC267164-9C3D-4676-B511-A7333BA4C7C7}"/>
    <cellStyle name="20% - Accent1 2 7" xfId="3876" xr:uid="{AC3DB4CB-809C-4626-A79C-17BAAF8B07DD}"/>
    <cellStyle name="20% - Accent1 2 7 2" xfId="11585" xr:uid="{9B4DE3E9-E99E-428B-B28B-7D656586D816}"/>
    <cellStyle name="20% - Accent1 2 7 2 2" xfId="26997" xr:uid="{29DC2777-81DA-4EAB-92CB-2D68DF7DE296}"/>
    <cellStyle name="20% - Accent1 2 7 2 2 2" xfId="31340" xr:uid="{4D98C36A-D582-4731-AFE3-8A772686BDAE}"/>
    <cellStyle name="20% - Accent1 2 7 2 3" xfId="31339" xr:uid="{8551D382-D522-491A-A840-A942FEFF53BF}"/>
    <cellStyle name="20% - Accent1 2 7 3" xfId="19292" xr:uid="{F78F6046-DD88-41EE-B4B4-D85D637FCEDB}"/>
    <cellStyle name="20% - Accent1 2 7 3 2" xfId="31341" xr:uid="{1CEA641C-C460-48DA-B755-DF579421D860}"/>
    <cellStyle name="20% - Accent1 2 7 4" xfId="31338" xr:uid="{EE84954E-D688-485D-984E-FEC952025E98}"/>
    <cellStyle name="20% - Accent1 2 8" xfId="7870" xr:uid="{9FBB1804-2CAA-4725-A09F-7C859B393F03}"/>
    <cellStyle name="20% - Accent1 2 8 2" xfId="23283" xr:uid="{1A2174BF-F07E-4718-8D4B-85120F80405E}"/>
    <cellStyle name="20% - Accent1 2 8 2 2" xfId="31343" xr:uid="{9CF3AC42-7A72-48A3-996A-FDCC63D43AC7}"/>
    <cellStyle name="20% - Accent1 2 8 3" xfId="31342" xr:uid="{D224B0E0-8A9D-44E5-8901-3D2C603C9953}"/>
    <cellStyle name="20% - Accent1 2 9" xfId="15578" xr:uid="{E8BFB693-11CA-4B31-97E3-BEDA85E3A0BA}"/>
    <cellStyle name="20% - Accent1 2 9 2" xfId="31344" xr:uid="{C9E79F33-E7F8-4813-9F42-63BFAEF5A21F}"/>
    <cellStyle name="20% - Accent1 20" xfId="3597" xr:uid="{562DCDC1-AD09-44AD-B954-39876AD4CE08}"/>
    <cellStyle name="20% - Accent1 20 2" xfId="7328" xr:uid="{91A47252-182E-4B11-9804-11EDC74AC92F}"/>
    <cellStyle name="20% - Accent1 20 2 2" xfId="15036" xr:uid="{F790A66F-2F3E-4F23-B419-3321B753A007}"/>
    <cellStyle name="20% - Accent1 20 2 2 2" xfId="30448" xr:uid="{7DBBE7B0-E487-46BE-B232-5B1616D21905}"/>
    <cellStyle name="20% - Accent1 20 2 2 2 2" xfId="31348" xr:uid="{6733A50F-1A9A-42CE-A574-074C4263CEE5}"/>
    <cellStyle name="20% - Accent1 20 2 2 3" xfId="31347" xr:uid="{EC749787-3E12-45EF-8580-3CB6FCBF5BBF}"/>
    <cellStyle name="20% - Accent1 20 2 3" xfId="22743" xr:uid="{96F2B8A9-165C-4693-8BF4-E00D2391A171}"/>
    <cellStyle name="20% - Accent1 20 2 3 2" xfId="31349" xr:uid="{4ADD17B7-BBC9-4CFB-BE79-876ABA84A523}"/>
    <cellStyle name="20% - Accent1 20 2 4" xfId="31346" xr:uid="{7295E840-4991-42B2-AABC-D6A5D536E4CA}"/>
    <cellStyle name="20% - Accent1 20 3" xfId="11307" xr:uid="{0740FDB9-503B-4F4E-9B60-E688A158B34A}"/>
    <cellStyle name="20% - Accent1 20 3 2" xfId="26720" xr:uid="{79CA78C3-9E14-470B-9F7D-2A0A54BC49D4}"/>
    <cellStyle name="20% - Accent1 20 3 2 2" xfId="31351" xr:uid="{8747AC76-2C14-4FFF-AAEF-233DD798E00E}"/>
    <cellStyle name="20% - Accent1 20 3 3" xfId="31350" xr:uid="{74E87FE4-0CC6-4C62-A55D-122F5EF31FDC}"/>
    <cellStyle name="20% - Accent1 20 4" xfId="19015" xr:uid="{7E20F481-984E-4A47-970D-5EC2671BC084}"/>
    <cellStyle name="20% - Accent1 20 4 2" xfId="31352" xr:uid="{92C20F1A-0ED9-4C3D-A104-A5C0CD9E034C}"/>
    <cellStyle name="20% - Accent1 20 5" xfId="31345" xr:uid="{10B9E871-6F9A-41F3-B3C0-92901961110E}"/>
    <cellStyle name="20% - Accent1 21" xfId="3617" xr:uid="{6CD3D41B-3523-4C3E-88A1-81DFE51C4065}"/>
    <cellStyle name="20% - Accent1 21 2" xfId="7348" xr:uid="{374F3723-7829-43B1-AB9F-3D8854CE5782}"/>
    <cellStyle name="20% - Accent1 21 2 2" xfId="15056" xr:uid="{CAE8805F-D475-49A1-B891-B810297BE520}"/>
    <cellStyle name="20% - Accent1 21 2 2 2" xfId="30468" xr:uid="{33F120A3-C825-4DEC-A4F6-DD6B6CBE4F94}"/>
    <cellStyle name="20% - Accent1 21 2 2 2 2" xfId="31356" xr:uid="{D1A58A84-68E1-4CD7-8110-FA383D8A1020}"/>
    <cellStyle name="20% - Accent1 21 2 2 3" xfId="31355" xr:uid="{F17C7406-24B2-4A84-8D09-2D7CFBDD8DB5}"/>
    <cellStyle name="20% - Accent1 21 2 3" xfId="22763" xr:uid="{AA3CCFDC-8895-440A-B021-99C964593EFC}"/>
    <cellStyle name="20% - Accent1 21 2 3 2" xfId="31357" xr:uid="{02CF37CA-6D16-491F-A743-A5B2D9626B4B}"/>
    <cellStyle name="20% - Accent1 21 2 4" xfId="31354" xr:uid="{246B500F-7CD8-489F-9125-0D4536DAF319}"/>
    <cellStyle name="20% - Accent1 21 3" xfId="11327" xr:uid="{A8A02DE1-D942-4F19-BB8D-710B2019CE13}"/>
    <cellStyle name="20% - Accent1 21 3 2" xfId="26740" xr:uid="{7E85EB91-219C-4451-98B8-165C85945FAB}"/>
    <cellStyle name="20% - Accent1 21 3 2 2" xfId="31359" xr:uid="{6A081A34-AAAE-4BD1-A5B7-78F51D8E4AB4}"/>
    <cellStyle name="20% - Accent1 21 3 3" xfId="31358" xr:uid="{D382D205-73D0-4609-B91B-EB83781A1A9A}"/>
    <cellStyle name="20% - Accent1 21 4" xfId="19035" xr:uid="{A24478E8-0C0B-4780-99A6-DDF3810DD3A1}"/>
    <cellStyle name="20% - Accent1 21 4 2" xfId="31360" xr:uid="{EACC57FA-2AD6-4577-B07C-AE3F8BDA986E}"/>
    <cellStyle name="20% - Accent1 21 5" xfId="31353" xr:uid="{EFA5301A-C067-4F7E-8274-5144364B2314}"/>
    <cellStyle name="20% - Accent1 22" xfId="3637" xr:uid="{8F1E1BD8-19C6-4AF8-A156-E311D619771F}"/>
    <cellStyle name="20% - Accent1 22 2" xfId="7368" xr:uid="{5C5E5A43-6B0B-40EC-A1B9-A36A02B35EE5}"/>
    <cellStyle name="20% - Accent1 22 2 2" xfId="15076" xr:uid="{87E88621-7127-4A7E-AAD6-F74173AD41BB}"/>
    <cellStyle name="20% - Accent1 22 2 2 2" xfId="30488" xr:uid="{B4D8B5E2-3384-4044-86C9-51E32C3305CB}"/>
    <cellStyle name="20% - Accent1 22 2 2 2 2" xfId="31364" xr:uid="{BF890B95-1AD0-4D65-A04F-6542E5A5E137}"/>
    <cellStyle name="20% - Accent1 22 2 2 3" xfId="31363" xr:uid="{EA80328A-53DE-415C-9B2C-9912C1EAF68E}"/>
    <cellStyle name="20% - Accent1 22 2 3" xfId="22783" xr:uid="{F312D645-57E4-4344-94AD-EEDDC48F40C8}"/>
    <cellStyle name="20% - Accent1 22 2 3 2" xfId="31365" xr:uid="{BB4E4328-E5D2-4C88-9FA3-DAAA3322804B}"/>
    <cellStyle name="20% - Accent1 22 2 4" xfId="31362" xr:uid="{8B750462-13EA-45A8-8C60-C952E7363ECC}"/>
    <cellStyle name="20% - Accent1 22 3" xfId="11347" xr:uid="{57B82C87-1BB0-48AF-B69C-D18BEEC191BB}"/>
    <cellStyle name="20% - Accent1 22 3 2" xfId="26760" xr:uid="{231A4DA9-B8AB-43A4-B02B-160B0E82102E}"/>
    <cellStyle name="20% - Accent1 22 3 2 2" xfId="31367" xr:uid="{662FF382-FE83-4DBF-9327-E756760CCE49}"/>
    <cellStyle name="20% - Accent1 22 3 3" xfId="31366" xr:uid="{705E7FFC-B567-4FD8-BCD9-32B0D93F07FC}"/>
    <cellStyle name="20% - Accent1 22 4" xfId="19055" xr:uid="{1E065C79-8070-478C-8043-E29F5218C675}"/>
    <cellStyle name="20% - Accent1 22 4 2" xfId="31368" xr:uid="{ED7FEEE7-D85E-4C30-B382-1586DE4BA271}"/>
    <cellStyle name="20% - Accent1 22 5" xfId="31361" xr:uid="{C0C020E0-9E64-4457-B5B7-C96889B64887}"/>
    <cellStyle name="20% - Accent1 23" xfId="3657" xr:uid="{CBAF3946-0283-4AA1-A858-6E596A4B0F8B}"/>
    <cellStyle name="20% - Accent1 23 2" xfId="7388" xr:uid="{CB6E5F57-10E0-4094-83F4-D1404F6DD276}"/>
    <cellStyle name="20% - Accent1 23 2 2" xfId="15096" xr:uid="{B9E33CDE-1DAA-478F-8FE4-A665BA80E1DE}"/>
    <cellStyle name="20% - Accent1 23 2 2 2" xfId="30508" xr:uid="{C6A0462E-3816-463A-88DE-6B8BDCDCE7F3}"/>
    <cellStyle name="20% - Accent1 23 2 2 2 2" xfId="31372" xr:uid="{4FD3DCCD-9F8E-4449-948D-F818C7E0543C}"/>
    <cellStyle name="20% - Accent1 23 2 2 3" xfId="31371" xr:uid="{E30C66C5-41BC-4433-BB1B-927C4F50223D}"/>
    <cellStyle name="20% - Accent1 23 2 3" xfId="22803" xr:uid="{B46B5F4C-E88E-4E1F-9013-5DB0FC2BB644}"/>
    <cellStyle name="20% - Accent1 23 2 3 2" xfId="31373" xr:uid="{C166B0B5-7B4A-42DF-B4D0-0423D688A3BF}"/>
    <cellStyle name="20% - Accent1 23 2 4" xfId="31370" xr:uid="{0DD665E3-DFE1-49C9-986E-8E54AE230CF6}"/>
    <cellStyle name="20% - Accent1 23 3" xfId="11367" xr:uid="{EF51B53C-C6F8-48DB-97B8-19AC548CC99C}"/>
    <cellStyle name="20% - Accent1 23 3 2" xfId="26780" xr:uid="{C35EEBDD-E21C-402F-B14F-3A782F46CD19}"/>
    <cellStyle name="20% - Accent1 23 3 2 2" xfId="31375" xr:uid="{A81BADBF-B0AF-4F68-AC23-D51C169C3E48}"/>
    <cellStyle name="20% - Accent1 23 3 3" xfId="31374" xr:uid="{4DBB4597-88F5-49AB-AB2D-0F95A33DE587}"/>
    <cellStyle name="20% - Accent1 23 4" xfId="19075" xr:uid="{67133CCC-F03C-4E73-AA25-4828A822E712}"/>
    <cellStyle name="20% - Accent1 23 4 2" xfId="31376" xr:uid="{842DFB38-D270-4035-9BB2-90D961D3841B}"/>
    <cellStyle name="20% - Accent1 23 5" xfId="31369" xr:uid="{8EC3CCDB-5552-4F62-B8BD-4F6D74A0C0B1}"/>
    <cellStyle name="20% - Accent1 24" xfId="3677" xr:uid="{7BA2AEF3-30AC-429F-A713-4E6CCC54EA11}"/>
    <cellStyle name="20% - Accent1 24 2" xfId="7408" xr:uid="{0EE9A8A1-899F-47F6-9E4F-5F8A293F5340}"/>
    <cellStyle name="20% - Accent1 24 2 2" xfId="15116" xr:uid="{A0F52160-4209-4999-83A4-3949AF32B675}"/>
    <cellStyle name="20% - Accent1 24 2 2 2" xfId="30528" xr:uid="{FC6728E7-E4B6-41E4-9EFA-3C0E005071D5}"/>
    <cellStyle name="20% - Accent1 24 2 2 2 2" xfId="31380" xr:uid="{F61CB7AD-9AEC-4327-8AB3-78F16248E689}"/>
    <cellStyle name="20% - Accent1 24 2 2 3" xfId="31379" xr:uid="{A94ECD07-9714-4A9E-938F-FFD93CACBCBA}"/>
    <cellStyle name="20% - Accent1 24 2 3" xfId="22823" xr:uid="{7C64FC12-453E-481A-A3C8-D286ED1BBD85}"/>
    <cellStyle name="20% - Accent1 24 2 3 2" xfId="31381" xr:uid="{10C6020A-FE40-45C9-82D2-84009ACAD81B}"/>
    <cellStyle name="20% - Accent1 24 2 4" xfId="31378" xr:uid="{F3E2B74F-42CA-4BBF-9B05-293832F72549}"/>
    <cellStyle name="20% - Accent1 24 3" xfId="11387" xr:uid="{5077F89E-B784-4EB2-8278-0042B692F26D}"/>
    <cellStyle name="20% - Accent1 24 3 2" xfId="26800" xr:uid="{EEE33DAE-57C4-4E2E-8DEB-078F1B8C9583}"/>
    <cellStyle name="20% - Accent1 24 3 2 2" xfId="31383" xr:uid="{D48FB190-68C8-44FA-9454-359E4AC6656A}"/>
    <cellStyle name="20% - Accent1 24 3 3" xfId="31382" xr:uid="{BE645B34-7055-4C63-B75C-650FC4F800A8}"/>
    <cellStyle name="20% - Accent1 24 4" xfId="19095" xr:uid="{79A4F979-BD6B-4DBB-B831-FA317BFBC316}"/>
    <cellStyle name="20% - Accent1 24 4 2" xfId="31384" xr:uid="{EE130AFD-4BFD-4975-9913-D83A412317FD}"/>
    <cellStyle name="20% - Accent1 24 5" xfId="31377" xr:uid="{A22793F3-989A-4EF3-90C9-4347117ACEA2}"/>
    <cellStyle name="20% - Accent1 25" xfId="3697" xr:uid="{D04F2F75-F06C-466D-8EA1-1CA6AE0423E8}"/>
    <cellStyle name="20% - Accent1 25 2" xfId="7428" xr:uid="{F523E00D-FABC-49B2-B5D1-65E8A5F71BE9}"/>
    <cellStyle name="20% - Accent1 25 2 2" xfId="15136" xr:uid="{874BD6AA-E442-42EC-A52D-6E663CC16C7B}"/>
    <cellStyle name="20% - Accent1 25 2 2 2" xfId="30548" xr:uid="{A84DDC20-69E4-4644-B6F5-3EDDD9DE8F2E}"/>
    <cellStyle name="20% - Accent1 25 2 2 2 2" xfId="31388" xr:uid="{7EB73430-99FC-44AE-A13A-071F5A596EFE}"/>
    <cellStyle name="20% - Accent1 25 2 2 3" xfId="31387" xr:uid="{D0C5A4C4-1FED-4AA4-88FA-09263A911D2F}"/>
    <cellStyle name="20% - Accent1 25 2 3" xfId="22843" xr:uid="{FF24E1FC-FF9B-45E7-A6EA-1AE965F9E05A}"/>
    <cellStyle name="20% - Accent1 25 2 3 2" xfId="31389" xr:uid="{E320E63F-DB13-45C1-A7C3-E9C6C55EC603}"/>
    <cellStyle name="20% - Accent1 25 2 4" xfId="31386" xr:uid="{B4831F89-4930-44B5-AA94-B07E71293CB8}"/>
    <cellStyle name="20% - Accent1 25 3" xfId="11407" xr:uid="{4BB82F3F-2832-46DC-A4ED-B5858AF51AB2}"/>
    <cellStyle name="20% - Accent1 25 3 2" xfId="26820" xr:uid="{D9495B6C-EB94-4D95-B6F8-5138A56F2889}"/>
    <cellStyle name="20% - Accent1 25 3 2 2" xfId="31391" xr:uid="{E039C00D-83B4-432A-9EFA-C2A75A4E4DB0}"/>
    <cellStyle name="20% - Accent1 25 3 3" xfId="31390" xr:uid="{42EA0FEF-DC7F-4C52-BA81-68056871FE79}"/>
    <cellStyle name="20% - Accent1 25 4" xfId="19115" xr:uid="{22C24636-0CF3-4164-B428-A2FCE2E1DB53}"/>
    <cellStyle name="20% - Accent1 25 4 2" xfId="31392" xr:uid="{DFAE8B04-DB00-47A8-B4EE-35A65666AE5B}"/>
    <cellStyle name="20% - Accent1 25 5" xfId="31385" xr:uid="{523AB53B-B3FB-44BD-A1E8-3950C236C545}"/>
    <cellStyle name="20% - Accent1 26" xfId="3717" xr:uid="{D7897C02-81A3-4529-BFF2-711353CB3514}"/>
    <cellStyle name="20% - Accent1 26 2" xfId="7448" xr:uid="{DBC3581A-E902-4713-B3C4-9E8AF34C6259}"/>
    <cellStyle name="20% - Accent1 26 2 2" xfId="15156" xr:uid="{C0119014-87A2-4617-8DB9-EFE56B23B061}"/>
    <cellStyle name="20% - Accent1 26 2 2 2" xfId="30568" xr:uid="{E5EBEB8C-A2C5-4F72-BF44-9DF466C35A98}"/>
    <cellStyle name="20% - Accent1 26 2 2 2 2" xfId="31396" xr:uid="{8B8C57D4-1A33-483D-9448-94F1C93FE00C}"/>
    <cellStyle name="20% - Accent1 26 2 2 3" xfId="31395" xr:uid="{C156DAA2-CC8F-41B0-AFB7-72F4256B00E6}"/>
    <cellStyle name="20% - Accent1 26 2 3" xfId="22863" xr:uid="{FD04598D-7406-42C2-9240-D387EB499CFF}"/>
    <cellStyle name="20% - Accent1 26 2 3 2" xfId="31397" xr:uid="{71133AD1-AAB6-414E-B530-FD0682927DBA}"/>
    <cellStyle name="20% - Accent1 26 2 4" xfId="31394" xr:uid="{1C3832CB-D330-49AC-AB9E-FFE5D56AE4E6}"/>
    <cellStyle name="20% - Accent1 26 3" xfId="11427" xr:uid="{B79A825E-DC5C-4FB7-8192-DCD81464D467}"/>
    <cellStyle name="20% - Accent1 26 3 2" xfId="26840" xr:uid="{FAF5B3E9-EA92-4E9A-BAC0-3271D726D4C6}"/>
    <cellStyle name="20% - Accent1 26 3 2 2" xfId="31399" xr:uid="{D8A85380-7F1D-4553-AED4-126A8D62747D}"/>
    <cellStyle name="20% - Accent1 26 3 3" xfId="31398" xr:uid="{EF46EF5D-4489-4A5F-83A7-7278F1261149}"/>
    <cellStyle name="20% - Accent1 26 4" xfId="19135" xr:uid="{7657FF0F-F9B7-43D5-8823-D1AA380492F2}"/>
    <cellStyle name="20% - Accent1 26 4 2" xfId="31400" xr:uid="{36C154B3-C603-4B2C-9B65-339FDD5387F0}"/>
    <cellStyle name="20% - Accent1 26 5" xfId="31393" xr:uid="{B4ABE568-AAA6-479A-B51B-4D62D2903513}"/>
    <cellStyle name="20% - Accent1 27" xfId="3737" xr:uid="{5D290A34-E15B-4B6D-B25D-97E64B41F745}"/>
    <cellStyle name="20% - Accent1 27 2" xfId="7468" xr:uid="{994464D7-84A6-4719-9592-97BFAF146CFB}"/>
    <cellStyle name="20% - Accent1 27 2 2" xfId="15176" xr:uid="{C746F1D6-7E2D-45E9-9519-7A73CF1E6F34}"/>
    <cellStyle name="20% - Accent1 27 2 2 2" xfId="30588" xr:uid="{2877BA73-3192-476B-89B1-DDB4CD90CF43}"/>
    <cellStyle name="20% - Accent1 27 2 2 2 2" xfId="31404" xr:uid="{8ECA1956-64B9-480F-AD71-E6414E208736}"/>
    <cellStyle name="20% - Accent1 27 2 2 3" xfId="31403" xr:uid="{D740B789-EFDA-4DD5-8A5D-72435E13BBE9}"/>
    <cellStyle name="20% - Accent1 27 2 3" xfId="22883" xr:uid="{1B639453-A462-4202-9D38-3FB514052B38}"/>
    <cellStyle name="20% - Accent1 27 2 3 2" xfId="31405" xr:uid="{7B0F27A5-85C7-4EA0-81F9-2ED0A8785FA6}"/>
    <cellStyle name="20% - Accent1 27 2 4" xfId="31402" xr:uid="{BAE97F82-5BF1-480E-BC2D-57BC3124A554}"/>
    <cellStyle name="20% - Accent1 27 3" xfId="11447" xr:uid="{028309FC-0AA9-4E42-8072-8D39E6A7698F}"/>
    <cellStyle name="20% - Accent1 27 3 2" xfId="26860" xr:uid="{63B2A57D-CD0B-41AE-A427-E56EE73E3FAF}"/>
    <cellStyle name="20% - Accent1 27 3 2 2" xfId="31407" xr:uid="{4838308C-BB33-4C18-B686-FD02DCADB49B}"/>
    <cellStyle name="20% - Accent1 27 3 3" xfId="31406" xr:uid="{BEF3DBAC-777C-4BBA-864B-F8BD8A5F042B}"/>
    <cellStyle name="20% - Accent1 27 4" xfId="19155" xr:uid="{2776A940-9D57-4DE6-AE67-508B37A3B321}"/>
    <cellStyle name="20% - Accent1 27 4 2" xfId="31408" xr:uid="{E8E782DC-3B24-4CE6-BC9C-35E07E87A59D}"/>
    <cellStyle name="20% - Accent1 27 5" xfId="31401" xr:uid="{C2533DCE-4289-4D48-B3BF-CE8A5D5FEFD2}"/>
    <cellStyle name="20% - Accent1 28" xfId="3757" xr:uid="{12165171-227F-4753-BF9F-5E27EC7A2E54}"/>
    <cellStyle name="20% - Accent1 28 2" xfId="7488" xr:uid="{AAC6DFB2-5FFF-4AFD-9EC9-82411C92211F}"/>
    <cellStyle name="20% - Accent1 28 2 2" xfId="15196" xr:uid="{9F4D82D6-41C6-473A-8D39-AF6B4B9DC60B}"/>
    <cellStyle name="20% - Accent1 28 2 2 2" xfId="30608" xr:uid="{5D8E8F50-8A13-4331-A699-5A4FEF38353C}"/>
    <cellStyle name="20% - Accent1 28 2 2 2 2" xfId="31412" xr:uid="{AFBB7F82-6ED8-4B0F-AC97-DCBD40A6F6D1}"/>
    <cellStyle name="20% - Accent1 28 2 2 3" xfId="31411" xr:uid="{6DB0347A-BA7D-466A-8281-A75E1DA4F124}"/>
    <cellStyle name="20% - Accent1 28 2 3" xfId="22903" xr:uid="{659253E2-E612-42D5-B9F4-224BEB611ABC}"/>
    <cellStyle name="20% - Accent1 28 2 3 2" xfId="31413" xr:uid="{559CA53A-C720-4A90-843E-B216FB45F5EA}"/>
    <cellStyle name="20% - Accent1 28 2 4" xfId="31410" xr:uid="{0A841991-49D2-47A1-8CF7-34D586DF58EC}"/>
    <cellStyle name="20% - Accent1 28 3" xfId="11467" xr:uid="{CCE253E5-6A73-421E-A0C1-B238DB252689}"/>
    <cellStyle name="20% - Accent1 28 3 2" xfId="26880" xr:uid="{00B3E358-7040-4198-8153-3E4A19947918}"/>
    <cellStyle name="20% - Accent1 28 3 2 2" xfId="31415" xr:uid="{983BE077-5DDF-49B9-BF57-AF4FCDA50363}"/>
    <cellStyle name="20% - Accent1 28 3 3" xfId="31414" xr:uid="{D90ABECD-A385-442C-A8B8-7D727D7F4466}"/>
    <cellStyle name="20% - Accent1 28 4" xfId="19175" xr:uid="{82F9A536-7AED-45A0-9628-A9A54177D5BF}"/>
    <cellStyle name="20% - Accent1 28 4 2" xfId="31416" xr:uid="{21177C05-642E-40CE-9591-64B3D6DCFD49}"/>
    <cellStyle name="20% - Accent1 28 5" xfId="31409" xr:uid="{5FA72D26-DD54-4D2E-AF1B-9FB41906EC4F}"/>
    <cellStyle name="20% - Accent1 29" xfId="3777" xr:uid="{0A19ED2F-B801-43BA-AACE-BCC78E366359}"/>
    <cellStyle name="20% - Accent1 29 2" xfId="7508" xr:uid="{1998FE9E-D78D-48B3-8CE6-8D3B3DA414EE}"/>
    <cellStyle name="20% - Accent1 29 2 2" xfId="15216" xr:uid="{83DEC480-8E0D-47FD-902E-3764693CB5A5}"/>
    <cellStyle name="20% - Accent1 29 2 2 2" xfId="30628" xr:uid="{DD907B03-9B23-40D6-BB95-6931821F8AE1}"/>
    <cellStyle name="20% - Accent1 29 2 2 2 2" xfId="31420" xr:uid="{FBD20700-9AD8-4673-97D6-B82E11EB976A}"/>
    <cellStyle name="20% - Accent1 29 2 2 3" xfId="31419" xr:uid="{73A6DC9F-96BF-4F31-A2B9-B012EE317AE2}"/>
    <cellStyle name="20% - Accent1 29 2 3" xfId="22923" xr:uid="{2731C074-5120-49C4-AAA8-F6A6ED72AF39}"/>
    <cellStyle name="20% - Accent1 29 2 3 2" xfId="31421" xr:uid="{FB40EA5F-9DE5-4F23-8BC9-6AB3996DF6C2}"/>
    <cellStyle name="20% - Accent1 29 2 4" xfId="31418" xr:uid="{3BA1C5CB-E522-4079-A5D7-1EF5D8BCA046}"/>
    <cellStyle name="20% - Accent1 29 3" xfId="11487" xr:uid="{2EA78DB0-2417-4CD5-B796-F9DCE2569AA3}"/>
    <cellStyle name="20% - Accent1 29 3 2" xfId="26900" xr:uid="{57D62F16-C0BB-4135-B13C-06B999CE47D9}"/>
    <cellStyle name="20% - Accent1 29 3 2 2" xfId="31423" xr:uid="{70A79755-0EFC-48A0-84F7-B7DD27F5F6CB}"/>
    <cellStyle name="20% - Accent1 29 3 3" xfId="31422" xr:uid="{773B3714-220B-417D-96E6-2ACF7546CC41}"/>
    <cellStyle name="20% - Accent1 29 4" xfId="19195" xr:uid="{E0249F51-9490-4789-AC64-D9C0DE979976}"/>
    <cellStyle name="20% - Accent1 29 4 2" xfId="31424" xr:uid="{BAE11A99-09FC-4A7F-AEE6-5F75B77FC71E}"/>
    <cellStyle name="20% - Accent1 29 5" xfId="31417" xr:uid="{B7C107D5-6096-4664-A6C6-C131B34552C2}"/>
    <cellStyle name="20% - Accent1 3" xfId="320" xr:uid="{FB483834-F912-46AB-8205-8D04756029EC}"/>
    <cellStyle name="20% - Accent1 3 2" xfId="984" xr:uid="{C3171B5E-CD93-4B5D-BDD8-B0AA39874166}"/>
    <cellStyle name="20% - Accent1 3 2 2" xfId="2454" xr:uid="{513A7079-23A7-4BBD-A8E1-65162BC7BC1C}"/>
    <cellStyle name="20% - Accent1 3 2 2 2" xfId="6186" xr:uid="{2F1B0745-FCEB-4232-B723-FEFC49ADF4F8}"/>
    <cellStyle name="20% - Accent1 3 2 2 2 2" xfId="13894" xr:uid="{9D984F05-98A4-4E64-9E78-10A71DBAE309}"/>
    <cellStyle name="20% - Accent1 3 2 2 2 2 2" xfId="29306" xr:uid="{120279AF-478A-46D8-9879-1412774B80CB}"/>
    <cellStyle name="20% - Accent1 3 2 2 2 2 2 2" xfId="31430" xr:uid="{C351B67C-F825-4545-81B2-BA101CD7953F}"/>
    <cellStyle name="20% - Accent1 3 2 2 2 2 3" xfId="31429" xr:uid="{2929AFF6-D13E-4C0F-93EF-7869DDB3ECDD}"/>
    <cellStyle name="20% - Accent1 3 2 2 2 3" xfId="21601" xr:uid="{03E9C94A-610A-4AD4-8643-9921BDB36714}"/>
    <cellStyle name="20% - Accent1 3 2 2 2 3 2" xfId="31431" xr:uid="{8025D02B-B798-40D8-A113-C3F72C79CF65}"/>
    <cellStyle name="20% - Accent1 3 2 2 2 4" xfId="31428" xr:uid="{ED6CB021-5236-4578-A79D-A3CBEB73DC2A}"/>
    <cellStyle name="20% - Accent1 3 2 2 3" xfId="10165" xr:uid="{71DF4B8A-4B69-4C45-BA99-B85FB8124125}"/>
    <cellStyle name="20% - Accent1 3 2 2 3 2" xfId="25578" xr:uid="{8D0D377E-DBCA-4D93-94B0-444163F8DBDD}"/>
    <cellStyle name="20% - Accent1 3 2 2 3 2 2" xfId="31433" xr:uid="{036F9DAE-885D-4928-9093-DD470AF98F65}"/>
    <cellStyle name="20% - Accent1 3 2 2 3 3" xfId="31432" xr:uid="{ADA64E8B-4109-4204-8A51-4B43429A219A}"/>
    <cellStyle name="20% - Accent1 3 2 2 4" xfId="17873" xr:uid="{F98A4BA1-A1A9-4467-B951-B5FDE83CE4DE}"/>
    <cellStyle name="20% - Accent1 3 2 2 4 2" xfId="31434" xr:uid="{BBB1CE7D-BB29-4AA1-B202-4670E7065D95}"/>
    <cellStyle name="20% - Accent1 3 2 2 5" xfId="31427" xr:uid="{C99D37B7-7A54-4C95-96EE-538E1D9A5BBF}"/>
    <cellStyle name="20% - Accent1 3 2 3" xfId="4721" xr:uid="{600A3C2B-2A7E-44C0-999B-B4B59A44303D}"/>
    <cellStyle name="20% - Accent1 3 2 3 2" xfId="12429" xr:uid="{F7B2F08B-E995-4AD5-B5DA-FB72DBBBFA9F}"/>
    <cellStyle name="20% - Accent1 3 2 3 2 2" xfId="27841" xr:uid="{44EDB940-B18E-4073-86E3-1A2603E3A074}"/>
    <cellStyle name="20% - Accent1 3 2 3 2 2 2" xfId="31437" xr:uid="{F9519B50-1536-446D-B01C-3BEC427C3816}"/>
    <cellStyle name="20% - Accent1 3 2 3 2 3" xfId="31436" xr:uid="{F109FCE5-D3F9-4A2C-A20A-CD09CFD74FC5}"/>
    <cellStyle name="20% - Accent1 3 2 3 3" xfId="20136" xr:uid="{55737478-15D4-42C2-A6DA-D3966001451D}"/>
    <cellStyle name="20% - Accent1 3 2 3 3 2" xfId="31438" xr:uid="{4B498BC9-02FD-45D7-BDEA-C4E076F2B751}"/>
    <cellStyle name="20% - Accent1 3 2 3 4" xfId="31435" xr:uid="{2899822D-407F-4C67-A0D5-BAB564449844}"/>
    <cellStyle name="20% - Accent1 3 2 4" xfId="8706" xr:uid="{F32A02EE-956A-46DC-9829-938E89438B8F}"/>
    <cellStyle name="20% - Accent1 3 2 4 2" xfId="24119" xr:uid="{08690415-7781-40B5-A973-54E1FF855778}"/>
    <cellStyle name="20% - Accent1 3 2 4 2 2" xfId="31440" xr:uid="{DB9C364E-E406-4776-B5FE-049AE3EB005F}"/>
    <cellStyle name="20% - Accent1 3 2 4 3" xfId="31439" xr:uid="{6F211035-6D72-4CFD-91AF-0FC84B8E0E5A}"/>
    <cellStyle name="20% - Accent1 3 2 5" xfId="16414" xr:uid="{F2BD18B3-D551-4826-B3E0-E5AD9C09E8A2}"/>
    <cellStyle name="20% - Accent1 3 2 5 2" xfId="31441" xr:uid="{06E0D9B5-668D-4BFF-80A9-010B3C9D4535}"/>
    <cellStyle name="20% - Accent1 3 2 6" xfId="31426" xr:uid="{A05BCE5E-FA38-4382-BF6F-EAD54402B4BE}"/>
    <cellStyle name="20% - Accent1 3 3" xfId="1816" xr:uid="{01C912B2-016A-4121-A9D3-06018D72FFE2}"/>
    <cellStyle name="20% - Accent1 3 3 2" xfId="5548" xr:uid="{2E8ADFDF-5022-4360-912D-3F7638E1C7CC}"/>
    <cellStyle name="20% - Accent1 3 3 2 2" xfId="13256" xr:uid="{7BBC85C6-7593-4250-841F-8CB46A748D19}"/>
    <cellStyle name="20% - Accent1 3 3 2 2 2" xfId="28668" xr:uid="{E64A5A14-4A73-4C0C-BDB3-95E572768ADC}"/>
    <cellStyle name="20% - Accent1 3 3 2 2 2 2" xfId="31445" xr:uid="{FB81B6D1-B2EF-4F8E-9DCC-56B51D29BDE7}"/>
    <cellStyle name="20% - Accent1 3 3 2 2 3" xfId="31444" xr:uid="{4DF3DE00-45FE-46BA-A1CC-3CBC8C6C8EA6}"/>
    <cellStyle name="20% - Accent1 3 3 2 3" xfId="20963" xr:uid="{418CFDCC-2DC8-4F7C-9E07-9D5EAEC33969}"/>
    <cellStyle name="20% - Accent1 3 3 2 3 2" xfId="31446" xr:uid="{61C35959-59FE-4386-BE27-147FF0658B29}"/>
    <cellStyle name="20% - Accent1 3 3 2 4" xfId="31443" xr:uid="{13C8D09E-50E0-41FC-A461-7C4B1F12DAD5}"/>
    <cellStyle name="20% - Accent1 3 3 3" xfId="9527" xr:uid="{EB24071F-2992-4726-B0E2-5AE3F1CA4FE2}"/>
    <cellStyle name="20% - Accent1 3 3 3 2" xfId="24940" xr:uid="{34A542B8-8D68-4099-B9C3-0D4F483B901A}"/>
    <cellStyle name="20% - Accent1 3 3 3 2 2" xfId="31448" xr:uid="{AE4CDBD0-560A-42DC-BB98-CBC563E8A9EC}"/>
    <cellStyle name="20% - Accent1 3 3 3 3" xfId="31447" xr:uid="{931AB3D0-7556-43FC-8921-F1F827E337D8}"/>
    <cellStyle name="20% - Accent1 3 3 4" xfId="17235" xr:uid="{D6FADD44-EA28-47E9-8AEB-4B73C1CDF78B}"/>
    <cellStyle name="20% - Accent1 3 3 4 2" xfId="31449" xr:uid="{E947A92B-F0E3-4FA7-9AA4-44DA8BF942D9}"/>
    <cellStyle name="20% - Accent1 3 3 5" xfId="31442" xr:uid="{1391E2EE-A0DC-4E1E-B539-C7CBF21189C0}"/>
    <cellStyle name="20% - Accent1 3 4" xfId="4069" xr:uid="{2F4FA95A-6C02-4349-A029-A424EC845DBE}"/>
    <cellStyle name="20% - Accent1 3 4 2" xfId="11777" xr:uid="{09DEDB6E-2527-4F7A-B868-FE5EE5275172}"/>
    <cellStyle name="20% - Accent1 3 4 2 2" xfId="27189" xr:uid="{484850F2-2DB1-42E3-BA78-F10AE87B3AEB}"/>
    <cellStyle name="20% - Accent1 3 4 2 2 2" xfId="31452" xr:uid="{FCABD8F6-F29D-427D-8353-FBDEAAB86ED5}"/>
    <cellStyle name="20% - Accent1 3 4 2 3" xfId="31451" xr:uid="{21BB3FC8-1A22-44DC-A2D3-42C2C36E4956}"/>
    <cellStyle name="20% - Accent1 3 4 3" xfId="19484" xr:uid="{F335B38C-7584-4F9B-9D3F-FD560F2FF4A9}"/>
    <cellStyle name="20% - Accent1 3 4 3 2" xfId="31453" xr:uid="{0E24BFD3-EDAD-4656-89B6-D3715EF7D9C7}"/>
    <cellStyle name="20% - Accent1 3 4 4" xfId="31450" xr:uid="{27B50279-4DC4-4319-BA9C-EEE588E3F38D}"/>
    <cellStyle name="20% - Accent1 3 5" xfId="8068" xr:uid="{4547E658-4C6F-4EF5-8D63-2F18B36C8B18}"/>
    <cellStyle name="20% - Accent1 3 5 2" xfId="23481" xr:uid="{811ECD73-7894-4F8C-89D6-59416F331CA9}"/>
    <cellStyle name="20% - Accent1 3 5 2 2" xfId="31455" xr:uid="{FBDB8433-B09E-4297-B94B-BB92CF00FA99}"/>
    <cellStyle name="20% - Accent1 3 5 3" xfId="31454" xr:uid="{429DC9A4-5FF0-4259-815E-F1310CF20FAA}"/>
    <cellStyle name="20% - Accent1 3 6" xfId="15776" xr:uid="{BEEACA71-934D-493C-B955-1FE61DC1F94E}"/>
    <cellStyle name="20% - Accent1 3 6 2" xfId="31456" xr:uid="{87F216B9-2E99-4EEF-AD23-5A9BFEA18316}"/>
    <cellStyle name="20% - Accent1 3 7" xfId="31425" xr:uid="{6E346C3C-8482-4231-9321-21A5F382AF0D}"/>
    <cellStyle name="20% - Accent1 30" xfId="3797" xr:uid="{F95E9775-3B92-45AF-8C5F-4C349CEEBC44}"/>
    <cellStyle name="20% - Accent1 30 2" xfId="7528" xr:uid="{B7C46905-5DB0-485E-94C5-D82BC2D29E59}"/>
    <cellStyle name="20% - Accent1 30 2 2" xfId="15236" xr:uid="{42CBDF3A-7514-4B38-A4E0-34CE1793AC3D}"/>
    <cellStyle name="20% - Accent1 30 2 2 2" xfId="30648" xr:uid="{9049153A-7FA1-4BD5-A2D0-ABF5AE9C5B16}"/>
    <cellStyle name="20% - Accent1 30 2 2 2 2" xfId="31460" xr:uid="{E81F3719-C3D6-4064-9CDA-7FEA5F10480B}"/>
    <cellStyle name="20% - Accent1 30 2 2 3" xfId="31459" xr:uid="{C2AE6119-5145-468A-8212-4034E44E119B}"/>
    <cellStyle name="20% - Accent1 30 2 3" xfId="22943" xr:uid="{ADF03C4D-6B28-4C4E-ADCE-3997F2F10818}"/>
    <cellStyle name="20% - Accent1 30 2 3 2" xfId="31461" xr:uid="{03DB95B5-388B-4F67-B3A7-F48350FE1D9A}"/>
    <cellStyle name="20% - Accent1 30 2 4" xfId="31458" xr:uid="{F770838A-AE4F-42C9-B3D5-92BCEF49AAFA}"/>
    <cellStyle name="20% - Accent1 30 3" xfId="11507" xr:uid="{7C80526D-CFFC-4DD7-99C3-51A8FD96D62C}"/>
    <cellStyle name="20% - Accent1 30 3 2" xfId="26920" xr:uid="{D1E7C44D-95D6-46B7-BA89-276D71C2FCC3}"/>
    <cellStyle name="20% - Accent1 30 3 2 2" xfId="31463" xr:uid="{688C0881-3FB7-4403-BB8A-FE8E8D11AFA5}"/>
    <cellStyle name="20% - Accent1 30 3 3" xfId="31462" xr:uid="{1CB51DDC-1BB5-4AF9-8417-CB3EEAF4253B}"/>
    <cellStyle name="20% - Accent1 30 4" xfId="19215" xr:uid="{2358B67F-7E79-4F48-A5C9-FB5B5EF7A8DA}"/>
    <cellStyle name="20% - Accent1 30 4 2" xfId="31464" xr:uid="{4EEAD9BE-E854-43D7-87DE-24E70FB9B9E9}"/>
    <cellStyle name="20% - Accent1 30 5" xfId="31457" xr:uid="{DCC9950B-5C38-4BDD-9C3F-2547FA32CDB2}"/>
    <cellStyle name="20% - Accent1 31" xfId="3817" xr:uid="{B0ADF7E8-F634-4E93-A449-8BE708D8B38D}"/>
    <cellStyle name="20% - Accent1 31 2" xfId="7548" xr:uid="{FCB314D2-69B8-4AC3-A91B-6FB6A30B1BCE}"/>
    <cellStyle name="20% - Accent1 31 2 2" xfId="15256" xr:uid="{24B06452-1879-4289-A2E2-53092E6C9DDE}"/>
    <cellStyle name="20% - Accent1 31 2 2 2" xfId="30668" xr:uid="{F83C17EB-BA1E-4E98-A022-120D28CC1D6B}"/>
    <cellStyle name="20% - Accent1 31 2 2 2 2" xfId="31468" xr:uid="{5648DD9B-206A-46EF-8A87-76184E9AC58D}"/>
    <cellStyle name="20% - Accent1 31 2 2 3" xfId="31467" xr:uid="{62EEBC1C-B98A-4D6A-AEE5-DAA3B6E32F1E}"/>
    <cellStyle name="20% - Accent1 31 2 3" xfId="22963" xr:uid="{629247B9-A03F-46EA-AB71-26F699671614}"/>
    <cellStyle name="20% - Accent1 31 2 3 2" xfId="31469" xr:uid="{7AC525ED-8827-4855-A0FA-A9F0AC7CACF5}"/>
    <cellStyle name="20% - Accent1 31 2 4" xfId="31466" xr:uid="{D2358411-46D4-41FE-B1CD-1AD0896648CF}"/>
    <cellStyle name="20% - Accent1 31 3" xfId="11527" xr:uid="{ABC2C9D6-8DBF-4BE8-985B-DC295DE82F5D}"/>
    <cellStyle name="20% - Accent1 31 3 2" xfId="26940" xr:uid="{62E3A85C-ED1C-49C5-A226-92058E773834}"/>
    <cellStyle name="20% - Accent1 31 3 2 2" xfId="31471" xr:uid="{CE9ACC36-0614-43FC-9B59-8577CB10E6E6}"/>
    <cellStyle name="20% - Accent1 31 3 3" xfId="31470" xr:uid="{17FB4B57-D688-4672-829A-54095E7F0BF3}"/>
    <cellStyle name="20% - Accent1 31 4" xfId="19235" xr:uid="{0DDD2A52-6372-4DA1-91F0-1F65AC473ABA}"/>
    <cellStyle name="20% - Accent1 31 4 2" xfId="31472" xr:uid="{4236CDD0-4601-40CD-ADC9-B14760C08A0B}"/>
    <cellStyle name="20% - Accent1 31 5" xfId="31465" xr:uid="{1D4EC58E-3A3B-4488-9466-C39B8209B90E}"/>
    <cellStyle name="20% - Accent1 32" xfId="3838" xr:uid="{BA7E5FF6-AB98-469B-BAD8-474D20CD3BD7}"/>
    <cellStyle name="20% - Accent1 32 2" xfId="7568" xr:uid="{EC0CD28E-1C38-4D96-91D5-27F91D9E8438}"/>
    <cellStyle name="20% - Accent1 32 2 2" xfId="15276" xr:uid="{FC69ED48-0108-4D79-98A4-1985254EAF97}"/>
    <cellStyle name="20% - Accent1 32 2 2 2" xfId="30688" xr:uid="{65E89374-25D8-4520-B6D6-EC340578F0D4}"/>
    <cellStyle name="20% - Accent1 32 2 2 2 2" xfId="31476" xr:uid="{3ED85787-1048-49FE-88DC-0CC389C8A713}"/>
    <cellStyle name="20% - Accent1 32 2 2 3" xfId="31475" xr:uid="{6BE4C10B-9A93-4275-9063-5616DC2FD3D0}"/>
    <cellStyle name="20% - Accent1 32 2 3" xfId="22983" xr:uid="{1629975F-40FA-4940-9B29-D07FCA7BA9CD}"/>
    <cellStyle name="20% - Accent1 32 2 3 2" xfId="31477" xr:uid="{F9A3EF72-FFC6-46E0-96B5-02E6774A41C4}"/>
    <cellStyle name="20% - Accent1 32 2 4" xfId="31474" xr:uid="{1C80FE8F-8130-46D6-AE36-0AC2869CA036}"/>
    <cellStyle name="20% - Accent1 32 3" xfId="11548" xr:uid="{ECDAAF4F-31A5-40A0-A324-C33468454115}"/>
    <cellStyle name="20% - Accent1 32 3 2" xfId="26960" xr:uid="{DA683DF4-09C9-4045-8541-5F4D9B418715}"/>
    <cellStyle name="20% - Accent1 32 3 2 2" xfId="31479" xr:uid="{D418072E-E451-4C02-80B4-FEF3BFBB9D96}"/>
    <cellStyle name="20% - Accent1 32 3 3" xfId="31478" xr:uid="{ADEE5AFC-2574-4FD6-B0B3-CBC8FD469732}"/>
    <cellStyle name="20% - Accent1 32 4" xfId="19255" xr:uid="{64A83D28-A15B-4D3F-8857-038D2A26D9A5}"/>
    <cellStyle name="20% - Accent1 32 4 2" xfId="31480" xr:uid="{55BF4667-1D05-4C04-9025-AF6CBB301E38}"/>
    <cellStyle name="20% - Accent1 32 5" xfId="31473" xr:uid="{90704371-15EE-4F5D-AF7C-F6E11D37360A}"/>
    <cellStyle name="20% - Accent1 33" xfId="3857" xr:uid="{33C1A9DA-3687-4A54-A7BA-E6F9BE6FA25E}"/>
    <cellStyle name="20% - Accent1 33 2" xfId="11567" xr:uid="{A0DFF191-C302-436A-8845-00BE241B5CDE}"/>
    <cellStyle name="20% - Accent1 33 2 2" xfId="26979" xr:uid="{653D8BDC-F54D-4D6E-949F-7096D7351375}"/>
    <cellStyle name="20% - Accent1 33 2 2 2" xfId="31483" xr:uid="{0A2F2DD1-831C-4BBE-A9CD-00D771F73040}"/>
    <cellStyle name="20% - Accent1 33 2 3" xfId="31482" xr:uid="{556448E9-15EF-4EB5-89CE-63DA49940455}"/>
    <cellStyle name="20% - Accent1 33 3" xfId="19274" xr:uid="{C040F6C5-08C2-4A7E-A4DD-98ACF05D3FCB}"/>
    <cellStyle name="20% - Accent1 33 3 2" xfId="31484" xr:uid="{B4D3DA99-CD27-473E-97B0-9AD6CCA0DD07}"/>
    <cellStyle name="20% - Accent1 33 4" xfId="31481" xr:uid="{25889174-410E-4319-9930-08AEE3D79CC8}"/>
    <cellStyle name="20% - Accent1 34" xfId="7588" xr:uid="{DCDDE789-102C-49DE-A7E9-8C10932A70F7}"/>
    <cellStyle name="20% - Accent1 34 2" xfId="15296" xr:uid="{AAC80FBF-48D4-4AD8-8948-37CA05AE09CF}"/>
    <cellStyle name="20% - Accent1 34 2 2" xfId="30708" xr:uid="{16F00CA6-5B95-4016-BBBD-61A0BB446E69}"/>
    <cellStyle name="20% - Accent1 34 2 2 2" xfId="31487" xr:uid="{2E140272-7FA6-4089-AD94-34A202398001}"/>
    <cellStyle name="20% - Accent1 34 2 3" xfId="31486" xr:uid="{0238331C-1755-4824-813F-0C4D28C4C235}"/>
    <cellStyle name="20% - Accent1 34 3" xfId="23003" xr:uid="{2EDB7E80-1FF7-4A48-81DD-FF0B2F78075F}"/>
    <cellStyle name="20% - Accent1 34 3 2" xfId="31488" xr:uid="{64552BA1-F12A-4C19-83CB-4FF49AAF20DF}"/>
    <cellStyle name="20% - Accent1 34 4" xfId="31485" xr:uid="{51ED3D07-A784-45FB-BD69-77BB461A6E40}"/>
    <cellStyle name="20% - Accent1 35" xfId="7608" xr:uid="{FA1317F7-C539-4384-BADB-4138AC1D0D81}"/>
    <cellStyle name="20% - Accent1 35 2" xfId="15316" xr:uid="{A8534953-0343-4D81-9A3E-9A7589D680EB}"/>
    <cellStyle name="20% - Accent1 35 2 2" xfId="30728" xr:uid="{7B515B77-35E6-41FD-A050-7648FBFBBF73}"/>
    <cellStyle name="20% - Accent1 35 2 2 2" xfId="31491" xr:uid="{EF6C65F6-84E1-4901-910E-DEC49DFB01CE}"/>
    <cellStyle name="20% - Accent1 35 2 3" xfId="31490" xr:uid="{28456EB0-B9BD-466E-AC6B-0AAEB8564CF6}"/>
    <cellStyle name="20% - Accent1 35 3" xfId="23023" xr:uid="{B1A56EE1-7584-4207-B542-F7744FACD41F}"/>
    <cellStyle name="20% - Accent1 35 3 2" xfId="31492" xr:uid="{6595EA32-B9A7-4B54-9177-163ED49ED4EF}"/>
    <cellStyle name="20% - Accent1 35 4" xfId="31489" xr:uid="{7FA46154-80C0-4575-A9C5-B1B7CC968B76}"/>
    <cellStyle name="20% - Accent1 36" xfId="7628" xr:uid="{4A785DA8-C9A5-4D75-88E1-6250647E1E17}"/>
    <cellStyle name="20% - Accent1 36 2" xfId="15336" xr:uid="{71BD5F37-E10B-4FA7-B7FF-5279AD4CFC3F}"/>
    <cellStyle name="20% - Accent1 36 2 2" xfId="30748" xr:uid="{A4DB49FB-EE66-43B4-BE06-293B841519BF}"/>
    <cellStyle name="20% - Accent1 36 2 2 2" xfId="31495" xr:uid="{7E778675-2651-4289-998F-B02F31F0C1DD}"/>
    <cellStyle name="20% - Accent1 36 2 3" xfId="31494" xr:uid="{77227985-D7D6-4968-9BDE-C27C62719BA8}"/>
    <cellStyle name="20% - Accent1 36 3" xfId="23043" xr:uid="{A5006BA9-DC78-441F-B660-FFCFF6914C8A}"/>
    <cellStyle name="20% - Accent1 36 3 2" xfId="31496" xr:uid="{44966394-5BF5-40B2-9176-9DDC998D5FC7}"/>
    <cellStyle name="20% - Accent1 36 4" xfId="31493" xr:uid="{F26C5601-54EF-4F37-AFFB-644A86BD7893}"/>
    <cellStyle name="20% - Accent1 37" xfId="7648" xr:uid="{32B832D6-5E8D-468D-9895-D05418ED3792}"/>
    <cellStyle name="20% - Accent1 37 2" xfId="15356" xr:uid="{4C58F53E-53EE-431D-B659-3449DF7C7CD5}"/>
    <cellStyle name="20% - Accent1 37 2 2" xfId="30768" xr:uid="{B4278168-3121-4E49-9FD5-8B3618D61355}"/>
    <cellStyle name="20% - Accent1 37 2 2 2" xfId="31499" xr:uid="{9C6839EB-B96D-450F-AE5E-4F9703582088}"/>
    <cellStyle name="20% - Accent1 37 2 3" xfId="31498" xr:uid="{9ED4E9B9-B3CB-430D-A664-12BF3B07F648}"/>
    <cellStyle name="20% - Accent1 37 3" xfId="23063" xr:uid="{7C9DDF97-696E-4821-9D1C-DF58FF17E49F}"/>
    <cellStyle name="20% - Accent1 37 3 2" xfId="31500" xr:uid="{4128F82C-9D78-4F50-A2A0-55F2DC20094F}"/>
    <cellStyle name="20% - Accent1 37 4" xfId="31497" xr:uid="{87A6FE3A-E86B-4109-ACB9-1FAB93B84478}"/>
    <cellStyle name="20% - Accent1 38" xfId="7668" xr:uid="{723FDC3A-BA8C-4A43-98EF-6BF1BA443E22}"/>
    <cellStyle name="20% - Accent1 38 2" xfId="15376" xr:uid="{B48F3BCB-1598-4570-A9CA-713044084FF6}"/>
    <cellStyle name="20% - Accent1 38 2 2" xfId="30788" xr:uid="{0CE34AAC-4F15-4055-8B3D-AC555C72FE26}"/>
    <cellStyle name="20% - Accent1 38 2 2 2" xfId="31503" xr:uid="{DB465A10-255C-430E-A897-4BF952425B25}"/>
    <cellStyle name="20% - Accent1 38 2 3" xfId="31502" xr:uid="{17336FF5-911C-414C-BD85-1AB71039C377}"/>
    <cellStyle name="20% - Accent1 38 3" xfId="23083" xr:uid="{87C13E06-C0FE-462E-9147-A2E448964EAA}"/>
    <cellStyle name="20% - Accent1 38 3 2" xfId="31504" xr:uid="{1E8D8767-274A-4C4D-8C62-64FCDB034685}"/>
    <cellStyle name="20% - Accent1 38 4" xfId="31501" xr:uid="{327E28AF-4694-4C42-8026-887ABEBC5679}"/>
    <cellStyle name="20% - Accent1 39" xfId="7688" xr:uid="{5CFB8E9F-ED3C-4AFA-BF8F-D88ED8882AC1}"/>
    <cellStyle name="20% - Accent1 39 2" xfId="15396" xr:uid="{3FEE67B0-01A2-4ED8-91F0-16819C7C2394}"/>
    <cellStyle name="20% - Accent1 39 2 2" xfId="30808" xr:uid="{8A37390C-5A7A-4B61-9648-DC998344D34F}"/>
    <cellStyle name="20% - Accent1 39 2 2 2" xfId="31507" xr:uid="{009826DF-4AF3-46AB-87B8-D6DAFD210D18}"/>
    <cellStyle name="20% - Accent1 39 2 3" xfId="31506" xr:uid="{A5CF4223-4736-4F75-8CF0-F531115D49FD}"/>
    <cellStyle name="20% - Accent1 39 3" xfId="23103" xr:uid="{A8DEF4F6-E7C8-409F-8DFE-E1455928B5E5}"/>
    <cellStyle name="20% - Accent1 39 3 2" xfId="31508" xr:uid="{4BE8C180-9BF2-4ED2-9D7B-51CFEF7C114D}"/>
    <cellStyle name="20% - Accent1 39 4" xfId="31505" xr:uid="{E8AB0B0B-741D-437F-BBD0-5F4CEE6064F8}"/>
    <cellStyle name="20% - Accent1 4" xfId="1613" xr:uid="{FD371C15-7238-4908-96DF-8805BAD54054}"/>
    <cellStyle name="20% - Accent1 4 2" xfId="5348" xr:uid="{6B2B0513-C273-44CA-B983-1FBE722B2809}"/>
    <cellStyle name="20% - Accent1 4 2 2" xfId="13056" xr:uid="{BC6DEFBE-F2AA-4AAB-905F-E73448B667A6}"/>
    <cellStyle name="20% - Accent1 4 2 2 2" xfId="28468" xr:uid="{6108148A-2CCB-462F-B990-5E16138B6418}"/>
    <cellStyle name="20% - Accent1 4 2 2 2 2" xfId="31512" xr:uid="{3C962411-E063-48A3-A730-62C5BED40D9A}"/>
    <cellStyle name="20% - Accent1 4 2 2 3" xfId="31511" xr:uid="{33B273CA-5918-4EE0-A193-A771F0AB1421}"/>
    <cellStyle name="20% - Accent1 4 2 3" xfId="20763" xr:uid="{213E984B-B4AF-4063-AF23-816B2A78ECD4}"/>
    <cellStyle name="20% - Accent1 4 2 3 2" xfId="31513" xr:uid="{3BCD8A49-89FF-41E0-B13C-3C4852595251}"/>
    <cellStyle name="20% - Accent1 4 2 4" xfId="31510" xr:uid="{15223930-0C43-4896-AABD-E2258AF62FD4}"/>
    <cellStyle name="20% - Accent1 4 3" xfId="9329" xr:uid="{74D85BC3-31E7-4CDE-9A72-B7B58A586F5D}"/>
    <cellStyle name="20% - Accent1 4 3 2" xfId="24742" xr:uid="{E26C7D65-2C13-4C7D-8236-EA3B36FA8187}"/>
    <cellStyle name="20% - Accent1 4 3 2 2" xfId="31515" xr:uid="{C586922D-12F9-4EB2-AC89-4308AAC5154B}"/>
    <cellStyle name="20% - Accent1 4 3 3" xfId="31514" xr:uid="{44EB1B5F-AE5F-4381-B2F1-4001F6AA86BA}"/>
    <cellStyle name="20% - Accent1 4 4" xfId="17037" xr:uid="{E171AAF7-24CC-42CF-A2FE-FA931B3EC3E2}"/>
    <cellStyle name="20% - Accent1 4 4 2" xfId="31516" xr:uid="{7D004D86-B0AD-4A81-B1A2-DEF54AC28EEE}"/>
    <cellStyle name="20% - Accent1 4 5" xfId="31509" xr:uid="{664988DC-CEE5-4D8D-BBF2-E339A93A3177}"/>
    <cellStyle name="20% - Accent1 40" xfId="7708" xr:uid="{C7428C19-65FE-43F9-9E60-A14DDB43D621}"/>
    <cellStyle name="20% - Accent1 40 2" xfId="15416" xr:uid="{754E0591-F1FB-4DCC-931D-74CEFB31CEDA}"/>
    <cellStyle name="20% - Accent1 40 2 2" xfId="30828" xr:uid="{AC360205-A6A2-400A-91B5-886069D577AA}"/>
    <cellStyle name="20% - Accent1 40 2 2 2" xfId="31519" xr:uid="{0D51E605-CEF6-467F-B605-52A3072C410F}"/>
    <cellStyle name="20% - Accent1 40 2 3" xfId="31518" xr:uid="{0AF889D9-E5C9-4E1F-BF98-328172D36BCF}"/>
    <cellStyle name="20% - Accent1 40 3" xfId="23123" xr:uid="{205087A4-36FA-4AB9-AB98-BF444525BDAB}"/>
    <cellStyle name="20% - Accent1 40 3 2" xfId="31520" xr:uid="{4A29BD48-EF8C-49AF-A9CB-47EFB6292718}"/>
    <cellStyle name="20% - Accent1 40 4" xfId="31517" xr:uid="{67710BA3-10E6-496F-84F4-5B29E0B759BB}"/>
    <cellStyle name="20% - Accent1 41" xfId="7728" xr:uid="{B0917126-2DEC-4D10-A3A9-FF3B9661AAF4}"/>
    <cellStyle name="20% - Accent1 41 2" xfId="15436" xr:uid="{0273879B-DF89-4825-B425-8D3464F51A3A}"/>
    <cellStyle name="20% - Accent1 41 2 2" xfId="30848" xr:uid="{3EA55C11-0DB1-4C1D-9B4A-18547F32EDFA}"/>
    <cellStyle name="20% - Accent1 41 2 2 2" xfId="31523" xr:uid="{40CD4CA3-B9B2-4111-9023-490BAE5EE9E8}"/>
    <cellStyle name="20% - Accent1 41 2 3" xfId="31522" xr:uid="{FE6DAA6A-9479-46B7-83CD-0D2EB83A27F6}"/>
    <cellStyle name="20% - Accent1 41 3" xfId="23143" xr:uid="{070A5712-ACC8-4E07-BDE7-9094B236C5C3}"/>
    <cellStyle name="20% - Accent1 41 3 2" xfId="31524" xr:uid="{9CBF4D2B-6456-49DF-9D59-0548E36F609A}"/>
    <cellStyle name="20% - Accent1 41 4" xfId="31521" xr:uid="{DA28C897-5D00-4E31-B810-A9E15E167F8A}"/>
    <cellStyle name="20% - Accent1 42" xfId="7748" xr:uid="{F68908ED-1D60-4F5B-B6F6-2A6351517488}"/>
    <cellStyle name="20% - Accent1 42 2" xfId="15456" xr:uid="{9A5635CB-3C61-4407-86E0-EFDA4B80CD40}"/>
    <cellStyle name="20% - Accent1 42 2 2" xfId="30868" xr:uid="{BDDFC779-E38C-4885-86E8-BD6508E72F13}"/>
    <cellStyle name="20% - Accent1 42 2 2 2" xfId="31527" xr:uid="{C731541F-2877-42D7-9F10-38A967C741A5}"/>
    <cellStyle name="20% - Accent1 42 2 3" xfId="31526" xr:uid="{E8F956A1-FABC-466F-9977-E019D1AB90DF}"/>
    <cellStyle name="20% - Accent1 42 3" xfId="23163" xr:uid="{742976B8-8E2E-48E2-A7FE-B7D12FBCA21F}"/>
    <cellStyle name="20% - Accent1 42 3 2" xfId="31528" xr:uid="{5076B403-5B82-41E6-8083-7D4BDAA8542D}"/>
    <cellStyle name="20% - Accent1 42 4" xfId="31525" xr:uid="{6861D466-7563-4797-97E8-4DE4EB842132}"/>
    <cellStyle name="20% - Accent1 43" xfId="7768" xr:uid="{F16814DB-9F4C-4350-921B-05CFDB32F5E2}"/>
    <cellStyle name="20% - Accent1 43 2" xfId="15476" xr:uid="{7DD6BE9B-79AD-4477-8A96-2FAAC55176D8}"/>
    <cellStyle name="20% - Accent1 43 2 2" xfId="30888" xr:uid="{C691B1FB-9727-43AC-9591-5BCBAC47FFCA}"/>
    <cellStyle name="20% - Accent1 43 2 2 2" xfId="31531" xr:uid="{F17DEB49-77C2-456C-92CB-21E88A3A7D13}"/>
    <cellStyle name="20% - Accent1 43 2 3" xfId="31530" xr:uid="{1D8716F2-89A3-44D6-A443-9131813553DD}"/>
    <cellStyle name="20% - Accent1 43 3" xfId="23183" xr:uid="{5FC837A0-C4DA-4D65-98A3-8A251C91E897}"/>
    <cellStyle name="20% - Accent1 43 3 2" xfId="31532" xr:uid="{A2D011A7-A335-4491-BD6C-AFAC26F7252B}"/>
    <cellStyle name="20% - Accent1 43 4" xfId="31529" xr:uid="{BB6D8ECE-A827-4880-ABCB-C6E3E61B5C95}"/>
    <cellStyle name="20% - Accent1 44" xfId="7788" xr:uid="{435F60BA-4A48-4384-9CB6-AAA97BF5EC2D}"/>
    <cellStyle name="20% - Accent1 44 2" xfId="15496" xr:uid="{575D753E-3BB2-4D2E-AAA6-87CC6D504963}"/>
    <cellStyle name="20% - Accent1 44 2 2" xfId="30908" xr:uid="{9CA859F7-3702-4470-A1A0-3265F79D38DF}"/>
    <cellStyle name="20% - Accent1 44 2 2 2" xfId="31535" xr:uid="{D3EACD02-80E9-4688-BF29-EE959AFCBBCC}"/>
    <cellStyle name="20% - Accent1 44 2 3" xfId="31534" xr:uid="{E3D684D1-803D-4912-AF02-EF01E2DCED4E}"/>
    <cellStyle name="20% - Accent1 44 3" xfId="23203" xr:uid="{C3829E6D-49CC-4811-97CA-0468365B6DF4}"/>
    <cellStyle name="20% - Accent1 44 3 2" xfId="31536" xr:uid="{6B67F6D9-3043-4A4A-8E98-70AA704B54BA}"/>
    <cellStyle name="20% - Accent1 44 4" xfId="31533" xr:uid="{55E63D5F-BF7A-4BA0-9D88-4DDC9E395334}"/>
    <cellStyle name="20% - Accent1 45" xfId="7810" xr:uid="{65327E9A-2858-41C1-8B7F-05BE7FC3AC69}"/>
    <cellStyle name="20% - Accent1 45 2" xfId="15518" xr:uid="{71DC60DB-52D4-4B74-A84F-CF00E0BE6EE0}"/>
    <cellStyle name="20% - Accent1 45 2 2" xfId="30930" xr:uid="{33B2CAEE-0898-4191-9A94-1CA08576BB1B}"/>
    <cellStyle name="20% - Accent1 45 2 2 2" xfId="31539" xr:uid="{E2951061-AE1E-49A6-A48F-58B539869855}"/>
    <cellStyle name="20% - Accent1 45 2 3" xfId="31538" xr:uid="{D41451EF-BED6-43EC-A89F-FCBD2243CD3E}"/>
    <cellStyle name="20% - Accent1 45 3" xfId="23225" xr:uid="{0470331E-1A3A-41D6-A35A-28CE0C1DCD9E}"/>
    <cellStyle name="20% - Accent1 45 3 2" xfId="31540" xr:uid="{113DCABC-D3D2-4632-9574-542B356E1F19}"/>
    <cellStyle name="20% - Accent1 45 4" xfId="31537" xr:uid="{BC9FE023-9CF2-4D94-A04E-C5E1069B8202}"/>
    <cellStyle name="20% - Accent1 46" xfId="7831" xr:uid="{6A5501AE-3320-403A-9F4E-C0DD13508C53}"/>
    <cellStyle name="20% - Accent1 46 2" xfId="15539" xr:uid="{747B7B5D-AD0D-47EC-B962-7ECAAA8FE5C0}"/>
    <cellStyle name="20% - Accent1 46 2 2" xfId="30950" xr:uid="{8BCBD38B-03BD-4E38-9974-A5C7CB4A24D8}"/>
    <cellStyle name="20% - Accent1 46 2 2 2" xfId="31543" xr:uid="{FC7EAAF0-BF8E-4897-91E3-B804B5743C2E}"/>
    <cellStyle name="20% - Accent1 46 2 3" xfId="31542" xr:uid="{AFA3A0BC-3954-4D51-88EC-6C66BE2558A3}"/>
    <cellStyle name="20% - Accent1 46 3" xfId="23245" xr:uid="{290C4086-E05C-403D-8718-B18CF6864C37}"/>
    <cellStyle name="20% - Accent1 46 3 2" xfId="31544" xr:uid="{DC0DAD17-748A-43B1-9B12-C845E81E4904}"/>
    <cellStyle name="20% - Accent1 46 4" xfId="31541" xr:uid="{EC7C895C-0E7F-44B0-84A2-10E4F7213855}"/>
    <cellStyle name="20% - Accent1 47" xfId="7851" xr:uid="{73DF8C80-B6E3-483E-8913-99F5D376D719}"/>
    <cellStyle name="20% - Accent1 47 2" xfId="15559" xr:uid="{5B2751A7-F2A4-47A7-9E41-169100C06E45}"/>
    <cellStyle name="20% - Accent1 47 2 2" xfId="30970" xr:uid="{8F43C379-B327-4712-A346-46AC04664A4C}"/>
    <cellStyle name="20% - Accent1 47 2 2 2" xfId="31547" xr:uid="{260F0332-C40E-457B-A1E5-A0826D7F9292}"/>
    <cellStyle name="20% - Accent1 47 2 3" xfId="31546" xr:uid="{5A02EA46-FE7F-423F-9838-DB35878C4951}"/>
    <cellStyle name="20% - Accent1 47 3" xfId="23265" xr:uid="{4D123A6F-358A-4F65-B8E7-AE234A62C9DA}"/>
    <cellStyle name="20% - Accent1 47 3 2" xfId="31548" xr:uid="{055EB1DD-E897-47B0-95D4-7DF5C8647766}"/>
    <cellStyle name="20% - Accent1 47 4" xfId="31545" xr:uid="{81DBDEB7-EFA4-41BF-9B76-EB4CA05BFF5F}"/>
    <cellStyle name="20% - Accent1 48" xfId="7904" xr:uid="{A95C9C7D-5DA6-4EB0-ADE9-A7527C58CD89}"/>
    <cellStyle name="20% - Accent1 48 2" xfId="23317" xr:uid="{1FE6C228-B461-443E-B3F3-DC8AC3824044}"/>
    <cellStyle name="20% - Accent1 48 2 2" xfId="31550" xr:uid="{E7B5FC17-1AE0-48B3-9D00-1C29AF1F1EA7}"/>
    <cellStyle name="20% - Accent1 48 3" xfId="31549" xr:uid="{88996DC2-C9EF-43D5-A3A1-9D108738821F}"/>
    <cellStyle name="20% - Accent1 49" xfId="15612" xr:uid="{0748D334-86FD-4410-91A4-D536206CA18F}"/>
    <cellStyle name="20% - Accent1 49 2" xfId="31551" xr:uid="{2A58F85C-A987-406F-ACAB-E818866EBBB8}"/>
    <cellStyle name="20% - Accent1 5" xfId="3296" xr:uid="{D9E43FD0-AD40-45A5-A6AE-F21FE57A2972}"/>
    <cellStyle name="20% - Accent1 5 2" xfId="7028" xr:uid="{6BF0DBDF-10FD-481C-891F-B27155D9B16F}"/>
    <cellStyle name="20% - Accent1 5 2 2" xfId="14736" xr:uid="{C889D6DA-7CFA-493A-BD86-CC58DAF4AD68}"/>
    <cellStyle name="20% - Accent1 5 2 2 2" xfId="30148" xr:uid="{EDFE1D52-26E5-43F6-A1C3-194B22D9D1A3}"/>
    <cellStyle name="20% - Accent1 5 2 2 2 2" xfId="31555" xr:uid="{862A03C2-68C0-43C6-AD06-22230D6CABF6}"/>
    <cellStyle name="20% - Accent1 5 2 2 3" xfId="31554" xr:uid="{C82A972D-552E-402E-B96D-F7143F9E4300}"/>
    <cellStyle name="20% - Accent1 5 2 3" xfId="22443" xr:uid="{23E85EDD-F0AD-46D4-AF59-BBF272E2283F}"/>
    <cellStyle name="20% - Accent1 5 2 3 2" xfId="31556" xr:uid="{57F9E9A8-3D22-4E08-BF62-B9C3C6609B3E}"/>
    <cellStyle name="20% - Accent1 5 2 4" xfId="31553" xr:uid="{EABB9D56-68E5-4300-A162-32499DE12C55}"/>
    <cellStyle name="20% - Accent1 5 3" xfId="11007" xr:uid="{BF01FD5E-9F86-4BCE-B53F-2E521DD22131}"/>
    <cellStyle name="20% - Accent1 5 3 2" xfId="26420" xr:uid="{894359D9-252B-41BB-A692-FBEC5E56E4BF}"/>
    <cellStyle name="20% - Accent1 5 3 2 2" xfId="31558" xr:uid="{B7FBF89B-BDE7-4F0E-9D3A-BC0AC0859334}"/>
    <cellStyle name="20% - Accent1 5 3 3" xfId="31557" xr:uid="{DB11B82D-3CA0-4AAD-94D8-82CB41C99CCC}"/>
    <cellStyle name="20% - Accent1 5 4" xfId="18715" xr:uid="{68B0CCA3-459F-459F-A137-327A226A8FF8}"/>
    <cellStyle name="20% - Accent1 5 4 2" xfId="31559" xr:uid="{E053D34E-CD6F-4234-8A9C-A49313E937B0}"/>
    <cellStyle name="20% - Accent1 5 5" xfId="31552" xr:uid="{9CC5C486-E434-4DC9-94D0-BFA4AE0F4121}"/>
    <cellStyle name="20% - Accent1 50" xfId="30990" xr:uid="{A920E065-5D56-448F-B2FC-A934CB56C506}"/>
    <cellStyle name="20% - Accent1 50 2" xfId="31560" xr:uid="{B1C53070-144E-47AE-AA79-7DAB52F20BDB}"/>
    <cellStyle name="20% - Accent1 51" xfId="31008" xr:uid="{1C217CE9-4034-4BCE-8244-54900ADB8DDA}"/>
    <cellStyle name="20% - Accent1 52" xfId="61970" xr:uid="{16A4872B-1E95-4E5C-81E3-5C45E9E14B4E}"/>
    <cellStyle name="20% - Accent1 53" xfId="61990" xr:uid="{8BA4CCB3-C35E-47F5-8390-6BCDB556CE34}"/>
    <cellStyle name="20% - Accent1 54" xfId="62010" xr:uid="{4A60F462-6191-4B55-85E9-7A48BAEF329D}"/>
    <cellStyle name="20% - Accent1 55" xfId="62029" xr:uid="{FC292402-4FDD-4299-B109-3E64BA439324}"/>
    <cellStyle name="20% - Accent1 56" xfId="62052" xr:uid="{93EA5470-CA28-4FB1-A33A-8C13ECD40D28}"/>
    <cellStyle name="20% - Accent1 57" xfId="62079" xr:uid="{C27F1018-1206-4805-9F3F-5CDEF34961A7}"/>
    <cellStyle name="20% - Accent1 6" xfId="3316" xr:uid="{5BB92327-9A8A-46AA-A0C5-6892A0590D9A}"/>
    <cellStyle name="20% - Accent1 6 2" xfId="7048" xr:uid="{95914B73-DC5E-4668-A94D-4FE3BC018507}"/>
    <cellStyle name="20% - Accent1 6 2 2" xfId="14756" xr:uid="{47EBC7AD-0310-4495-B837-3435843B2062}"/>
    <cellStyle name="20% - Accent1 6 2 2 2" xfId="30168" xr:uid="{D42AB72B-6537-4417-9935-E8FC9078F684}"/>
    <cellStyle name="20% - Accent1 6 2 2 2 2" xfId="31564" xr:uid="{0A53FFB9-D768-4E4E-B7A8-83F73E355CBF}"/>
    <cellStyle name="20% - Accent1 6 2 2 3" xfId="31563" xr:uid="{F11B7B21-A863-46D3-8A45-8D0346099FDE}"/>
    <cellStyle name="20% - Accent1 6 2 3" xfId="22463" xr:uid="{E19D089F-2B27-4994-910B-A9085FA0E9D7}"/>
    <cellStyle name="20% - Accent1 6 2 3 2" xfId="31565" xr:uid="{6293519C-EE45-4BC6-9E74-F135B53B1AE2}"/>
    <cellStyle name="20% - Accent1 6 2 4" xfId="31562" xr:uid="{FEA4B896-1853-46C9-9D08-86CD13F56884}"/>
    <cellStyle name="20% - Accent1 6 3" xfId="11027" xr:uid="{31B41E54-0923-437F-8672-301D1250FC4D}"/>
    <cellStyle name="20% - Accent1 6 3 2" xfId="26440" xr:uid="{0B3AF1FA-E2D1-4535-8E90-8954590BC15D}"/>
    <cellStyle name="20% - Accent1 6 3 2 2" xfId="31567" xr:uid="{55FB294A-537F-4A57-ACFE-085912657162}"/>
    <cellStyle name="20% - Accent1 6 3 3" xfId="31566" xr:uid="{F64EDE28-6509-4350-A9A2-FAF57058A56F}"/>
    <cellStyle name="20% - Accent1 6 4" xfId="18735" xr:uid="{C9BFAD1A-0355-46CC-9508-56099960BF75}"/>
    <cellStyle name="20% - Accent1 6 4 2" xfId="31568" xr:uid="{9C4252C4-AD82-4A59-984D-32715F1C0CAD}"/>
    <cellStyle name="20% - Accent1 6 5" xfId="31561" xr:uid="{5CE3F34A-66B8-469B-9918-0DFD99A64E74}"/>
    <cellStyle name="20% - Accent1 7" xfId="3336" xr:uid="{D9F10D5B-9714-45F6-8A6A-986801834BBA}"/>
    <cellStyle name="20% - Accent1 7 2" xfId="7068" xr:uid="{B350BF28-2E84-4E1F-A07F-B1DAAAE3153E}"/>
    <cellStyle name="20% - Accent1 7 2 2" xfId="14776" xr:uid="{80134967-A2BD-49BC-ABCC-8C985F5BB30F}"/>
    <cellStyle name="20% - Accent1 7 2 2 2" xfId="30188" xr:uid="{43C53707-A7B5-4E09-A93D-08BF36CB57F6}"/>
    <cellStyle name="20% - Accent1 7 2 2 2 2" xfId="31572" xr:uid="{28971CA8-3893-4263-9753-3059A1F337CB}"/>
    <cellStyle name="20% - Accent1 7 2 2 3" xfId="31571" xr:uid="{5D4D8239-63D1-4DF3-845B-E7FDD515AF3A}"/>
    <cellStyle name="20% - Accent1 7 2 3" xfId="22483" xr:uid="{323B6BFF-E0AC-44BD-9801-10FB74B3CDA6}"/>
    <cellStyle name="20% - Accent1 7 2 3 2" xfId="31573" xr:uid="{C568D5B0-2A8B-4ADC-A7D7-D2A11961EAA0}"/>
    <cellStyle name="20% - Accent1 7 2 4" xfId="31570" xr:uid="{9DB291FF-F4B0-4824-874A-E054EF41C180}"/>
    <cellStyle name="20% - Accent1 7 3" xfId="11047" xr:uid="{24ED0F8B-7D61-4964-AC81-E65CC186D131}"/>
    <cellStyle name="20% - Accent1 7 3 2" xfId="26460" xr:uid="{EB1843A8-8F32-4C13-BE17-F2A0028C61F2}"/>
    <cellStyle name="20% - Accent1 7 3 2 2" xfId="31575" xr:uid="{8BEAB034-6724-445F-A899-0AC1FA649B68}"/>
    <cellStyle name="20% - Accent1 7 3 3" xfId="31574" xr:uid="{3FF77736-8E37-4899-B5FA-C7079BEC816A}"/>
    <cellStyle name="20% - Accent1 7 4" xfId="18755" xr:uid="{F00D7CD8-A48B-4F0F-985D-9BD5A0043B71}"/>
    <cellStyle name="20% - Accent1 7 4 2" xfId="31576" xr:uid="{96181E0B-D2F7-438F-9879-E96318A96794}"/>
    <cellStyle name="20% - Accent1 7 5" xfId="31569" xr:uid="{F3BA29A8-C4A0-4C09-809E-DD8E45AA6CD5}"/>
    <cellStyle name="20% - Accent1 8" xfId="3356" xr:uid="{929A7B0A-1A19-4F94-9447-13F6C8BD0B23}"/>
    <cellStyle name="20% - Accent1 8 2" xfId="7088" xr:uid="{D89791D4-7C84-4EBD-9F8E-2B4695A854EF}"/>
    <cellStyle name="20% - Accent1 8 2 2" xfId="14796" xr:uid="{3F190D07-D1D0-43F6-B212-BE532E0F6B98}"/>
    <cellStyle name="20% - Accent1 8 2 2 2" xfId="30208" xr:uid="{D989BE66-A876-4E62-8754-E1237FC13425}"/>
    <cellStyle name="20% - Accent1 8 2 2 2 2" xfId="31580" xr:uid="{156B7D4B-0311-4884-A8F0-57A7BA3B5C4C}"/>
    <cellStyle name="20% - Accent1 8 2 2 3" xfId="31579" xr:uid="{086D7DB1-89A6-4A77-95FF-BFF1F222E65F}"/>
    <cellStyle name="20% - Accent1 8 2 3" xfId="22503" xr:uid="{EC1D06C4-B77A-4906-9080-37E4C48B31EC}"/>
    <cellStyle name="20% - Accent1 8 2 3 2" xfId="31581" xr:uid="{ED9B6FAF-D08C-42A6-A99D-82FE6B9C0401}"/>
    <cellStyle name="20% - Accent1 8 2 4" xfId="31578" xr:uid="{95F5CB40-D8C5-4BF0-B7ED-51083A31D9AE}"/>
    <cellStyle name="20% - Accent1 8 3" xfId="11067" xr:uid="{19401CF9-8D26-4B19-AE8F-0A5F070D0CE1}"/>
    <cellStyle name="20% - Accent1 8 3 2" xfId="26480" xr:uid="{ED524257-19C0-4950-9F22-CDF43BE6A74D}"/>
    <cellStyle name="20% - Accent1 8 3 2 2" xfId="31583" xr:uid="{3B7CFC94-64CB-4CD2-89F9-BE9EA85A498B}"/>
    <cellStyle name="20% - Accent1 8 3 3" xfId="31582" xr:uid="{CFBACDDE-1612-436B-9FE8-DCA2B4154BAA}"/>
    <cellStyle name="20% - Accent1 8 4" xfId="18775" xr:uid="{034D1C6E-D0BD-4F0C-B1FA-52CA3B073400}"/>
    <cellStyle name="20% - Accent1 8 4 2" xfId="31584" xr:uid="{4001A54C-8516-4194-A956-DE654B63F2C0}"/>
    <cellStyle name="20% - Accent1 8 5" xfId="31577" xr:uid="{3C130893-8F5F-4C51-8BC5-2FC3CD0E8FE2}"/>
    <cellStyle name="20% - Accent1 9" xfId="3376" xr:uid="{C68A6A29-B456-42AE-A5B6-5D02775AF83C}"/>
    <cellStyle name="20% - Accent1 9 2" xfId="7108" xr:uid="{DD6A450D-1FDC-4FD1-96AC-5000B6B506F7}"/>
    <cellStyle name="20% - Accent1 9 2 2" xfId="14816" xr:uid="{9AF593CC-8A79-4083-B7FE-D3FD3724B748}"/>
    <cellStyle name="20% - Accent1 9 2 2 2" xfId="30228" xr:uid="{8078C050-0B71-4564-B0AC-F4E0DCECEBCE}"/>
    <cellStyle name="20% - Accent1 9 2 2 2 2" xfId="31588" xr:uid="{4894ACAC-3B64-40C4-B9AC-85897A4409C3}"/>
    <cellStyle name="20% - Accent1 9 2 2 3" xfId="31587" xr:uid="{2E63C715-EE43-4E21-BC63-1391D3951C29}"/>
    <cellStyle name="20% - Accent1 9 2 3" xfId="22523" xr:uid="{F084172C-7480-4B68-9514-0F7E39EE711F}"/>
    <cellStyle name="20% - Accent1 9 2 3 2" xfId="31589" xr:uid="{48DDA5E3-D5D6-4D48-AE1C-F0CF91231218}"/>
    <cellStyle name="20% - Accent1 9 2 4" xfId="31586" xr:uid="{06CF229E-D35B-4A12-8214-8E409ED38A3B}"/>
    <cellStyle name="20% - Accent1 9 3" xfId="11087" xr:uid="{1708518C-D64E-4464-B728-09B5CE14FED3}"/>
    <cellStyle name="20% - Accent1 9 3 2" xfId="26500" xr:uid="{5D5D1771-2B58-45BC-AFB3-14B3F80E1246}"/>
    <cellStyle name="20% - Accent1 9 3 2 2" xfId="31591" xr:uid="{5F79CD58-681E-4E45-BDD8-8A84B020DDEF}"/>
    <cellStyle name="20% - Accent1 9 3 3" xfId="31590" xr:uid="{A479B0C0-8531-4C69-8743-4B2303E1D4E8}"/>
    <cellStyle name="20% - Accent1 9 4" xfId="18795" xr:uid="{0FA1FDD0-DC60-4E57-B8AB-E853D1F35F15}"/>
    <cellStyle name="20% - Accent1 9 4 2" xfId="31592" xr:uid="{CCAADE8D-B0E4-48B2-BEAC-654C6D132A56}"/>
    <cellStyle name="20% - Accent1 9 5" xfId="31585" xr:uid="{76451D2C-462E-492D-B63F-0ECCE3DCD13D}"/>
    <cellStyle name="20% - Accent2 10" xfId="3399" xr:uid="{C35D891B-0374-4253-8764-5F2E1AE5F44E}"/>
    <cellStyle name="20% - Accent2 10 2" xfId="7131" xr:uid="{4DCCDBFC-8DD1-496C-BF9E-4A7E0C5F61A6}"/>
    <cellStyle name="20% - Accent2 10 2 2" xfId="14839" xr:uid="{1DAD84BC-090F-444C-98DF-0FF3AF4A5681}"/>
    <cellStyle name="20% - Accent2 10 2 2 2" xfId="30251" xr:uid="{A110D16A-7AEC-4A3E-9F5B-CD28B5DF4D6F}"/>
    <cellStyle name="20% - Accent2 10 2 2 2 2" xfId="31597" xr:uid="{C0A8373A-55B9-49CC-A94D-C19BB6E01C2E}"/>
    <cellStyle name="20% - Accent2 10 2 2 3" xfId="31596" xr:uid="{D0D11C80-9E05-4773-A62B-BF7F1D7E0AF0}"/>
    <cellStyle name="20% - Accent2 10 2 3" xfId="22546" xr:uid="{21A009B8-CBEC-4423-9F30-372D5C75F403}"/>
    <cellStyle name="20% - Accent2 10 2 3 2" xfId="31598" xr:uid="{56CF09B3-85BE-4F61-9296-654C3E895323}"/>
    <cellStyle name="20% - Accent2 10 2 4" xfId="31595" xr:uid="{2698B404-020D-4321-BA76-3AD6F65828A3}"/>
    <cellStyle name="20% - Accent2 10 3" xfId="11110" xr:uid="{399D8937-660F-46E9-B059-FE4851518698}"/>
    <cellStyle name="20% - Accent2 10 3 2" xfId="26523" xr:uid="{2C1B9421-A59E-4BBB-B594-62BC00D992BB}"/>
    <cellStyle name="20% - Accent2 10 3 2 2" xfId="31600" xr:uid="{EB267D67-7CFE-4BE5-A965-B07D2D069E82}"/>
    <cellStyle name="20% - Accent2 10 3 3" xfId="31599" xr:uid="{7086D08A-FFCE-4B39-B605-CD5C2E4B3472}"/>
    <cellStyle name="20% - Accent2 10 4" xfId="18818" xr:uid="{49CE38EB-056A-4AD9-AA94-CDC6E7811B16}"/>
    <cellStyle name="20% - Accent2 10 4 2" xfId="31601" xr:uid="{A649D072-609B-4BAB-A554-6BA557083419}"/>
    <cellStyle name="20% - Accent2 10 5" xfId="31594" xr:uid="{43CA74C3-EDD2-499E-B320-E321B0FF4C1B}"/>
    <cellStyle name="20% - Accent2 11" xfId="3419" xr:uid="{F6805DE6-AEB7-4FF5-A814-6679F313EA85}"/>
    <cellStyle name="20% - Accent2 11 2" xfId="7151" xr:uid="{F77A4ABF-4157-4836-8AD4-B213D0AF13B8}"/>
    <cellStyle name="20% - Accent2 11 2 2" xfId="14859" xr:uid="{41744B8E-E61C-40ED-92AD-3A6680A0E59E}"/>
    <cellStyle name="20% - Accent2 11 2 2 2" xfId="30271" xr:uid="{758DCB3A-C0A9-4D44-B3DC-0099800D0560}"/>
    <cellStyle name="20% - Accent2 11 2 2 2 2" xfId="31605" xr:uid="{DC618C3D-5DC7-4DEB-9DD1-86E5A0CC3401}"/>
    <cellStyle name="20% - Accent2 11 2 2 3" xfId="31604" xr:uid="{E1362EA9-4C5D-4F1B-8118-B92291F1ADFC}"/>
    <cellStyle name="20% - Accent2 11 2 3" xfId="22566" xr:uid="{D331E7FB-80E9-4C11-BA45-80F6E755FA76}"/>
    <cellStyle name="20% - Accent2 11 2 3 2" xfId="31606" xr:uid="{0B5F2CDE-9482-4FA9-8166-71C45F6DB379}"/>
    <cellStyle name="20% - Accent2 11 2 4" xfId="31603" xr:uid="{2F34F534-ADCE-49F0-B52C-A1B3450A78C4}"/>
    <cellStyle name="20% - Accent2 11 3" xfId="11130" xr:uid="{CCE2ECA3-005F-415C-937A-8874BB3031C8}"/>
    <cellStyle name="20% - Accent2 11 3 2" xfId="26543" xr:uid="{5504279E-CDE6-493B-802E-B9D1F3C1EFE7}"/>
    <cellStyle name="20% - Accent2 11 3 2 2" xfId="31608" xr:uid="{4241B29D-F25A-4E6C-AA43-C09EA72861F7}"/>
    <cellStyle name="20% - Accent2 11 3 3" xfId="31607" xr:uid="{72AB1944-E75D-4BD1-9192-5692AE5EBE59}"/>
    <cellStyle name="20% - Accent2 11 4" xfId="18838" xr:uid="{3AEDB016-59F2-46AC-9306-26E7A5C02D15}"/>
    <cellStyle name="20% - Accent2 11 4 2" xfId="31609" xr:uid="{0F65B2F9-F526-485E-84B5-AEC046133C8D}"/>
    <cellStyle name="20% - Accent2 11 5" xfId="31602" xr:uid="{05560AF3-7F8C-47CE-963A-2EE0D75A054E}"/>
    <cellStyle name="20% - Accent2 12" xfId="3439" xr:uid="{DEF73373-38E8-487F-9699-C8955CC06D3C}"/>
    <cellStyle name="20% - Accent2 12 2" xfId="7171" xr:uid="{BFCDB456-A63B-40C1-820C-CD8E4AC36D53}"/>
    <cellStyle name="20% - Accent2 12 2 2" xfId="14879" xr:uid="{8359723A-E260-4FCD-8A1D-43533C98FE3E}"/>
    <cellStyle name="20% - Accent2 12 2 2 2" xfId="30291" xr:uid="{4BD3F51C-F021-4908-95FA-020C3BC22C84}"/>
    <cellStyle name="20% - Accent2 12 2 2 2 2" xfId="31613" xr:uid="{77763DAF-6E14-44C6-9439-D6E11C980EB2}"/>
    <cellStyle name="20% - Accent2 12 2 2 3" xfId="31612" xr:uid="{6A1B5354-BFE6-4291-8EC2-43B8B8870BB5}"/>
    <cellStyle name="20% - Accent2 12 2 3" xfId="22586" xr:uid="{C69713D5-D7DB-4F62-AC84-42AC5284CE90}"/>
    <cellStyle name="20% - Accent2 12 2 3 2" xfId="31614" xr:uid="{F3F97F6C-FC16-4CB5-A340-269CA0D0018A}"/>
    <cellStyle name="20% - Accent2 12 2 4" xfId="31611" xr:uid="{99A6BAD6-4EFB-4CDF-885A-8FFC3EC5C53E}"/>
    <cellStyle name="20% - Accent2 12 3" xfId="11150" xr:uid="{EE71D5AC-0A44-4F67-BC49-807179C0234D}"/>
    <cellStyle name="20% - Accent2 12 3 2" xfId="26563" xr:uid="{3D65E96C-0244-40C3-8891-872B78BB82FA}"/>
    <cellStyle name="20% - Accent2 12 3 2 2" xfId="31616" xr:uid="{7B2432F3-31C9-450A-9A8D-A4BCA5344690}"/>
    <cellStyle name="20% - Accent2 12 3 3" xfId="31615" xr:uid="{875EA687-1AFC-4CCB-9E7B-F807324F947D}"/>
    <cellStyle name="20% - Accent2 12 4" xfId="18858" xr:uid="{7D7FE521-B24F-4517-B005-899B01E47EB5}"/>
    <cellStyle name="20% - Accent2 12 4 2" xfId="31617" xr:uid="{F81F98A5-1E12-43BC-8F3D-1268D5403B4A}"/>
    <cellStyle name="20% - Accent2 12 5" xfId="31610" xr:uid="{CB4197A9-5A3A-4192-9293-59A739583C24}"/>
    <cellStyle name="20% - Accent2 13" xfId="3459" xr:uid="{0913AD7C-0A40-4316-AD1D-D2FAB9B8E139}"/>
    <cellStyle name="20% - Accent2 13 2" xfId="7191" xr:uid="{7BC3A59F-CB41-4070-ABBD-F33D198D02D3}"/>
    <cellStyle name="20% - Accent2 13 2 2" xfId="14899" xr:uid="{FF80692B-342A-4BF1-943F-34B1D53C6ACF}"/>
    <cellStyle name="20% - Accent2 13 2 2 2" xfId="30311" xr:uid="{FDCFE75F-9625-4E16-B97B-A49D7C855551}"/>
    <cellStyle name="20% - Accent2 13 2 2 2 2" xfId="31621" xr:uid="{88B30F04-898B-4DB1-9CE7-8D9199BB88FC}"/>
    <cellStyle name="20% - Accent2 13 2 2 3" xfId="31620" xr:uid="{D32C1B3B-E378-4EA7-9EAF-5C41FAFF3D7D}"/>
    <cellStyle name="20% - Accent2 13 2 3" xfId="22606" xr:uid="{4E9249DD-E434-489A-8DA6-CCF6619102E1}"/>
    <cellStyle name="20% - Accent2 13 2 3 2" xfId="31622" xr:uid="{0001D207-51CA-47CF-A420-1B16CF03F461}"/>
    <cellStyle name="20% - Accent2 13 2 4" xfId="31619" xr:uid="{2BB2ED26-8C05-45CA-9D4E-4888B02FF0A1}"/>
    <cellStyle name="20% - Accent2 13 3" xfId="11170" xr:uid="{0DCFABA0-E18B-4AF0-8FA6-3EDF0BB8F60B}"/>
    <cellStyle name="20% - Accent2 13 3 2" xfId="26583" xr:uid="{2A230D98-5A0C-403A-AD13-EA06EE42330E}"/>
    <cellStyle name="20% - Accent2 13 3 2 2" xfId="31624" xr:uid="{04127A9E-C58D-459E-BF34-4285527C095B}"/>
    <cellStyle name="20% - Accent2 13 3 3" xfId="31623" xr:uid="{D458CF91-6170-4C36-9E93-43774C978D19}"/>
    <cellStyle name="20% - Accent2 13 4" xfId="18878" xr:uid="{71F2E9D1-8230-46D8-A64F-F984AC424D79}"/>
    <cellStyle name="20% - Accent2 13 4 2" xfId="31625" xr:uid="{DBE55436-0377-49C4-98AD-32D61926265A}"/>
    <cellStyle name="20% - Accent2 13 5" xfId="31618" xr:uid="{2B7F9261-726A-47B9-BA93-E9F9E62A5795}"/>
    <cellStyle name="20% - Accent2 14" xfId="3479" xr:uid="{EEBFF358-4FE6-49BD-BCDE-B634E0369A5F}"/>
    <cellStyle name="20% - Accent2 14 2" xfId="7211" xr:uid="{C710BA29-6577-465A-B4D0-506D5FB52E49}"/>
    <cellStyle name="20% - Accent2 14 2 2" xfId="14919" xr:uid="{A9BF1923-748D-4D55-B1E5-C93BAD5465AB}"/>
    <cellStyle name="20% - Accent2 14 2 2 2" xfId="30331" xr:uid="{3538FCB3-EC9C-400C-872E-F98625646FE0}"/>
    <cellStyle name="20% - Accent2 14 2 2 2 2" xfId="31629" xr:uid="{F5B05D33-C52C-4341-AA06-989D774FBD9A}"/>
    <cellStyle name="20% - Accent2 14 2 2 3" xfId="31628" xr:uid="{8F50EBE9-A048-43A1-A1FB-49D381AD0380}"/>
    <cellStyle name="20% - Accent2 14 2 3" xfId="22626" xr:uid="{54CE0412-9AA7-44A9-A038-6B5BA2DD589B}"/>
    <cellStyle name="20% - Accent2 14 2 3 2" xfId="31630" xr:uid="{ED9550A2-16D3-4512-BC36-7BD118F9874B}"/>
    <cellStyle name="20% - Accent2 14 2 4" xfId="31627" xr:uid="{7376B642-EEEB-46E8-89A3-2A2400C9CB09}"/>
    <cellStyle name="20% - Accent2 14 3" xfId="11190" xr:uid="{B4F0F49A-FD3D-4E20-8A4F-3BD4D045BCEA}"/>
    <cellStyle name="20% - Accent2 14 3 2" xfId="26603" xr:uid="{F308C42D-578A-48AE-AB0B-B74D4A238106}"/>
    <cellStyle name="20% - Accent2 14 3 2 2" xfId="31632" xr:uid="{28F9A279-BE03-4275-A7AE-62B0A6426D90}"/>
    <cellStyle name="20% - Accent2 14 3 3" xfId="31631" xr:uid="{E4ADD480-2050-4999-8361-2D4A60843B62}"/>
    <cellStyle name="20% - Accent2 14 4" xfId="18898" xr:uid="{08567C4A-39C7-4860-B1C8-8E0C7C4265F7}"/>
    <cellStyle name="20% - Accent2 14 4 2" xfId="31633" xr:uid="{F8CF5DA9-070E-443D-BE39-82F952E25C39}"/>
    <cellStyle name="20% - Accent2 14 5" xfId="31626" xr:uid="{979A0224-4495-480E-96AE-93E7772DF274}"/>
    <cellStyle name="20% - Accent2 15" xfId="3499" xr:uid="{83418797-9A95-44FB-BA60-B1503225D80F}"/>
    <cellStyle name="20% - Accent2 15 2" xfId="7231" xr:uid="{8DC4B400-329F-458E-B980-BB1D8305A63E}"/>
    <cellStyle name="20% - Accent2 15 2 2" xfId="14939" xr:uid="{536D35F0-97AC-4A1D-8EA3-0BE49CA9C0AC}"/>
    <cellStyle name="20% - Accent2 15 2 2 2" xfId="30351" xr:uid="{F6D99BD0-B57A-4D7D-936D-714784FFCE57}"/>
    <cellStyle name="20% - Accent2 15 2 2 2 2" xfId="31637" xr:uid="{9B724F20-3DB6-4CC2-92FB-9F4F87C95F46}"/>
    <cellStyle name="20% - Accent2 15 2 2 3" xfId="31636" xr:uid="{ECDF0C5D-C7B3-40B5-8CC3-D080E1B5D3B1}"/>
    <cellStyle name="20% - Accent2 15 2 3" xfId="22646" xr:uid="{27943A6A-6B51-44EE-8F03-0CC6096A2ED4}"/>
    <cellStyle name="20% - Accent2 15 2 3 2" xfId="31638" xr:uid="{FF0C5952-D95C-4C95-A355-575B42769D5D}"/>
    <cellStyle name="20% - Accent2 15 2 4" xfId="31635" xr:uid="{B3EBFD1A-FAD4-4D75-9E5E-F91B76E57CDB}"/>
    <cellStyle name="20% - Accent2 15 3" xfId="11210" xr:uid="{8C45B34D-7ACB-4D7F-95FE-097536A0CA0B}"/>
    <cellStyle name="20% - Accent2 15 3 2" xfId="26623" xr:uid="{D5266534-2BEA-4D8D-BFA4-EA23409BC8C1}"/>
    <cellStyle name="20% - Accent2 15 3 2 2" xfId="31640" xr:uid="{454B8353-6575-49E2-A892-0146272FCF52}"/>
    <cellStyle name="20% - Accent2 15 3 3" xfId="31639" xr:uid="{C6470F12-6F3F-45FF-A376-EC0607C1860C}"/>
    <cellStyle name="20% - Accent2 15 4" xfId="18918" xr:uid="{30C81529-96C8-4DBF-8E50-5FB5EDB00357}"/>
    <cellStyle name="20% - Accent2 15 4 2" xfId="31641" xr:uid="{CFB69406-6F84-414A-BBA9-F28BF0169606}"/>
    <cellStyle name="20% - Accent2 15 5" xfId="31634" xr:uid="{65CB6366-B913-46EA-82E5-D7120DEB6A6F}"/>
    <cellStyle name="20% - Accent2 16" xfId="3519" xr:uid="{C6356592-BCA7-46B6-B97B-C15093C5545E}"/>
    <cellStyle name="20% - Accent2 16 2" xfId="7251" xr:uid="{EB7AE510-EBA7-4384-9393-7A67BF02BB5A}"/>
    <cellStyle name="20% - Accent2 16 2 2" xfId="14959" xr:uid="{2D1FAD2F-3185-405E-B43F-0B7CDA1E058A}"/>
    <cellStyle name="20% - Accent2 16 2 2 2" xfId="30371" xr:uid="{CAE6299C-6F47-4D16-8B05-31FD782E23C1}"/>
    <cellStyle name="20% - Accent2 16 2 2 2 2" xfId="31645" xr:uid="{AC6BBF17-2D15-41EE-B83D-C3500B59D56F}"/>
    <cellStyle name="20% - Accent2 16 2 2 3" xfId="31644" xr:uid="{AC43DAB0-C8CA-4ECC-B657-CEB81688E960}"/>
    <cellStyle name="20% - Accent2 16 2 3" xfId="22666" xr:uid="{1A90D17E-8339-4DCB-9CC9-9BFCE7F78E8A}"/>
    <cellStyle name="20% - Accent2 16 2 3 2" xfId="31646" xr:uid="{1C582C20-6C9E-4C64-8BFD-6CBDB66E144B}"/>
    <cellStyle name="20% - Accent2 16 2 4" xfId="31643" xr:uid="{E9CF2C7A-6258-4052-8F6A-3A56EE8632D0}"/>
    <cellStyle name="20% - Accent2 16 3" xfId="11230" xr:uid="{3771D5BA-CA70-4F20-AC26-8B67BEE20644}"/>
    <cellStyle name="20% - Accent2 16 3 2" xfId="26643" xr:uid="{64EDA01E-C420-4285-B908-6DDF2F0481F0}"/>
    <cellStyle name="20% - Accent2 16 3 2 2" xfId="31648" xr:uid="{FE76C0CB-ECF5-4DEA-98F1-D4810C964791}"/>
    <cellStyle name="20% - Accent2 16 3 3" xfId="31647" xr:uid="{9219DA6B-5013-49DC-A250-47EC98BB3948}"/>
    <cellStyle name="20% - Accent2 16 4" xfId="18938" xr:uid="{71E0B554-9DCF-421A-8F48-90012CDF6C03}"/>
    <cellStyle name="20% - Accent2 16 4 2" xfId="31649" xr:uid="{364017E3-FCDB-470A-B7E6-967433A6D771}"/>
    <cellStyle name="20% - Accent2 16 5" xfId="31642" xr:uid="{4C3244ED-4249-4400-A8C4-FC695B6506CE}"/>
    <cellStyle name="20% - Accent2 17" xfId="3539" xr:uid="{5A86DF60-54A4-4BCD-A27B-7309324E7572}"/>
    <cellStyle name="20% - Accent2 17 2" xfId="7271" xr:uid="{B487D842-8CE9-4434-9862-49579F324C28}"/>
    <cellStyle name="20% - Accent2 17 2 2" xfId="14979" xr:uid="{04CEF403-5B94-4601-8767-A5ABCFBFE39A}"/>
    <cellStyle name="20% - Accent2 17 2 2 2" xfId="30391" xr:uid="{96C97FBF-2AF9-45F6-B73B-EE808EB5A49A}"/>
    <cellStyle name="20% - Accent2 17 2 2 2 2" xfId="31653" xr:uid="{2E03C3CC-C5A5-4E29-9B62-7CE404C083A1}"/>
    <cellStyle name="20% - Accent2 17 2 2 3" xfId="31652" xr:uid="{9F15391C-95C8-4F3A-8144-84766B7170B0}"/>
    <cellStyle name="20% - Accent2 17 2 3" xfId="22686" xr:uid="{D0722965-C7F9-45FF-A487-6E18DD020C92}"/>
    <cellStyle name="20% - Accent2 17 2 3 2" xfId="31654" xr:uid="{AABA981C-6BC5-4384-A9EA-568E90D11EBE}"/>
    <cellStyle name="20% - Accent2 17 2 4" xfId="31651" xr:uid="{B1989112-C435-415C-B880-470E1863C3B2}"/>
    <cellStyle name="20% - Accent2 17 3" xfId="11250" xr:uid="{CF521F21-3FEF-462F-A00E-A8C96F18AC0B}"/>
    <cellStyle name="20% - Accent2 17 3 2" xfId="26663" xr:uid="{06FDFE15-E4EA-4C02-ABBF-C5FE962EE2F8}"/>
    <cellStyle name="20% - Accent2 17 3 2 2" xfId="31656" xr:uid="{094376D0-BEE7-466F-8CB0-52B9C02FC318}"/>
    <cellStyle name="20% - Accent2 17 3 3" xfId="31655" xr:uid="{8EDAFF86-36AF-4E83-BA02-18D339986DC2}"/>
    <cellStyle name="20% - Accent2 17 4" xfId="18958" xr:uid="{C68C2D4D-7532-4386-8EE8-5AF65851A757}"/>
    <cellStyle name="20% - Accent2 17 4 2" xfId="31657" xr:uid="{78599D51-E111-4407-A5AF-BFB7522FF64F}"/>
    <cellStyle name="20% - Accent2 17 5" xfId="31650" xr:uid="{318C35CC-D646-4155-AA60-6F9D6F048DF6}"/>
    <cellStyle name="20% - Accent2 18" xfId="3559" xr:uid="{2FF0D8CE-8AE1-4458-80BA-DD4DA310FB7C}"/>
    <cellStyle name="20% - Accent2 18 2" xfId="7291" xr:uid="{75B42E3D-AA66-44A2-A466-71E5A3FBA1C0}"/>
    <cellStyle name="20% - Accent2 18 2 2" xfId="14999" xr:uid="{5806E3B4-29C6-4C48-AEB3-725135AC1DD5}"/>
    <cellStyle name="20% - Accent2 18 2 2 2" xfId="30411" xr:uid="{88E52337-81A5-4F45-A81D-2EB5B974FBA2}"/>
    <cellStyle name="20% - Accent2 18 2 2 2 2" xfId="31661" xr:uid="{92BD53B0-9D6B-46CC-AB58-FFA589BE8175}"/>
    <cellStyle name="20% - Accent2 18 2 2 3" xfId="31660" xr:uid="{FC66B4B1-31A9-4B71-8A0A-B880DEA33925}"/>
    <cellStyle name="20% - Accent2 18 2 3" xfId="22706" xr:uid="{0FC0B9F0-6CC8-44DE-B315-14B84C617905}"/>
    <cellStyle name="20% - Accent2 18 2 3 2" xfId="31662" xr:uid="{A2795A3E-2FB2-4CC1-851A-F6682FDF47ED}"/>
    <cellStyle name="20% - Accent2 18 2 4" xfId="31659" xr:uid="{B317A9B7-01A3-4210-97BB-3DEA1577276B}"/>
    <cellStyle name="20% - Accent2 18 3" xfId="11270" xr:uid="{7488EB45-3330-432C-8EF1-E5580A333785}"/>
    <cellStyle name="20% - Accent2 18 3 2" xfId="26683" xr:uid="{C9FBB96B-D814-4FD9-9574-2294D05CB681}"/>
    <cellStyle name="20% - Accent2 18 3 2 2" xfId="31664" xr:uid="{A82D6213-AA98-4065-823F-ED1B8E761D27}"/>
    <cellStyle name="20% - Accent2 18 3 3" xfId="31663" xr:uid="{3DA4AA35-8073-461C-AFB6-DC71639FBA1A}"/>
    <cellStyle name="20% - Accent2 18 4" xfId="18978" xr:uid="{7E803221-6765-40D7-B631-7B1CD1D57A9F}"/>
    <cellStyle name="20% - Accent2 18 4 2" xfId="31665" xr:uid="{6C2C5AFD-7D00-438C-9069-BA05FAC377D6}"/>
    <cellStyle name="20% - Accent2 18 5" xfId="31658" xr:uid="{563DF9E2-4F11-48C1-A6A3-08616EB80DC3}"/>
    <cellStyle name="20% - Accent2 19" xfId="3580" xr:uid="{8A06AE05-6746-46BD-8BD4-B15FE84BEC84}"/>
    <cellStyle name="20% - Accent2 19 2" xfId="7311" xr:uid="{B1633701-FF2E-476E-B312-2C4DA73A8E05}"/>
    <cellStyle name="20% - Accent2 19 2 2" xfId="15019" xr:uid="{C5ADBD16-7AF3-43BC-A298-6E3E17FEB99B}"/>
    <cellStyle name="20% - Accent2 19 2 2 2" xfId="30431" xr:uid="{C1BE6611-5DBC-4A19-B3D7-7184690679ED}"/>
    <cellStyle name="20% - Accent2 19 2 2 2 2" xfId="31669" xr:uid="{D420AC68-CBDB-43E0-8E0B-0C61DFB4118F}"/>
    <cellStyle name="20% - Accent2 19 2 2 3" xfId="31668" xr:uid="{2E43246B-B862-49CB-9324-8322965CEF3C}"/>
    <cellStyle name="20% - Accent2 19 2 3" xfId="22726" xr:uid="{9909E176-82F0-48B1-A8E4-707B99EBB0F0}"/>
    <cellStyle name="20% - Accent2 19 2 3 2" xfId="31670" xr:uid="{F87A4862-4A62-47D1-8BFD-6E2A8BE608FE}"/>
    <cellStyle name="20% - Accent2 19 2 4" xfId="31667" xr:uid="{9EE62403-DA2A-4131-B8DD-99A36789668E}"/>
    <cellStyle name="20% - Accent2 19 3" xfId="11290" xr:uid="{F5929941-F8DB-465F-B4C6-EC46402422D0}"/>
    <cellStyle name="20% - Accent2 19 3 2" xfId="26703" xr:uid="{9A1F16C1-B07C-4631-9486-7319B0299F16}"/>
    <cellStyle name="20% - Accent2 19 3 2 2" xfId="31672" xr:uid="{81EAC25C-3139-4A9D-8EF8-369EAA440C7A}"/>
    <cellStyle name="20% - Accent2 19 3 3" xfId="31671" xr:uid="{12110F74-8F05-4A04-B3D8-27A0F247E685}"/>
    <cellStyle name="20% - Accent2 19 4" xfId="18998" xr:uid="{6A4C8C92-69C6-4EC3-9142-E581C3D314C8}"/>
    <cellStyle name="20% - Accent2 19 4 2" xfId="31673" xr:uid="{0D7C9A6A-67C2-4016-894B-9CAE16B4DD27}"/>
    <cellStyle name="20% - Accent2 19 5" xfId="31666" xr:uid="{3C0E5E3F-ED5A-4877-A3D6-AC348282E9A4}"/>
    <cellStyle name="20% - Accent2 2" xfId="76" xr:uid="{30F50ED4-89FE-4653-9001-3B465391C375}"/>
    <cellStyle name="20% - Accent2 2 10" xfId="31674" xr:uid="{0234DB6D-4BD3-4329-9053-F924050598C3}"/>
    <cellStyle name="20% - Accent2 2 2" xfId="140" xr:uid="{1B28F1E2-619D-4526-B66D-21C9F7AD5D67}"/>
    <cellStyle name="20% - Accent2 2 2 2" xfId="203" xr:uid="{118CE3BA-C736-463B-8BBE-16BC0E6AE14B}"/>
    <cellStyle name="20% - Accent2 2 2 2 2" xfId="408" xr:uid="{35C2C16E-B299-4A93-ADFB-69E62941A397}"/>
    <cellStyle name="20% - Accent2 2 2 2 2 2" xfId="1070" xr:uid="{33DBE65B-F4B6-4B9F-AE4C-3B1876D2BCD4}"/>
    <cellStyle name="20% - Accent2 2 2 2 2 2 2" xfId="2538" xr:uid="{5AE4BD46-418B-41C5-B5E3-34D94F7D6445}"/>
    <cellStyle name="20% - Accent2 2 2 2 2 2 2 2" xfId="6270" xr:uid="{494050EE-BB13-494F-BA76-2A60A01FCF10}"/>
    <cellStyle name="20% - Accent2 2 2 2 2 2 2 2 2" xfId="13978" xr:uid="{1AEFC846-2CEE-4B5E-B95D-E76DC5450061}"/>
    <cellStyle name="20% - Accent2 2 2 2 2 2 2 2 2 2" xfId="29390" xr:uid="{14B5D0B6-2FDB-4C7E-AB6D-BAAF41281C5A}"/>
    <cellStyle name="20% - Accent2 2 2 2 2 2 2 2 2 2 2" xfId="31682" xr:uid="{85763216-A812-45D0-B803-40B21D424638}"/>
    <cellStyle name="20% - Accent2 2 2 2 2 2 2 2 2 3" xfId="31681" xr:uid="{12B8BC87-EB60-45D8-9399-32D3D1D075AE}"/>
    <cellStyle name="20% - Accent2 2 2 2 2 2 2 2 3" xfId="21685" xr:uid="{32D649DD-FF55-4B51-87BA-BCF72469B69F}"/>
    <cellStyle name="20% - Accent2 2 2 2 2 2 2 2 3 2" xfId="31683" xr:uid="{7A1319FF-3F13-43A4-B1F2-FC8C5DF4C7F9}"/>
    <cellStyle name="20% - Accent2 2 2 2 2 2 2 2 4" xfId="31680" xr:uid="{1B544602-BA7C-4785-9C28-CC975B381B08}"/>
    <cellStyle name="20% - Accent2 2 2 2 2 2 2 3" xfId="10249" xr:uid="{4433971D-2C0C-403C-8E38-E3C3AFCD6015}"/>
    <cellStyle name="20% - Accent2 2 2 2 2 2 2 3 2" xfId="25662" xr:uid="{0941B25A-5425-4617-8493-9F3BD557BAAC}"/>
    <cellStyle name="20% - Accent2 2 2 2 2 2 2 3 2 2" xfId="31685" xr:uid="{4BBC0C8E-4D37-4D41-B822-8D4BB0A29B26}"/>
    <cellStyle name="20% - Accent2 2 2 2 2 2 2 3 3" xfId="31684" xr:uid="{E913DE8C-F117-4386-8B70-AB9619C98910}"/>
    <cellStyle name="20% - Accent2 2 2 2 2 2 2 4" xfId="17957" xr:uid="{04A6768A-6DF6-4EE9-A35E-0A7487FF30CC}"/>
    <cellStyle name="20% - Accent2 2 2 2 2 2 2 4 2" xfId="31686" xr:uid="{35E91126-F270-445D-BB3D-B20051F1E7CE}"/>
    <cellStyle name="20% - Accent2 2 2 2 2 2 2 5" xfId="31679" xr:uid="{79BF3FF7-54E5-4843-BA49-6BF15E79AE9B}"/>
    <cellStyle name="20% - Accent2 2 2 2 2 2 3" xfId="4807" xr:uid="{A3CC440E-6760-466B-8944-7FE4710564EC}"/>
    <cellStyle name="20% - Accent2 2 2 2 2 2 3 2" xfId="12515" xr:uid="{A978F178-CDBE-4C3E-8CBD-8F7362E435C1}"/>
    <cellStyle name="20% - Accent2 2 2 2 2 2 3 2 2" xfId="27927" xr:uid="{42CB0924-EAE3-4470-8DA3-B089F777BD6F}"/>
    <cellStyle name="20% - Accent2 2 2 2 2 2 3 2 2 2" xfId="31689" xr:uid="{09F056CF-32BA-4F76-BE82-B0FDA6E5ACB8}"/>
    <cellStyle name="20% - Accent2 2 2 2 2 2 3 2 3" xfId="31688" xr:uid="{5E13A38F-6EB2-404A-97B1-773B9F9FD15D}"/>
    <cellStyle name="20% - Accent2 2 2 2 2 2 3 3" xfId="20222" xr:uid="{C03BA5E0-DEE7-4041-9033-2FCB054D9203}"/>
    <cellStyle name="20% - Accent2 2 2 2 2 2 3 3 2" xfId="31690" xr:uid="{C2BCC543-CD25-4ED2-891A-75506A8A065E}"/>
    <cellStyle name="20% - Accent2 2 2 2 2 2 3 4" xfId="31687" xr:uid="{A7B9CA3D-454D-4175-8D8A-73A210CED07C}"/>
    <cellStyle name="20% - Accent2 2 2 2 2 2 4" xfId="8790" xr:uid="{E0704BEF-D1C1-443B-9B9C-C3D50EF5DF1A}"/>
    <cellStyle name="20% - Accent2 2 2 2 2 2 4 2" xfId="24203" xr:uid="{53B873F1-122A-4F7D-B326-BE505D079050}"/>
    <cellStyle name="20% - Accent2 2 2 2 2 2 4 2 2" xfId="31692" xr:uid="{00B0FD36-2627-46D5-A8AB-CF9340AD43C8}"/>
    <cellStyle name="20% - Accent2 2 2 2 2 2 4 3" xfId="31691" xr:uid="{5F86CB73-B7B9-4808-A25B-3B3832B6813C}"/>
    <cellStyle name="20% - Accent2 2 2 2 2 2 5" xfId="16498" xr:uid="{2E653554-E4A4-4B0A-A540-B30F7BACB246}"/>
    <cellStyle name="20% - Accent2 2 2 2 2 2 5 2" xfId="31693" xr:uid="{FC1B95E4-99C3-4B4B-9CA6-7C8C54032076}"/>
    <cellStyle name="20% - Accent2 2 2 2 2 2 6" xfId="31678" xr:uid="{0DB7532C-C8EB-4BA5-BE3C-62E93C2795BC}"/>
    <cellStyle name="20% - Accent2 2 2 2 2 3" xfId="1900" xr:uid="{9E8AF350-15F8-419D-89CE-9AA82F4EFC23}"/>
    <cellStyle name="20% - Accent2 2 2 2 2 3 2" xfId="5632" xr:uid="{06167316-A0A4-445D-9971-108A281B6583}"/>
    <cellStyle name="20% - Accent2 2 2 2 2 3 2 2" xfId="13340" xr:uid="{756350BE-B60A-4D1F-A4B7-C681D7DD4461}"/>
    <cellStyle name="20% - Accent2 2 2 2 2 3 2 2 2" xfId="28752" xr:uid="{0B964D16-C669-4920-8596-11D80CFAA7C2}"/>
    <cellStyle name="20% - Accent2 2 2 2 2 3 2 2 2 2" xfId="31697" xr:uid="{EA3FC446-E4AA-4ACD-8C5A-994A99A7BA15}"/>
    <cellStyle name="20% - Accent2 2 2 2 2 3 2 2 3" xfId="31696" xr:uid="{81832251-51A6-4D6D-BE95-3D27449265A5}"/>
    <cellStyle name="20% - Accent2 2 2 2 2 3 2 3" xfId="21047" xr:uid="{3DD913E1-DC37-462C-AADB-71C117CFEE13}"/>
    <cellStyle name="20% - Accent2 2 2 2 2 3 2 3 2" xfId="31698" xr:uid="{7D752A86-EA65-415C-9786-5448B1FC6EF9}"/>
    <cellStyle name="20% - Accent2 2 2 2 2 3 2 4" xfId="31695" xr:uid="{CFDB57A4-8BDA-473A-B91D-0C1E840BE0BC}"/>
    <cellStyle name="20% - Accent2 2 2 2 2 3 3" xfId="9611" xr:uid="{5066F4E2-5F2D-4316-91F0-B4DD4897CABB}"/>
    <cellStyle name="20% - Accent2 2 2 2 2 3 3 2" xfId="25024" xr:uid="{340C378A-C6FE-46B3-8D42-8CE1392FC7DA}"/>
    <cellStyle name="20% - Accent2 2 2 2 2 3 3 2 2" xfId="31700" xr:uid="{AD8AAA76-6CDA-4400-B60C-FBA320EE835D}"/>
    <cellStyle name="20% - Accent2 2 2 2 2 3 3 3" xfId="31699" xr:uid="{6E509088-9033-45BC-A9A0-C544BFA2C379}"/>
    <cellStyle name="20% - Accent2 2 2 2 2 3 4" xfId="17319" xr:uid="{6370E28A-83A1-453D-A464-D92732253E7D}"/>
    <cellStyle name="20% - Accent2 2 2 2 2 3 4 2" xfId="31701" xr:uid="{3FE923FA-E165-41B3-9341-037439E698EE}"/>
    <cellStyle name="20% - Accent2 2 2 2 2 3 5" xfId="31694" xr:uid="{96CC8291-B32C-4E23-A62D-2104EA71712C}"/>
    <cellStyle name="20% - Accent2 2 2 2 2 4" xfId="4155" xr:uid="{31323EE9-3BE6-465D-AC54-A815248ECAA9}"/>
    <cellStyle name="20% - Accent2 2 2 2 2 4 2" xfId="11863" xr:uid="{16C5AEE3-9DBD-45B0-AF5D-670F29E4173B}"/>
    <cellStyle name="20% - Accent2 2 2 2 2 4 2 2" xfId="27275" xr:uid="{7BE44F69-DB0E-445F-BBBA-C4D83D49E919}"/>
    <cellStyle name="20% - Accent2 2 2 2 2 4 2 2 2" xfId="31704" xr:uid="{B62D9AEE-34B8-4C1E-8823-381843F2CFE5}"/>
    <cellStyle name="20% - Accent2 2 2 2 2 4 2 3" xfId="31703" xr:uid="{A4CFEB60-D6C5-47E4-ADF6-08BA1E5BDC45}"/>
    <cellStyle name="20% - Accent2 2 2 2 2 4 3" xfId="19570" xr:uid="{08F82112-8C6D-4BDF-978F-61339A7F0288}"/>
    <cellStyle name="20% - Accent2 2 2 2 2 4 3 2" xfId="31705" xr:uid="{DB19B83C-E327-40DC-91E3-73150704E59D}"/>
    <cellStyle name="20% - Accent2 2 2 2 2 4 4" xfId="31702" xr:uid="{2F2D8AE1-DED9-41B4-89FB-A6AAB7FB02C6}"/>
    <cellStyle name="20% - Accent2 2 2 2 2 5" xfId="8152" xr:uid="{24BBCF0C-DC1E-4847-93EF-3A722CD4EDD7}"/>
    <cellStyle name="20% - Accent2 2 2 2 2 5 2" xfId="23565" xr:uid="{D1CA0E10-93CC-4359-A3E1-46C6B0C61FC1}"/>
    <cellStyle name="20% - Accent2 2 2 2 2 5 2 2" xfId="31707" xr:uid="{FD3BD468-F385-407B-8886-004B84F016C0}"/>
    <cellStyle name="20% - Accent2 2 2 2 2 5 3" xfId="31706" xr:uid="{1CBC9F65-7665-44A7-BF91-727501AEDF92}"/>
    <cellStyle name="20% - Accent2 2 2 2 2 6" xfId="15860" xr:uid="{394EB336-F4DE-48F5-B80E-746FD787AE9F}"/>
    <cellStyle name="20% - Accent2 2 2 2 2 6 2" xfId="31708" xr:uid="{86570AF7-6E36-45DA-8A81-61B42FA8581D}"/>
    <cellStyle name="20% - Accent2 2 2 2 2 7" xfId="31677" xr:uid="{CC6C3413-C613-4F1C-B1A5-2B49BCA4FBFF}"/>
    <cellStyle name="20% - Accent2 2 2 2 3" xfId="869" xr:uid="{68533963-3B98-49D3-98C3-BDD61E0BECF4}"/>
    <cellStyle name="20% - Accent2 2 2 2 3 2" xfId="2340" xr:uid="{496D3DF7-A519-4EA1-B946-208505B50325}"/>
    <cellStyle name="20% - Accent2 2 2 2 3 2 2" xfId="6072" xr:uid="{2BDFEA70-FDFD-459A-9250-D104D4E83C2C}"/>
    <cellStyle name="20% - Accent2 2 2 2 3 2 2 2" xfId="13780" xr:uid="{7F317A3A-358B-4778-9EB5-98B717706590}"/>
    <cellStyle name="20% - Accent2 2 2 2 3 2 2 2 2" xfId="29192" xr:uid="{5DBE3BA8-EA05-40E9-B7C0-F7AFE41E2C1C}"/>
    <cellStyle name="20% - Accent2 2 2 2 3 2 2 2 2 2" xfId="31713" xr:uid="{CAF6FD10-0198-4404-9B73-F71479CD59AE}"/>
    <cellStyle name="20% - Accent2 2 2 2 3 2 2 2 3" xfId="31712" xr:uid="{8F5E0A81-BDEC-4ED7-B39F-12822936D48A}"/>
    <cellStyle name="20% - Accent2 2 2 2 3 2 2 3" xfId="21487" xr:uid="{1352434C-35DA-4735-A8AE-E45744F242DD}"/>
    <cellStyle name="20% - Accent2 2 2 2 3 2 2 3 2" xfId="31714" xr:uid="{24B0E5A4-2453-45EB-AE9D-34D0F6B8CE90}"/>
    <cellStyle name="20% - Accent2 2 2 2 3 2 2 4" xfId="31711" xr:uid="{7C4935B9-B57F-45B9-AE65-8F2268E57296}"/>
    <cellStyle name="20% - Accent2 2 2 2 3 2 3" xfId="10051" xr:uid="{47E10345-57FE-429A-BF04-30984002C062}"/>
    <cellStyle name="20% - Accent2 2 2 2 3 2 3 2" xfId="25464" xr:uid="{64805D38-2923-4D91-9DFB-D9FE9A692851}"/>
    <cellStyle name="20% - Accent2 2 2 2 3 2 3 2 2" xfId="31716" xr:uid="{ED034CF2-D5AC-4D65-82B0-EACA16A05C52}"/>
    <cellStyle name="20% - Accent2 2 2 2 3 2 3 3" xfId="31715" xr:uid="{460AD997-54ED-4AFB-BCD0-3C3D3F1356AC}"/>
    <cellStyle name="20% - Accent2 2 2 2 3 2 4" xfId="17759" xr:uid="{A17F35F3-5436-4CE4-8193-C6D0E7341D61}"/>
    <cellStyle name="20% - Accent2 2 2 2 3 2 4 2" xfId="31717" xr:uid="{575B0012-786E-431F-8A81-5091EE238ADA}"/>
    <cellStyle name="20% - Accent2 2 2 2 3 2 5" xfId="31710" xr:uid="{595D9B6B-4663-4B52-A8D5-859BC8594D7C}"/>
    <cellStyle name="20% - Accent2 2 2 2 3 3" xfId="4606" xr:uid="{FFEC5AEA-20B1-4301-B465-624B14C44676}"/>
    <cellStyle name="20% - Accent2 2 2 2 3 3 2" xfId="12314" xr:uid="{41A627EF-6812-4BD9-A65D-5E1BE1A91929}"/>
    <cellStyle name="20% - Accent2 2 2 2 3 3 2 2" xfId="27726" xr:uid="{6FF3D2CB-42C0-44CC-AC8A-140F589170E4}"/>
    <cellStyle name="20% - Accent2 2 2 2 3 3 2 2 2" xfId="31720" xr:uid="{CEAD2827-ACF4-4CD3-B6BD-EE2B2A6ABDF0}"/>
    <cellStyle name="20% - Accent2 2 2 2 3 3 2 3" xfId="31719" xr:uid="{2977257E-046D-4567-BD41-3F4C0EF11966}"/>
    <cellStyle name="20% - Accent2 2 2 2 3 3 3" xfId="20021" xr:uid="{119FB062-6B62-40D2-B15C-604549B36949}"/>
    <cellStyle name="20% - Accent2 2 2 2 3 3 3 2" xfId="31721" xr:uid="{8A83BA48-F204-4183-8E85-A33CEC59F2A0}"/>
    <cellStyle name="20% - Accent2 2 2 2 3 3 4" xfId="31718" xr:uid="{01412BB5-01D3-4F5F-A2C6-115006308800}"/>
    <cellStyle name="20% - Accent2 2 2 2 3 4" xfId="8592" xr:uid="{6A43E638-BC44-4187-BD97-0591E786B9E5}"/>
    <cellStyle name="20% - Accent2 2 2 2 3 4 2" xfId="24005" xr:uid="{7FF5B0AD-4A32-42C6-93F9-B2955292D6A3}"/>
    <cellStyle name="20% - Accent2 2 2 2 3 4 2 2" xfId="31723" xr:uid="{6F3E4FDA-834C-443C-82D8-80ACB90F0435}"/>
    <cellStyle name="20% - Accent2 2 2 2 3 4 3" xfId="31722" xr:uid="{D4CA5D17-0067-4349-AB16-C741B9550A64}"/>
    <cellStyle name="20% - Accent2 2 2 2 3 5" xfId="16300" xr:uid="{49A55252-7794-472C-82ED-F7EF804F9949}"/>
    <cellStyle name="20% - Accent2 2 2 2 3 5 2" xfId="31724" xr:uid="{8D7347AF-C7E1-44B9-B46B-2672024DCED9}"/>
    <cellStyle name="20% - Accent2 2 2 2 3 6" xfId="31709" xr:uid="{4489E167-134A-46AD-A0C4-70E87AA36C6C}"/>
    <cellStyle name="20% - Accent2 2 2 2 4" xfId="1702" xr:uid="{7023146E-D446-4EF1-8A94-4BC89672A19B}"/>
    <cellStyle name="20% - Accent2 2 2 2 4 2" xfId="5434" xr:uid="{78E6A3F2-DE6D-41C4-B080-CD19512ABA71}"/>
    <cellStyle name="20% - Accent2 2 2 2 4 2 2" xfId="13142" xr:uid="{195F8E1E-4EFE-4127-BEAF-2B4B67A37582}"/>
    <cellStyle name="20% - Accent2 2 2 2 4 2 2 2" xfId="28554" xr:uid="{3D4E3A47-1FFC-45E1-BA8C-546387F1F95A}"/>
    <cellStyle name="20% - Accent2 2 2 2 4 2 2 2 2" xfId="31728" xr:uid="{11893B43-D741-4AA8-92F6-A8F2ADD177A4}"/>
    <cellStyle name="20% - Accent2 2 2 2 4 2 2 3" xfId="31727" xr:uid="{3F254FEF-F99A-4ADD-981B-3945BA161EBF}"/>
    <cellStyle name="20% - Accent2 2 2 2 4 2 3" xfId="20849" xr:uid="{4CD7C58E-B1D0-4C90-BD34-D8AC017DEC56}"/>
    <cellStyle name="20% - Accent2 2 2 2 4 2 3 2" xfId="31729" xr:uid="{770D4224-2FCF-42D1-BED2-B62291A11B32}"/>
    <cellStyle name="20% - Accent2 2 2 2 4 2 4" xfId="31726" xr:uid="{FB3B7FD3-9C14-4E3F-8690-5852B5576C21}"/>
    <cellStyle name="20% - Accent2 2 2 2 4 3" xfId="9413" xr:uid="{5174828A-69AD-4E89-AA03-FF6F47C47082}"/>
    <cellStyle name="20% - Accent2 2 2 2 4 3 2" xfId="24826" xr:uid="{C91A1796-5721-42E6-81AA-B73286EEDF50}"/>
    <cellStyle name="20% - Accent2 2 2 2 4 3 2 2" xfId="31731" xr:uid="{488CAD7A-D463-4D7F-B0C1-D1A86A3B48E1}"/>
    <cellStyle name="20% - Accent2 2 2 2 4 3 3" xfId="31730" xr:uid="{2D48F86F-7599-4E5C-A6D3-CF0BE0A6E715}"/>
    <cellStyle name="20% - Accent2 2 2 2 4 4" xfId="17121" xr:uid="{A2154868-748C-4BD4-9EFA-E91BD3057305}"/>
    <cellStyle name="20% - Accent2 2 2 2 4 4 2" xfId="31732" xr:uid="{BBFC5A54-DBBA-4279-B743-D2B433AB9AF2}"/>
    <cellStyle name="20% - Accent2 2 2 2 4 5" xfId="31725" xr:uid="{F7B4F8F7-7CC2-47E3-BC38-66EAB75D19DE}"/>
    <cellStyle name="20% - Accent2 2 2 2 5" xfId="3954" xr:uid="{F390B42B-61CB-47F3-951B-3B5B7A3DBF40}"/>
    <cellStyle name="20% - Accent2 2 2 2 5 2" xfId="11662" xr:uid="{69C2A05D-47FB-4F13-8C09-AFAB594381EA}"/>
    <cellStyle name="20% - Accent2 2 2 2 5 2 2" xfId="27074" xr:uid="{02096245-198D-4421-9487-033F427CF30B}"/>
    <cellStyle name="20% - Accent2 2 2 2 5 2 2 2" xfId="31735" xr:uid="{A5C4DAA9-F55A-4985-BA6C-56C72706D1E9}"/>
    <cellStyle name="20% - Accent2 2 2 2 5 2 3" xfId="31734" xr:uid="{63ED4F88-1B01-43F7-8CCC-5B28A5C13F23}"/>
    <cellStyle name="20% - Accent2 2 2 2 5 3" xfId="19369" xr:uid="{08654104-F0D7-4DA4-AB90-DF34D99F2B07}"/>
    <cellStyle name="20% - Accent2 2 2 2 5 3 2" xfId="31736" xr:uid="{E1B53623-FEFE-4F4C-B71F-824428C1AA61}"/>
    <cellStyle name="20% - Accent2 2 2 2 5 4" xfId="31733" xr:uid="{BA4E57F2-DBAD-437B-BC55-58F4FCE4C967}"/>
    <cellStyle name="20% - Accent2 2 2 2 6" xfId="7954" xr:uid="{74AB5526-2202-4366-AC74-0CFC620F72EB}"/>
    <cellStyle name="20% - Accent2 2 2 2 6 2" xfId="23367" xr:uid="{8BBD3C14-A602-4F7F-80A7-CAE3A0BCE7FF}"/>
    <cellStyle name="20% - Accent2 2 2 2 6 2 2" xfId="31738" xr:uid="{EB62EA28-E056-4520-8C65-16EF70D56216}"/>
    <cellStyle name="20% - Accent2 2 2 2 6 3" xfId="31737" xr:uid="{053980FB-A5E6-400A-8101-F7FB15DB352C}"/>
    <cellStyle name="20% - Accent2 2 2 2 7" xfId="15662" xr:uid="{FDAC75E3-2C00-4206-A66D-0AE53AF9F230}"/>
    <cellStyle name="20% - Accent2 2 2 2 7 2" xfId="31739" xr:uid="{A7876938-CB2B-45AD-8E4E-5C759D3BF257}"/>
    <cellStyle name="20% - Accent2 2 2 2 8" xfId="31676" xr:uid="{20214183-8F91-4725-BF9A-255D9E58C14A}"/>
    <cellStyle name="20% - Accent2 2 2 3" xfId="357" xr:uid="{13B5FA02-E1D9-49DB-8F8B-4051BA1136B4}"/>
    <cellStyle name="20% - Accent2 2 2 3 2" xfId="1019" xr:uid="{7DFBF75D-14C4-4AA1-97F4-89FB9F548010}"/>
    <cellStyle name="20% - Accent2 2 2 3 2 2" xfId="2488" xr:uid="{62C03477-B4A6-481E-A17F-CDB85DE1F743}"/>
    <cellStyle name="20% - Accent2 2 2 3 2 2 2" xfId="6220" xr:uid="{686533D9-E68F-41D3-820D-4D70B6859AAE}"/>
    <cellStyle name="20% - Accent2 2 2 3 2 2 2 2" xfId="13928" xr:uid="{0ABC2429-828E-4F5C-BFC3-F73D78CA06AC}"/>
    <cellStyle name="20% - Accent2 2 2 3 2 2 2 2 2" xfId="29340" xr:uid="{76C81E83-E201-4A79-A0DA-E2CECEC99C7C}"/>
    <cellStyle name="20% - Accent2 2 2 3 2 2 2 2 2 2" xfId="31745" xr:uid="{3D99FE80-E1BE-4002-9564-262F9A387BE2}"/>
    <cellStyle name="20% - Accent2 2 2 3 2 2 2 2 3" xfId="31744" xr:uid="{E7E13F6F-A81B-4AB9-9E7C-1525B5A353BC}"/>
    <cellStyle name="20% - Accent2 2 2 3 2 2 2 3" xfId="21635" xr:uid="{E731F3D4-0E28-4651-B820-9D353B8BA16F}"/>
    <cellStyle name="20% - Accent2 2 2 3 2 2 2 3 2" xfId="31746" xr:uid="{04734462-1245-4428-A120-DA48CB9BEFB6}"/>
    <cellStyle name="20% - Accent2 2 2 3 2 2 2 4" xfId="31743" xr:uid="{BE841158-9339-447E-BAB3-32BCBDEAB267}"/>
    <cellStyle name="20% - Accent2 2 2 3 2 2 3" xfId="10199" xr:uid="{500014E2-062B-42AB-8745-81F24460BECC}"/>
    <cellStyle name="20% - Accent2 2 2 3 2 2 3 2" xfId="25612" xr:uid="{49ECCFFB-8B80-495E-985A-B6286411A799}"/>
    <cellStyle name="20% - Accent2 2 2 3 2 2 3 2 2" xfId="31748" xr:uid="{32C06D6D-4AD5-4E63-82CC-8F19FA715EF3}"/>
    <cellStyle name="20% - Accent2 2 2 3 2 2 3 3" xfId="31747" xr:uid="{CF2C3725-B639-4503-BCFC-85B3C218C13C}"/>
    <cellStyle name="20% - Accent2 2 2 3 2 2 4" xfId="17907" xr:uid="{FF1F23EC-5848-4056-8808-91A6DC361172}"/>
    <cellStyle name="20% - Accent2 2 2 3 2 2 4 2" xfId="31749" xr:uid="{31E6DE73-ACDF-42B9-8895-F0F14405A36A}"/>
    <cellStyle name="20% - Accent2 2 2 3 2 2 5" xfId="31742" xr:uid="{412E39B8-D342-45B4-9183-E928EB2CB2D9}"/>
    <cellStyle name="20% - Accent2 2 2 3 2 3" xfId="4756" xr:uid="{9D429545-D17C-41C8-809E-1FEA268CE966}"/>
    <cellStyle name="20% - Accent2 2 2 3 2 3 2" xfId="12464" xr:uid="{1761E29B-9FBF-4157-ABAE-B45910B88A8E}"/>
    <cellStyle name="20% - Accent2 2 2 3 2 3 2 2" xfId="27876" xr:uid="{D39963A6-278C-4358-B683-13828D3E180F}"/>
    <cellStyle name="20% - Accent2 2 2 3 2 3 2 2 2" xfId="31752" xr:uid="{BC48B07B-D3AE-4A31-B44B-057B34995F51}"/>
    <cellStyle name="20% - Accent2 2 2 3 2 3 2 3" xfId="31751" xr:uid="{F12BD572-EDE0-48F8-A532-E96F49E8A369}"/>
    <cellStyle name="20% - Accent2 2 2 3 2 3 3" xfId="20171" xr:uid="{73E9C1D6-E7C7-4E96-9966-624DBB3A5EFB}"/>
    <cellStyle name="20% - Accent2 2 2 3 2 3 3 2" xfId="31753" xr:uid="{C4999BCF-02A6-46ED-A2E9-57B8DF3548E7}"/>
    <cellStyle name="20% - Accent2 2 2 3 2 3 4" xfId="31750" xr:uid="{CFC9C8DA-5F36-4EB4-B796-89E93B45AB01}"/>
    <cellStyle name="20% - Accent2 2 2 3 2 4" xfId="8740" xr:uid="{40B19242-4F83-4E6A-AD10-53BA10A53691}"/>
    <cellStyle name="20% - Accent2 2 2 3 2 4 2" xfId="24153" xr:uid="{DB0FA14B-C57C-42FC-AFC3-EF34DD4E0FCB}"/>
    <cellStyle name="20% - Accent2 2 2 3 2 4 2 2" xfId="31755" xr:uid="{9457EE66-3E50-4439-9A2A-F50ED7EDBED0}"/>
    <cellStyle name="20% - Accent2 2 2 3 2 4 3" xfId="31754" xr:uid="{6B41B70B-64F5-4641-88F6-30E59FFB7393}"/>
    <cellStyle name="20% - Accent2 2 2 3 2 5" xfId="16448" xr:uid="{A8DDC539-4BFA-46DE-B9EB-84683C219852}"/>
    <cellStyle name="20% - Accent2 2 2 3 2 5 2" xfId="31756" xr:uid="{429900C2-B132-435D-8795-34608364CC74}"/>
    <cellStyle name="20% - Accent2 2 2 3 2 6" xfId="31741" xr:uid="{DF9FAFA9-2CDF-4373-90C5-23A41937FF2B}"/>
    <cellStyle name="20% - Accent2 2 2 3 3" xfId="1850" xr:uid="{8C326AE0-A71E-480B-A17E-EC395BFB92C2}"/>
    <cellStyle name="20% - Accent2 2 2 3 3 2" xfId="5582" xr:uid="{51BD9BB1-D5CC-4959-9805-3AE047D58535}"/>
    <cellStyle name="20% - Accent2 2 2 3 3 2 2" xfId="13290" xr:uid="{1F471748-BB7A-460C-86D4-4B7A32E6AAE8}"/>
    <cellStyle name="20% - Accent2 2 2 3 3 2 2 2" xfId="28702" xr:uid="{38A15947-FD27-487D-807F-3A4B9628E122}"/>
    <cellStyle name="20% - Accent2 2 2 3 3 2 2 2 2" xfId="31760" xr:uid="{DFDDB4C5-5D62-4E1F-847C-AD538385D391}"/>
    <cellStyle name="20% - Accent2 2 2 3 3 2 2 3" xfId="31759" xr:uid="{1E566097-B268-4422-ABA6-2250AA562427}"/>
    <cellStyle name="20% - Accent2 2 2 3 3 2 3" xfId="20997" xr:uid="{1904151B-8310-4823-B2FC-6878AE1D29B8}"/>
    <cellStyle name="20% - Accent2 2 2 3 3 2 3 2" xfId="31761" xr:uid="{77F2B379-021B-4CC2-8882-8AFF00BEA7E8}"/>
    <cellStyle name="20% - Accent2 2 2 3 3 2 4" xfId="31758" xr:uid="{C3156EB1-4DC1-4642-B7FA-AD04E5315B79}"/>
    <cellStyle name="20% - Accent2 2 2 3 3 3" xfId="9561" xr:uid="{42EB856F-6B12-4906-A3B6-E771806B656D}"/>
    <cellStyle name="20% - Accent2 2 2 3 3 3 2" xfId="24974" xr:uid="{3EC6BAA8-BF63-4C9E-8B81-117048552DD8}"/>
    <cellStyle name="20% - Accent2 2 2 3 3 3 2 2" xfId="31763" xr:uid="{B75B5B27-CDCB-4BF0-8A65-CDEF606EC95C}"/>
    <cellStyle name="20% - Accent2 2 2 3 3 3 3" xfId="31762" xr:uid="{F74DBAD2-C115-4512-A619-FDBBCF58E156}"/>
    <cellStyle name="20% - Accent2 2 2 3 3 4" xfId="17269" xr:uid="{208BBFD3-6F14-4AFE-BD13-12E739FE8EFB}"/>
    <cellStyle name="20% - Accent2 2 2 3 3 4 2" xfId="31764" xr:uid="{B1B0D4A8-1EB6-46AC-971D-6C57F3344EFB}"/>
    <cellStyle name="20% - Accent2 2 2 3 3 5" xfId="31757" xr:uid="{76B7FBC0-D0E5-433C-BDE0-E5B035930BF2}"/>
    <cellStyle name="20% - Accent2 2 2 3 4" xfId="4104" xr:uid="{9F7DA852-1017-46B0-A502-0DB744823940}"/>
    <cellStyle name="20% - Accent2 2 2 3 4 2" xfId="11812" xr:uid="{F5497FC4-B210-4559-82DA-5382BFED1C9C}"/>
    <cellStyle name="20% - Accent2 2 2 3 4 2 2" xfId="27224" xr:uid="{4B8A8C36-30F3-4DA4-A6C9-AA652DF2DDDB}"/>
    <cellStyle name="20% - Accent2 2 2 3 4 2 2 2" xfId="31767" xr:uid="{AEEC29B7-07A8-4335-AD14-0E78856CDED8}"/>
    <cellStyle name="20% - Accent2 2 2 3 4 2 3" xfId="31766" xr:uid="{E0000A9A-129A-48EF-85A2-44AB34F12BD6}"/>
    <cellStyle name="20% - Accent2 2 2 3 4 3" xfId="19519" xr:uid="{01E14B8C-0A96-42DF-ADFF-F996D110FC2B}"/>
    <cellStyle name="20% - Accent2 2 2 3 4 3 2" xfId="31768" xr:uid="{FC0C86D8-6836-433B-A104-AF20B857BBD8}"/>
    <cellStyle name="20% - Accent2 2 2 3 4 4" xfId="31765" xr:uid="{C61D3A8D-22F8-4FE4-8A62-A2819989D0E5}"/>
    <cellStyle name="20% - Accent2 2 2 3 5" xfId="8102" xr:uid="{F3B4552B-185C-4ACE-B5B5-6732B963D6AE}"/>
    <cellStyle name="20% - Accent2 2 2 3 5 2" xfId="23515" xr:uid="{652B1D9D-5A4D-4CC9-AB0C-33236293E1B7}"/>
    <cellStyle name="20% - Accent2 2 2 3 5 2 2" xfId="31770" xr:uid="{B671AB3A-291D-44F7-97DC-9C90894E7A96}"/>
    <cellStyle name="20% - Accent2 2 2 3 5 3" xfId="31769" xr:uid="{7820FCB4-D7AC-4A77-914D-327013CBBE24}"/>
    <cellStyle name="20% - Accent2 2 2 3 6" xfId="15810" xr:uid="{3B471A18-9E09-4742-828E-731240B81579}"/>
    <cellStyle name="20% - Accent2 2 2 3 6 2" xfId="31771" xr:uid="{BC46E55D-1802-4990-B387-D5824A34D7D7}"/>
    <cellStyle name="20% - Accent2 2 2 3 7" xfId="31740" xr:uid="{6A817478-AE6C-4785-A0FD-BAF6AC1A4406}"/>
    <cellStyle name="20% - Accent2 2 2 4" xfId="813" xr:uid="{09FB9E23-1E81-4014-A29A-784A9EFE9BFE}"/>
    <cellStyle name="20% - Accent2 2 2 4 2" xfId="2290" xr:uid="{0ED3B6C0-5763-4304-AB8D-9B35637C7D51}"/>
    <cellStyle name="20% - Accent2 2 2 4 2 2" xfId="6022" xr:uid="{86F20338-6301-4592-9433-340E922B5247}"/>
    <cellStyle name="20% - Accent2 2 2 4 2 2 2" xfId="13730" xr:uid="{66E1D65E-AD19-451C-92AA-DD3ED45847D8}"/>
    <cellStyle name="20% - Accent2 2 2 4 2 2 2 2" xfId="29142" xr:uid="{ADAB3A99-250B-405C-BFC6-1DAC6F9BDCD2}"/>
    <cellStyle name="20% - Accent2 2 2 4 2 2 2 2 2" xfId="31776" xr:uid="{B37C016D-93BA-4BE3-A394-868E06E218DC}"/>
    <cellStyle name="20% - Accent2 2 2 4 2 2 2 3" xfId="31775" xr:uid="{54B6766C-DDA6-4B7F-96A3-5F4CA6DE65EB}"/>
    <cellStyle name="20% - Accent2 2 2 4 2 2 3" xfId="21437" xr:uid="{148B7DC4-1F3B-4370-BB88-E5F92151F560}"/>
    <cellStyle name="20% - Accent2 2 2 4 2 2 3 2" xfId="31777" xr:uid="{D837C920-09D2-4F39-A5FE-2BCC94DF1F83}"/>
    <cellStyle name="20% - Accent2 2 2 4 2 2 4" xfId="31774" xr:uid="{0DAC0315-1698-45EA-92BF-73B8940A394F}"/>
    <cellStyle name="20% - Accent2 2 2 4 2 3" xfId="10001" xr:uid="{F266C988-7DFC-4BC9-BC33-CC239DD12C11}"/>
    <cellStyle name="20% - Accent2 2 2 4 2 3 2" xfId="25414" xr:uid="{69CE45DF-45A7-4940-9B1C-937FD61E14EB}"/>
    <cellStyle name="20% - Accent2 2 2 4 2 3 2 2" xfId="31779" xr:uid="{DCE72BA4-4F72-4AB4-B680-4C379518BAD6}"/>
    <cellStyle name="20% - Accent2 2 2 4 2 3 3" xfId="31778" xr:uid="{1BA42AEF-6DD2-4668-9EDC-B39A38FC064B}"/>
    <cellStyle name="20% - Accent2 2 2 4 2 4" xfId="17709" xr:uid="{87535E73-8158-4510-A324-20577CAAFB2C}"/>
    <cellStyle name="20% - Accent2 2 2 4 2 4 2" xfId="31780" xr:uid="{BD126528-FC05-479C-AF88-985C4CEDE24B}"/>
    <cellStyle name="20% - Accent2 2 2 4 2 5" xfId="31773" xr:uid="{D14E26AA-BEC7-44F8-A062-3384459EF008}"/>
    <cellStyle name="20% - Accent2 2 2 4 3" xfId="4550" xr:uid="{B9411EBE-7122-45DC-9BF2-CEEC9519B0E0}"/>
    <cellStyle name="20% - Accent2 2 2 4 3 2" xfId="12258" xr:uid="{7D3BB4CF-9FC8-4337-AEC1-1DAB224ACB60}"/>
    <cellStyle name="20% - Accent2 2 2 4 3 2 2" xfId="27670" xr:uid="{F841F7FD-9FE9-4805-8FBD-FFB6111DD86C}"/>
    <cellStyle name="20% - Accent2 2 2 4 3 2 2 2" xfId="31783" xr:uid="{96ABC605-15D8-4A2F-AA95-6F46D7C38FC6}"/>
    <cellStyle name="20% - Accent2 2 2 4 3 2 3" xfId="31782" xr:uid="{A02F454B-40C3-44D5-8E1C-C33C113B20A3}"/>
    <cellStyle name="20% - Accent2 2 2 4 3 3" xfId="19965" xr:uid="{F2A4EE92-B91B-4713-8B83-F3A94557BA2B}"/>
    <cellStyle name="20% - Accent2 2 2 4 3 3 2" xfId="31784" xr:uid="{044BE3FF-C2F9-4F96-9143-9A570D12F0AA}"/>
    <cellStyle name="20% - Accent2 2 2 4 3 4" xfId="31781" xr:uid="{36A9F40F-9D25-4AEF-9ADD-91697BE598DB}"/>
    <cellStyle name="20% - Accent2 2 2 4 4" xfId="8542" xr:uid="{39441AAB-DA76-4AB3-86CD-0484AE3B2D45}"/>
    <cellStyle name="20% - Accent2 2 2 4 4 2" xfId="23955" xr:uid="{5EFE19FF-096B-4677-8571-D016145F5EA1}"/>
    <cellStyle name="20% - Accent2 2 2 4 4 2 2" xfId="31786" xr:uid="{31AE6D5F-0364-472D-841D-896A51F19F30}"/>
    <cellStyle name="20% - Accent2 2 2 4 4 3" xfId="31785" xr:uid="{D91D290D-45D9-4617-9247-FC7AE5AEBFE8}"/>
    <cellStyle name="20% - Accent2 2 2 4 5" xfId="16250" xr:uid="{632680D2-11AE-47F5-A70C-BF4A202A6F5D}"/>
    <cellStyle name="20% - Accent2 2 2 4 5 2" xfId="31787" xr:uid="{C18DC821-7F91-41A6-A876-2892623435BC}"/>
    <cellStyle name="20% - Accent2 2 2 4 6" xfId="31772" xr:uid="{841742A1-F79F-4A23-BA2A-DEFFCB9663C5}"/>
    <cellStyle name="20% - Accent2 2 2 5" xfId="1651" xr:uid="{CA8BD3CB-C089-421B-9227-780CC702A148}"/>
    <cellStyle name="20% - Accent2 2 2 5 2" xfId="5383" xr:uid="{C7A3084C-C9FF-4F68-A6D1-8C006B4D69C9}"/>
    <cellStyle name="20% - Accent2 2 2 5 2 2" xfId="13091" xr:uid="{3A1EAC19-4426-431C-ABE4-EFABB5AE5247}"/>
    <cellStyle name="20% - Accent2 2 2 5 2 2 2" xfId="28503" xr:uid="{41947B53-5F49-4D62-8DF5-1E45A1E46402}"/>
    <cellStyle name="20% - Accent2 2 2 5 2 2 2 2" xfId="31791" xr:uid="{FD9DE17B-BA0F-43CB-9192-0A91652D815C}"/>
    <cellStyle name="20% - Accent2 2 2 5 2 2 3" xfId="31790" xr:uid="{B4CB8D14-047B-44C1-97D3-91F9DE916E23}"/>
    <cellStyle name="20% - Accent2 2 2 5 2 3" xfId="20798" xr:uid="{EC07F06F-F254-4302-91AA-31CE495A167A}"/>
    <cellStyle name="20% - Accent2 2 2 5 2 3 2" xfId="31792" xr:uid="{9358B0F1-9220-4723-A1E6-60983344D655}"/>
    <cellStyle name="20% - Accent2 2 2 5 2 4" xfId="31789" xr:uid="{BC6E4908-19FC-451D-BD1B-8FFB229041FE}"/>
    <cellStyle name="20% - Accent2 2 2 5 3" xfId="9363" xr:uid="{BDA2E08B-6208-4A79-8A33-8747F9B7EBFD}"/>
    <cellStyle name="20% - Accent2 2 2 5 3 2" xfId="24776" xr:uid="{4D8844C1-64A5-469D-AC09-F2E07AAA3683}"/>
    <cellStyle name="20% - Accent2 2 2 5 3 2 2" xfId="31794" xr:uid="{2A42D3F6-DDB1-462F-83CB-4C29BF9DF7FD}"/>
    <cellStyle name="20% - Accent2 2 2 5 3 3" xfId="31793" xr:uid="{061F8686-9081-4F26-BC51-616E5C6466D5}"/>
    <cellStyle name="20% - Accent2 2 2 5 4" xfId="17071" xr:uid="{A40A6AA1-0077-4EF4-8583-0A03F0D8E5B4}"/>
    <cellStyle name="20% - Accent2 2 2 5 4 2" xfId="31795" xr:uid="{1088F360-0927-49A2-9A81-A97C8D8B5794}"/>
    <cellStyle name="20% - Accent2 2 2 5 5" xfId="31788" xr:uid="{3309B94A-21CC-4FF3-A31E-BE827455E7CD}"/>
    <cellStyle name="20% - Accent2 2 2 6" xfId="3898" xr:uid="{64503C5E-00FB-4DCC-903A-B2D8DE2222FD}"/>
    <cellStyle name="20% - Accent2 2 2 6 2" xfId="11606" xr:uid="{DB147D22-BCD8-43AF-BBB5-C7E28D4F307E}"/>
    <cellStyle name="20% - Accent2 2 2 6 2 2" xfId="27018" xr:uid="{C9A8A692-F60E-486A-BB4B-E48042C91D27}"/>
    <cellStyle name="20% - Accent2 2 2 6 2 2 2" xfId="31798" xr:uid="{C94B1FDF-25BA-4A50-91AA-CF9950F19C41}"/>
    <cellStyle name="20% - Accent2 2 2 6 2 3" xfId="31797" xr:uid="{91847D71-C77F-40DD-809E-864360048CD9}"/>
    <cellStyle name="20% - Accent2 2 2 6 3" xfId="19313" xr:uid="{7C580916-5196-4E3B-AAC3-83756A525B3E}"/>
    <cellStyle name="20% - Accent2 2 2 6 3 2" xfId="31799" xr:uid="{225B1D97-6AB2-47A9-A9EA-475D2C9D3884}"/>
    <cellStyle name="20% - Accent2 2 2 6 4" xfId="31796" xr:uid="{5BD7971C-5949-416F-B0BD-F08173198849}"/>
    <cellStyle name="20% - Accent2 2 2 7" xfId="7886" xr:uid="{705DBAF5-B34D-458D-BA09-846C08ACDF66}"/>
    <cellStyle name="20% - Accent2 2 2 7 2" xfId="23299" xr:uid="{7215A698-7891-4D7F-95C1-BD93D6252947}"/>
    <cellStyle name="20% - Accent2 2 2 7 2 2" xfId="31801" xr:uid="{ED219DFC-93F9-4136-84C2-9A30A041496E}"/>
    <cellStyle name="20% - Accent2 2 2 7 3" xfId="31800" xr:uid="{C54D8821-F743-4B65-B5A9-B5DA9E2D224A}"/>
    <cellStyle name="20% - Accent2 2 2 8" xfId="15594" xr:uid="{F978C202-6D84-4557-AFE2-BB690FBBFFFA}"/>
    <cellStyle name="20% - Accent2 2 2 8 2" xfId="31802" xr:uid="{85622359-7D99-4CA8-B55B-7846729AE805}"/>
    <cellStyle name="20% - Accent2 2 2 9" xfId="31675" xr:uid="{A9DDB6D6-59C0-4619-AC86-99CA983A88ED}"/>
    <cellStyle name="20% - Accent2 2 3" xfId="184" xr:uid="{39533A89-0A7F-46E9-9D9C-69F4B0469618}"/>
    <cellStyle name="20% - Accent2 2 3 2" xfId="393" xr:uid="{725477F9-F42C-44A1-BCA9-D2EF9DF69C85}"/>
    <cellStyle name="20% - Accent2 2 3 2 2" xfId="1055" xr:uid="{FE725283-9C34-48C2-9B47-AD88626D1D25}"/>
    <cellStyle name="20% - Accent2 2 3 2 2 2" xfId="2523" xr:uid="{30E74D0C-F932-43F0-82FD-81B0051F9787}"/>
    <cellStyle name="20% - Accent2 2 3 2 2 2 2" xfId="6255" xr:uid="{83FC5E56-0F54-4D6A-9A68-BC9E70346AA3}"/>
    <cellStyle name="20% - Accent2 2 3 2 2 2 2 2" xfId="13963" xr:uid="{3F02328E-8BE8-4ACF-B1D8-E20FFA32C2D4}"/>
    <cellStyle name="20% - Accent2 2 3 2 2 2 2 2 2" xfId="29375" xr:uid="{35E9D419-133F-4068-868F-5FD68A04E96A}"/>
    <cellStyle name="20% - Accent2 2 3 2 2 2 2 2 2 2" xfId="31809" xr:uid="{EB4E0D52-51A5-46E8-848D-EEAA28BA4771}"/>
    <cellStyle name="20% - Accent2 2 3 2 2 2 2 2 3" xfId="31808" xr:uid="{3F2B9F51-C339-4012-AE72-2839676E1640}"/>
    <cellStyle name="20% - Accent2 2 3 2 2 2 2 3" xfId="21670" xr:uid="{3811F6E1-D695-41FB-91BB-21F810C21F18}"/>
    <cellStyle name="20% - Accent2 2 3 2 2 2 2 3 2" xfId="31810" xr:uid="{FFE3F214-3F71-4837-9E10-22183360522B}"/>
    <cellStyle name="20% - Accent2 2 3 2 2 2 2 4" xfId="31807" xr:uid="{80E23360-BB19-469D-A811-5A6031B1CABA}"/>
    <cellStyle name="20% - Accent2 2 3 2 2 2 3" xfId="10234" xr:uid="{015BF481-2D63-493E-92A3-73BC0CFFC863}"/>
    <cellStyle name="20% - Accent2 2 3 2 2 2 3 2" xfId="25647" xr:uid="{C73F706A-668B-46AA-A7DB-CC4C1DDFC15A}"/>
    <cellStyle name="20% - Accent2 2 3 2 2 2 3 2 2" xfId="31812" xr:uid="{71D8DCE6-0A4B-436C-84CC-59F3BBE348FE}"/>
    <cellStyle name="20% - Accent2 2 3 2 2 2 3 3" xfId="31811" xr:uid="{8738B013-25F0-41DE-88BE-CCF395AB7068}"/>
    <cellStyle name="20% - Accent2 2 3 2 2 2 4" xfId="17942" xr:uid="{63B58859-D1EA-4268-9FAE-4640B2D897E6}"/>
    <cellStyle name="20% - Accent2 2 3 2 2 2 4 2" xfId="31813" xr:uid="{ADBEED77-5874-4477-B6E6-110321F10598}"/>
    <cellStyle name="20% - Accent2 2 3 2 2 2 5" xfId="31806" xr:uid="{3BBED6D4-B4C0-4EC3-BBCD-2FF770C816D8}"/>
    <cellStyle name="20% - Accent2 2 3 2 2 3" xfId="4792" xr:uid="{1B7A9D02-38BC-47CA-B161-72346800D61D}"/>
    <cellStyle name="20% - Accent2 2 3 2 2 3 2" xfId="12500" xr:uid="{E4B2BDAA-06FF-414B-8282-01D64EE6302E}"/>
    <cellStyle name="20% - Accent2 2 3 2 2 3 2 2" xfId="27912" xr:uid="{39AF6B66-9F5E-4299-BF95-9CE58D5354BF}"/>
    <cellStyle name="20% - Accent2 2 3 2 2 3 2 2 2" xfId="31816" xr:uid="{86D86D45-206E-4E89-90B1-AAB203840653}"/>
    <cellStyle name="20% - Accent2 2 3 2 2 3 2 3" xfId="31815" xr:uid="{DB80B498-F425-4EB2-81AD-39143CC34E99}"/>
    <cellStyle name="20% - Accent2 2 3 2 2 3 3" xfId="20207" xr:uid="{98E64FBD-9D62-4C6B-A428-EC35ABED2503}"/>
    <cellStyle name="20% - Accent2 2 3 2 2 3 3 2" xfId="31817" xr:uid="{17977F71-A1F1-41F2-B140-936FF7674B5A}"/>
    <cellStyle name="20% - Accent2 2 3 2 2 3 4" xfId="31814" xr:uid="{296846EC-AAE2-4A6B-9A05-7EB7E6F23E20}"/>
    <cellStyle name="20% - Accent2 2 3 2 2 4" xfId="8775" xr:uid="{9553A328-9A74-4993-BF25-43F14AECF79B}"/>
    <cellStyle name="20% - Accent2 2 3 2 2 4 2" xfId="24188" xr:uid="{B37DCDC8-147D-4549-8050-DF786952BA71}"/>
    <cellStyle name="20% - Accent2 2 3 2 2 4 2 2" xfId="31819" xr:uid="{717A33E8-C3F7-481F-9FE3-B4F83742E304}"/>
    <cellStyle name="20% - Accent2 2 3 2 2 4 3" xfId="31818" xr:uid="{85B47724-A3AD-4FBE-8D53-B052D7A6ED8B}"/>
    <cellStyle name="20% - Accent2 2 3 2 2 5" xfId="16483" xr:uid="{62F03BA0-F71A-419F-8B75-CEDFBA88912B}"/>
    <cellStyle name="20% - Accent2 2 3 2 2 5 2" xfId="31820" xr:uid="{6380F05D-59DB-4FAF-9BD6-A2402AAD7F10}"/>
    <cellStyle name="20% - Accent2 2 3 2 2 6" xfId="31805" xr:uid="{75B605D0-9A48-4D15-96DF-6175F28C86AE}"/>
    <cellStyle name="20% - Accent2 2 3 2 3" xfId="1885" xr:uid="{312F4DB7-BC12-4BCC-887D-204479E40F24}"/>
    <cellStyle name="20% - Accent2 2 3 2 3 2" xfId="5617" xr:uid="{2C92DE22-BAE1-4E04-B6B2-FB27B8D46831}"/>
    <cellStyle name="20% - Accent2 2 3 2 3 2 2" xfId="13325" xr:uid="{ECE02930-FFA2-47A0-9FE1-109C218ACD43}"/>
    <cellStyle name="20% - Accent2 2 3 2 3 2 2 2" xfId="28737" xr:uid="{8E205CB3-1906-44FD-A9EE-87926973C9FC}"/>
    <cellStyle name="20% - Accent2 2 3 2 3 2 2 2 2" xfId="31824" xr:uid="{CCD26B38-D8FE-4ACB-8CAD-0A75EC17103A}"/>
    <cellStyle name="20% - Accent2 2 3 2 3 2 2 3" xfId="31823" xr:uid="{9993FC5C-082E-46F6-BFF3-46E2BCE75A4F}"/>
    <cellStyle name="20% - Accent2 2 3 2 3 2 3" xfId="21032" xr:uid="{BD744530-A6E4-4D49-9BBF-8576AFEFC353}"/>
    <cellStyle name="20% - Accent2 2 3 2 3 2 3 2" xfId="31825" xr:uid="{06FC62BC-9FE9-4D29-8E40-72D17EA4314A}"/>
    <cellStyle name="20% - Accent2 2 3 2 3 2 4" xfId="31822" xr:uid="{34ECEB11-64FA-4C1D-9670-5B9B680A1D20}"/>
    <cellStyle name="20% - Accent2 2 3 2 3 3" xfId="9596" xr:uid="{1E993205-00FD-4C69-AEBA-E81CBD63C34E}"/>
    <cellStyle name="20% - Accent2 2 3 2 3 3 2" xfId="25009" xr:uid="{0E1A7EAE-FC58-4539-A8C9-4FCC4A77A261}"/>
    <cellStyle name="20% - Accent2 2 3 2 3 3 2 2" xfId="31827" xr:uid="{6430E618-8E28-4F35-A8C6-04F83418A982}"/>
    <cellStyle name="20% - Accent2 2 3 2 3 3 3" xfId="31826" xr:uid="{FAD35383-C661-44CE-B443-6E8631E73271}"/>
    <cellStyle name="20% - Accent2 2 3 2 3 4" xfId="17304" xr:uid="{BD8DC3F5-B7E1-4086-8826-D70CCE2809A4}"/>
    <cellStyle name="20% - Accent2 2 3 2 3 4 2" xfId="31828" xr:uid="{3894D9D2-0538-4DF4-9A4A-32EDEA7E4D00}"/>
    <cellStyle name="20% - Accent2 2 3 2 3 5" xfId="31821" xr:uid="{6869764E-3DAD-496B-A4DD-1B2784D7018F}"/>
    <cellStyle name="20% - Accent2 2 3 2 4" xfId="4140" xr:uid="{408E22DD-42CF-435C-BD93-F97F722F2615}"/>
    <cellStyle name="20% - Accent2 2 3 2 4 2" xfId="11848" xr:uid="{57138C7B-1A46-4F37-B560-BB3D0F7B9630}"/>
    <cellStyle name="20% - Accent2 2 3 2 4 2 2" xfId="27260" xr:uid="{37D57A3D-0948-4EFF-8A62-2F7A6187D7C9}"/>
    <cellStyle name="20% - Accent2 2 3 2 4 2 2 2" xfId="31831" xr:uid="{FDA023BA-E8E1-43F7-BC7D-E2146676DC3D}"/>
    <cellStyle name="20% - Accent2 2 3 2 4 2 3" xfId="31830" xr:uid="{A9912C3D-2865-4CD2-835B-D53BE53787C1}"/>
    <cellStyle name="20% - Accent2 2 3 2 4 3" xfId="19555" xr:uid="{FB95DE51-49E2-4C9D-BC13-B92B514B4DA5}"/>
    <cellStyle name="20% - Accent2 2 3 2 4 3 2" xfId="31832" xr:uid="{559B96D8-ACB8-496C-AE66-389406356DAC}"/>
    <cellStyle name="20% - Accent2 2 3 2 4 4" xfId="31829" xr:uid="{E3CC21AD-FAFD-4981-A9E2-8541AA81687C}"/>
    <cellStyle name="20% - Accent2 2 3 2 5" xfId="8137" xr:uid="{ACE13C32-F917-4F1E-9BB9-6B31DF9EC71C}"/>
    <cellStyle name="20% - Accent2 2 3 2 5 2" xfId="23550" xr:uid="{47F8BAC7-8196-48C1-9AA3-358BE37B9339}"/>
    <cellStyle name="20% - Accent2 2 3 2 5 2 2" xfId="31834" xr:uid="{E1632154-C561-4DA0-A86E-9F0F2F557089}"/>
    <cellStyle name="20% - Accent2 2 3 2 5 3" xfId="31833" xr:uid="{7A66FC0F-830B-4C6C-A5F6-2F4457F7A237}"/>
    <cellStyle name="20% - Accent2 2 3 2 6" xfId="15845" xr:uid="{A4CE3B60-F086-4D82-A819-AB4ECCE1090D}"/>
    <cellStyle name="20% - Accent2 2 3 2 6 2" xfId="31835" xr:uid="{0691043D-C195-422E-86AE-7944A1646B12}"/>
    <cellStyle name="20% - Accent2 2 3 2 7" xfId="31804" xr:uid="{A88EAE23-786C-4314-B61B-13E6F3BA2054}"/>
    <cellStyle name="20% - Accent2 2 3 3" xfId="850" xr:uid="{60BF8371-525B-4FCD-9E9E-1B70576B0AE3}"/>
    <cellStyle name="20% - Accent2 2 3 3 2" xfId="2325" xr:uid="{B8F0DBDF-31D9-4B93-803F-554B0AE27114}"/>
    <cellStyle name="20% - Accent2 2 3 3 2 2" xfId="6057" xr:uid="{7E086A0C-FAF3-452F-9646-DFB67F1A6ABA}"/>
    <cellStyle name="20% - Accent2 2 3 3 2 2 2" xfId="13765" xr:uid="{A499E79D-2BA3-4C05-84DE-9373E544864F}"/>
    <cellStyle name="20% - Accent2 2 3 3 2 2 2 2" xfId="29177" xr:uid="{C0AD903A-C1AD-4878-AFEE-FDC752B4F8F7}"/>
    <cellStyle name="20% - Accent2 2 3 3 2 2 2 2 2" xfId="31840" xr:uid="{A6B4556A-4FB6-4640-B0BB-36A979432A44}"/>
    <cellStyle name="20% - Accent2 2 3 3 2 2 2 3" xfId="31839" xr:uid="{9293FEE1-1B41-49A0-BCA5-EF347BA7B6A9}"/>
    <cellStyle name="20% - Accent2 2 3 3 2 2 3" xfId="21472" xr:uid="{E23413AA-0A22-451E-BDA6-6295D2198C58}"/>
    <cellStyle name="20% - Accent2 2 3 3 2 2 3 2" xfId="31841" xr:uid="{24EF5E4C-A221-4ECB-A36C-AA1B0FBFA27A}"/>
    <cellStyle name="20% - Accent2 2 3 3 2 2 4" xfId="31838" xr:uid="{1993DE0F-216D-43BA-B82D-03C9655E895B}"/>
    <cellStyle name="20% - Accent2 2 3 3 2 3" xfId="10036" xr:uid="{9221A884-A535-4F51-AEF9-FDC831B55A98}"/>
    <cellStyle name="20% - Accent2 2 3 3 2 3 2" xfId="25449" xr:uid="{F4F985D9-FCA2-4D34-AD61-01293DAD2072}"/>
    <cellStyle name="20% - Accent2 2 3 3 2 3 2 2" xfId="31843" xr:uid="{842AEA2E-A710-4E02-ADBC-84552E518881}"/>
    <cellStyle name="20% - Accent2 2 3 3 2 3 3" xfId="31842" xr:uid="{225F442F-EEA5-4989-AE47-F2F4CC503193}"/>
    <cellStyle name="20% - Accent2 2 3 3 2 4" xfId="17744" xr:uid="{D7AB2B2F-AF8C-4749-872D-0C02A262EA96}"/>
    <cellStyle name="20% - Accent2 2 3 3 2 4 2" xfId="31844" xr:uid="{50B44966-EEAD-452C-94FE-12477A92CA77}"/>
    <cellStyle name="20% - Accent2 2 3 3 2 5" xfId="31837" xr:uid="{CE54ED97-180F-491B-9D72-60DB7979F6BA}"/>
    <cellStyle name="20% - Accent2 2 3 3 3" xfId="4587" xr:uid="{D889E6C8-20A5-412C-ACAD-284E2133CBA5}"/>
    <cellStyle name="20% - Accent2 2 3 3 3 2" xfId="12295" xr:uid="{6BB6E288-9851-4FFC-8A0D-05C8DAE3795A}"/>
    <cellStyle name="20% - Accent2 2 3 3 3 2 2" xfId="27707" xr:uid="{D8ED7A26-7961-4593-B5DD-A322728FF902}"/>
    <cellStyle name="20% - Accent2 2 3 3 3 2 2 2" xfId="31847" xr:uid="{B20A2448-2F0A-4CF8-8E0F-C3093A52779C}"/>
    <cellStyle name="20% - Accent2 2 3 3 3 2 3" xfId="31846" xr:uid="{89EC85F2-71C7-4F31-8B7C-2726AC0068DE}"/>
    <cellStyle name="20% - Accent2 2 3 3 3 3" xfId="20002" xr:uid="{41D263D1-857F-4DFC-952F-98E73BAF432A}"/>
    <cellStyle name="20% - Accent2 2 3 3 3 3 2" xfId="31848" xr:uid="{A5C55435-75BF-40C3-A1FE-C81132215209}"/>
    <cellStyle name="20% - Accent2 2 3 3 3 4" xfId="31845" xr:uid="{F47633D8-0FEA-47F7-87CC-7B1CF5F0F9C9}"/>
    <cellStyle name="20% - Accent2 2 3 3 4" xfId="8577" xr:uid="{2E226970-8AFF-46D6-BC68-546700E4331A}"/>
    <cellStyle name="20% - Accent2 2 3 3 4 2" xfId="23990" xr:uid="{289CFE15-6206-4DE1-A85C-C9D6D5615046}"/>
    <cellStyle name="20% - Accent2 2 3 3 4 2 2" xfId="31850" xr:uid="{9A36E649-72DF-470F-B45B-D2EBD6B5CC06}"/>
    <cellStyle name="20% - Accent2 2 3 3 4 3" xfId="31849" xr:uid="{27078350-D717-4798-95FA-D7617AE5736F}"/>
    <cellStyle name="20% - Accent2 2 3 3 5" xfId="16285" xr:uid="{AFA84977-AC26-4900-9BDF-8333F859880A}"/>
    <cellStyle name="20% - Accent2 2 3 3 5 2" xfId="31851" xr:uid="{37A6B01F-E3BB-4BA9-805D-A2E845EA148E}"/>
    <cellStyle name="20% - Accent2 2 3 3 6" xfId="31836" xr:uid="{4433F009-6FB7-4DA9-AF69-4EE943EF5CCD}"/>
    <cellStyle name="20% - Accent2 2 3 4" xfId="1687" xr:uid="{4F6DBE5C-D8D2-484E-A99A-57422793F876}"/>
    <cellStyle name="20% - Accent2 2 3 4 2" xfId="5419" xr:uid="{8FBA245D-5201-40E6-B4F4-39DE3709C22C}"/>
    <cellStyle name="20% - Accent2 2 3 4 2 2" xfId="13127" xr:uid="{AEF4A807-D2DB-46C1-95C9-DEE4B502C927}"/>
    <cellStyle name="20% - Accent2 2 3 4 2 2 2" xfId="28539" xr:uid="{6A5C40AF-5E5B-4047-B9A9-3473E7DBA8DB}"/>
    <cellStyle name="20% - Accent2 2 3 4 2 2 2 2" xfId="31855" xr:uid="{513946C4-D6F5-40BF-9169-34D800100D7E}"/>
    <cellStyle name="20% - Accent2 2 3 4 2 2 3" xfId="31854" xr:uid="{FC96388C-D1A9-4F19-9548-A961047EB076}"/>
    <cellStyle name="20% - Accent2 2 3 4 2 3" xfId="20834" xr:uid="{B7705E0F-31E6-4E41-B80D-9341F1E486E0}"/>
    <cellStyle name="20% - Accent2 2 3 4 2 3 2" xfId="31856" xr:uid="{D238B789-0D83-40B2-949D-EE2E6A754942}"/>
    <cellStyle name="20% - Accent2 2 3 4 2 4" xfId="31853" xr:uid="{64DB20C5-E27A-4316-8DC8-2BF96B093248}"/>
    <cellStyle name="20% - Accent2 2 3 4 3" xfId="9398" xr:uid="{91359177-2E73-40B3-839E-24AB343298EE}"/>
    <cellStyle name="20% - Accent2 2 3 4 3 2" xfId="24811" xr:uid="{B321AD59-57A7-411A-AE5C-808850908B53}"/>
    <cellStyle name="20% - Accent2 2 3 4 3 2 2" xfId="31858" xr:uid="{4F38F00C-0D1E-4309-A39E-B3BC93221114}"/>
    <cellStyle name="20% - Accent2 2 3 4 3 3" xfId="31857" xr:uid="{DF8C2067-A7CE-4D48-9E70-58756EF968DA}"/>
    <cellStyle name="20% - Accent2 2 3 4 4" xfId="17106" xr:uid="{D26C52CB-839E-4C94-B203-BD4A0EBE84F4}"/>
    <cellStyle name="20% - Accent2 2 3 4 4 2" xfId="31859" xr:uid="{80B35CAC-D69D-40D3-A147-2775E61C689A}"/>
    <cellStyle name="20% - Accent2 2 3 4 5" xfId="31852" xr:uid="{135B4D6E-D466-408F-9BFB-858FF3952686}"/>
    <cellStyle name="20% - Accent2 2 3 5" xfId="3935" xr:uid="{9A083B2E-99DF-4864-9F9E-2488295B1EFF}"/>
    <cellStyle name="20% - Accent2 2 3 5 2" xfId="11643" xr:uid="{194C2E5F-CAF8-4B32-AB94-1EA5D7A3D16B}"/>
    <cellStyle name="20% - Accent2 2 3 5 2 2" xfId="27055" xr:uid="{4452DEE7-3A29-4B3E-983C-663ED307C092}"/>
    <cellStyle name="20% - Accent2 2 3 5 2 2 2" xfId="31862" xr:uid="{4AB2D7E4-3F6F-4D3B-A445-23F5E900EA4D}"/>
    <cellStyle name="20% - Accent2 2 3 5 2 3" xfId="31861" xr:uid="{89F09E5E-C091-43F9-BFB1-82262C23D78D}"/>
    <cellStyle name="20% - Accent2 2 3 5 3" xfId="19350" xr:uid="{E3F49800-7FFC-4E4A-8365-FA368772C94C}"/>
    <cellStyle name="20% - Accent2 2 3 5 3 2" xfId="31863" xr:uid="{C081F897-7DD0-4642-A831-688DB96401F6}"/>
    <cellStyle name="20% - Accent2 2 3 5 4" xfId="31860" xr:uid="{2D4DC88B-1436-41A2-9B1D-8D72E7E64768}"/>
    <cellStyle name="20% - Accent2 2 3 6" xfId="7939" xr:uid="{43BB9707-9EBF-47C4-98BC-DBA620E4E791}"/>
    <cellStyle name="20% - Accent2 2 3 6 2" xfId="23352" xr:uid="{3AB521C6-F19A-40E5-B2EE-DBC1EC7C383D}"/>
    <cellStyle name="20% - Accent2 2 3 6 2 2" xfId="31865" xr:uid="{A701CBEB-C4CB-4EB9-9EBD-4CF2743BCF84}"/>
    <cellStyle name="20% - Accent2 2 3 6 3" xfId="31864" xr:uid="{E2E52AE5-3D7B-43D6-AE6F-15C47372C2A9}"/>
    <cellStyle name="20% - Accent2 2 3 7" xfId="15647" xr:uid="{B579B17F-4ED0-401F-9B31-D167C6B4C5A0}"/>
    <cellStyle name="20% - Accent2 2 3 7 2" xfId="31866" xr:uid="{C8C1677B-7ED0-487F-A0F4-B02673102850}"/>
    <cellStyle name="20% - Accent2 2 3 8" xfId="31803" xr:uid="{4F505CC8-DFE2-4A00-8A47-4AB782500D9D}"/>
    <cellStyle name="20% - Accent2 2 4" xfId="340" xr:uid="{5AADA3A0-3F7F-431C-9636-BE3751A8234B}"/>
    <cellStyle name="20% - Accent2 2 4 2" xfId="1003" xr:uid="{9EEE561A-8695-4DBC-B42B-AF5DAF57361E}"/>
    <cellStyle name="20% - Accent2 2 4 2 2" xfId="2473" xr:uid="{864175CB-132C-403E-969D-7DF0570B3EF7}"/>
    <cellStyle name="20% - Accent2 2 4 2 2 2" xfId="6205" xr:uid="{C8EC1E99-CB13-4E46-A0A0-FBB637BDD81F}"/>
    <cellStyle name="20% - Accent2 2 4 2 2 2 2" xfId="13913" xr:uid="{69C2B2A6-4AD6-4430-8F01-17CE1FFB0D12}"/>
    <cellStyle name="20% - Accent2 2 4 2 2 2 2 2" xfId="29325" xr:uid="{CE94AB87-9471-4B32-8491-B9B4A0213712}"/>
    <cellStyle name="20% - Accent2 2 4 2 2 2 2 2 2" xfId="31872" xr:uid="{EBB873E6-597C-4459-82B1-66F247633683}"/>
    <cellStyle name="20% - Accent2 2 4 2 2 2 2 3" xfId="31871" xr:uid="{64E6423E-D082-4AB1-976E-17470E121DAB}"/>
    <cellStyle name="20% - Accent2 2 4 2 2 2 3" xfId="21620" xr:uid="{2A3A3ED3-1A10-4B1E-B733-5E587960072F}"/>
    <cellStyle name="20% - Accent2 2 4 2 2 2 3 2" xfId="31873" xr:uid="{844463A8-FD43-41B3-B4F4-36474C82C71B}"/>
    <cellStyle name="20% - Accent2 2 4 2 2 2 4" xfId="31870" xr:uid="{2DA3D738-09BC-46A0-B3B7-2A9FAEF4BE94}"/>
    <cellStyle name="20% - Accent2 2 4 2 2 3" xfId="10184" xr:uid="{1F3D46C7-A671-4E9F-8133-ECB49CD867A6}"/>
    <cellStyle name="20% - Accent2 2 4 2 2 3 2" xfId="25597" xr:uid="{A306DE2E-C1EA-4873-8AD5-FA859BAE2C09}"/>
    <cellStyle name="20% - Accent2 2 4 2 2 3 2 2" xfId="31875" xr:uid="{C20AE600-B48D-4A87-8340-CC0FBE523536}"/>
    <cellStyle name="20% - Accent2 2 4 2 2 3 3" xfId="31874" xr:uid="{6F840D0C-D806-4B9C-8A57-F12009095D30}"/>
    <cellStyle name="20% - Accent2 2 4 2 2 4" xfId="17892" xr:uid="{96FA26DC-AA77-42E4-B5BB-EA7E2AC1C339}"/>
    <cellStyle name="20% - Accent2 2 4 2 2 4 2" xfId="31876" xr:uid="{FD9BE174-4914-46C9-9FCD-BC431E42DA89}"/>
    <cellStyle name="20% - Accent2 2 4 2 2 5" xfId="31869" xr:uid="{D1FE2ED6-2F6A-4569-9284-246A26536A09}"/>
    <cellStyle name="20% - Accent2 2 4 2 3" xfId="4740" xr:uid="{2B05CBC8-912B-4E91-9690-0E0D2CBB6931}"/>
    <cellStyle name="20% - Accent2 2 4 2 3 2" xfId="12448" xr:uid="{A9A7864F-79EA-4802-87C5-432658B876D9}"/>
    <cellStyle name="20% - Accent2 2 4 2 3 2 2" xfId="27860" xr:uid="{419C65EA-A921-4A9A-8239-DB76AB0EB2D8}"/>
    <cellStyle name="20% - Accent2 2 4 2 3 2 2 2" xfId="31879" xr:uid="{52303B27-E381-40D0-98E8-5471837B888B}"/>
    <cellStyle name="20% - Accent2 2 4 2 3 2 3" xfId="31878" xr:uid="{FB06F324-53C0-4684-B35C-F0E647C96967}"/>
    <cellStyle name="20% - Accent2 2 4 2 3 3" xfId="20155" xr:uid="{C4EF0F60-AE5C-4732-B848-4250F658FF28}"/>
    <cellStyle name="20% - Accent2 2 4 2 3 3 2" xfId="31880" xr:uid="{5BBA5DA4-D31F-4566-8904-B23A7FD7FC6B}"/>
    <cellStyle name="20% - Accent2 2 4 2 3 4" xfId="31877" xr:uid="{E41F4C00-5899-4932-A5E1-E01C0E5DFA2B}"/>
    <cellStyle name="20% - Accent2 2 4 2 4" xfId="8725" xr:uid="{EDAC0384-7970-46F9-90D9-D42DF4F3832E}"/>
    <cellStyle name="20% - Accent2 2 4 2 4 2" xfId="24138" xr:uid="{5D465009-1178-4543-996D-576DBA64F51A}"/>
    <cellStyle name="20% - Accent2 2 4 2 4 2 2" xfId="31882" xr:uid="{84F48D81-C8BF-4779-9D37-777A38C922C3}"/>
    <cellStyle name="20% - Accent2 2 4 2 4 3" xfId="31881" xr:uid="{9EB71233-6123-4A30-939D-4DDF92EF7125}"/>
    <cellStyle name="20% - Accent2 2 4 2 5" xfId="16433" xr:uid="{4337FE09-349F-43E2-A290-CD1875AF3E9F}"/>
    <cellStyle name="20% - Accent2 2 4 2 5 2" xfId="31883" xr:uid="{C1CA553C-CAA5-4AD5-BA3E-BAB1D695D4F7}"/>
    <cellStyle name="20% - Accent2 2 4 2 6" xfId="31868" xr:uid="{3900B91C-3296-4DC9-8598-FD7BB630884F}"/>
    <cellStyle name="20% - Accent2 2 4 3" xfId="1835" xr:uid="{5F4C8BD7-2078-47C2-BC9A-243682A7A54F}"/>
    <cellStyle name="20% - Accent2 2 4 3 2" xfId="5567" xr:uid="{F9739B3A-2842-4E9C-8FB5-C13561D8EAF5}"/>
    <cellStyle name="20% - Accent2 2 4 3 2 2" xfId="13275" xr:uid="{F13E2C5B-17A5-42BB-BE92-48EC34FBA1D6}"/>
    <cellStyle name="20% - Accent2 2 4 3 2 2 2" xfId="28687" xr:uid="{DBD0BE45-A547-409C-9A51-CD1993F7A699}"/>
    <cellStyle name="20% - Accent2 2 4 3 2 2 2 2" xfId="31887" xr:uid="{327DB631-6716-418A-865C-47895CACE36C}"/>
    <cellStyle name="20% - Accent2 2 4 3 2 2 3" xfId="31886" xr:uid="{B00B44DC-0EAF-4012-A95B-069458AB6465}"/>
    <cellStyle name="20% - Accent2 2 4 3 2 3" xfId="20982" xr:uid="{B671865C-8EBF-4C4C-9A11-CD591FC81723}"/>
    <cellStyle name="20% - Accent2 2 4 3 2 3 2" xfId="31888" xr:uid="{07C7C62E-9084-40BB-9606-91A47F3EB498}"/>
    <cellStyle name="20% - Accent2 2 4 3 2 4" xfId="31885" xr:uid="{E426D875-5647-484A-9CB5-32CF849D9471}"/>
    <cellStyle name="20% - Accent2 2 4 3 3" xfId="9546" xr:uid="{3613746E-DDA8-4906-8492-B2381526E5CF}"/>
    <cellStyle name="20% - Accent2 2 4 3 3 2" xfId="24959" xr:uid="{2977F31D-5F1B-4B4B-BB50-27887EB3F29C}"/>
    <cellStyle name="20% - Accent2 2 4 3 3 2 2" xfId="31890" xr:uid="{805D2D8E-B28D-46B7-AC74-5DC60E4C9969}"/>
    <cellStyle name="20% - Accent2 2 4 3 3 3" xfId="31889" xr:uid="{AAB68649-D677-48FC-A3F7-0CFB9153A451}"/>
    <cellStyle name="20% - Accent2 2 4 3 4" xfId="17254" xr:uid="{BD386F99-2749-4A52-9EB6-0C60F2E5A74B}"/>
    <cellStyle name="20% - Accent2 2 4 3 4 2" xfId="31891" xr:uid="{457C9301-8E38-49A1-B389-54784C37A44D}"/>
    <cellStyle name="20% - Accent2 2 4 3 5" xfId="31884" xr:uid="{0BFC3193-CE9F-47B9-B520-7CD8EBED90FC}"/>
    <cellStyle name="20% - Accent2 2 4 4" xfId="4088" xr:uid="{E4F7812B-ABB4-459C-8BE3-B98668F8CF56}"/>
    <cellStyle name="20% - Accent2 2 4 4 2" xfId="11796" xr:uid="{DCE24619-C8B1-4C63-9E1A-39614FF8E970}"/>
    <cellStyle name="20% - Accent2 2 4 4 2 2" xfId="27208" xr:uid="{AC0E8BED-8A6A-4279-9B3A-727D13D2732A}"/>
    <cellStyle name="20% - Accent2 2 4 4 2 2 2" xfId="31894" xr:uid="{AAEC293E-19F7-4956-A03B-A8F31E733799}"/>
    <cellStyle name="20% - Accent2 2 4 4 2 3" xfId="31893" xr:uid="{BC9A7F06-40BF-45BB-A62B-9F3ED7BFEDB1}"/>
    <cellStyle name="20% - Accent2 2 4 4 3" xfId="19503" xr:uid="{DC7B8C52-7E53-40BB-9B10-8BA413F19F3D}"/>
    <cellStyle name="20% - Accent2 2 4 4 3 2" xfId="31895" xr:uid="{741D2D5B-F812-4678-B027-7D6CF84569BF}"/>
    <cellStyle name="20% - Accent2 2 4 4 4" xfId="31892" xr:uid="{7F2B09A1-E1E6-4BD3-A773-47355B7FA98D}"/>
    <cellStyle name="20% - Accent2 2 4 5" xfId="8087" xr:uid="{76D99C39-17CE-40DD-843B-28DDD4D2B66E}"/>
    <cellStyle name="20% - Accent2 2 4 5 2" xfId="23500" xr:uid="{7D93FBCE-D7DA-4BE5-B95E-27FE88BF5FB1}"/>
    <cellStyle name="20% - Accent2 2 4 5 2 2" xfId="31897" xr:uid="{D955881B-06CD-4032-BBA2-7EB97F92AD4C}"/>
    <cellStyle name="20% - Accent2 2 4 5 3" xfId="31896" xr:uid="{20E99315-36FA-4C6F-BE7E-DD57A8CBF2EF}"/>
    <cellStyle name="20% - Accent2 2 4 6" xfId="15795" xr:uid="{B42F4D4C-A34D-4A19-949E-85A1F34F8CF4}"/>
    <cellStyle name="20% - Accent2 2 4 6 2" xfId="31898" xr:uid="{BF2D5BBA-63B7-4AA8-8964-EA7C97EAC50A}"/>
    <cellStyle name="20% - Accent2 2 4 7" xfId="31867" xr:uid="{5DE6FD54-B116-4A51-815E-76E4AD240922}"/>
    <cellStyle name="20% - Accent2 2 5" xfId="786" xr:uid="{4628E245-1E6D-4B98-B091-7ECA520D6E17}"/>
    <cellStyle name="20% - Accent2 2 5 2" xfId="2275" xr:uid="{C8581443-758E-4782-8DA0-386CB40062F9}"/>
    <cellStyle name="20% - Accent2 2 5 2 2" xfId="6007" xr:uid="{2AF39291-59A6-4C6B-BD98-8BFABD654645}"/>
    <cellStyle name="20% - Accent2 2 5 2 2 2" xfId="13715" xr:uid="{1EB93FCE-8EF0-4A5F-8E06-C4B29BE77CD0}"/>
    <cellStyle name="20% - Accent2 2 5 2 2 2 2" xfId="29127" xr:uid="{998700C9-5711-4A89-9380-47CA7904DCD6}"/>
    <cellStyle name="20% - Accent2 2 5 2 2 2 2 2" xfId="31903" xr:uid="{5FE93B9B-6FF5-4016-9D0A-2F466AA415BA}"/>
    <cellStyle name="20% - Accent2 2 5 2 2 2 3" xfId="31902" xr:uid="{573F168D-B2A7-46BA-BC18-8123FAFA3CD0}"/>
    <cellStyle name="20% - Accent2 2 5 2 2 3" xfId="21422" xr:uid="{8F28C72D-F3D9-465E-B251-9AF0729850EC}"/>
    <cellStyle name="20% - Accent2 2 5 2 2 3 2" xfId="31904" xr:uid="{348BCF86-264E-4348-806D-7B7106ADBD31}"/>
    <cellStyle name="20% - Accent2 2 5 2 2 4" xfId="31901" xr:uid="{1057E6A7-020B-4F60-9E47-B41E0A1322C8}"/>
    <cellStyle name="20% - Accent2 2 5 2 3" xfId="9986" xr:uid="{24E5C018-7AFA-443D-9FEF-6A910C9DD93F}"/>
    <cellStyle name="20% - Accent2 2 5 2 3 2" xfId="25399" xr:uid="{D76D05EE-3A51-408F-8F86-31D5B1B4B65D}"/>
    <cellStyle name="20% - Accent2 2 5 2 3 2 2" xfId="31906" xr:uid="{0818DC69-3B49-4B7F-87E5-46E247FA32F8}"/>
    <cellStyle name="20% - Accent2 2 5 2 3 3" xfId="31905" xr:uid="{B72E9F66-8700-4BC0-8A1B-7CCCA9F0DEB0}"/>
    <cellStyle name="20% - Accent2 2 5 2 4" xfId="17694" xr:uid="{5EB68ACB-0A10-486C-94C0-EBDCEDC9C914}"/>
    <cellStyle name="20% - Accent2 2 5 2 4 2" xfId="31907" xr:uid="{5ADCECC4-BC70-4956-A564-C2673ED7C501}"/>
    <cellStyle name="20% - Accent2 2 5 2 5" xfId="31900" xr:uid="{518889B3-FE40-4D47-9C8E-AAC5DC28D256}"/>
    <cellStyle name="20% - Accent2 2 5 3" xfId="4530" xr:uid="{8C1AAFDD-F4AC-446E-8698-84C0681593F3}"/>
    <cellStyle name="20% - Accent2 2 5 3 2" xfId="12238" xr:uid="{CC9BF58E-5DB7-4CA0-A3A6-ACCD3E62C8A7}"/>
    <cellStyle name="20% - Accent2 2 5 3 2 2" xfId="27650" xr:uid="{2EA1BDA8-ADAC-451E-8B00-744F006BEEC1}"/>
    <cellStyle name="20% - Accent2 2 5 3 2 2 2" xfId="31910" xr:uid="{C641FA38-A54F-40C0-B288-2BAF7DB1E5BC}"/>
    <cellStyle name="20% - Accent2 2 5 3 2 3" xfId="31909" xr:uid="{39EB6598-2AD8-4DDD-948F-4618F0464948}"/>
    <cellStyle name="20% - Accent2 2 5 3 3" xfId="19945" xr:uid="{5A7A9A82-4151-4650-9104-853301C633DB}"/>
    <cellStyle name="20% - Accent2 2 5 3 3 2" xfId="31911" xr:uid="{5476DA01-7278-4F86-80D4-C393D7F08C55}"/>
    <cellStyle name="20% - Accent2 2 5 3 4" xfId="31908" xr:uid="{4C504DD9-4734-4E23-8DA3-E828502086D3}"/>
    <cellStyle name="20% - Accent2 2 5 4" xfId="8527" xr:uid="{684076BF-E0A1-4057-A529-A8843F329E75}"/>
    <cellStyle name="20% - Accent2 2 5 4 2" xfId="23940" xr:uid="{41DC8361-6938-46DB-A3F3-0CC90F098091}"/>
    <cellStyle name="20% - Accent2 2 5 4 2 2" xfId="31913" xr:uid="{D536C4E5-0E79-4B12-8826-6D090063537A}"/>
    <cellStyle name="20% - Accent2 2 5 4 3" xfId="31912" xr:uid="{01F96CC9-F60B-44F0-BAB8-00718402291A}"/>
    <cellStyle name="20% - Accent2 2 5 5" xfId="16235" xr:uid="{F04F686F-F250-4E43-8268-F8A419A483ED}"/>
    <cellStyle name="20% - Accent2 2 5 5 2" xfId="31914" xr:uid="{69DA0140-AC5F-4E59-B6E5-3C942B51E0B7}"/>
    <cellStyle name="20% - Accent2 2 5 6" xfId="31899" xr:uid="{0906919F-C7C3-4ED7-88F7-65897BCA476C}"/>
    <cellStyle name="20% - Accent2 2 6" xfId="1633" xr:uid="{570BC17D-83DD-44AB-AEA6-FFD5617BAADF}"/>
    <cellStyle name="20% - Accent2 2 6 2" xfId="5367" xr:uid="{D4C8A6F9-872F-4EA0-8B2B-1EB8707EA382}"/>
    <cellStyle name="20% - Accent2 2 6 2 2" xfId="13075" xr:uid="{D7BBEBDF-7F18-4DC1-9CFE-4A5E7469E0E8}"/>
    <cellStyle name="20% - Accent2 2 6 2 2 2" xfId="28487" xr:uid="{4C43DF0F-F5EB-463E-BE6A-C878856E37B5}"/>
    <cellStyle name="20% - Accent2 2 6 2 2 2 2" xfId="31918" xr:uid="{F6927374-5D25-4979-BDA7-2C22442C7325}"/>
    <cellStyle name="20% - Accent2 2 6 2 2 3" xfId="31917" xr:uid="{AC7D8BD4-6782-48AC-A2F7-CB958C587E7D}"/>
    <cellStyle name="20% - Accent2 2 6 2 3" xfId="20782" xr:uid="{6AA2013C-6512-4B03-9710-05272B9472E5}"/>
    <cellStyle name="20% - Accent2 2 6 2 3 2" xfId="31919" xr:uid="{F3357231-5063-4FE7-8F43-E41E4FFAD6AD}"/>
    <cellStyle name="20% - Accent2 2 6 2 4" xfId="31916" xr:uid="{FADFE058-4978-49EC-9F37-DA173AED00F3}"/>
    <cellStyle name="20% - Accent2 2 6 3" xfId="9348" xr:uid="{4CA2DFEF-F019-4563-B915-1537379C38F0}"/>
    <cellStyle name="20% - Accent2 2 6 3 2" xfId="24761" xr:uid="{88F6822C-F9C3-456B-9D7D-748527367A0F}"/>
    <cellStyle name="20% - Accent2 2 6 3 2 2" xfId="31921" xr:uid="{E85BF9B7-58D6-4346-A2A7-5A391E7D6BCF}"/>
    <cellStyle name="20% - Accent2 2 6 3 3" xfId="31920" xr:uid="{3E9D8D32-2ADC-473A-85E2-3022F922EAD0}"/>
    <cellStyle name="20% - Accent2 2 6 4" xfId="17056" xr:uid="{0A7C31C5-61F4-4EF6-A694-EA7CF3195040}"/>
    <cellStyle name="20% - Accent2 2 6 4 2" xfId="31922" xr:uid="{6C55DD67-4682-4824-ACEB-236CDDAE58CA}"/>
    <cellStyle name="20% - Accent2 2 6 5" xfId="31915" xr:uid="{7E95770F-40BA-43D8-8F5A-15C88D058B27}"/>
    <cellStyle name="20% - Accent2 2 7" xfId="3877" xr:uid="{7CCD731B-0457-4D35-AE33-C96E2FBC057D}"/>
    <cellStyle name="20% - Accent2 2 7 2" xfId="11586" xr:uid="{2A9845CA-E3EC-43EE-9148-3A6590F862E5}"/>
    <cellStyle name="20% - Accent2 2 7 2 2" xfId="26998" xr:uid="{D23C3533-7221-490C-A0C7-E7AB63397FBD}"/>
    <cellStyle name="20% - Accent2 2 7 2 2 2" xfId="31925" xr:uid="{BBA3B0E0-286E-440E-89FA-CDB7D9706018}"/>
    <cellStyle name="20% - Accent2 2 7 2 3" xfId="31924" xr:uid="{B524A2B1-5832-46E6-BCD4-1D5671377E21}"/>
    <cellStyle name="20% - Accent2 2 7 3" xfId="19293" xr:uid="{2D98C893-0BE6-471E-A25E-B41B5971AC2D}"/>
    <cellStyle name="20% - Accent2 2 7 3 2" xfId="31926" xr:uid="{02A10567-32CE-4293-A2D7-C22CEC12DA05}"/>
    <cellStyle name="20% - Accent2 2 7 4" xfId="31923" xr:uid="{AA8618E3-6EFD-4947-810B-C0361E2F7EB1}"/>
    <cellStyle name="20% - Accent2 2 8" xfId="7871" xr:uid="{C1DC8F6C-88B8-4B69-AD78-36F708E2C55C}"/>
    <cellStyle name="20% - Accent2 2 8 2" xfId="23284" xr:uid="{2F574647-9765-442D-891B-98C254AB2F55}"/>
    <cellStyle name="20% - Accent2 2 8 2 2" xfId="31928" xr:uid="{78B20415-C1AE-4B8A-B196-9AB9FB3A819A}"/>
    <cellStyle name="20% - Accent2 2 8 3" xfId="31927" xr:uid="{AD2EA59D-CBB2-4254-B42C-A1642BD7023F}"/>
    <cellStyle name="20% - Accent2 2 9" xfId="15579" xr:uid="{3A057A56-4CCA-41AD-A02A-0D534916C805}"/>
    <cellStyle name="20% - Accent2 2 9 2" xfId="31929" xr:uid="{342F89C0-5D7F-4D23-B28B-E9B2CE8711CC}"/>
    <cellStyle name="20% - Accent2 20" xfId="3600" xr:uid="{DC7FF827-5465-4ACC-8D64-AB17439A70F0}"/>
    <cellStyle name="20% - Accent2 20 2" xfId="7331" xr:uid="{01658F43-D652-43C3-BE2F-5D07426E21B1}"/>
    <cellStyle name="20% - Accent2 20 2 2" xfId="15039" xr:uid="{E45E84FD-12D9-44FE-9872-6ED37D6E9706}"/>
    <cellStyle name="20% - Accent2 20 2 2 2" xfId="30451" xr:uid="{C7762022-9973-4ADB-832A-019A7EE89EF6}"/>
    <cellStyle name="20% - Accent2 20 2 2 2 2" xfId="31933" xr:uid="{03261537-962A-4D40-9C71-68ECEDECB461}"/>
    <cellStyle name="20% - Accent2 20 2 2 3" xfId="31932" xr:uid="{5937BB29-9BD7-4C73-BC89-72B40E6DA55A}"/>
    <cellStyle name="20% - Accent2 20 2 3" xfId="22746" xr:uid="{C9533E68-006F-43B9-8002-2533FE7CBA8F}"/>
    <cellStyle name="20% - Accent2 20 2 3 2" xfId="31934" xr:uid="{64EA44A5-BCDF-4873-B0C3-54515C22487E}"/>
    <cellStyle name="20% - Accent2 20 2 4" xfId="31931" xr:uid="{AB55B061-7484-43D2-98B3-3EA63C76AB28}"/>
    <cellStyle name="20% - Accent2 20 3" xfId="11310" xr:uid="{DFBDB813-F5E3-4193-A6CE-1DFEAB55403E}"/>
    <cellStyle name="20% - Accent2 20 3 2" xfId="26723" xr:uid="{E4A41DB7-7A75-4447-A299-10A15BE9F7C7}"/>
    <cellStyle name="20% - Accent2 20 3 2 2" xfId="31936" xr:uid="{D0792B58-6152-4178-81F1-894F50CE0D25}"/>
    <cellStyle name="20% - Accent2 20 3 3" xfId="31935" xr:uid="{7C7FEDA4-7B24-48EE-AB0A-FCFFC4B4397E}"/>
    <cellStyle name="20% - Accent2 20 4" xfId="19018" xr:uid="{B39B734A-AF7B-4B7E-A863-B6DAFCB7C998}"/>
    <cellStyle name="20% - Accent2 20 4 2" xfId="31937" xr:uid="{7764BC29-DF32-4C31-9259-017FC0054B4D}"/>
    <cellStyle name="20% - Accent2 20 5" xfId="31930" xr:uid="{6511D894-5DFA-4BF9-92F1-DF7335B64B9E}"/>
    <cellStyle name="20% - Accent2 21" xfId="3620" xr:uid="{B541B5D7-828E-4A49-9552-6EE745448753}"/>
    <cellStyle name="20% - Accent2 21 2" xfId="7351" xr:uid="{BE1C76B6-898E-462C-9CAE-CCC52C65BBF5}"/>
    <cellStyle name="20% - Accent2 21 2 2" xfId="15059" xr:uid="{7971D09F-5BF3-4A87-A4E8-1A55B3763CD3}"/>
    <cellStyle name="20% - Accent2 21 2 2 2" xfId="30471" xr:uid="{B793552F-42C0-423C-85BD-E1E5AA353E18}"/>
    <cellStyle name="20% - Accent2 21 2 2 2 2" xfId="31941" xr:uid="{AEB8D824-2973-4B3A-A3F4-D717EAC85B19}"/>
    <cellStyle name="20% - Accent2 21 2 2 3" xfId="31940" xr:uid="{4A2EE362-9D5C-4C27-8699-161844351D25}"/>
    <cellStyle name="20% - Accent2 21 2 3" xfId="22766" xr:uid="{6F973BE4-ED14-4F75-8AD6-F89ADF845CD0}"/>
    <cellStyle name="20% - Accent2 21 2 3 2" xfId="31942" xr:uid="{32B7780F-D5E4-46C6-B906-1F25943D300A}"/>
    <cellStyle name="20% - Accent2 21 2 4" xfId="31939" xr:uid="{556F9156-37DC-4AAD-B60F-F939E5EDBC23}"/>
    <cellStyle name="20% - Accent2 21 3" xfId="11330" xr:uid="{9EAD576F-8DBC-4F87-AFD7-3C7DB603B6D8}"/>
    <cellStyle name="20% - Accent2 21 3 2" xfId="26743" xr:uid="{7127DDE7-E993-42CB-94DA-2018BD495D42}"/>
    <cellStyle name="20% - Accent2 21 3 2 2" xfId="31944" xr:uid="{A3ECBF4A-EEB7-4384-8590-4920F43F0060}"/>
    <cellStyle name="20% - Accent2 21 3 3" xfId="31943" xr:uid="{0C18A928-017B-40B4-AA07-2F62F401F8C6}"/>
    <cellStyle name="20% - Accent2 21 4" xfId="19038" xr:uid="{21C2F362-47B8-4144-939E-20C26A454A9D}"/>
    <cellStyle name="20% - Accent2 21 4 2" xfId="31945" xr:uid="{F4A5BFD2-9574-44A2-AFB0-F32168569C79}"/>
    <cellStyle name="20% - Accent2 21 5" xfId="31938" xr:uid="{0211F921-CE83-487F-AD85-CFCD4330CA4D}"/>
    <cellStyle name="20% - Accent2 22" xfId="3640" xr:uid="{75566C22-C553-4096-AC4D-1DFCBC987AC1}"/>
    <cellStyle name="20% - Accent2 22 2" xfId="7371" xr:uid="{261600B1-B23C-4D4A-BD77-D97F5AC0379A}"/>
    <cellStyle name="20% - Accent2 22 2 2" xfId="15079" xr:uid="{B6FE4C1B-C499-4C63-8A7C-B324115EB3E3}"/>
    <cellStyle name="20% - Accent2 22 2 2 2" xfId="30491" xr:uid="{C65E7F4F-3A75-435D-9B4E-1747E65B3400}"/>
    <cellStyle name="20% - Accent2 22 2 2 2 2" xfId="31949" xr:uid="{A2AC1B35-61E8-43A5-BFE8-CC10133051C4}"/>
    <cellStyle name="20% - Accent2 22 2 2 3" xfId="31948" xr:uid="{40137EBF-1129-4948-98FE-4E8656625F20}"/>
    <cellStyle name="20% - Accent2 22 2 3" xfId="22786" xr:uid="{20E53B04-C649-4328-9C4F-45B183D4BBF5}"/>
    <cellStyle name="20% - Accent2 22 2 3 2" xfId="31950" xr:uid="{5CB92675-5F50-4FCB-B29F-6A073C4747F0}"/>
    <cellStyle name="20% - Accent2 22 2 4" xfId="31947" xr:uid="{DD0CC177-3B03-468D-ADEC-0635BC6A777E}"/>
    <cellStyle name="20% - Accent2 22 3" xfId="11350" xr:uid="{7E4D5CFB-CF5B-4885-8519-AA173DB8C590}"/>
    <cellStyle name="20% - Accent2 22 3 2" xfId="26763" xr:uid="{2ADCAA08-F7CE-4729-B15B-D581D94A2F07}"/>
    <cellStyle name="20% - Accent2 22 3 2 2" xfId="31952" xr:uid="{55D70EFD-BC4C-41A6-BEEE-28BF9B611D9B}"/>
    <cellStyle name="20% - Accent2 22 3 3" xfId="31951" xr:uid="{B42F0647-7EA1-424E-8D54-57ED57F73E36}"/>
    <cellStyle name="20% - Accent2 22 4" xfId="19058" xr:uid="{D29F3914-FE33-4D69-9647-100CC1ECC432}"/>
    <cellStyle name="20% - Accent2 22 4 2" xfId="31953" xr:uid="{9D7195D8-420F-4625-9D82-E17AF0CF4C2A}"/>
    <cellStyle name="20% - Accent2 22 5" xfId="31946" xr:uid="{40C4224A-1DB9-448F-8FA6-E6091F1A066C}"/>
    <cellStyle name="20% - Accent2 23" xfId="3660" xr:uid="{90C2DDAB-5D91-4850-8A4A-4AF54F2F48AE}"/>
    <cellStyle name="20% - Accent2 23 2" xfId="7391" xr:uid="{1A0669C0-87F3-4A68-BE6F-DB2C7F52A736}"/>
    <cellStyle name="20% - Accent2 23 2 2" xfId="15099" xr:uid="{800FD674-17B1-48E0-9314-CC40FE897826}"/>
    <cellStyle name="20% - Accent2 23 2 2 2" xfId="30511" xr:uid="{24C78DFC-FEF7-4B4C-A96D-165890531784}"/>
    <cellStyle name="20% - Accent2 23 2 2 2 2" xfId="31957" xr:uid="{2E5295C8-0D58-4B76-A208-D36605A54BDF}"/>
    <cellStyle name="20% - Accent2 23 2 2 3" xfId="31956" xr:uid="{80A203BA-0886-4148-92E8-8434854D8280}"/>
    <cellStyle name="20% - Accent2 23 2 3" xfId="22806" xr:uid="{C7C3BA2C-F8A7-4B38-AB4F-A776866EF575}"/>
    <cellStyle name="20% - Accent2 23 2 3 2" xfId="31958" xr:uid="{BED8FEF5-725B-4428-8A5F-DD4F6476D243}"/>
    <cellStyle name="20% - Accent2 23 2 4" xfId="31955" xr:uid="{991144A6-04E8-4099-BC44-3817412E7304}"/>
    <cellStyle name="20% - Accent2 23 3" xfId="11370" xr:uid="{A22B26A4-B9C3-4DDC-A426-8D51BF6C6E9B}"/>
    <cellStyle name="20% - Accent2 23 3 2" xfId="26783" xr:uid="{225A8173-7DDB-4967-B544-A01A78EC9766}"/>
    <cellStyle name="20% - Accent2 23 3 2 2" xfId="31960" xr:uid="{8221CA9B-1631-49F2-87CB-7198B56F419D}"/>
    <cellStyle name="20% - Accent2 23 3 3" xfId="31959" xr:uid="{601F5A3E-CD37-48CC-B401-45731E9179A6}"/>
    <cellStyle name="20% - Accent2 23 4" xfId="19078" xr:uid="{168D5B58-36E3-413E-8FD6-CA9F942F3ED5}"/>
    <cellStyle name="20% - Accent2 23 4 2" xfId="31961" xr:uid="{ADF229E9-AC84-46F3-A32F-E08E10312F6E}"/>
    <cellStyle name="20% - Accent2 23 5" xfId="31954" xr:uid="{BDE2821F-4F79-4BD4-AE4A-F637A0DF7A03}"/>
    <cellStyle name="20% - Accent2 24" xfId="3680" xr:uid="{EADB44C3-B573-45F8-B59B-5FB026EAD018}"/>
    <cellStyle name="20% - Accent2 24 2" xfId="7411" xr:uid="{94BACF92-2DE8-403F-BE2A-4335DB282420}"/>
    <cellStyle name="20% - Accent2 24 2 2" xfId="15119" xr:uid="{FFCAF0D0-8A6C-4923-BAA7-197611473C13}"/>
    <cellStyle name="20% - Accent2 24 2 2 2" xfId="30531" xr:uid="{C4F41665-1512-4101-A313-FA8BC8AD14A8}"/>
    <cellStyle name="20% - Accent2 24 2 2 2 2" xfId="31965" xr:uid="{06895B57-9C9B-46DE-B7ED-BA6436FAA641}"/>
    <cellStyle name="20% - Accent2 24 2 2 3" xfId="31964" xr:uid="{ABF345E5-15DD-499A-967F-72D7A5C35531}"/>
    <cellStyle name="20% - Accent2 24 2 3" xfId="22826" xr:uid="{C9FF2689-CCB4-437F-8EC9-38616C1FFBD8}"/>
    <cellStyle name="20% - Accent2 24 2 3 2" xfId="31966" xr:uid="{B79E823E-F1D5-4700-B6CC-312B8E316436}"/>
    <cellStyle name="20% - Accent2 24 2 4" xfId="31963" xr:uid="{69074B13-F1E5-419B-8BA7-95099D06123B}"/>
    <cellStyle name="20% - Accent2 24 3" xfId="11390" xr:uid="{A621ED24-8EB8-41F3-A22A-19D745B9E8B2}"/>
    <cellStyle name="20% - Accent2 24 3 2" xfId="26803" xr:uid="{4CAF6FED-D1D1-40D7-BF24-CB73DA9E5551}"/>
    <cellStyle name="20% - Accent2 24 3 2 2" xfId="31968" xr:uid="{53674813-CBC7-4E87-9DD9-3CF73EE93B20}"/>
    <cellStyle name="20% - Accent2 24 3 3" xfId="31967" xr:uid="{149F6D81-4D89-471C-8D5F-86F49711BBD0}"/>
    <cellStyle name="20% - Accent2 24 4" xfId="19098" xr:uid="{ECED7809-3059-4889-9D53-9A3608372984}"/>
    <cellStyle name="20% - Accent2 24 4 2" xfId="31969" xr:uid="{D0E7DFC3-D4D5-4181-855D-92E491375D4F}"/>
    <cellStyle name="20% - Accent2 24 5" xfId="31962" xr:uid="{16724E70-DBE3-49C7-99E6-3246EF52CAE3}"/>
    <cellStyle name="20% - Accent2 25" xfId="3700" xr:uid="{4306C44D-55EF-4198-A95E-786171744AEE}"/>
    <cellStyle name="20% - Accent2 25 2" xfId="7431" xr:uid="{E03C866A-C749-4850-A6CE-869446DCFDB2}"/>
    <cellStyle name="20% - Accent2 25 2 2" xfId="15139" xr:uid="{5B6965A2-0B17-4C77-BF77-C7D5E9F089BB}"/>
    <cellStyle name="20% - Accent2 25 2 2 2" xfId="30551" xr:uid="{0BE6E43C-AEBC-4554-A2CB-1C45C8E87051}"/>
    <cellStyle name="20% - Accent2 25 2 2 2 2" xfId="31973" xr:uid="{674C0225-F904-473A-BAE1-EBF82353917F}"/>
    <cellStyle name="20% - Accent2 25 2 2 3" xfId="31972" xr:uid="{594648AF-1C6F-4B98-9B33-B16DF7B97A57}"/>
    <cellStyle name="20% - Accent2 25 2 3" xfId="22846" xr:uid="{4C68C618-F9A5-495D-B039-DA7A0D60FE7C}"/>
    <cellStyle name="20% - Accent2 25 2 3 2" xfId="31974" xr:uid="{E2814AC0-0CC5-465A-A64C-268558F1970A}"/>
    <cellStyle name="20% - Accent2 25 2 4" xfId="31971" xr:uid="{415BE552-3CB9-46CE-AD73-D89ED4854F6D}"/>
    <cellStyle name="20% - Accent2 25 3" xfId="11410" xr:uid="{AB6565AC-6F2E-4DAF-B957-5DA9759C4A43}"/>
    <cellStyle name="20% - Accent2 25 3 2" xfId="26823" xr:uid="{DE422F9E-51A3-4EC4-B244-8A17D56341D9}"/>
    <cellStyle name="20% - Accent2 25 3 2 2" xfId="31976" xr:uid="{87FD2075-9BA4-46BA-956F-63F07B8BD0DA}"/>
    <cellStyle name="20% - Accent2 25 3 3" xfId="31975" xr:uid="{13954EF7-DE44-4B35-9F14-FC35ECAA4B24}"/>
    <cellStyle name="20% - Accent2 25 4" xfId="19118" xr:uid="{80CB4B32-8268-4900-B6EF-960B668EFA7B}"/>
    <cellStyle name="20% - Accent2 25 4 2" xfId="31977" xr:uid="{682E0F35-5741-42E3-ABD2-070E29B22000}"/>
    <cellStyle name="20% - Accent2 25 5" xfId="31970" xr:uid="{DE99FBE0-00AD-4A39-AD88-72CE62DC9C49}"/>
    <cellStyle name="20% - Accent2 26" xfId="3720" xr:uid="{8785840B-EF80-4325-B805-2E5AEF4F3544}"/>
    <cellStyle name="20% - Accent2 26 2" xfId="7451" xr:uid="{DAE09AF2-6618-4AC7-8A92-2F038C6E7C83}"/>
    <cellStyle name="20% - Accent2 26 2 2" xfId="15159" xr:uid="{220ED8C9-2CA9-4E2D-BAEB-9DE2137E63B5}"/>
    <cellStyle name="20% - Accent2 26 2 2 2" xfId="30571" xr:uid="{D9964262-AD48-4BB2-9AB0-0E4EF3BAB0D5}"/>
    <cellStyle name="20% - Accent2 26 2 2 2 2" xfId="31981" xr:uid="{2793F648-9AC9-4FD0-9B62-5C679058BE6B}"/>
    <cellStyle name="20% - Accent2 26 2 2 3" xfId="31980" xr:uid="{0723CE4D-93D6-400D-9E28-0BE34B3CD86D}"/>
    <cellStyle name="20% - Accent2 26 2 3" xfId="22866" xr:uid="{8F51FC41-6FEE-48E7-917B-F755E50CF781}"/>
    <cellStyle name="20% - Accent2 26 2 3 2" xfId="31982" xr:uid="{2594C40E-9DA9-4DA8-A1CD-64218316EDD3}"/>
    <cellStyle name="20% - Accent2 26 2 4" xfId="31979" xr:uid="{E3702836-C8DC-4E95-AB4B-73C9FA80E229}"/>
    <cellStyle name="20% - Accent2 26 3" xfId="11430" xr:uid="{18FDF612-C62F-4EB3-8D57-22D0EB08B023}"/>
    <cellStyle name="20% - Accent2 26 3 2" xfId="26843" xr:uid="{0FBE3434-8333-484C-BB7F-9D33C38C4C33}"/>
    <cellStyle name="20% - Accent2 26 3 2 2" xfId="31984" xr:uid="{E3534662-B18D-46E3-94C4-C845AE97CC5F}"/>
    <cellStyle name="20% - Accent2 26 3 3" xfId="31983" xr:uid="{698B6F77-7D8E-4BCE-AC07-9B75785D6B81}"/>
    <cellStyle name="20% - Accent2 26 4" xfId="19138" xr:uid="{DBD4E9AA-A815-4E56-AFFC-AA637A570300}"/>
    <cellStyle name="20% - Accent2 26 4 2" xfId="31985" xr:uid="{1DBAED88-2AA2-4356-8E6E-0CCEB4D92E7A}"/>
    <cellStyle name="20% - Accent2 26 5" xfId="31978" xr:uid="{AADEB9FA-C8BB-4744-AD6C-9BF09DE361A7}"/>
    <cellStyle name="20% - Accent2 27" xfId="3740" xr:uid="{DE842337-BD1E-4301-991B-085E12137C6F}"/>
    <cellStyle name="20% - Accent2 27 2" xfId="7471" xr:uid="{DD775744-6C52-4EDA-B4C3-C7BCD1C0B00C}"/>
    <cellStyle name="20% - Accent2 27 2 2" xfId="15179" xr:uid="{35A57488-BC33-4FF9-A7C3-139B53488C94}"/>
    <cellStyle name="20% - Accent2 27 2 2 2" xfId="30591" xr:uid="{AD08784D-5FD3-480D-BFAA-0CC199CE75C2}"/>
    <cellStyle name="20% - Accent2 27 2 2 2 2" xfId="31989" xr:uid="{111A47B8-00B2-43F7-8855-948B7C585298}"/>
    <cellStyle name="20% - Accent2 27 2 2 3" xfId="31988" xr:uid="{AFEE4241-91E0-426A-8C9F-B787749040EB}"/>
    <cellStyle name="20% - Accent2 27 2 3" xfId="22886" xr:uid="{72501A5D-2C34-4A4F-BBFC-6064A3C6F012}"/>
    <cellStyle name="20% - Accent2 27 2 3 2" xfId="31990" xr:uid="{9EB8C030-4D7F-48EE-9D54-66C1FF9E2BF6}"/>
    <cellStyle name="20% - Accent2 27 2 4" xfId="31987" xr:uid="{E0D47CA1-BC17-404C-B961-D23D9193E05D}"/>
    <cellStyle name="20% - Accent2 27 3" xfId="11450" xr:uid="{A34DFEC4-D74E-4799-95D7-26593984AE0E}"/>
    <cellStyle name="20% - Accent2 27 3 2" xfId="26863" xr:uid="{91CB91F0-3725-4FE7-AB1F-974B75A14D70}"/>
    <cellStyle name="20% - Accent2 27 3 2 2" xfId="31992" xr:uid="{B87B2130-A8F9-475B-88C5-983889E37E7F}"/>
    <cellStyle name="20% - Accent2 27 3 3" xfId="31991" xr:uid="{DE070D5E-0B0D-4FB7-A67B-7B7CFAC2C411}"/>
    <cellStyle name="20% - Accent2 27 4" xfId="19158" xr:uid="{927FE856-BDC5-4074-994B-A54AFC74691C}"/>
    <cellStyle name="20% - Accent2 27 4 2" xfId="31993" xr:uid="{1E377B87-1861-4A4C-9ED5-D1D35557AC74}"/>
    <cellStyle name="20% - Accent2 27 5" xfId="31986" xr:uid="{F00DD25E-88F9-4AD5-A308-47FAE3F13C8B}"/>
    <cellStyle name="20% - Accent2 28" xfId="3760" xr:uid="{BB8F0D4E-AACA-49BF-B4F2-4DCB5730FE38}"/>
    <cellStyle name="20% - Accent2 28 2" xfId="7491" xr:uid="{020F01D7-FB51-4C0F-BFFD-2C3CE1CA9E1E}"/>
    <cellStyle name="20% - Accent2 28 2 2" xfId="15199" xr:uid="{1358EB63-CF0F-48D7-AC0D-BC700B1D6338}"/>
    <cellStyle name="20% - Accent2 28 2 2 2" xfId="30611" xr:uid="{72008D0B-DF63-47E4-A862-2E113F852D9F}"/>
    <cellStyle name="20% - Accent2 28 2 2 2 2" xfId="31997" xr:uid="{FCB801F8-AF9F-4CB3-A5FE-FFFB2EAC6DB5}"/>
    <cellStyle name="20% - Accent2 28 2 2 3" xfId="31996" xr:uid="{20A254EC-29A2-43FA-8352-B363E63C6E24}"/>
    <cellStyle name="20% - Accent2 28 2 3" xfId="22906" xr:uid="{698416D3-D19B-49B5-96DA-1A81D8263B41}"/>
    <cellStyle name="20% - Accent2 28 2 3 2" xfId="31998" xr:uid="{D899D29C-F299-4266-891A-AEDB8950065F}"/>
    <cellStyle name="20% - Accent2 28 2 4" xfId="31995" xr:uid="{BA0A9E28-B197-45E6-9C2A-ED9C4BE4953D}"/>
    <cellStyle name="20% - Accent2 28 3" xfId="11470" xr:uid="{9B182844-7BE1-41D2-91D2-5A4E3BAEB25A}"/>
    <cellStyle name="20% - Accent2 28 3 2" xfId="26883" xr:uid="{A41B89FD-31A2-42D8-80BF-510116064880}"/>
    <cellStyle name="20% - Accent2 28 3 2 2" xfId="32000" xr:uid="{C1A2C593-54DF-41AC-8C09-B5E561E21FD2}"/>
    <cellStyle name="20% - Accent2 28 3 3" xfId="31999" xr:uid="{D5F10FC2-92AA-438B-AE67-0726A361A611}"/>
    <cellStyle name="20% - Accent2 28 4" xfId="19178" xr:uid="{9198A6BC-1268-4740-95D4-5D907E9B9C46}"/>
    <cellStyle name="20% - Accent2 28 4 2" xfId="32001" xr:uid="{53120058-FA50-4820-A8FE-1C4181461FDE}"/>
    <cellStyle name="20% - Accent2 28 5" xfId="31994" xr:uid="{1BFF8E0B-6529-4BFD-AB9B-A5081D554527}"/>
    <cellStyle name="20% - Accent2 29" xfId="3780" xr:uid="{A1FEC5F5-23D7-44EE-B310-04FE08823624}"/>
    <cellStyle name="20% - Accent2 29 2" xfId="7511" xr:uid="{1DE6A3ED-732F-4649-AE44-BD0D23397A78}"/>
    <cellStyle name="20% - Accent2 29 2 2" xfId="15219" xr:uid="{D6DD16C7-08F7-4DA7-A647-33017019E01B}"/>
    <cellStyle name="20% - Accent2 29 2 2 2" xfId="30631" xr:uid="{3B257C96-4C5E-4724-9EBD-6F5C78957774}"/>
    <cellStyle name="20% - Accent2 29 2 2 2 2" xfId="32005" xr:uid="{2ECD600E-FE31-4519-89F8-1A7195D703F8}"/>
    <cellStyle name="20% - Accent2 29 2 2 3" xfId="32004" xr:uid="{96B99742-F425-4771-B007-FD66009C241A}"/>
    <cellStyle name="20% - Accent2 29 2 3" xfId="22926" xr:uid="{0393CF75-FC9F-4226-94BD-A0A2A5F30DF3}"/>
    <cellStyle name="20% - Accent2 29 2 3 2" xfId="32006" xr:uid="{6FC01C56-1A86-45B0-BE5B-4253862C9C11}"/>
    <cellStyle name="20% - Accent2 29 2 4" xfId="32003" xr:uid="{302CE8B4-AFC0-4D21-B1AC-D03F29B60FDD}"/>
    <cellStyle name="20% - Accent2 29 3" xfId="11490" xr:uid="{9E26E322-E564-4528-90C8-143917198CA9}"/>
    <cellStyle name="20% - Accent2 29 3 2" xfId="26903" xr:uid="{87139BFA-3237-4AD3-83A8-59EBC8A1C901}"/>
    <cellStyle name="20% - Accent2 29 3 2 2" xfId="32008" xr:uid="{02FF8964-5C9E-4190-80B2-15D95A429812}"/>
    <cellStyle name="20% - Accent2 29 3 3" xfId="32007" xr:uid="{FB0EAC25-FC27-4296-9CDD-72BE7FD0E59E}"/>
    <cellStyle name="20% - Accent2 29 4" xfId="19198" xr:uid="{49DA9D59-36B1-40A3-B387-1DE6E14BDB1C}"/>
    <cellStyle name="20% - Accent2 29 4 2" xfId="32009" xr:uid="{A752AD5D-3212-4038-824B-D03B16D09D36}"/>
    <cellStyle name="20% - Accent2 29 5" xfId="32002" xr:uid="{3980690C-1CC5-440C-A1CF-274901EEFA19}"/>
    <cellStyle name="20% - Accent2 3" xfId="323" xr:uid="{67D07C75-8991-440E-873F-2E332DC006D3}"/>
    <cellStyle name="20% - Accent2 3 2" xfId="987" xr:uid="{F27A5B6A-D6D0-48F8-81C4-989432E77CE5}"/>
    <cellStyle name="20% - Accent2 3 2 2" xfId="2457" xr:uid="{1F0F2DF5-5209-4F54-8AF9-8C5D56FDB76B}"/>
    <cellStyle name="20% - Accent2 3 2 2 2" xfId="6189" xr:uid="{C0E5EAAC-E08A-4AD0-8CFF-8913A46FA715}"/>
    <cellStyle name="20% - Accent2 3 2 2 2 2" xfId="13897" xr:uid="{C7E509E7-2FE5-441F-9CDB-B331C9924C2C}"/>
    <cellStyle name="20% - Accent2 3 2 2 2 2 2" xfId="29309" xr:uid="{C2604951-8504-4010-B1BE-07A4F784C15F}"/>
    <cellStyle name="20% - Accent2 3 2 2 2 2 2 2" xfId="32015" xr:uid="{B70A6988-B5A4-41F5-953D-44A0F4D9A470}"/>
    <cellStyle name="20% - Accent2 3 2 2 2 2 3" xfId="32014" xr:uid="{1C32EC3E-3520-4B0C-97B2-57F8E35001CE}"/>
    <cellStyle name="20% - Accent2 3 2 2 2 3" xfId="21604" xr:uid="{F7847DB5-AD83-4E28-9C37-C12775EDA393}"/>
    <cellStyle name="20% - Accent2 3 2 2 2 3 2" xfId="32016" xr:uid="{C9B7E22A-3A11-47DC-8A38-4EF0135AE37C}"/>
    <cellStyle name="20% - Accent2 3 2 2 2 4" xfId="32013" xr:uid="{B215DA2F-31C2-47A5-8219-053A5E7003C7}"/>
    <cellStyle name="20% - Accent2 3 2 2 3" xfId="10168" xr:uid="{B85DB71F-14ED-469B-8E7D-D382445CD1BE}"/>
    <cellStyle name="20% - Accent2 3 2 2 3 2" xfId="25581" xr:uid="{113AEB21-5CA4-4FDE-96EE-9400E0143084}"/>
    <cellStyle name="20% - Accent2 3 2 2 3 2 2" xfId="32018" xr:uid="{10CA8373-8B8A-43E1-8450-4CAD921D4F52}"/>
    <cellStyle name="20% - Accent2 3 2 2 3 3" xfId="32017" xr:uid="{9EA3050C-683D-497D-8A23-454CB1B3FB83}"/>
    <cellStyle name="20% - Accent2 3 2 2 4" xfId="17876" xr:uid="{9B978DF7-2194-4CCF-874A-FAC24C8907EF}"/>
    <cellStyle name="20% - Accent2 3 2 2 4 2" xfId="32019" xr:uid="{395BED2C-FD84-4DB3-993C-37E97F38BC7E}"/>
    <cellStyle name="20% - Accent2 3 2 2 5" xfId="32012" xr:uid="{C65568FA-DA3F-4E67-89C0-065AEB17F77D}"/>
    <cellStyle name="20% - Accent2 3 2 3" xfId="4724" xr:uid="{9EB868F8-186B-49E9-87D8-25B34314FB30}"/>
    <cellStyle name="20% - Accent2 3 2 3 2" xfId="12432" xr:uid="{81233F5E-D7E9-4278-ADD2-D05B0680C803}"/>
    <cellStyle name="20% - Accent2 3 2 3 2 2" xfId="27844" xr:uid="{5B23371C-B78B-4600-8A94-BB1ADFA248D1}"/>
    <cellStyle name="20% - Accent2 3 2 3 2 2 2" xfId="32022" xr:uid="{E095A6B6-87CC-4835-838F-29648801C07F}"/>
    <cellStyle name="20% - Accent2 3 2 3 2 3" xfId="32021" xr:uid="{CE95C1D5-DC87-4353-B61D-5991734507AC}"/>
    <cellStyle name="20% - Accent2 3 2 3 3" xfId="20139" xr:uid="{A28820CC-5C4A-4B51-B371-942B130330F2}"/>
    <cellStyle name="20% - Accent2 3 2 3 3 2" xfId="32023" xr:uid="{60607E02-FBC7-4E49-98C3-524183EF4DA9}"/>
    <cellStyle name="20% - Accent2 3 2 3 4" xfId="32020" xr:uid="{A98C984A-0A90-4724-B526-63D8FA6D6BE6}"/>
    <cellStyle name="20% - Accent2 3 2 4" xfId="8709" xr:uid="{7AE2B8E9-46DB-4D53-B255-47C5B141535B}"/>
    <cellStyle name="20% - Accent2 3 2 4 2" xfId="24122" xr:uid="{6A79A91E-31E9-4EF6-B992-BD22F0F51C9A}"/>
    <cellStyle name="20% - Accent2 3 2 4 2 2" xfId="32025" xr:uid="{F289B237-9346-4C03-89AD-5617C64E10F1}"/>
    <cellStyle name="20% - Accent2 3 2 4 3" xfId="32024" xr:uid="{2FF84F0D-F196-4F58-8719-662415A26B68}"/>
    <cellStyle name="20% - Accent2 3 2 5" xfId="16417" xr:uid="{15A35A41-2143-4086-B247-640140AD7A02}"/>
    <cellStyle name="20% - Accent2 3 2 5 2" xfId="32026" xr:uid="{453D8EE6-F73D-4108-A2BF-4E91EDDADB51}"/>
    <cellStyle name="20% - Accent2 3 2 6" xfId="32011" xr:uid="{01918EA7-E0BE-4EC5-8EA7-210DE35D2F18}"/>
    <cellStyle name="20% - Accent2 3 3" xfId="1819" xr:uid="{2179C519-6520-4384-ADD2-22EE49F3C336}"/>
    <cellStyle name="20% - Accent2 3 3 2" xfId="5551" xr:uid="{EB824D0E-F17D-4BD7-AAF0-4D583A1F6F95}"/>
    <cellStyle name="20% - Accent2 3 3 2 2" xfId="13259" xr:uid="{865FB441-CD75-4992-9EEC-F0DD46DB36FF}"/>
    <cellStyle name="20% - Accent2 3 3 2 2 2" xfId="28671" xr:uid="{51760CEC-FE9E-4FD4-B19B-D531C848323D}"/>
    <cellStyle name="20% - Accent2 3 3 2 2 2 2" xfId="32030" xr:uid="{D514022F-CE41-4077-80C5-388198DF0294}"/>
    <cellStyle name="20% - Accent2 3 3 2 2 3" xfId="32029" xr:uid="{672F3337-3231-423F-82AF-B443742C32E5}"/>
    <cellStyle name="20% - Accent2 3 3 2 3" xfId="20966" xr:uid="{B5726DA5-2589-4B60-872C-3BAAD9EA7955}"/>
    <cellStyle name="20% - Accent2 3 3 2 3 2" xfId="32031" xr:uid="{C63D7F6C-6A20-4C73-9E2C-5F9D836EA8E4}"/>
    <cellStyle name="20% - Accent2 3 3 2 4" xfId="32028" xr:uid="{2F2C730E-4520-4B24-9EFE-D9FC0F6AD76F}"/>
    <cellStyle name="20% - Accent2 3 3 3" xfId="9530" xr:uid="{BD71C3BE-FC55-488C-BCE6-39F673F22E19}"/>
    <cellStyle name="20% - Accent2 3 3 3 2" xfId="24943" xr:uid="{3468FA0C-B7E3-498B-8902-6F5C15CBED64}"/>
    <cellStyle name="20% - Accent2 3 3 3 2 2" xfId="32033" xr:uid="{E3A0F924-F7E7-486D-BF0D-7C5182A17E88}"/>
    <cellStyle name="20% - Accent2 3 3 3 3" xfId="32032" xr:uid="{93D98DC2-D79F-4EE4-9E46-11085D089106}"/>
    <cellStyle name="20% - Accent2 3 3 4" xfId="17238" xr:uid="{8AEE53FC-654C-4D0E-BEE8-002580E1EE9E}"/>
    <cellStyle name="20% - Accent2 3 3 4 2" xfId="32034" xr:uid="{4F15761D-3274-4FAE-9DAB-081BDB28E750}"/>
    <cellStyle name="20% - Accent2 3 3 5" xfId="32027" xr:uid="{E09124BF-F9C7-4D9A-A9E8-B96E48D904C3}"/>
    <cellStyle name="20% - Accent2 3 4" xfId="4072" xr:uid="{967F274A-FFCE-4056-BDA9-DDFAF6AFCE37}"/>
    <cellStyle name="20% - Accent2 3 4 2" xfId="11780" xr:uid="{34273B53-6E72-41E5-81E5-05505DCECD70}"/>
    <cellStyle name="20% - Accent2 3 4 2 2" xfId="27192" xr:uid="{592A9662-4D7C-46B5-B801-83DEA5257DC5}"/>
    <cellStyle name="20% - Accent2 3 4 2 2 2" xfId="32037" xr:uid="{A2EAFE23-2EFD-4DF2-B4F2-63ADA6FB02D9}"/>
    <cellStyle name="20% - Accent2 3 4 2 3" xfId="32036" xr:uid="{6B689119-138E-4208-B3EA-1E27B0A64451}"/>
    <cellStyle name="20% - Accent2 3 4 3" xfId="19487" xr:uid="{CE3CD64C-0FAB-47A4-959E-1C8577E750F9}"/>
    <cellStyle name="20% - Accent2 3 4 3 2" xfId="32038" xr:uid="{F558940D-81A5-4E8D-B95E-344B7704A66E}"/>
    <cellStyle name="20% - Accent2 3 4 4" xfId="32035" xr:uid="{97675195-BA91-45F7-BD2D-36D29EDE7D27}"/>
    <cellStyle name="20% - Accent2 3 5" xfId="8071" xr:uid="{A1122122-BAB1-46C6-8678-59A4319EC02F}"/>
    <cellStyle name="20% - Accent2 3 5 2" xfId="23484" xr:uid="{3F26C66D-38E3-42E6-AA89-806017279B2F}"/>
    <cellStyle name="20% - Accent2 3 5 2 2" xfId="32040" xr:uid="{6C40DFF0-6DF7-41B9-9A75-81BAE33F0613}"/>
    <cellStyle name="20% - Accent2 3 5 3" xfId="32039" xr:uid="{E6D1B77E-999D-4184-A32A-2C2634C8EF83}"/>
    <cellStyle name="20% - Accent2 3 6" xfId="15779" xr:uid="{2C9C3830-2A46-4FDC-A0A0-A4252FE70AA2}"/>
    <cellStyle name="20% - Accent2 3 6 2" xfId="32041" xr:uid="{FC5E1059-4847-445D-84F4-F02BD36D754A}"/>
    <cellStyle name="20% - Accent2 3 7" xfId="32010" xr:uid="{BAAC11FE-3B67-44F0-AB77-5AA5B381C5D4}"/>
    <cellStyle name="20% - Accent2 30" xfId="3800" xr:uid="{C071BDC2-5239-4B4B-B535-6E0D4DDC8B24}"/>
    <cellStyle name="20% - Accent2 30 2" xfId="7531" xr:uid="{7A499E46-A588-4985-A8F9-1BE488A080AB}"/>
    <cellStyle name="20% - Accent2 30 2 2" xfId="15239" xr:uid="{020B006B-B77C-43F8-8083-CCF1B3225FA7}"/>
    <cellStyle name="20% - Accent2 30 2 2 2" xfId="30651" xr:uid="{A8A3A900-4CBE-40EB-B9B5-BF83D08CBC19}"/>
    <cellStyle name="20% - Accent2 30 2 2 2 2" xfId="32045" xr:uid="{34AF4F20-868D-4F75-92F4-CA15684F1105}"/>
    <cellStyle name="20% - Accent2 30 2 2 3" xfId="32044" xr:uid="{CFDB6198-42B3-4086-B554-77C638D5D7F8}"/>
    <cellStyle name="20% - Accent2 30 2 3" xfId="22946" xr:uid="{784CA34F-628F-42E0-B4BD-8E1219A6E855}"/>
    <cellStyle name="20% - Accent2 30 2 3 2" xfId="32046" xr:uid="{38C911BF-38A8-464F-A073-7DA999FFF063}"/>
    <cellStyle name="20% - Accent2 30 2 4" xfId="32043" xr:uid="{637D220E-8436-475A-ADFD-9E2FA40B93E5}"/>
    <cellStyle name="20% - Accent2 30 3" xfId="11510" xr:uid="{1D8EF978-19E8-4542-A32B-FA5935732868}"/>
    <cellStyle name="20% - Accent2 30 3 2" xfId="26923" xr:uid="{9F77A78B-7B53-4490-816A-5DE56D053FCF}"/>
    <cellStyle name="20% - Accent2 30 3 2 2" xfId="32048" xr:uid="{F2F2D0C3-2F4F-4C5C-A32D-8ED618270435}"/>
    <cellStyle name="20% - Accent2 30 3 3" xfId="32047" xr:uid="{F620AE10-98FB-40F6-903D-E4D0F64A6F97}"/>
    <cellStyle name="20% - Accent2 30 4" xfId="19218" xr:uid="{EFEDF502-596C-4C3E-A3A3-29DEDAC6D714}"/>
    <cellStyle name="20% - Accent2 30 4 2" xfId="32049" xr:uid="{CF271F16-B30D-4A85-B40C-342935611270}"/>
    <cellStyle name="20% - Accent2 30 5" xfId="32042" xr:uid="{D7D6D5EA-5409-42D5-9B5A-E326585DF8FB}"/>
    <cellStyle name="20% - Accent2 31" xfId="3820" xr:uid="{700AC50E-5158-412B-9260-598FE84F4AD2}"/>
    <cellStyle name="20% - Accent2 31 2" xfId="7551" xr:uid="{90FC187F-BF86-4F5D-AA9E-EBD71ABD5084}"/>
    <cellStyle name="20% - Accent2 31 2 2" xfId="15259" xr:uid="{B1DE90B4-E8F4-49EA-BD74-03B480545198}"/>
    <cellStyle name="20% - Accent2 31 2 2 2" xfId="30671" xr:uid="{CA24CE50-56FC-4658-AC35-71545899AAB8}"/>
    <cellStyle name="20% - Accent2 31 2 2 2 2" xfId="32053" xr:uid="{D8F0AC35-C1B6-4C03-AE42-891B0751BACE}"/>
    <cellStyle name="20% - Accent2 31 2 2 3" xfId="32052" xr:uid="{FF549D4C-08E5-4B19-AAFD-94A738E2BD6E}"/>
    <cellStyle name="20% - Accent2 31 2 3" xfId="22966" xr:uid="{173521BC-9E4B-42AC-9FAB-EEC6A094A385}"/>
    <cellStyle name="20% - Accent2 31 2 3 2" xfId="32054" xr:uid="{1E997B42-D92B-4BEE-A0A4-F1503D00E35C}"/>
    <cellStyle name="20% - Accent2 31 2 4" xfId="32051" xr:uid="{36215396-3A58-45D1-B070-CBED05F9B10E}"/>
    <cellStyle name="20% - Accent2 31 3" xfId="11530" xr:uid="{F2E16D22-3E46-4AE2-B2AC-FA09A921BCE8}"/>
    <cellStyle name="20% - Accent2 31 3 2" xfId="26943" xr:uid="{1353B110-8356-4446-BF68-86B5721C2663}"/>
    <cellStyle name="20% - Accent2 31 3 2 2" xfId="32056" xr:uid="{05695987-5210-4B6A-A45F-3750FEDF9EBA}"/>
    <cellStyle name="20% - Accent2 31 3 3" xfId="32055" xr:uid="{36C573C0-FF5F-4319-9C87-F29ECF715273}"/>
    <cellStyle name="20% - Accent2 31 4" xfId="19238" xr:uid="{A85CB27D-631D-439B-BBA2-74B22CF91075}"/>
    <cellStyle name="20% - Accent2 31 4 2" xfId="32057" xr:uid="{3CAF2BA2-F3C3-43D1-9D5F-85DDAD160C11}"/>
    <cellStyle name="20% - Accent2 31 5" xfId="32050" xr:uid="{DEF112F3-0B04-44FF-9E9F-4FAE76B288AE}"/>
    <cellStyle name="20% - Accent2 32" xfId="3841" xr:uid="{9158F4C6-A47B-4BDD-B266-C43A8ABF4605}"/>
    <cellStyle name="20% - Accent2 32 2" xfId="7571" xr:uid="{2E48F8A0-D9D7-4D66-B7DB-04241E604C25}"/>
    <cellStyle name="20% - Accent2 32 2 2" xfId="15279" xr:uid="{75AD89D6-BB32-46E3-B363-9865FE0219F8}"/>
    <cellStyle name="20% - Accent2 32 2 2 2" xfId="30691" xr:uid="{197CB8A6-9BBB-4A70-A354-CC6AAB8EB175}"/>
    <cellStyle name="20% - Accent2 32 2 2 2 2" xfId="32061" xr:uid="{9562F4C0-EA89-432D-91BE-B3ED2D9FB5D0}"/>
    <cellStyle name="20% - Accent2 32 2 2 3" xfId="32060" xr:uid="{562C214D-18A5-46D1-9A90-651F7D10F997}"/>
    <cellStyle name="20% - Accent2 32 2 3" xfId="22986" xr:uid="{561B28A1-2D52-4AB2-BAEA-002AF2F68024}"/>
    <cellStyle name="20% - Accent2 32 2 3 2" xfId="32062" xr:uid="{FEB1DA58-E93A-4872-80BA-3B5870F914E0}"/>
    <cellStyle name="20% - Accent2 32 2 4" xfId="32059" xr:uid="{CE76C49D-A489-4C9D-B712-DE560BB82FE3}"/>
    <cellStyle name="20% - Accent2 32 3" xfId="11551" xr:uid="{63F51AB4-A9EC-41FF-8E76-895151A52A36}"/>
    <cellStyle name="20% - Accent2 32 3 2" xfId="26963" xr:uid="{4CC58510-0AF6-4C7F-8115-F95DE6D88C2A}"/>
    <cellStyle name="20% - Accent2 32 3 2 2" xfId="32064" xr:uid="{FB0E8849-4422-450D-869F-9A4F36655371}"/>
    <cellStyle name="20% - Accent2 32 3 3" xfId="32063" xr:uid="{35BDC8FB-6C2B-48E8-9CF3-FCDA9BF22C00}"/>
    <cellStyle name="20% - Accent2 32 4" xfId="19258" xr:uid="{16772493-C820-42C2-976A-EFA588B644B3}"/>
    <cellStyle name="20% - Accent2 32 4 2" xfId="32065" xr:uid="{F16ECF82-40C3-4978-BE73-F7C61E345D51}"/>
    <cellStyle name="20% - Accent2 32 5" xfId="32058" xr:uid="{92E11A4D-4FED-4600-8D50-B2B062436907}"/>
    <cellStyle name="20% - Accent2 33" xfId="3860" xr:uid="{4124EB61-DA62-4C80-8E15-767F9A1CC391}"/>
    <cellStyle name="20% - Accent2 33 2" xfId="11570" xr:uid="{CD7E7ED5-B5FB-4FCA-8B4C-55B622267ED8}"/>
    <cellStyle name="20% - Accent2 33 2 2" xfId="26982" xr:uid="{504F1AF7-76B2-4118-884D-2A9E1EDECFBE}"/>
    <cellStyle name="20% - Accent2 33 2 2 2" xfId="32068" xr:uid="{5C5D857F-D32C-4670-8C5C-8843D25A8303}"/>
    <cellStyle name="20% - Accent2 33 2 3" xfId="32067" xr:uid="{D1CB3496-E584-439A-9BF4-45DFC1930D07}"/>
    <cellStyle name="20% - Accent2 33 3" xfId="19277" xr:uid="{B49AEB82-FC45-480A-8651-DE4F36A28C4C}"/>
    <cellStyle name="20% - Accent2 33 3 2" xfId="32069" xr:uid="{0CACB56A-3253-4755-A21B-9495997D5BD4}"/>
    <cellStyle name="20% - Accent2 33 4" xfId="32066" xr:uid="{61D9EBA4-F89C-4E24-9C94-2BC9F6411051}"/>
    <cellStyle name="20% - Accent2 34" xfId="7591" xr:uid="{D5CF8F27-567C-4AA1-84E3-334E026AC24A}"/>
    <cellStyle name="20% - Accent2 34 2" xfId="15299" xr:uid="{C8E28B3C-AE5F-4EB5-A3F7-E67257285108}"/>
    <cellStyle name="20% - Accent2 34 2 2" xfId="30711" xr:uid="{D7384A19-C435-4E85-8646-8A2141E4FC1D}"/>
    <cellStyle name="20% - Accent2 34 2 2 2" xfId="32072" xr:uid="{CE7B7790-81FA-4F38-A0DD-2E07035703ED}"/>
    <cellStyle name="20% - Accent2 34 2 3" xfId="32071" xr:uid="{ED8DC8EB-419C-479F-96D8-0590E5279B63}"/>
    <cellStyle name="20% - Accent2 34 3" xfId="23006" xr:uid="{A9A2DF5E-D6E7-4786-A909-EBB87EE89680}"/>
    <cellStyle name="20% - Accent2 34 3 2" xfId="32073" xr:uid="{4FEDD036-261C-4B2E-AEE2-D98CE6986987}"/>
    <cellStyle name="20% - Accent2 34 4" xfId="32070" xr:uid="{E6FBC333-B9FD-49EB-9A1E-7C93F96509E1}"/>
    <cellStyle name="20% - Accent2 35" xfId="7611" xr:uid="{614FAAC2-54E1-40A2-AAF2-A71768989F59}"/>
    <cellStyle name="20% - Accent2 35 2" xfId="15319" xr:uid="{91D1DB20-B8A5-4C6F-B93F-A1AB12B645B9}"/>
    <cellStyle name="20% - Accent2 35 2 2" xfId="30731" xr:uid="{1CED25A7-F05F-4F18-B68C-8143B8ABBAA9}"/>
    <cellStyle name="20% - Accent2 35 2 2 2" xfId="32076" xr:uid="{C01CF2E7-F8EA-45DA-BB1E-32A01CDD5416}"/>
    <cellStyle name="20% - Accent2 35 2 3" xfId="32075" xr:uid="{486B4F11-EE42-453B-A6E7-8CEF19C7DB8B}"/>
    <cellStyle name="20% - Accent2 35 3" xfId="23026" xr:uid="{E5FA3C96-C484-42C2-B2F8-A846518C79BA}"/>
    <cellStyle name="20% - Accent2 35 3 2" xfId="32077" xr:uid="{D1A35D20-B38B-4103-B4BC-9B70A174E0C2}"/>
    <cellStyle name="20% - Accent2 35 4" xfId="32074" xr:uid="{B83BBE09-5504-4D61-9F36-7DCEA2BC76E9}"/>
    <cellStyle name="20% - Accent2 36" xfId="7631" xr:uid="{B2281D4A-FFF9-4439-8E29-6A9915236721}"/>
    <cellStyle name="20% - Accent2 36 2" xfId="15339" xr:uid="{8A7828B3-0528-41AD-B6AA-F0BBC31EB4AD}"/>
    <cellStyle name="20% - Accent2 36 2 2" xfId="30751" xr:uid="{B8CF51DB-19A4-4352-AE78-7986C156E24E}"/>
    <cellStyle name="20% - Accent2 36 2 2 2" xfId="32080" xr:uid="{53B3F752-61EA-4256-BCD6-EFFA98494269}"/>
    <cellStyle name="20% - Accent2 36 2 3" xfId="32079" xr:uid="{9192F4C8-6905-4EA4-BDF8-8F20F1BEFC49}"/>
    <cellStyle name="20% - Accent2 36 3" xfId="23046" xr:uid="{19B52A79-F7E3-4A6D-8224-5081659E3AB0}"/>
    <cellStyle name="20% - Accent2 36 3 2" xfId="32081" xr:uid="{8856875C-A156-44D5-A726-97B6EF283650}"/>
    <cellStyle name="20% - Accent2 36 4" xfId="32078" xr:uid="{EC65F758-3F1D-456A-AB19-0CE5B7364560}"/>
    <cellStyle name="20% - Accent2 37" xfId="7651" xr:uid="{CA800306-2D53-4103-988F-5D2602D6434C}"/>
    <cellStyle name="20% - Accent2 37 2" xfId="15359" xr:uid="{0640BD48-9E67-445E-95FC-5ACE8A847C9D}"/>
    <cellStyle name="20% - Accent2 37 2 2" xfId="30771" xr:uid="{F7F0212F-9761-43E4-B849-14989E9A0F97}"/>
    <cellStyle name="20% - Accent2 37 2 2 2" xfId="32084" xr:uid="{79D611A9-A87F-4776-9811-B1B92FFABE14}"/>
    <cellStyle name="20% - Accent2 37 2 3" xfId="32083" xr:uid="{BAB918A5-F951-4DA8-955E-C7B67307EACC}"/>
    <cellStyle name="20% - Accent2 37 3" xfId="23066" xr:uid="{46893949-03AF-49D1-94FD-30567BB32E1D}"/>
    <cellStyle name="20% - Accent2 37 3 2" xfId="32085" xr:uid="{3A41E7A5-B48E-4A34-AD13-FCE5893B3A7F}"/>
    <cellStyle name="20% - Accent2 37 4" xfId="32082" xr:uid="{67AB0B81-78A5-4EF4-A1F2-7F8223ACCA65}"/>
    <cellStyle name="20% - Accent2 38" xfId="7671" xr:uid="{5F91DC55-C883-4ABC-9D01-CD758C3A9CE3}"/>
    <cellStyle name="20% - Accent2 38 2" xfId="15379" xr:uid="{EED32570-94D8-451C-9A7C-ECAF3ED6B479}"/>
    <cellStyle name="20% - Accent2 38 2 2" xfId="30791" xr:uid="{72C78AA3-1C97-4AA2-A948-9697C1949872}"/>
    <cellStyle name="20% - Accent2 38 2 2 2" xfId="32088" xr:uid="{1A8579E2-4104-4675-9EE3-2F334BA33350}"/>
    <cellStyle name="20% - Accent2 38 2 3" xfId="32087" xr:uid="{6F3C9010-924A-4908-B571-BD4C4F89D412}"/>
    <cellStyle name="20% - Accent2 38 3" xfId="23086" xr:uid="{1A4FF02F-EBF3-4728-A85E-EF223EADE2FE}"/>
    <cellStyle name="20% - Accent2 38 3 2" xfId="32089" xr:uid="{24E6AD2B-8CF0-4A42-BD6F-E5508239633C}"/>
    <cellStyle name="20% - Accent2 38 4" xfId="32086" xr:uid="{C0B6052C-B1D2-4911-A3B1-5936E2EF3142}"/>
    <cellStyle name="20% - Accent2 39" xfId="7691" xr:uid="{A8412447-89A1-44D6-BCE4-D5C267BA70F9}"/>
    <cellStyle name="20% - Accent2 39 2" xfId="15399" xr:uid="{7F9A8ED6-6384-4F15-BBAF-417E37E22DE6}"/>
    <cellStyle name="20% - Accent2 39 2 2" xfId="30811" xr:uid="{F418D647-A1BC-4C44-B518-F1136E884140}"/>
    <cellStyle name="20% - Accent2 39 2 2 2" xfId="32092" xr:uid="{774B4147-6762-4C4A-A7A9-C97B8F24CDEA}"/>
    <cellStyle name="20% - Accent2 39 2 3" xfId="32091" xr:uid="{D3CCF568-1CEA-4DC2-A0C1-17DB0EDDF167}"/>
    <cellStyle name="20% - Accent2 39 3" xfId="23106" xr:uid="{4AA546CA-46E3-4E8A-BB63-0A72E18A2F03}"/>
    <cellStyle name="20% - Accent2 39 3 2" xfId="32093" xr:uid="{68D43618-18A2-4E2F-BB08-C7C10237B139}"/>
    <cellStyle name="20% - Accent2 39 4" xfId="32090" xr:uid="{5A4282AA-D691-4F1D-AF20-F86D4B3527ED}"/>
    <cellStyle name="20% - Accent2 4" xfId="1616" xr:uid="{B26B5179-849A-41EE-9C71-0E56702C5DDF}"/>
    <cellStyle name="20% - Accent2 4 2" xfId="5351" xr:uid="{62625DE2-FFE3-4117-B8F8-941FD3B660A4}"/>
    <cellStyle name="20% - Accent2 4 2 2" xfId="13059" xr:uid="{A412CDC4-D316-44DF-AB11-0036C83917D4}"/>
    <cellStyle name="20% - Accent2 4 2 2 2" xfId="28471" xr:uid="{D466C23C-DE3B-4D83-8147-5907564B6FBC}"/>
    <cellStyle name="20% - Accent2 4 2 2 2 2" xfId="32097" xr:uid="{BC1B9798-4512-4C50-9CA3-97CD0D306F00}"/>
    <cellStyle name="20% - Accent2 4 2 2 3" xfId="32096" xr:uid="{F53BB536-34E4-4C81-B7DA-EADF4D1E75EF}"/>
    <cellStyle name="20% - Accent2 4 2 3" xfId="20766" xr:uid="{6130B642-484B-4B4D-8CA6-C524599B8C1A}"/>
    <cellStyle name="20% - Accent2 4 2 3 2" xfId="32098" xr:uid="{72AC4D87-D0AF-46A5-873F-65D82761794D}"/>
    <cellStyle name="20% - Accent2 4 2 4" xfId="32095" xr:uid="{0E266B98-14B8-4561-A3E4-06203FA73480}"/>
    <cellStyle name="20% - Accent2 4 3" xfId="9332" xr:uid="{57ED1F30-6182-42BE-87D2-275B88C48D48}"/>
    <cellStyle name="20% - Accent2 4 3 2" xfId="24745" xr:uid="{FCE90335-CD92-4459-BEE6-43B8A9F47769}"/>
    <cellStyle name="20% - Accent2 4 3 2 2" xfId="32100" xr:uid="{2B68E910-2427-44EE-9866-D68132C478BE}"/>
    <cellStyle name="20% - Accent2 4 3 3" xfId="32099" xr:uid="{50DEC42F-F574-4F9C-ACC5-24C7B7992569}"/>
    <cellStyle name="20% - Accent2 4 4" xfId="17040" xr:uid="{AE96F24D-4AE6-480F-87C2-CBFA79A94338}"/>
    <cellStyle name="20% - Accent2 4 4 2" xfId="32101" xr:uid="{646B825D-2B98-470A-8A1D-DC156A6DF909}"/>
    <cellStyle name="20% - Accent2 4 5" xfId="32094" xr:uid="{F218CCAA-CB16-4D57-854A-D3379D7B3DFE}"/>
    <cellStyle name="20% - Accent2 40" xfId="7711" xr:uid="{250AACFC-4382-4FEB-941E-E073693B4258}"/>
    <cellStyle name="20% - Accent2 40 2" xfId="15419" xr:uid="{4A0014E5-08E4-4F09-B536-DEB273EC0E71}"/>
    <cellStyle name="20% - Accent2 40 2 2" xfId="30831" xr:uid="{29BAB555-A2B8-4B56-99CF-3F7BFDABCF9E}"/>
    <cellStyle name="20% - Accent2 40 2 2 2" xfId="32104" xr:uid="{D0B9B299-14ED-40F7-9132-0A7C3AA41F71}"/>
    <cellStyle name="20% - Accent2 40 2 3" xfId="32103" xr:uid="{7F96B314-BC0C-441B-8218-61DBA0AA34FB}"/>
    <cellStyle name="20% - Accent2 40 3" xfId="23126" xr:uid="{89C08C21-4EE9-462A-9FC1-DFF5CB9CF861}"/>
    <cellStyle name="20% - Accent2 40 3 2" xfId="32105" xr:uid="{16FD2583-2434-488F-BE48-69EA431419F3}"/>
    <cellStyle name="20% - Accent2 40 4" xfId="32102" xr:uid="{CCC8C94A-998D-4F97-A369-5C0BA010E08F}"/>
    <cellStyle name="20% - Accent2 41" xfId="7731" xr:uid="{8575FAF9-1F6E-4D39-81C7-963655FF7074}"/>
    <cellStyle name="20% - Accent2 41 2" xfId="15439" xr:uid="{EF28C333-C4A2-4CE6-9923-4340354274C8}"/>
    <cellStyle name="20% - Accent2 41 2 2" xfId="30851" xr:uid="{6DCA4398-F883-44EC-B62E-7FFB03A8B594}"/>
    <cellStyle name="20% - Accent2 41 2 2 2" xfId="32108" xr:uid="{E994F666-FB64-4FD1-A4BF-C27FC199700B}"/>
    <cellStyle name="20% - Accent2 41 2 3" xfId="32107" xr:uid="{47CF78FF-9B52-40AE-B171-30D8E32E8BE7}"/>
    <cellStyle name="20% - Accent2 41 3" xfId="23146" xr:uid="{FBEACDFE-01F2-4592-81C4-454F0B794496}"/>
    <cellStyle name="20% - Accent2 41 3 2" xfId="32109" xr:uid="{C406D6A6-3901-43F2-8DF2-18D447E5EF83}"/>
    <cellStyle name="20% - Accent2 41 4" xfId="32106" xr:uid="{0A029AE8-A8A9-4230-8489-069AB4E0DC6C}"/>
    <cellStyle name="20% - Accent2 42" xfId="7751" xr:uid="{671576B6-A411-44AA-B751-7546C683CF36}"/>
    <cellStyle name="20% - Accent2 42 2" xfId="15459" xr:uid="{6897F6E8-6125-4040-B5E3-6F13B0CF24A4}"/>
    <cellStyle name="20% - Accent2 42 2 2" xfId="30871" xr:uid="{B715DE18-2BB1-4789-97C8-2268DBD724CC}"/>
    <cellStyle name="20% - Accent2 42 2 2 2" xfId="32112" xr:uid="{4172DFA9-E844-4152-8128-25CFC819E447}"/>
    <cellStyle name="20% - Accent2 42 2 3" xfId="32111" xr:uid="{36F75F31-A976-4793-B6A8-E614B4D2327B}"/>
    <cellStyle name="20% - Accent2 42 3" xfId="23166" xr:uid="{D4152E0D-D9DD-4C67-BC67-BF42D991C7CC}"/>
    <cellStyle name="20% - Accent2 42 3 2" xfId="32113" xr:uid="{57216A80-4947-4EA6-AD41-148CE9CEAA1B}"/>
    <cellStyle name="20% - Accent2 42 4" xfId="32110" xr:uid="{7A825C19-A0D5-45D7-ABBD-72D06603D9FE}"/>
    <cellStyle name="20% - Accent2 43" xfId="7771" xr:uid="{23B00008-673B-4E0E-8682-4659950985EA}"/>
    <cellStyle name="20% - Accent2 43 2" xfId="15479" xr:uid="{CD8E72AE-45F9-4D94-8C7E-F1CD5F3572A0}"/>
    <cellStyle name="20% - Accent2 43 2 2" xfId="30891" xr:uid="{914654F2-9F33-49B1-BDFC-7165D7E2679C}"/>
    <cellStyle name="20% - Accent2 43 2 2 2" xfId="32116" xr:uid="{1B529C42-D412-4829-9922-7564EE54DAA5}"/>
    <cellStyle name="20% - Accent2 43 2 3" xfId="32115" xr:uid="{BFA46E45-FF24-4EFE-8AAB-C5CA470E06E2}"/>
    <cellStyle name="20% - Accent2 43 3" xfId="23186" xr:uid="{2E3C8059-477E-4BAC-8AC3-3653BB4B8590}"/>
    <cellStyle name="20% - Accent2 43 3 2" xfId="32117" xr:uid="{F06ED4F3-3FD0-4A64-A37A-37447D42E2BC}"/>
    <cellStyle name="20% - Accent2 43 4" xfId="32114" xr:uid="{C05657A4-F512-4EE2-A7A6-352182C6A3BD}"/>
    <cellStyle name="20% - Accent2 44" xfId="7791" xr:uid="{180869C9-0D0F-454A-A47C-CECFB68B4FE6}"/>
    <cellStyle name="20% - Accent2 44 2" xfId="15499" xr:uid="{4A2AC46F-7BC7-48B3-B974-D88B05F076E9}"/>
    <cellStyle name="20% - Accent2 44 2 2" xfId="30911" xr:uid="{54F734ED-0E64-4120-8960-9C8647530890}"/>
    <cellStyle name="20% - Accent2 44 2 2 2" xfId="32120" xr:uid="{C7A537D8-84B6-4A57-937D-8D3046BF887D}"/>
    <cellStyle name="20% - Accent2 44 2 3" xfId="32119" xr:uid="{0ECDCCEE-8A75-45BF-B4A5-467C813F66F4}"/>
    <cellStyle name="20% - Accent2 44 3" xfId="23206" xr:uid="{1C955634-F8FF-4E3E-99C2-6815B8DB4B8A}"/>
    <cellStyle name="20% - Accent2 44 3 2" xfId="32121" xr:uid="{6B6DC8E8-CA32-422C-A3F5-E13A6BFD3099}"/>
    <cellStyle name="20% - Accent2 44 4" xfId="32118" xr:uid="{348AB08E-7610-4E5D-9A02-B900A21DE39A}"/>
    <cellStyle name="20% - Accent2 45" xfId="7813" xr:uid="{778C15D5-0803-4246-9E36-E356CE60C9F0}"/>
    <cellStyle name="20% - Accent2 45 2" xfId="15521" xr:uid="{B382BB3D-FBE3-4ACF-A06C-5E103BCDCE9E}"/>
    <cellStyle name="20% - Accent2 45 2 2" xfId="30933" xr:uid="{C7A309B2-8F9A-4694-A5B0-A325DC8851A7}"/>
    <cellStyle name="20% - Accent2 45 2 2 2" xfId="32124" xr:uid="{76DC6ABC-18C7-484E-B2B1-CDF821882B85}"/>
    <cellStyle name="20% - Accent2 45 2 3" xfId="32123" xr:uid="{F2963F68-F8A6-4527-921E-BC6806F9CF70}"/>
    <cellStyle name="20% - Accent2 45 3" xfId="23228" xr:uid="{85CCE1BA-D460-4117-B223-82B3FDC43804}"/>
    <cellStyle name="20% - Accent2 45 3 2" xfId="32125" xr:uid="{DF5420A2-A064-490C-88A0-0357A1D95353}"/>
    <cellStyle name="20% - Accent2 45 4" xfId="32122" xr:uid="{6E3C3422-1AEE-4EC3-B8C7-BD44E409B723}"/>
    <cellStyle name="20% - Accent2 46" xfId="7834" xr:uid="{F0FC06E7-F234-4AB6-9107-7462E49E42A9}"/>
    <cellStyle name="20% - Accent2 46 2" xfId="15542" xr:uid="{9DF19776-9C17-4671-8211-F8A3166A3DB8}"/>
    <cellStyle name="20% - Accent2 46 2 2" xfId="30953" xr:uid="{47AD5854-3037-46A8-9CFC-1EDD6637ADFB}"/>
    <cellStyle name="20% - Accent2 46 2 2 2" xfId="32128" xr:uid="{14A50667-52D6-493F-B055-411910E57FA1}"/>
    <cellStyle name="20% - Accent2 46 2 3" xfId="32127" xr:uid="{E2647A79-DAD8-4A00-8205-E149576E1FCC}"/>
    <cellStyle name="20% - Accent2 46 3" xfId="23248" xr:uid="{19E2E865-B8AE-4AED-87B0-1EF6E462E278}"/>
    <cellStyle name="20% - Accent2 46 3 2" xfId="32129" xr:uid="{88DF5A77-4990-4896-89E3-DE0335489E08}"/>
    <cellStyle name="20% - Accent2 46 4" xfId="32126" xr:uid="{FD10FCAF-1770-4A2A-8F3D-113083280FB4}"/>
    <cellStyle name="20% - Accent2 47" xfId="7854" xr:uid="{01578940-156D-4D73-8A26-EA9F0BCE79C4}"/>
    <cellStyle name="20% - Accent2 47 2" xfId="15562" xr:uid="{B3C01358-C457-4597-A13E-4A2E19869EF8}"/>
    <cellStyle name="20% - Accent2 47 2 2" xfId="30973" xr:uid="{AD1DB790-9E00-4D33-8D46-DFE536A04276}"/>
    <cellStyle name="20% - Accent2 47 2 2 2" xfId="32132" xr:uid="{56FC3989-816F-4B90-B005-EF20FF66C27C}"/>
    <cellStyle name="20% - Accent2 47 2 3" xfId="32131" xr:uid="{B4E7AEBD-E009-4437-A3CC-7874850C460D}"/>
    <cellStyle name="20% - Accent2 47 3" xfId="23268" xr:uid="{4A2A353E-91EC-4A1B-8711-C51FBEFDA1D6}"/>
    <cellStyle name="20% - Accent2 47 3 2" xfId="32133" xr:uid="{6528A5D5-D50D-4026-BB0E-E58E668881CB}"/>
    <cellStyle name="20% - Accent2 47 4" xfId="32130" xr:uid="{FCC3B6D9-8AEB-4F66-B91E-2164E739727A}"/>
    <cellStyle name="20% - Accent2 48" xfId="7907" xr:uid="{BD01CC48-42EE-4E64-BDB2-1EDDFF2AAC80}"/>
    <cellStyle name="20% - Accent2 48 2" xfId="23320" xr:uid="{C5EE9AE9-1C92-4196-833C-86640195BA6F}"/>
    <cellStyle name="20% - Accent2 48 2 2" xfId="32135" xr:uid="{8B23BD45-8B41-4000-A198-A0AB2D737FBD}"/>
    <cellStyle name="20% - Accent2 48 3" xfId="32134" xr:uid="{60044C9D-1819-4216-BF28-0DD11E4CFBC0}"/>
    <cellStyle name="20% - Accent2 49" xfId="15615" xr:uid="{E9150AD5-9A51-4B05-B121-5EDBB50C1AC6}"/>
    <cellStyle name="20% - Accent2 49 2" xfId="32136" xr:uid="{7B0FDCA2-859F-4E33-9507-1CADC159F242}"/>
    <cellStyle name="20% - Accent2 5" xfId="3299" xr:uid="{C5D020A5-B59A-4FB3-B3ED-5398B87BCB25}"/>
    <cellStyle name="20% - Accent2 5 2" xfId="7031" xr:uid="{41270A05-4068-46FA-847A-62F496C8BDF5}"/>
    <cellStyle name="20% - Accent2 5 2 2" xfId="14739" xr:uid="{07EBDD23-78D5-48EA-8AD8-F21442B5AAD9}"/>
    <cellStyle name="20% - Accent2 5 2 2 2" xfId="30151" xr:uid="{903EC0FE-E1C4-410D-BE99-2E608C92CB0E}"/>
    <cellStyle name="20% - Accent2 5 2 2 2 2" xfId="32140" xr:uid="{8293CE08-948E-45C4-A4C9-24EFF30B8841}"/>
    <cellStyle name="20% - Accent2 5 2 2 3" xfId="32139" xr:uid="{8791A654-B077-483E-B7A1-67360FC8C16B}"/>
    <cellStyle name="20% - Accent2 5 2 3" xfId="22446" xr:uid="{67D014D9-E677-424F-BF8C-DEE353E97DD4}"/>
    <cellStyle name="20% - Accent2 5 2 3 2" xfId="32141" xr:uid="{BA65EBEE-719B-401C-AFCE-71CACCF30AA8}"/>
    <cellStyle name="20% - Accent2 5 2 4" xfId="32138" xr:uid="{9FC06D09-9334-4C50-AACB-686656F35860}"/>
    <cellStyle name="20% - Accent2 5 3" xfId="11010" xr:uid="{231F047F-45AC-447F-BF70-E1C214B3DBB6}"/>
    <cellStyle name="20% - Accent2 5 3 2" xfId="26423" xr:uid="{A075D6E2-4AB0-4630-A9E8-6ACCBDB81BB0}"/>
    <cellStyle name="20% - Accent2 5 3 2 2" xfId="32143" xr:uid="{310E5F4B-4AF4-4DD8-B224-82A4749C5478}"/>
    <cellStyle name="20% - Accent2 5 3 3" xfId="32142" xr:uid="{5EA8CB00-C1D0-4FD7-A980-AE41DD95B85F}"/>
    <cellStyle name="20% - Accent2 5 4" xfId="18718" xr:uid="{218A7832-9063-4039-9709-B41A34617FB7}"/>
    <cellStyle name="20% - Accent2 5 4 2" xfId="32144" xr:uid="{49F22CE4-8B0D-4918-BF98-CB79AF46E4AD}"/>
    <cellStyle name="20% - Accent2 5 5" xfId="32137" xr:uid="{7C8DD720-3731-487F-ADD4-70B002562933}"/>
    <cellStyle name="20% - Accent2 50" xfId="30993" xr:uid="{84C83975-3583-4633-8E42-143B6B0338BC}"/>
    <cellStyle name="20% - Accent2 50 2" xfId="32145" xr:uid="{DB148F6C-04EE-45DE-B6B4-E83B3969CA2D}"/>
    <cellStyle name="20% - Accent2 51" xfId="31593" xr:uid="{A84D3738-3A95-4919-BD59-9A5DF2A5A396}"/>
    <cellStyle name="20% - Accent2 52" xfId="61973" xr:uid="{8EE03ACD-11D6-4258-B6C8-87165F82D012}"/>
    <cellStyle name="20% - Accent2 53" xfId="61993" xr:uid="{A2F5809D-B55D-49BF-ABE9-AAE8CA10FA5D}"/>
    <cellStyle name="20% - Accent2 54" xfId="62013" xr:uid="{72FA462C-5F94-4828-B928-4A425E08F06F}"/>
    <cellStyle name="20% - Accent2 55" xfId="62030" xr:uid="{4D46BECF-74EC-4762-BA8F-45DD5599627D}"/>
    <cellStyle name="20% - Accent2 56" xfId="62053" xr:uid="{B7E8FA4A-B8F5-49A8-9B7E-862B00DE11CB}"/>
    <cellStyle name="20% - Accent2 57" xfId="62082" xr:uid="{9C141AB4-E742-4E2A-934B-2D8FCA2F3FAD}"/>
    <cellStyle name="20% - Accent2 6" xfId="3319" xr:uid="{EA85795E-0769-4965-939A-CA3680C1191A}"/>
    <cellStyle name="20% - Accent2 6 2" xfId="7051" xr:uid="{0CF93A7C-C08F-4F4E-A382-6BA3CC971042}"/>
    <cellStyle name="20% - Accent2 6 2 2" xfId="14759" xr:uid="{1DD1BE8B-0B29-451C-9699-0094D28A04A7}"/>
    <cellStyle name="20% - Accent2 6 2 2 2" xfId="30171" xr:uid="{08F2FE1D-38B2-4173-8180-B06D1A3DBBD2}"/>
    <cellStyle name="20% - Accent2 6 2 2 2 2" xfId="32149" xr:uid="{AB5FDA13-1BAE-4093-AD9D-79D96A34F845}"/>
    <cellStyle name="20% - Accent2 6 2 2 3" xfId="32148" xr:uid="{0B4E3ABF-A5D4-4B1A-B30D-099F727B1E23}"/>
    <cellStyle name="20% - Accent2 6 2 3" xfId="22466" xr:uid="{692350D2-E476-4B97-8822-9B1A596C85E8}"/>
    <cellStyle name="20% - Accent2 6 2 3 2" xfId="32150" xr:uid="{B7CCA1EE-2057-4B53-AA86-BCFD547546E9}"/>
    <cellStyle name="20% - Accent2 6 2 4" xfId="32147" xr:uid="{6F4CB188-E34E-4B69-B5BE-A6136A74679C}"/>
    <cellStyle name="20% - Accent2 6 3" xfId="11030" xr:uid="{1F7BD1EB-ED65-484C-8728-CA8FB78E9286}"/>
    <cellStyle name="20% - Accent2 6 3 2" xfId="26443" xr:uid="{4A61EEC4-42DD-4684-966F-6E816190AE7F}"/>
    <cellStyle name="20% - Accent2 6 3 2 2" xfId="32152" xr:uid="{A6113894-B025-4651-BF87-9B3E5BC8E6D0}"/>
    <cellStyle name="20% - Accent2 6 3 3" xfId="32151" xr:uid="{58A5F329-8C28-470B-A4D1-4CCE6C9539B9}"/>
    <cellStyle name="20% - Accent2 6 4" xfId="18738" xr:uid="{DD83061F-19C5-4E18-A6FB-3086ADE9FE72}"/>
    <cellStyle name="20% - Accent2 6 4 2" xfId="32153" xr:uid="{F41D3363-6249-4FF0-9495-1325855F4EA0}"/>
    <cellStyle name="20% - Accent2 6 5" xfId="32146" xr:uid="{A710D95C-3EEA-4284-A513-4090896B9996}"/>
    <cellStyle name="20% - Accent2 7" xfId="3339" xr:uid="{5E741583-5F70-4138-958D-11400C573FF8}"/>
    <cellStyle name="20% - Accent2 7 2" xfId="7071" xr:uid="{0360F27E-43F4-4655-94FC-2ED5A52FBF4C}"/>
    <cellStyle name="20% - Accent2 7 2 2" xfId="14779" xr:uid="{F525FA3B-5725-4035-8719-5B136EA867F6}"/>
    <cellStyle name="20% - Accent2 7 2 2 2" xfId="30191" xr:uid="{8F216EFE-4EF9-471C-9E51-876BB72128BB}"/>
    <cellStyle name="20% - Accent2 7 2 2 2 2" xfId="32157" xr:uid="{97FCD91C-C985-434D-9AAC-C7F81BA7970B}"/>
    <cellStyle name="20% - Accent2 7 2 2 3" xfId="32156" xr:uid="{50ABAB27-EE76-4632-A3C6-B950F2E17A3B}"/>
    <cellStyle name="20% - Accent2 7 2 3" xfId="22486" xr:uid="{40DAB8E7-B2DA-47C4-8B5C-1877779520F9}"/>
    <cellStyle name="20% - Accent2 7 2 3 2" xfId="32158" xr:uid="{2EF17C4E-AEC6-4747-AA0E-7B33B279D19F}"/>
    <cellStyle name="20% - Accent2 7 2 4" xfId="32155" xr:uid="{1C3CE91D-CD78-4828-968E-1BA97E108B6B}"/>
    <cellStyle name="20% - Accent2 7 3" xfId="11050" xr:uid="{8BC5EFFE-DF4D-47C9-942D-87770E1057DE}"/>
    <cellStyle name="20% - Accent2 7 3 2" xfId="26463" xr:uid="{3A4F2DB3-6A6C-47BD-BD37-50405AB886D5}"/>
    <cellStyle name="20% - Accent2 7 3 2 2" xfId="32160" xr:uid="{16E524D3-0582-4EDD-BC8F-A03FAA20EF99}"/>
    <cellStyle name="20% - Accent2 7 3 3" xfId="32159" xr:uid="{039E5855-9453-4D6B-A70E-CA7FB0457249}"/>
    <cellStyle name="20% - Accent2 7 4" xfId="18758" xr:uid="{BDC5813C-3BEA-483A-B6D7-F38A633836B1}"/>
    <cellStyle name="20% - Accent2 7 4 2" xfId="32161" xr:uid="{2BD784B1-0F5A-401E-BF4D-39AE815A0D03}"/>
    <cellStyle name="20% - Accent2 7 5" xfId="32154" xr:uid="{35ED86E6-EA26-41E0-B444-93A26868114B}"/>
    <cellStyle name="20% - Accent2 8" xfId="3359" xr:uid="{2ADEBC02-5633-46DD-8EB9-FA708D0016AD}"/>
    <cellStyle name="20% - Accent2 8 2" xfId="7091" xr:uid="{7EC0DD20-9D5F-410E-B1C9-45D54EAFDB93}"/>
    <cellStyle name="20% - Accent2 8 2 2" xfId="14799" xr:uid="{C7876F7D-FADE-4D30-96FA-33D570317925}"/>
    <cellStyle name="20% - Accent2 8 2 2 2" xfId="30211" xr:uid="{A694A84A-28D5-4AEF-B510-2983D7565A88}"/>
    <cellStyle name="20% - Accent2 8 2 2 2 2" xfId="32165" xr:uid="{659BBDDA-150D-4FC0-9778-E8CC56F77B5E}"/>
    <cellStyle name="20% - Accent2 8 2 2 3" xfId="32164" xr:uid="{563BA820-7BCC-4EF7-9B95-849447B8CFF1}"/>
    <cellStyle name="20% - Accent2 8 2 3" xfId="22506" xr:uid="{6C17950F-B545-4EDA-A65A-B3903901DF17}"/>
    <cellStyle name="20% - Accent2 8 2 3 2" xfId="32166" xr:uid="{DDB57127-40F2-4D38-BF8C-105AD41F793D}"/>
    <cellStyle name="20% - Accent2 8 2 4" xfId="32163" xr:uid="{D051FEB6-0FA7-4925-89E5-B0DA8B295350}"/>
    <cellStyle name="20% - Accent2 8 3" xfId="11070" xr:uid="{9439403D-F82F-4803-8C1E-4A87218FC5B1}"/>
    <cellStyle name="20% - Accent2 8 3 2" xfId="26483" xr:uid="{BD3E8342-E403-4F19-A5DD-010726A3D887}"/>
    <cellStyle name="20% - Accent2 8 3 2 2" xfId="32168" xr:uid="{446A80D3-7B04-4D22-93AB-ED2FAB8077CC}"/>
    <cellStyle name="20% - Accent2 8 3 3" xfId="32167" xr:uid="{4871B1DF-2002-4BE7-9E05-D8A75B976A61}"/>
    <cellStyle name="20% - Accent2 8 4" xfId="18778" xr:uid="{CF94BE74-85F7-421C-AE0D-4B056A857880}"/>
    <cellStyle name="20% - Accent2 8 4 2" xfId="32169" xr:uid="{36C57DCA-F86C-4D8C-9E7D-10350BB4BC09}"/>
    <cellStyle name="20% - Accent2 8 5" xfId="32162" xr:uid="{662D1ADA-51F8-429E-A264-2EF3DA8F7727}"/>
    <cellStyle name="20% - Accent2 9" xfId="3379" xr:uid="{0881B71C-A73A-4664-A5A3-551B9B610523}"/>
    <cellStyle name="20% - Accent2 9 2" xfId="7111" xr:uid="{8B8ABC26-D803-4F92-A70A-48590AE28D54}"/>
    <cellStyle name="20% - Accent2 9 2 2" xfId="14819" xr:uid="{2AFF1528-60CC-45D2-8633-D0623CA0BB9B}"/>
    <cellStyle name="20% - Accent2 9 2 2 2" xfId="30231" xr:uid="{1C85A68C-EE6B-4F08-8CF5-BA1105A8256A}"/>
    <cellStyle name="20% - Accent2 9 2 2 2 2" xfId="32173" xr:uid="{F566DDA0-AD57-426F-B6DD-4D87CB99FF11}"/>
    <cellStyle name="20% - Accent2 9 2 2 3" xfId="32172" xr:uid="{836EC395-F56C-4E65-B3C4-F79F4829B6FC}"/>
    <cellStyle name="20% - Accent2 9 2 3" xfId="22526" xr:uid="{1896ED5C-4FAF-4357-B97F-342A3522C7D7}"/>
    <cellStyle name="20% - Accent2 9 2 3 2" xfId="32174" xr:uid="{750ACA2E-D080-4565-B287-ECAE31C42C26}"/>
    <cellStyle name="20% - Accent2 9 2 4" xfId="32171" xr:uid="{721BF97E-7363-4DFB-9626-B8CE0AFBE5E2}"/>
    <cellStyle name="20% - Accent2 9 3" xfId="11090" xr:uid="{093B81C4-B01F-4658-BD9D-359423C2D7F5}"/>
    <cellStyle name="20% - Accent2 9 3 2" xfId="26503" xr:uid="{F6C79076-E606-41B1-A508-C5B0531E681C}"/>
    <cellStyle name="20% - Accent2 9 3 2 2" xfId="32176" xr:uid="{D967607B-51D6-4356-B413-ADDEA2F519FA}"/>
    <cellStyle name="20% - Accent2 9 3 3" xfId="32175" xr:uid="{E06D496E-4E9A-48EA-84A2-49EBA9817569}"/>
    <cellStyle name="20% - Accent2 9 4" xfId="18798" xr:uid="{09544826-95C5-4A06-96A6-8777589A23F9}"/>
    <cellStyle name="20% - Accent2 9 4 2" xfId="32177" xr:uid="{21557E36-60BC-42A9-86B6-EF6B67B70E85}"/>
    <cellStyle name="20% - Accent2 9 5" xfId="32170" xr:uid="{04BCD037-2436-4B63-A0A7-9D1B4A1FE22C}"/>
    <cellStyle name="20% - Accent3 10" xfId="3402" xr:uid="{B96F44DF-DD34-49FC-B1C5-DAD56DC85D2F}"/>
    <cellStyle name="20% - Accent3 10 2" xfId="7134" xr:uid="{87427A8F-D24D-4B7F-98BD-79F0889DC080}"/>
    <cellStyle name="20% - Accent3 10 2 2" xfId="14842" xr:uid="{C991879C-FB96-43F2-933D-C2215BA24957}"/>
    <cellStyle name="20% - Accent3 10 2 2 2" xfId="30254" xr:uid="{13CDF012-1532-49E9-B210-5BB6C88D9F07}"/>
    <cellStyle name="20% - Accent3 10 2 2 2 2" xfId="32182" xr:uid="{027B3D60-D764-44E2-BA78-F2BEB225AB77}"/>
    <cellStyle name="20% - Accent3 10 2 2 3" xfId="32181" xr:uid="{D7E05304-B7A8-42DB-ABF7-379511F14E32}"/>
    <cellStyle name="20% - Accent3 10 2 3" xfId="22549" xr:uid="{30619529-7315-46EF-828D-EE339E471A1F}"/>
    <cellStyle name="20% - Accent3 10 2 3 2" xfId="32183" xr:uid="{DD522ED3-C492-400F-8CE3-31937994E1EA}"/>
    <cellStyle name="20% - Accent3 10 2 4" xfId="32180" xr:uid="{1BFF887D-2D70-4279-9F82-80ABC702C11E}"/>
    <cellStyle name="20% - Accent3 10 3" xfId="11113" xr:uid="{F6156E8F-3FF0-463C-B26A-268D15CE4F05}"/>
    <cellStyle name="20% - Accent3 10 3 2" xfId="26526" xr:uid="{6E13BBF9-00C2-4314-A232-A4D4854EAB94}"/>
    <cellStyle name="20% - Accent3 10 3 2 2" xfId="32185" xr:uid="{5013668B-7B88-4DEE-9AB8-D3204623B03A}"/>
    <cellStyle name="20% - Accent3 10 3 3" xfId="32184" xr:uid="{CB576FFB-D37B-4F20-812B-C31388CED4FD}"/>
    <cellStyle name="20% - Accent3 10 4" xfId="18821" xr:uid="{E4D4ABDB-0280-4A92-BDE9-5D909DFBAD32}"/>
    <cellStyle name="20% - Accent3 10 4 2" xfId="32186" xr:uid="{EEC83245-82F2-4271-B3E2-1ABAE6AF50EC}"/>
    <cellStyle name="20% - Accent3 10 5" xfId="32179" xr:uid="{A71B714A-7C0D-4C43-B9E9-0E72AAB585B1}"/>
    <cellStyle name="20% - Accent3 11" xfId="3422" xr:uid="{67CDA7B1-7003-47D9-8623-31B8515F87C1}"/>
    <cellStyle name="20% - Accent3 11 2" xfId="7154" xr:uid="{7C7A2838-237C-4A29-A99C-F85C388777B7}"/>
    <cellStyle name="20% - Accent3 11 2 2" xfId="14862" xr:uid="{D2B72D2D-6DA0-4136-BDD9-3DAAE704458E}"/>
    <cellStyle name="20% - Accent3 11 2 2 2" xfId="30274" xr:uid="{E076068C-A3AB-4EED-AFBE-7C89E6AE6800}"/>
    <cellStyle name="20% - Accent3 11 2 2 2 2" xfId="32190" xr:uid="{CDDD910F-2203-4185-8BD9-4F0434165504}"/>
    <cellStyle name="20% - Accent3 11 2 2 3" xfId="32189" xr:uid="{5947B25B-390C-4FCE-9FD5-1EFE361ECA6D}"/>
    <cellStyle name="20% - Accent3 11 2 3" xfId="22569" xr:uid="{7ABEF31E-A8FD-4D9A-BFCF-974FEDAD339F}"/>
    <cellStyle name="20% - Accent3 11 2 3 2" xfId="32191" xr:uid="{46828510-8EF4-42F1-8AE7-FEC5CB71687E}"/>
    <cellStyle name="20% - Accent3 11 2 4" xfId="32188" xr:uid="{2B189A9B-335E-4444-BF96-398ECAE4CB80}"/>
    <cellStyle name="20% - Accent3 11 3" xfId="11133" xr:uid="{0C7B7704-E2BC-45B3-8385-89CBD4F591D2}"/>
    <cellStyle name="20% - Accent3 11 3 2" xfId="26546" xr:uid="{91E3ED0E-05FB-4A9A-870B-F5C594B85EDA}"/>
    <cellStyle name="20% - Accent3 11 3 2 2" xfId="32193" xr:uid="{3D5EF727-2852-4E73-A0B4-3AC49D8F8DE1}"/>
    <cellStyle name="20% - Accent3 11 3 3" xfId="32192" xr:uid="{A4D0209A-B7CF-4C3B-9A6A-5C68FC498E31}"/>
    <cellStyle name="20% - Accent3 11 4" xfId="18841" xr:uid="{167A6559-D7D2-4C33-A474-F867796FF732}"/>
    <cellStyle name="20% - Accent3 11 4 2" xfId="32194" xr:uid="{64C45F25-FC4C-4853-AF52-284715F4BAE9}"/>
    <cellStyle name="20% - Accent3 11 5" xfId="32187" xr:uid="{CDCD6F63-3A46-413C-9654-4D02015FC22C}"/>
    <cellStyle name="20% - Accent3 12" xfId="3442" xr:uid="{FABF5026-30E6-4575-AF5F-1D5CDFA0D689}"/>
    <cellStyle name="20% - Accent3 12 2" xfId="7174" xr:uid="{7A335162-13B1-456A-AD9D-F836FA3F44EA}"/>
    <cellStyle name="20% - Accent3 12 2 2" xfId="14882" xr:uid="{3F141DBC-6EFC-4AB1-91DF-DDB7AB229C9C}"/>
    <cellStyle name="20% - Accent3 12 2 2 2" xfId="30294" xr:uid="{C73AB3BB-6F46-4083-B087-7F702102EB6D}"/>
    <cellStyle name="20% - Accent3 12 2 2 2 2" xfId="32198" xr:uid="{A00000EA-C328-4CE9-B94D-2BD85F5BF628}"/>
    <cellStyle name="20% - Accent3 12 2 2 3" xfId="32197" xr:uid="{D9D145F6-28E3-47F4-80AA-ECDF2B98DAE2}"/>
    <cellStyle name="20% - Accent3 12 2 3" xfId="22589" xr:uid="{F956120F-F7A9-4711-A577-F9FD3DF8C8C5}"/>
    <cellStyle name="20% - Accent3 12 2 3 2" xfId="32199" xr:uid="{365C1F16-9401-4854-BA77-745DB6330838}"/>
    <cellStyle name="20% - Accent3 12 2 4" xfId="32196" xr:uid="{40936334-F736-4C87-B5C8-9328B4FF7B80}"/>
    <cellStyle name="20% - Accent3 12 3" xfId="11153" xr:uid="{8A801116-B035-460E-832E-028A5B45BD88}"/>
    <cellStyle name="20% - Accent3 12 3 2" xfId="26566" xr:uid="{8C6708EA-ACF3-4F46-B46D-A5FFBDBE0E7F}"/>
    <cellStyle name="20% - Accent3 12 3 2 2" xfId="32201" xr:uid="{0C2D0213-13ED-4D09-A62E-7B9B19990B55}"/>
    <cellStyle name="20% - Accent3 12 3 3" xfId="32200" xr:uid="{EC91C908-3A0D-4ACF-9AE3-DD193C0F7438}"/>
    <cellStyle name="20% - Accent3 12 4" xfId="18861" xr:uid="{466A33AC-89CA-4954-9099-9D52FA433DBD}"/>
    <cellStyle name="20% - Accent3 12 4 2" xfId="32202" xr:uid="{7276E556-2C2A-4C20-BA24-67765BCD6441}"/>
    <cellStyle name="20% - Accent3 12 5" xfId="32195" xr:uid="{7D5A3882-F446-491C-B2D3-430B1C75B954}"/>
    <cellStyle name="20% - Accent3 13" xfId="3462" xr:uid="{37C928CD-CF65-47F9-BACF-07F695A853A2}"/>
    <cellStyle name="20% - Accent3 13 2" xfId="7194" xr:uid="{7460DA95-F15A-434E-8131-6CB323433939}"/>
    <cellStyle name="20% - Accent3 13 2 2" xfId="14902" xr:uid="{297B0342-690D-4C93-A506-3B5BF3868710}"/>
    <cellStyle name="20% - Accent3 13 2 2 2" xfId="30314" xr:uid="{14ED4FEB-7F08-4863-8018-703FCBC3064D}"/>
    <cellStyle name="20% - Accent3 13 2 2 2 2" xfId="32206" xr:uid="{849B1B8B-5805-417B-9E57-55391BD64AA4}"/>
    <cellStyle name="20% - Accent3 13 2 2 3" xfId="32205" xr:uid="{962954EB-0C09-4101-AB2F-E87ECF994D98}"/>
    <cellStyle name="20% - Accent3 13 2 3" xfId="22609" xr:uid="{2981B8F4-0BC1-4AB0-B57B-1A12A5BE068D}"/>
    <cellStyle name="20% - Accent3 13 2 3 2" xfId="32207" xr:uid="{540D1B11-7977-412A-A5BA-E13C1B24FEA0}"/>
    <cellStyle name="20% - Accent3 13 2 4" xfId="32204" xr:uid="{D36E5006-4A81-44EE-AEE4-9C27955B0B5B}"/>
    <cellStyle name="20% - Accent3 13 3" xfId="11173" xr:uid="{961971C9-03DE-4295-9342-97C4485B01EB}"/>
    <cellStyle name="20% - Accent3 13 3 2" xfId="26586" xr:uid="{69D32722-B714-4F93-BC3D-E743B5204353}"/>
    <cellStyle name="20% - Accent3 13 3 2 2" xfId="32209" xr:uid="{8C8A9686-EADB-4CAA-8E66-66FFC5C4CBF4}"/>
    <cellStyle name="20% - Accent3 13 3 3" xfId="32208" xr:uid="{EF0AD08C-036C-48B9-9FB4-547406B0FE2A}"/>
    <cellStyle name="20% - Accent3 13 4" xfId="18881" xr:uid="{84BDF9DD-1A0A-40E3-A644-C21E7DC40625}"/>
    <cellStyle name="20% - Accent3 13 4 2" xfId="32210" xr:uid="{80272532-0204-4986-8B55-AFFF43F31015}"/>
    <cellStyle name="20% - Accent3 13 5" xfId="32203" xr:uid="{B84EFE5B-7C60-48B7-8844-5124B801E764}"/>
    <cellStyle name="20% - Accent3 14" xfId="3482" xr:uid="{8D507D00-407F-4895-B695-831A1C1949AB}"/>
    <cellStyle name="20% - Accent3 14 2" xfId="7214" xr:uid="{CB4B2EE5-8131-4939-B5EA-772A13ADEEB4}"/>
    <cellStyle name="20% - Accent3 14 2 2" xfId="14922" xr:uid="{7689FBDB-6956-46BB-A6C7-33A893DD69EC}"/>
    <cellStyle name="20% - Accent3 14 2 2 2" xfId="30334" xr:uid="{6527423A-F4F6-43E2-A6BC-6ADC152F2973}"/>
    <cellStyle name="20% - Accent3 14 2 2 2 2" xfId="32214" xr:uid="{6F20F008-4198-487C-9433-E861AA151F5A}"/>
    <cellStyle name="20% - Accent3 14 2 2 3" xfId="32213" xr:uid="{1E91CBC0-5664-4CFA-9958-66D63D59C6D0}"/>
    <cellStyle name="20% - Accent3 14 2 3" xfId="22629" xr:uid="{543E2E39-0F76-4B11-82D2-372FFEA96B2A}"/>
    <cellStyle name="20% - Accent3 14 2 3 2" xfId="32215" xr:uid="{91F5D5EA-B8B3-492C-B8FA-49C59EBC07F6}"/>
    <cellStyle name="20% - Accent3 14 2 4" xfId="32212" xr:uid="{8A74BF5F-C840-4CD4-A10E-9B779ABCAF1D}"/>
    <cellStyle name="20% - Accent3 14 3" xfId="11193" xr:uid="{7012DBFE-6E43-4D15-9F39-04417A86DA5A}"/>
    <cellStyle name="20% - Accent3 14 3 2" xfId="26606" xr:uid="{77644A27-CEEE-4DFD-9189-249F4F86DD1E}"/>
    <cellStyle name="20% - Accent3 14 3 2 2" xfId="32217" xr:uid="{26393FB2-7E02-4F15-998A-1082376B941D}"/>
    <cellStyle name="20% - Accent3 14 3 3" xfId="32216" xr:uid="{8721ED6B-2B4E-41D6-B04D-FABCF92FE10B}"/>
    <cellStyle name="20% - Accent3 14 4" xfId="18901" xr:uid="{F368D258-418E-4D8B-AF27-F2F27138E760}"/>
    <cellStyle name="20% - Accent3 14 4 2" xfId="32218" xr:uid="{F489DE0A-1B22-47CA-A2B2-BB92D616CB65}"/>
    <cellStyle name="20% - Accent3 14 5" xfId="32211" xr:uid="{D98C15FC-3B3B-4D00-8CC6-90AA9185F92E}"/>
    <cellStyle name="20% - Accent3 15" xfId="3502" xr:uid="{85822976-6106-4C8F-A49A-D2FEEC4AFB5F}"/>
    <cellStyle name="20% - Accent3 15 2" xfId="7234" xr:uid="{C53FDD2D-A7DA-47B0-8CCB-40EEB3F8BE8C}"/>
    <cellStyle name="20% - Accent3 15 2 2" xfId="14942" xr:uid="{F44FEA65-5738-4107-B944-F153B5BE7E21}"/>
    <cellStyle name="20% - Accent3 15 2 2 2" xfId="30354" xr:uid="{B227CCF3-9BC9-4E5F-9C86-E9A078F578EC}"/>
    <cellStyle name="20% - Accent3 15 2 2 2 2" xfId="32222" xr:uid="{6D5413B8-B153-4F93-B6B0-922A04D03BB6}"/>
    <cellStyle name="20% - Accent3 15 2 2 3" xfId="32221" xr:uid="{729EAE0C-5886-46A4-A4CC-FD15471F85C0}"/>
    <cellStyle name="20% - Accent3 15 2 3" xfId="22649" xr:uid="{D08A3A90-18AE-4244-A9F1-EE51F0351069}"/>
    <cellStyle name="20% - Accent3 15 2 3 2" xfId="32223" xr:uid="{5BF67C8E-46ED-4759-807B-091DB809E154}"/>
    <cellStyle name="20% - Accent3 15 2 4" xfId="32220" xr:uid="{F566812D-1E6F-4C4E-A078-5D67FC4202A7}"/>
    <cellStyle name="20% - Accent3 15 3" xfId="11213" xr:uid="{9E9929C7-333C-4C19-B0F0-83F13116F31F}"/>
    <cellStyle name="20% - Accent3 15 3 2" xfId="26626" xr:uid="{0EC5FED4-5836-4E35-A860-59636D72F5C2}"/>
    <cellStyle name="20% - Accent3 15 3 2 2" xfId="32225" xr:uid="{4709B1BD-831D-4565-82CD-6910ED2A2971}"/>
    <cellStyle name="20% - Accent3 15 3 3" xfId="32224" xr:uid="{16004912-3316-4C0E-856A-6C13E3DC2E57}"/>
    <cellStyle name="20% - Accent3 15 4" xfId="18921" xr:uid="{45BE8254-8DA5-47EC-B89A-A9D10B1AFF44}"/>
    <cellStyle name="20% - Accent3 15 4 2" xfId="32226" xr:uid="{804FA820-0FA3-4554-939E-18FF47155E7A}"/>
    <cellStyle name="20% - Accent3 15 5" xfId="32219" xr:uid="{4F46AB46-2B46-4299-8E99-688C43C1A69B}"/>
    <cellStyle name="20% - Accent3 16" xfId="3522" xr:uid="{8A0F6D7E-3FCB-4FBD-B218-C3CB874F6E60}"/>
    <cellStyle name="20% - Accent3 16 2" xfId="7254" xr:uid="{EED2EA19-DCAF-4DAA-B8DF-1266896AAB8F}"/>
    <cellStyle name="20% - Accent3 16 2 2" xfId="14962" xr:uid="{5F837278-2ADB-4013-A47D-5314EE92713C}"/>
    <cellStyle name="20% - Accent3 16 2 2 2" xfId="30374" xr:uid="{57AEF49B-F46E-4F29-A35F-20B3B3F2423E}"/>
    <cellStyle name="20% - Accent3 16 2 2 2 2" xfId="32230" xr:uid="{1D1E87DD-5A76-4B07-8AE9-9CD8A838937F}"/>
    <cellStyle name="20% - Accent3 16 2 2 3" xfId="32229" xr:uid="{7AE5004C-D3E9-4334-A362-C7C1FB60E3CC}"/>
    <cellStyle name="20% - Accent3 16 2 3" xfId="22669" xr:uid="{224E650C-51C7-49E6-9DB0-60AE2884BC3D}"/>
    <cellStyle name="20% - Accent3 16 2 3 2" xfId="32231" xr:uid="{9D2AA929-9A6C-44A8-8043-50152D6D45E3}"/>
    <cellStyle name="20% - Accent3 16 2 4" xfId="32228" xr:uid="{3B8F687F-D087-49A1-A920-AAE8FE70A14B}"/>
    <cellStyle name="20% - Accent3 16 3" xfId="11233" xr:uid="{3541FF01-F7F1-4EE7-84D2-38F0F5C6E9EA}"/>
    <cellStyle name="20% - Accent3 16 3 2" xfId="26646" xr:uid="{E3777672-2C25-4F02-B37F-CF5EBC7F74A4}"/>
    <cellStyle name="20% - Accent3 16 3 2 2" xfId="32233" xr:uid="{2FA7E54E-8C42-4A80-8078-63B35505C178}"/>
    <cellStyle name="20% - Accent3 16 3 3" xfId="32232" xr:uid="{3997D318-D3E0-4490-996A-5A9F7F5E3EBB}"/>
    <cellStyle name="20% - Accent3 16 4" xfId="18941" xr:uid="{6BB45973-6930-4178-BA5C-4F220A1C776B}"/>
    <cellStyle name="20% - Accent3 16 4 2" xfId="32234" xr:uid="{C0716A41-9AE0-455E-8A2A-D35C14F7FCB2}"/>
    <cellStyle name="20% - Accent3 16 5" xfId="32227" xr:uid="{E9CDF398-BAC4-4512-8182-A9A998A0EF1D}"/>
    <cellStyle name="20% - Accent3 17" xfId="3542" xr:uid="{E40523ED-96F2-49C2-AE04-4F3BE272F9D6}"/>
    <cellStyle name="20% - Accent3 17 2" xfId="7274" xr:uid="{12D4903C-13AC-4598-9540-D2E649945DFB}"/>
    <cellStyle name="20% - Accent3 17 2 2" xfId="14982" xr:uid="{7E35F8A2-2E15-40E7-BA2D-1005FADA8291}"/>
    <cellStyle name="20% - Accent3 17 2 2 2" xfId="30394" xr:uid="{21CA0729-8395-4F75-AA35-B61277251586}"/>
    <cellStyle name="20% - Accent3 17 2 2 2 2" xfId="32238" xr:uid="{343067C8-B5B8-4B83-B124-A13310047FD4}"/>
    <cellStyle name="20% - Accent3 17 2 2 3" xfId="32237" xr:uid="{6436A6F1-B89C-4BBD-9287-D15D34BF65AA}"/>
    <cellStyle name="20% - Accent3 17 2 3" xfId="22689" xr:uid="{F1D906EC-2780-4643-94AA-5A1130A7DA79}"/>
    <cellStyle name="20% - Accent3 17 2 3 2" xfId="32239" xr:uid="{D1B9E431-0818-4244-94EC-3289CEFB0A89}"/>
    <cellStyle name="20% - Accent3 17 2 4" xfId="32236" xr:uid="{B855DA98-70D6-4520-896F-139430AD05E2}"/>
    <cellStyle name="20% - Accent3 17 3" xfId="11253" xr:uid="{80646095-D39E-4B2B-9EEB-F877974C6D80}"/>
    <cellStyle name="20% - Accent3 17 3 2" xfId="26666" xr:uid="{509B3BC7-33D4-4FF9-B369-64586D311A7C}"/>
    <cellStyle name="20% - Accent3 17 3 2 2" xfId="32241" xr:uid="{AC04409B-F714-47D3-958D-070FE71A11E2}"/>
    <cellStyle name="20% - Accent3 17 3 3" xfId="32240" xr:uid="{603E6B7B-CC90-4DAB-BD59-45A80E005050}"/>
    <cellStyle name="20% - Accent3 17 4" xfId="18961" xr:uid="{D1493E58-81CC-4DCD-AF31-074641DEFB64}"/>
    <cellStyle name="20% - Accent3 17 4 2" xfId="32242" xr:uid="{ABAD4768-D3C8-46E2-B19D-2BA7905B1F89}"/>
    <cellStyle name="20% - Accent3 17 5" xfId="32235" xr:uid="{B726342D-98A9-4165-B4C5-48AF2A525370}"/>
    <cellStyle name="20% - Accent3 18" xfId="3562" xr:uid="{7199B481-B231-4E55-8581-7CAAEDC2F264}"/>
    <cellStyle name="20% - Accent3 18 2" xfId="7294" xr:uid="{3DA8A1B4-295E-4941-99C8-5018B194D460}"/>
    <cellStyle name="20% - Accent3 18 2 2" xfId="15002" xr:uid="{DC394C54-6D23-4213-ADDA-3C6BDD992F50}"/>
    <cellStyle name="20% - Accent3 18 2 2 2" xfId="30414" xr:uid="{B50F833C-37A9-4955-976C-F415A9AF8480}"/>
    <cellStyle name="20% - Accent3 18 2 2 2 2" xfId="32246" xr:uid="{D85E3566-DB87-43C4-8A0D-940322E970D0}"/>
    <cellStyle name="20% - Accent3 18 2 2 3" xfId="32245" xr:uid="{B939CB3F-7AD1-4ADC-A421-D2A32C5FFB2B}"/>
    <cellStyle name="20% - Accent3 18 2 3" xfId="22709" xr:uid="{198CD8B1-430A-44DA-9B39-01EB01DDA104}"/>
    <cellStyle name="20% - Accent3 18 2 3 2" xfId="32247" xr:uid="{6B1BF4F8-8CB6-4195-A912-6D1DAA3A2A28}"/>
    <cellStyle name="20% - Accent3 18 2 4" xfId="32244" xr:uid="{0D683BC5-4DA1-456B-90BA-EFA5DCBB15C4}"/>
    <cellStyle name="20% - Accent3 18 3" xfId="11273" xr:uid="{416B7040-2623-4DAB-BF76-1319B381E217}"/>
    <cellStyle name="20% - Accent3 18 3 2" xfId="26686" xr:uid="{106A5BBC-3ED9-4352-9F95-8E8E2A20506F}"/>
    <cellStyle name="20% - Accent3 18 3 2 2" xfId="32249" xr:uid="{06A51F6E-5EE2-45D1-A5BA-4207EDBCFE6D}"/>
    <cellStyle name="20% - Accent3 18 3 3" xfId="32248" xr:uid="{3DBD9A67-612D-4B9B-B81E-1931C7A1BEED}"/>
    <cellStyle name="20% - Accent3 18 4" xfId="18981" xr:uid="{71BDA6F7-1D3E-49D5-94D7-681D72741ADC}"/>
    <cellStyle name="20% - Accent3 18 4 2" xfId="32250" xr:uid="{4ABA144E-0E3B-4544-BA86-C9AD97CD34FE}"/>
    <cellStyle name="20% - Accent3 18 5" xfId="32243" xr:uid="{3EBD5DAC-858F-4B88-B570-2F3EC76D8627}"/>
    <cellStyle name="20% - Accent3 19" xfId="3583" xr:uid="{56BD9FBC-742C-4263-A4EC-D6B94F084EC9}"/>
    <cellStyle name="20% - Accent3 19 2" xfId="7314" xr:uid="{1A0655B8-D471-49DA-8942-5B28B3433DBC}"/>
    <cellStyle name="20% - Accent3 19 2 2" xfId="15022" xr:uid="{7A316C41-6E3B-46CD-BC3C-3FE6356A4101}"/>
    <cellStyle name="20% - Accent3 19 2 2 2" xfId="30434" xr:uid="{D94AC1B3-C0C9-435A-A50A-B985076A9E81}"/>
    <cellStyle name="20% - Accent3 19 2 2 2 2" xfId="32254" xr:uid="{AE7400A9-CA6F-4128-BC37-B07C147B5D2F}"/>
    <cellStyle name="20% - Accent3 19 2 2 3" xfId="32253" xr:uid="{FB5E23EC-2EE5-408F-89A5-4BD6733F9729}"/>
    <cellStyle name="20% - Accent3 19 2 3" xfId="22729" xr:uid="{9C343C2A-3932-4388-93F1-64502F131EBD}"/>
    <cellStyle name="20% - Accent3 19 2 3 2" xfId="32255" xr:uid="{A083840D-693D-401F-8601-94B94E76C6D4}"/>
    <cellStyle name="20% - Accent3 19 2 4" xfId="32252" xr:uid="{28F717F9-54DA-4C0F-9F10-3DCE04481454}"/>
    <cellStyle name="20% - Accent3 19 3" xfId="11293" xr:uid="{A2844399-5BF7-451F-BF39-C0800AE5671F}"/>
    <cellStyle name="20% - Accent3 19 3 2" xfId="26706" xr:uid="{50ABC676-4F15-41E2-B304-FD3435DB5E03}"/>
    <cellStyle name="20% - Accent3 19 3 2 2" xfId="32257" xr:uid="{00622FD7-AEFA-42AB-8DA6-67451F9C1185}"/>
    <cellStyle name="20% - Accent3 19 3 3" xfId="32256" xr:uid="{20084011-6AAB-42DA-BFBC-DF6159329E08}"/>
    <cellStyle name="20% - Accent3 19 4" xfId="19001" xr:uid="{D5352B2A-6FD8-44B3-9624-DE3DBFE20EBB}"/>
    <cellStyle name="20% - Accent3 19 4 2" xfId="32258" xr:uid="{B5197E4A-42FF-49C1-9530-0941471A37E0}"/>
    <cellStyle name="20% - Accent3 19 5" xfId="32251" xr:uid="{D32D30C5-100F-454D-BE4F-30D6EE5091C0}"/>
    <cellStyle name="20% - Accent3 2" xfId="77" xr:uid="{B00AABE9-1488-493B-B93F-02D71DEE7385}"/>
    <cellStyle name="20% - Accent3 2 10" xfId="32259" xr:uid="{FA646D23-9F5F-4A46-A62F-6948EBE13BD8}"/>
    <cellStyle name="20% - Accent3 2 2" xfId="141" xr:uid="{F840EEAA-CF98-47DF-91BA-030F2C3DF8A1}"/>
    <cellStyle name="20% - Accent3 2 2 2" xfId="204" xr:uid="{F869B12D-3129-4B3C-824A-2EF86C961CBE}"/>
    <cellStyle name="20% - Accent3 2 2 2 2" xfId="409" xr:uid="{FD870610-EB3D-4428-AC29-B998AA3B99E2}"/>
    <cellStyle name="20% - Accent3 2 2 2 2 2" xfId="1071" xr:uid="{FACB7AF4-938A-4A35-9D93-D3A913714ACD}"/>
    <cellStyle name="20% - Accent3 2 2 2 2 2 2" xfId="2539" xr:uid="{507FF739-9EBC-4752-9A4B-229F6E5D11EF}"/>
    <cellStyle name="20% - Accent3 2 2 2 2 2 2 2" xfId="6271" xr:uid="{028AB081-DE77-414B-98BF-E5841828457A}"/>
    <cellStyle name="20% - Accent3 2 2 2 2 2 2 2 2" xfId="13979" xr:uid="{9B3DECFC-07CC-4662-A39B-577AD3ECF3B4}"/>
    <cellStyle name="20% - Accent3 2 2 2 2 2 2 2 2 2" xfId="29391" xr:uid="{81F298D5-13ED-4760-BCAB-D0328F150FDE}"/>
    <cellStyle name="20% - Accent3 2 2 2 2 2 2 2 2 2 2" xfId="32267" xr:uid="{5C29B3EB-C2C7-4210-AD34-FB848DD47B16}"/>
    <cellStyle name="20% - Accent3 2 2 2 2 2 2 2 2 3" xfId="32266" xr:uid="{EAD5DCCA-039A-4333-A681-687A73B3FA94}"/>
    <cellStyle name="20% - Accent3 2 2 2 2 2 2 2 3" xfId="21686" xr:uid="{B42687D5-3FD6-401D-AC00-713A4F612A5F}"/>
    <cellStyle name="20% - Accent3 2 2 2 2 2 2 2 3 2" xfId="32268" xr:uid="{8697E03F-C57A-4B2D-9177-CADECDE1BE64}"/>
    <cellStyle name="20% - Accent3 2 2 2 2 2 2 2 4" xfId="32265" xr:uid="{12E166EB-4477-49E7-9114-43933AC8C4CB}"/>
    <cellStyle name="20% - Accent3 2 2 2 2 2 2 3" xfId="10250" xr:uid="{375C544A-ED2E-4C5C-81E6-40A2965A87F3}"/>
    <cellStyle name="20% - Accent3 2 2 2 2 2 2 3 2" xfId="25663" xr:uid="{E9F2E5B2-80C1-49E1-B86A-84ACBDE99AB7}"/>
    <cellStyle name="20% - Accent3 2 2 2 2 2 2 3 2 2" xfId="32270" xr:uid="{51CB9BE9-535A-4A21-A49C-3742BCA82BCE}"/>
    <cellStyle name="20% - Accent3 2 2 2 2 2 2 3 3" xfId="32269" xr:uid="{AE9A5001-591A-4F82-B3EA-C0B53DE1026F}"/>
    <cellStyle name="20% - Accent3 2 2 2 2 2 2 4" xfId="17958" xr:uid="{949AE722-6E72-4F67-AE25-044DF3F458F5}"/>
    <cellStyle name="20% - Accent3 2 2 2 2 2 2 4 2" xfId="32271" xr:uid="{1FFDAA7F-2DB1-43EC-AD43-124E294B3CB6}"/>
    <cellStyle name="20% - Accent3 2 2 2 2 2 2 5" xfId="32264" xr:uid="{E50B73C5-FBFE-4B9B-A53D-0F745292EE89}"/>
    <cellStyle name="20% - Accent3 2 2 2 2 2 3" xfId="4808" xr:uid="{5B3C1263-46C7-4785-825B-CA3932B711C5}"/>
    <cellStyle name="20% - Accent3 2 2 2 2 2 3 2" xfId="12516" xr:uid="{3FF7C388-ADC3-4549-9E6D-63E07BF3110A}"/>
    <cellStyle name="20% - Accent3 2 2 2 2 2 3 2 2" xfId="27928" xr:uid="{D51E04ED-1A5F-4248-BCCE-2E473BA89331}"/>
    <cellStyle name="20% - Accent3 2 2 2 2 2 3 2 2 2" xfId="32274" xr:uid="{9B8586AF-BE1C-43BA-BC00-B9ACC602D34D}"/>
    <cellStyle name="20% - Accent3 2 2 2 2 2 3 2 3" xfId="32273" xr:uid="{C74C57C8-421A-4B5A-BEE5-2D374C1C2997}"/>
    <cellStyle name="20% - Accent3 2 2 2 2 2 3 3" xfId="20223" xr:uid="{FEAC45F4-D821-49F4-9420-A6C23B8768DA}"/>
    <cellStyle name="20% - Accent3 2 2 2 2 2 3 3 2" xfId="32275" xr:uid="{D60D35DE-BECB-4C2E-B60E-1AF7CB752C41}"/>
    <cellStyle name="20% - Accent3 2 2 2 2 2 3 4" xfId="32272" xr:uid="{B0533E8D-C2C5-486C-BA19-208F329B0AD9}"/>
    <cellStyle name="20% - Accent3 2 2 2 2 2 4" xfId="8791" xr:uid="{DE1805A5-D24F-4103-95F1-635EE68EEE25}"/>
    <cellStyle name="20% - Accent3 2 2 2 2 2 4 2" xfId="24204" xr:uid="{1DEA0319-B56B-4C7D-96F3-0157F133E00B}"/>
    <cellStyle name="20% - Accent3 2 2 2 2 2 4 2 2" xfId="32277" xr:uid="{0226232A-B969-4389-802B-A6ACF8BB1B0E}"/>
    <cellStyle name="20% - Accent3 2 2 2 2 2 4 3" xfId="32276" xr:uid="{DAB91BA2-7F58-4CE3-858C-E6821A530F62}"/>
    <cellStyle name="20% - Accent3 2 2 2 2 2 5" xfId="16499" xr:uid="{FBD1EB73-7602-441C-901D-C59E2024FA75}"/>
    <cellStyle name="20% - Accent3 2 2 2 2 2 5 2" xfId="32278" xr:uid="{66D9D533-AA2C-4E57-825D-949A2F39DFBA}"/>
    <cellStyle name="20% - Accent3 2 2 2 2 2 6" xfId="32263" xr:uid="{0365A22A-1865-438F-A9D8-5EC8B44AEA3E}"/>
    <cellStyle name="20% - Accent3 2 2 2 2 3" xfId="1901" xr:uid="{6A261C2A-A1BE-46B5-9583-B58C0B3DA5DE}"/>
    <cellStyle name="20% - Accent3 2 2 2 2 3 2" xfId="5633" xr:uid="{0FAD81D0-A098-4A01-B4DC-F971312F4DE5}"/>
    <cellStyle name="20% - Accent3 2 2 2 2 3 2 2" xfId="13341" xr:uid="{4FFF9EE6-38FD-4673-AEA5-74F92FBB7EDB}"/>
    <cellStyle name="20% - Accent3 2 2 2 2 3 2 2 2" xfId="28753" xr:uid="{14C8687E-3A62-4421-B3CB-D491057F1019}"/>
    <cellStyle name="20% - Accent3 2 2 2 2 3 2 2 2 2" xfId="32282" xr:uid="{2550B6F5-639D-40F4-9C2A-9DFD8756A86A}"/>
    <cellStyle name="20% - Accent3 2 2 2 2 3 2 2 3" xfId="32281" xr:uid="{27FD96F1-2425-422F-A9E4-584365E0C0DE}"/>
    <cellStyle name="20% - Accent3 2 2 2 2 3 2 3" xfId="21048" xr:uid="{5B21C920-27CA-451B-90E5-D52F6C29D3EB}"/>
    <cellStyle name="20% - Accent3 2 2 2 2 3 2 3 2" xfId="32283" xr:uid="{48F78806-26A9-4E59-B73B-FAF41827E903}"/>
    <cellStyle name="20% - Accent3 2 2 2 2 3 2 4" xfId="32280" xr:uid="{760E1917-5D58-4622-832E-E7307DD3CB55}"/>
    <cellStyle name="20% - Accent3 2 2 2 2 3 3" xfId="9612" xr:uid="{9274E7FE-0D43-418D-8BF4-6B75D24E783E}"/>
    <cellStyle name="20% - Accent3 2 2 2 2 3 3 2" xfId="25025" xr:uid="{9DC25903-BB38-4038-AC92-8F81480EBD1D}"/>
    <cellStyle name="20% - Accent3 2 2 2 2 3 3 2 2" xfId="32285" xr:uid="{E9610EA9-D53F-4372-A569-173F9B72F0C6}"/>
    <cellStyle name="20% - Accent3 2 2 2 2 3 3 3" xfId="32284" xr:uid="{E050F46F-A470-4F3D-87E5-A743BB910E83}"/>
    <cellStyle name="20% - Accent3 2 2 2 2 3 4" xfId="17320" xr:uid="{D67313AD-F4F9-4243-BE20-A196306368B9}"/>
    <cellStyle name="20% - Accent3 2 2 2 2 3 4 2" xfId="32286" xr:uid="{5C1A637A-9FFB-4713-988E-894859CFA92B}"/>
    <cellStyle name="20% - Accent3 2 2 2 2 3 5" xfId="32279" xr:uid="{B689C326-E41C-4461-85B5-2811AAF6661A}"/>
    <cellStyle name="20% - Accent3 2 2 2 2 4" xfId="4156" xr:uid="{D661FBD4-A579-464E-8CD9-CFBDEE1CEC31}"/>
    <cellStyle name="20% - Accent3 2 2 2 2 4 2" xfId="11864" xr:uid="{97B680D0-D75D-4415-83E3-B0746EF1F843}"/>
    <cellStyle name="20% - Accent3 2 2 2 2 4 2 2" xfId="27276" xr:uid="{3C617686-581A-46F3-9E76-4F970E5F30AB}"/>
    <cellStyle name="20% - Accent3 2 2 2 2 4 2 2 2" xfId="32289" xr:uid="{A02EF497-2118-43FC-8F2C-10049B6F1A02}"/>
    <cellStyle name="20% - Accent3 2 2 2 2 4 2 3" xfId="32288" xr:uid="{E2185906-A24C-4F25-8337-0F1131F8298C}"/>
    <cellStyle name="20% - Accent3 2 2 2 2 4 3" xfId="19571" xr:uid="{9179D133-F39A-42C7-BFF1-FECD83A57C12}"/>
    <cellStyle name="20% - Accent3 2 2 2 2 4 3 2" xfId="32290" xr:uid="{EB9C3A62-91FB-482D-B1BF-9E6CD73D81F1}"/>
    <cellStyle name="20% - Accent3 2 2 2 2 4 4" xfId="32287" xr:uid="{F01818C7-130C-479F-9BD0-1981B16077C8}"/>
    <cellStyle name="20% - Accent3 2 2 2 2 5" xfId="8153" xr:uid="{D6CEE760-F0E0-47A7-9FE2-4EF5D7003E7C}"/>
    <cellStyle name="20% - Accent3 2 2 2 2 5 2" xfId="23566" xr:uid="{137A6F67-DFD9-40BE-8B31-7BB70B8C2639}"/>
    <cellStyle name="20% - Accent3 2 2 2 2 5 2 2" xfId="32292" xr:uid="{47BB88BE-95D4-4C0F-9B9C-F72E2464BD98}"/>
    <cellStyle name="20% - Accent3 2 2 2 2 5 3" xfId="32291" xr:uid="{4E621F64-410E-4D4D-AA6B-193DB45190B8}"/>
    <cellStyle name="20% - Accent3 2 2 2 2 6" xfId="15861" xr:uid="{708537F0-079F-4824-BE05-D531333E23DB}"/>
    <cellStyle name="20% - Accent3 2 2 2 2 6 2" xfId="32293" xr:uid="{2CD8E239-BDE1-4320-A340-CAC12272B39C}"/>
    <cellStyle name="20% - Accent3 2 2 2 2 7" xfId="32262" xr:uid="{0CE9AE32-39A4-470C-AA25-A80064629D68}"/>
    <cellStyle name="20% - Accent3 2 2 2 3" xfId="870" xr:uid="{77454515-EE7A-46A6-9D8A-E9D9DDA69C02}"/>
    <cellStyle name="20% - Accent3 2 2 2 3 2" xfId="2341" xr:uid="{81A56170-74EB-4203-89D5-D63E9F13202B}"/>
    <cellStyle name="20% - Accent3 2 2 2 3 2 2" xfId="6073" xr:uid="{F5A6DD02-6DC9-4E7C-B0B1-1DB021FCAEA4}"/>
    <cellStyle name="20% - Accent3 2 2 2 3 2 2 2" xfId="13781" xr:uid="{8ACE0A46-4C9E-41B4-8D4C-8C1DD74C16A7}"/>
    <cellStyle name="20% - Accent3 2 2 2 3 2 2 2 2" xfId="29193" xr:uid="{FD999EA4-E8B3-48A3-8736-DFC8A5B95C60}"/>
    <cellStyle name="20% - Accent3 2 2 2 3 2 2 2 2 2" xfId="32298" xr:uid="{7D83F24C-A235-44D2-891D-D24E8FC965AE}"/>
    <cellStyle name="20% - Accent3 2 2 2 3 2 2 2 3" xfId="32297" xr:uid="{312EF870-0402-48AA-9EF6-48587F3ED4EB}"/>
    <cellStyle name="20% - Accent3 2 2 2 3 2 2 3" xfId="21488" xr:uid="{7D3588EE-F86D-4483-BD40-75C6F4AEF4B2}"/>
    <cellStyle name="20% - Accent3 2 2 2 3 2 2 3 2" xfId="32299" xr:uid="{CE0431CA-C6C2-475D-916C-5261BE7245D5}"/>
    <cellStyle name="20% - Accent3 2 2 2 3 2 2 4" xfId="32296" xr:uid="{5A0ECC16-D8B1-417E-BA62-95C4602522A8}"/>
    <cellStyle name="20% - Accent3 2 2 2 3 2 3" xfId="10052" xr:uid="{0795C592-5E64-4FEA-A1CF-9C0A82250EAB}"/>
    <cellStyle name="20% - Accent3 2 2 2 3 2 3 2" xfId="25465" xr:uid="{B5CA0670-9B76-42BC-9DC2-BCBF0C0997D8}"/>
    <cellStyle name="20% - Accent3 2 2 2 3 2 3 2 2" xfId="32301" xr:uid="{B5A55B61-00C1-4C62-BB47-F127B508120F}"/>
    <cellStyle name="20% - Accent3 2 2 2 3 2 3 3" xfId="32300" xr:uid="{1CFFE04C-51A5-4728-AFA5-F4AEC57B7912}"/>
    <cellStyle name="20% - Accent3 2 2 2 3 2 4" xfId="17760" xr:uid="{14214B3C-2D2C-44D9-82EE-8EDDF63C758A}"/>
    <cellStyle name="20% - Accent3 2 2 2 3 2 4 2" xfId="32302" xr:uid="{AE20751B-C870-429D-898C-BF7035EBEC0F}"/>
    <cellStyle name="20% - Accent3 2 2 2 3 2 5" xfId="32295" xr:uid="{E5A9F94E-E7A5-44F3-9164-21CE1747ADBF}"/>
    <cellStyle name="20% - Accent3 2 2 2 3 3" xfId="4607" xr:uid="{68EA9652-2082-44B4-B2C7-70C15507944C}"/>
    <cellStyle name="20% - Accent3 2 2 2 3 3 2" xfId="12315" xr:uid="{EAFA1176-2BCE-4E98-979F-B8FF200B6134}"/>
    <cellStyle name="20% - Accent3 2 2 2 3 3 2 2" xfId="27727" xr:uid="{AA5FA249-53EA-4AB0-8F87-ECB91FF6417B}"/>
    <cellStyle name="20% - Accent3 2 2 2 3 3 2 2 2" xfId="32305" xr:uid="{D9E84000-FC53-495D-8D08-EF134A0F75BC}"/>
    <cellStyle name="20% - Accent3 2 2 2 3 3 2 3" xfId="32304" xr:uid="{4D8C52FA-DBE4-4AC6-9AF4-0FBF02EE9D4A}"/>
    <cellStyle name="20% - Accent3 2 2 2 3 3 3" xfId="20022" xr:uid="{A61A24F6-7790-4FE5-BF00-1A4376C9F47B}"/>
    <cellStyle name="20% - Accent3 2 2 2 3 3 3 2" xfId="32306" xr:uid="{6524E5E8-520C-426A-8749-1370A8547C5D}"/>
    <cellStyle name="20% - Accent3 2 2 2 3 3 4" xfId="32303" xr:uid="{3EFDE069-0C8D-4990-9DA3-8CF1AE626A60}"/>
    <cellStyle name="20% - Accent3 2 2 2 3 4" xfId="8593" xr:uid="{669F959B-8569-457A-83A7-FD62DC054B5F}"/>
    <cellStyle name="20% - Accent3 2 2 2 3 4 2" xfId="24006" xr:uid="{1F330DC4-2427-46C7-AF4C-2EECAA3B56BD}"/>
    <cellStyle name="20% - Accent3 2 2 2 3 4 2 2" xfId="32308" xr:uid="{5ECD30AC-370E-4C0A-9722-F96E40A361DC}"/>
    <cellStyle name="20% - Accent3 2 2 2 3 4 3" xfId="32307" xr:uid="{2305137B-BF2E-44A0-A434-F53209B40168}"/>
    <cellStyle name="20% - Accent3 2 2 2 3 5" xfId="16301" xr:uid="{99D87DEA-6EF3-436D-B31A-CA005BA7E329}"/>
    <cellStyle name="20% - Accent3 2 2 2 3 5 2" xfId="32309" xr:uid="{103CABF8-D374-4A8F-AF36-B403F007B9B7}"/>
    <cellStyle name="20% - Accent3 2 2 2 3 6" xfId="32294" xr:uid="{098DA8AE-0FBC-40C3-A986-7889C2551014}"/>
    <cellStyle name="20% - Accent3 2 2 2 4" xfId="1703" xr:uid="{21B3A657-2171-41B4-B657-30767C4E1997}"/>
    <cellStyle name="20% - Accent3 2 2 2 4 2" xfId="5435" xr:uid="{BA22CDB6-8183-41AE-B6AC-A0F6809E168A}"/>
    <cellStyle name="20% - Accent3 2 2 2 4 2 2" xfId="13143" xr:uid="{577913F0-5E82-4489-A746-13E1D31A7A38}"/>
    <cellStyle name="20% - Accent3 2 2 2 4 2 2 2" xfId="28555" xr:uid="{0A4C5F5F-6437-4D21-B975-02CBB2F1D35A}"/>
    <cellStyle name="20% - Accent3 2 2 2 4 2 2 2 2" xfId="32313" xr:uid="{42F906D9-EC96-44E0-9D72-C2522E3B28BF}"/>
    <cellStyle name="20% - Accent3 2 2 2 4 2 2 3" xfId="32312" xr:uid="{EE241DA5-31B6-436A-B381-2A9740444402}"/>
    <cellStyle name="20% - Accent3 2 2 2 4 2 3" xfId="20850" xr:uid="{3831BD74-6B8A-4777-A760-06A6AD29DC12}"/>
    <cellStyle name="20% - Accent3 2 2 2 4 2 3 2" xfId="32314" xr:uid="{CCD8F4C8-2666-45AC-AAF1-2E59AA31C46C}"/>
    <cellStyle name="20% - Accent3 2 2 2 4 2 4" xfId="32311" xr:uid="{6D5DFD86-FE23-4E65-9910-4B407EFCCCC5}"/>
    <cellStyle name="20% - Accent3 2 2 2 4 3" xfId="9414" xr:uid="{3BE2B419-A65D-4EBC-A7B4-748BD06CA111}"/>
    <cellStyle name="20% - Accent3 2 2 2 4 3 2" xfId="24827" xr:uid="{E27AC959-667E-4399-930B-927C4D690E45}"/>
    <cellStyle name="20% - Accent3 2 2 2 4 3 2 2" xfId="32316" xr:uid="{A40E7A82-6460-4056-AF64-DDEE3FAB99D2}"/>
    <cellStyle name="20% - Accent3 2 2 2 4 3 3" xfId="32315" xr:uid="{383F4FD4-0FB7-4178-87CE-DCDEF35B8F64}"/>
    <cellStyle name="20% - Accent3 2 2 2 4 4" xfId="17122" xr:uid="{3E631580-0D66-4E2E-868E-9811CBF2B8C0}"/>
    <cellStyle name="20% - Accent3 2 2 2 4 4 2" xfId="32317" xr:uid="{2731C8E0-2419-47B6-AC88-5A4DB27A8783}"/>
    <cellStyle name="20% - Accent3 2 2 2 4 5" xfId="32310" xr:uid="{E148CB34-8005-4B6E-A0BF-A843A8FBA6E4}"/>
    <cellStyle name="20% - Accent3 2 2 2 5" xfId="3955" xr:uid="{91A536DC-D429-4A96-B5FF-C7333422643F}"/>
    <cellStyle name="20% - Accent3 2 2 2 5 2" xfId="11663" xr:uid="{2099BE56-F690-4C74-874A-0716E3222AFD}"/>
    <cellStyle name="20% - Accent3 2 2 2 5 2 2" xfId="27075" xr:uid="{2B2AAEA1-3F1D-4A96-8D2B-CF2EE7568AF0}"/>
    <cellStyle name="20% - Accent3 2 2 2 5 2 2 2" xfId="32320" xr:uid="{C0A11C18-027D-407B-9F7B-3CD6837E8CC6}"/>
    <cellStyle name="20% - Accent3 2 2 2 5 2 3" xfId="32319" xr:uid="{D4DD81BC-5B19-4D34-B6A5-E34AE45FEF74}"/>
    <cellStyle name="20% - Accent3 2 2 2 5 3" xfId="19370" xr:uid="{C8002BA4-B164-418B-80AD-18295382F47C}"/>
    <cellStyle name="20% - Accent3 2 2 2 5 3 2" xfId="32321" xr:uid="{D9A71414-7D3A-4A42-B4AE-5502B25811DF}"/>
    <cellStyle name="20% - Accent3 2 2 2 5 4" xfId="32318" xr:uid="{F2B97ABF-3FAA-4C34-B064-990FFA48C5E8}"/>
    <cellStyle name="20% - Accent3 2 2 2 6" xfId="7955" xr:uid="{9CECA189-4505-4F95-98D2-7BE1AAFF9467}"/>
    <cellStyle name="20% - Accent3 2 2 2 6 2" xfId="23368" xr:uid="{896E6DA5-267C-4F4B-BC9B-6319FE7FFD06}"/>
    <cellStyle name="20% - Accent3 2 2 2 6 2 2" xfId="32323" xr:uid="{4076CEB1-8C61-4612-B8D5-C532158E210C}"/>
    <cellStyle name="20% - Accent3 2 2 2 6 3" xfId="32322" xr:uid="{13747FDD-3ECB-45F6-964A-5BA1D2CE3993}"/>
    <cellStyle name="20% - Accent3 2 2 2 7" xfId="15663" xr:uid="{944F47A9-BA73-45E3-94D7-0903F6CB024C}"/>
    <cellStyle name="20% - Accent3 2 2 2 7 2" xfId="32324" xr:uid="{72EE17DB-7583-400C-814E-EF564FB8F3A4}"/>
    <cellStyle name="20% - Accent3 2 2 2 8" xfId="32261" xr:uid="{F7DD585D-7012-43DE-8609-57581B5C557B}"/>
    <cellStyle name="20% - Accent3 2 2 3" xfId="358" xr:uid="{EFDEEC58-CB0D-42AF-BF5F-E16AB57F413F}"/>
    <cellStyle name="20% - Accent3 2 2 3 2" xfId="1020" xr:uid="{82E670AC-8CF3-4E28-886D-C46325573A37}"/>
    <cellStyle name="20% - Accent3 2 2 3 2 2" xfId="2489" xr:uid="{4F6FA9DB-6319-4B9A-A010-AC2550FC435B}"/>
    <cellStyle name="20% - Accent3 2 2 3 2 2 2" xfId="6221" xr:uid="{77E72B75-EA60-4F6B-AC86-2A45CFC5F6FC}"/>
    <cellStyle name="20% - Accent3 2 2 3 2 2 2 2" xfId="13929" xr:uid="{234E5C5A-FF2C-4F74-BB4B-A7756ED1225F}"/>
    <cellStyle name="20% - Accent3 2 2 3 2 2 2 2 2" xfId="29341" xr:uid="{42BFD32A-B0D1-40CB-B7F0-E087934EA874}"/>
    <cellStyle name="20% - Accent3 2 2 3 2 2 2 2 2 2" xfId="32330" xr:uid="{1DE68E87-4DC3-407D-97D7-8FB66C0A31BF}"/>
    <cellStyle name="20% - Accent3 2 2 3 2 2 2 2 3" xfId="32329" xr:uid="{200986BF-C87F-44CF-B797-7F7C6E13D4C6}"/>
    <cellStyle name="20% - Accent3 2 2 3 2 2 2 3" xfId="21636" xr:uid="{441E9C6A-2E56-499F-93AA-25B301D4AF49}"/>
    <cellStyle name="20% - Accent3 2 2 3 2 2 2 3 2" xfId="32331" xr:uid="{36D41BBB-41C6-4639-8982-B83EB6D07505}"/>
    <cellStyle name="20% - Accent3 2 2 3 2 2 2 4" xfId="32328" xr:uid="{E7F730AF-C9EF-4ED8-B0BC-152C6FA63EB3}"/>
    <cellStyle name="20% - Accent3 2 2 3 2 2 3" xfId="10200" xr:uid="{5A93DDD5-4A32-44F1-80F0-839056FD5BA7}"/>
    <cellStyle name="20% - Accent3 2 2 3 2 2 3 2" xfId="25613" xr:uid="{D7F5F992-63B0-4ED4-B8CD-26EB46F85CD8}"/>
    <cellStyle name="20% - Accent3 2 2 3 2 2 3 2 2" xfId="32333" xr:uid="{50D9CA91-0A20-4CB7-A7F1-93CBD50CFEC8}"/>
    <cellStyle name="20% - Accent3 2 2 3 2 2 3 3" xfId="32332" xr:uid="{384D885E-6582-4D45-94DB-4126A68872AB}"/>
    <cellStyle name="20% - Accent3 2 2 3 2 2 4" xfId="17908" xr:uid="{48DC24D9-3296-4A38-BC6A-89D1CEC11ECA}"/>
    <cellStyle name="20% - Accent3 2 2 3 2 2 4 2" xfId="32334" xr:uid="{FD28E659-413A-471A-B9BE-97FFA5D62722}"/>
    <cellStyle name="20% - Accent3 2 2 3 2 2 5" xfId="32327" xr:uid="{8A269EBE-9E40-45F1-B833-2DF938A06530}"/>
    <cellStyle name="20% - Accent3 2 2 3 2 3" xfId="4757" xr:uid="{A36F8BC5-8B6E-4942-8DA7-7AB2719FC9F7}"/>
    <cellStyle name="20% - Accent3 2 2 3 2 3 2" xfId="12465" xr:uid="{2EC2989D-3D6D-49BA-8D65-83DD1775E66B}"/>
    <cellStyle name="20% - Accent3 2 2 3 2 3 2 2" xfId="27877" xr:uid="{B8A0DDD1-E744-41F9-AB2E-4E8FBE5902EB}"/>
    <cellStyle name="20% - Accent3 2 2 3 2 3 2 2 2" xfId="32337" xr:uid="{A0C1F5F3-D0E9-4F83-87AD-73304F417E11}"/>
    <cellStyle name="20% - Accent3 2 2 3 2 3 2 3" xfId="32336" xr:uid="{991322D3-AAA8-4534-AC14-5CB40093780E}"/>
    <cellStyle name="20% - Accent3 2 2 3 2 3 3" xfId="20172" xr:uid="{D5E71521-6B23-4774-9B5F-87F13C4C35CC}"/>
    <cellStyle name="20% - Accent3 2 2 3 2 3 3 2" xfId="32338" xr:uid="{2A03659C-FD2E-4C61-A2A2-4D9F174EEE2D}"/>
    <cellStyle name="20% - Accent3 2 2 3 2 3 4" xfId="32335" xr:uid="{B899562F-F81A-4DFC-AC16-2E4619F2FC2F}"/>
    <cellStyle name="20% - Accent3 2 2 3 2 4" xfId="8741" xr:uid="{BDD663E3-E907-404F-AADB-E0FDC7EDE859}"/>
    <cellStyle name="20% - Accent3 2 2 3 2 4 2" xfId="24154" xr:uid="{84CDC7C4-ADC8-4711-AFBE-238D6EA2D0FE}"/>
    <cellStyle name="20% - Accent3 2 2 3 2 4 2 2" xfId="32340" xr:uid="{02574525-931E-4DC2-B2CC-FE1F9FD60E81}"/>
    <cellStyle name="20% - Accent3 2 2 3 2 4 3" xfId="32339" xr:uid="{A94024DD-EF1A-4023-BBF1-29B1437C927C}"/>
    <cellStyle name="20% - Accent3 2 2 3 2 5" xfId="16449" xr:uid="{11582895-321F-4A59-BD63-8F10F3D9809C}"/>
    <cellStyle name="20% - Accent3 2 2 3 2 5 2" xfId="32341" xr:uid="{86992A63-3870-48B9-8C65-363E48447C51}"/>
    <cellStyle name="20% - Accent3 2 2 3 2 6" xfId="32326" xr:uid="{07CFD76F-F41C-4864-A21A-8E374FEFDFC0}"/>
    <cellStyle name="20% - Accent3 2 2 3 3" xfId="1851" xr:uid="{86CDFDEA-2A8F-40EC-901D-A03257A72E6F}"/>
    <cellStyle name="20% - Accent3 2 2 3 3 2" xfId="5583" xr:uid="{2BDD625F-ED22-4E1D-8233-9939D5724064}"/>
    <cellStyle name="20% - Accent3 2 2 3 3 2 2" xfId="13291" xr:uid="{833F41B9-9BAF-45DA-AC41-A0DDAC442F46}"/>
    <cellStyle name="20% - Accent3 2 2 3 3 2 2 2" xfId="28703" xr:uid="{5E85ACF4-6651-4EB6-B230-CAF58D8EC038}"/>
    <cellStyle name="20% - Accent3 2 2 3 3 2 2 2 2" xfId="32345" xr:uid="{970714EA-5310-4C6D-8101-3B1AB2FCFFE5}"/>
    <cellStyle name="20% - Accent3 2 2 3 3 2 2 3" xfId="32344" xr:uid="{F102264A-FF0E-4211-B53A-AB723A7C02FF}"/>
    <cellStyle name="20% - Accent3 2 2 3 3 2 3" xfId="20998" xr:uid="{813EF1C7-EA42-41DE-999E-351AEF933B4A}"/>
    <cellStyle name="20% - Accent3 2 2 3 3 2 3 2" xfId="32346" xr:uid="{D8A0F73F-4475-496F-BF66-DEEC627A5D2E}"/>
    <cellStyle name="20% - Accent3 2 2 3 3 2 4" xfId="32343" xr:uid="{90404C16-131E-4C7E-B629-BE1F10F1B872}"/>
    <cellStyle name="20% - Accent3 2 2 3 3 3" xfId="9562" xr:uid="{3E530698-BE6B-401B-A652-B8AF91E470B2}"/>
    <cellStyle name="20% - Accent3 2 2 3 3 3 2" xfId="24975" xr:uid="{C24450B6-B698-49DF-A303-9C7CF7799FF4}"/>
    <cellStyle name="20% - Accent3 2 2 3 3 3 2 2" xfId="32348" xr:uid="{12F9E7FF-741C-4339-8324-B0D60C386F55}"/>
    <cellStyle name="20% - Accent3 2 2 3 3 3 3" xfId="32347" xr:uid="{76D867F0-A02E-4177-93FB-9A9D40BDE4AD}"/>
    <cellStyle name="20% - Accent3 2 2 3 3 4" xfId="17270" xr:uid="{087D6415-D4BC-4C53-84FE-C9585A26D056}"/>
    <cellStyle name="20% - Accent3 2 2 3 3 4 2" xfId="32349" xr:uid="{76EFC00E-FA60-4621-86A0-F34427B741C7}"/>
    <cellStyle name="20% - Accent3 2 2 3 3 5" xfId="32342" xr:uid="{E760ED9B-4C64-42E8-933D-A2D9E9A526CB}"/>
    <cellStyle name="20% - Accent3 2 2 3 4" xfId="4105" xr:uid="{48C44EA8-AD57-4031-8B8B-854315F21D4F}"/>
    <cellStyle name="20% - Accent3 2 2 3 4 2" xfId="11813" xr:uid="{B8F8AB2F-86A4-477D-AEE4-918B12E9542F}"/>
    <cellStyle name="20% - Accent3 2 2 3 4 2 2" xfId="27225" xr:uid="{B5F5964B-94E7-4D7F-8833-B6D6E8448BFF}"/>
    <cellStyle name="20% - Accent3 2 2 3 4 2 2 2" xfId="32352" xr:uid="{B7214A12-02A4-4849-8D76-11BF1C478139}"/>
    <cellStyle name="20% - Accent3 2 2 3 4 2 3" xfId="32351" xr:uid="{21AF84EE-4A67-4AF6-BCFC-E28BF7760F8A}"/>
    <cellStyle name="20% - Accent3 2 2 3 4 3" xfId="19520" xr:uid="{DE462506-AD8A-460F-ADA6-8A5ED00B8592}"/>
    <cellStyle name="20% - Accent3 2 2 3 4 3 2" xfId="32353" xr:uid="{76B3C063-522F-4929-87CA-20F61D3DDDDD}"/>
    <cellStyle name="20% - Accent3 2 2 3 4 4" xfId="32350" xr:uid="{510D2782-25D1-442A-89ED-0F18776CF702}"/>
    <cellStyle name="20% - Accent3 2 2 3 5" xfId="8103" xr:uid="{CCD35EC6-16B9-42FC-9E8D-5013DFDC6D34}"/>
    <cellStyle name="20% - Accent3 2 2 3 5 2" xfId="23516" xr:uid="{75C9544D-B60C-4224-9E81-08C4DAC877A9}"/>
    <cellStyle name="20% - Accent3 2 2 3 5 2 2" xfId="32355" xr:uid="{843724D7-EC4B-48BE-9D5B-F9E179E0EFC1}"/>
    <cellStyle name="20% - Accent3 2 2 3 5 3" xfId="32354" xr:uid="{99F49AC2-FD03-4997-ACAC-50E59A3BFAD0}"/>
    <cellStyle name="20% - Accent3 2 2 3 6" xfId="15811" xr:uid="{33220169-7482-4044-87CF-BA8F75E339D2}"/>
    <cellStyle name="20% - Accent3 2 2 3 6 2" xfId="32356" xr:uid="{8D9752EA-E636-4A2D-9599-A002CFAAD664}"/>
    <cellStyle name="20% - Accent3 2 2 3 7" xfId="32325" xr:uid="{C28B3B9D-9E3D-402A-8C99-F4EDFC19E43E}"/>
    <cellStyle name="20% - Accent3 2 2 4" xfId="814" xr:uid="{5874F7B5-E9E7-4019-B976-8F0F5C9DFB88}"/>
    <cellStyle name="20% - Accent3 2 2 4 2" xfId="2291" xr:uid="{99495AE4-82DF-4691-A001-DD1F1C5C1082}"/>
    <cellStyle name="20% - Accent3 2 2 4 2 2" xfId="6023" xr:uid="{33C9F8B3-C373-471C-9B4A-A55FA7F35C07}"/>
    <cellStyle name="20% - Accent3 2 2 4 2 2 2" xfId="13731" xr:uid="{CB55978C-7C57-4FDD-B084-82CB60598633}"/>
    <cellStyle name="20% - Accent3 2 2 4 2 2 2 2" xfId="29143" xr:uid="{EA2CB24C-28B5-4135-B217-99B9F8594A56}"/>
    <cellStyle name="20% - Accent3 2 2 4 2 2 2 2 2" xfId="32361" xr:uid="{6AAAEFCC-20E4-440B-8331-D4700C7E0708}"/>
    <cellStyle name="20% - Accent3 2 2 4 2 2 2 3" xfId="32360" xr:uid="{1C4C59C0-ECFC-4735-9C2A-F44CD90FFE75}"/>
    <cellStyle name="20% - Accent3 2 2 4 2 2 3" xfId="21438" xr:uid="{18E585A7-436E-4C91-81BF-C2690EC5DC7D}"/>
    <cellStyle name="20% - Accent3 2 2 4 2 2 3 2" xfId="32362" xr:uid="{9A4572D3-CB10-44F7-A03C-5E659282000C}"/>
    <cellStyle name="20% - Accent3 2 2 4 2 2 4" xfId="32359" xr:uid="{0178C4FF-9B94-4360-8CB2-8A2DA09E4184}"/>
    <cellStyle name="20% - Accent3 2 2 4 2 3" xfId="10002" xr:uid="{69CB4513-B5B9-4FCA-9856-C14F582917B3}"/>
    <cellStyle name="20% - Accent3 2 2 4 2 3 2" xfId="25415" xr:uid="{349BA01E-C291-49C8-975E-E82EA7F927D9}"/>
    <cellStyle name="20% - Accent3 2 2 4 2 3 2 2" xfId="32364" xr:uid="{B3C8B429-5359-4BC5-A43C-AEA8A99B1773}"/>
    <cellStyle name="20% - Accent3 2 2 4 2 3 3" xfId="32363" xr:uid="{7EF2B0EF-E06D-4F12-9ACE-6C411E86E9E5}"/>
    <cellStyle name="20% - Accent3 2 2 4 2 4" xfId="17710" xr:uid="{20DC9AE4-CD91-4B7F-AE36-347DBFDDEDC2}"/>
    <cellStyle name="20% - Accent3 2 2 4 2 4 2" xfId="32365" xr:uid="{6C58C376-6353-4164-B17D-5E2E5EB0BF4C}"/>
    <cellStyle name="20% - Accent3 2 2 4 2 5" xfId="32358" xr:uid="{860D2390-32E7-4C60-932D-8DC53E2A9E39}"/>
    <cellStyle name="20% - Accent3 2 2 4 3" xfId="4551" xr:uid="{CB042797-CE04-4727-80C9-733CD2F369AF}"/>
    <cellStyle name="20% - Accent3 2 2 4 3 2" xfId="12259" xr:uid="{A2F8530B-2DD6-4061-A8E9-94AC43B5D9D7}"/>
    <cellStyle name="20% - Accent3 2 2 4 3 2 2" xfId="27671" xr:uid="{C554FCC5-D879-41E7-94D3-F2797041814B}"/>
    <cellStyle name="20% - Accent3 2 2 4 3 2 2 2" xfId="32368" xr:uid="{99546200-C569-4ED0-BA11-BE6ECDC0DC75}"/>
    <cellStyle name="20% - Accent3 2 2 4 3 2 3" xfId="32367" xr:uid="{9E089B53-2349-492B-861F-C8B562E36506}"/>
    <cellStyle name="20% - Accent3 2 2 4 3 3" xfId="19966" xr:uid="{8889614E-6DB9-4736-83BA-6583F45DFC81}"/>
    <cellStyle name="20% - Accent3 2 2 4 3 3 2" xfId="32369" xr:uid="{5DBE1BB6-5915-4082-9BCB-BD3586363B3A}"/>
    <cellStyle name="20% - Accent3 2 2 4 3 4" xfId="32366" xr:uid="{8A088C0C-3630-4B39-B27D-8A118A271070}"/>
    <cellStyle name="20% - Accent3 2 2 4 4" xfId="8543" xr:uid="{6DF81270-CB00-4978-A366-A03833466FE8}"/>
    <cellStyle name="20% - Accent3 2 2 4 4 2" xfId="23956" xr:uid="{D7026458-7AC2-43B3-8A70-4D919686084F}"/>
    <cellStyle name="20% - Accent3 2 2 4 4 2 2" xfId="32371" xr:uid="{EF37F1C1-AF15-4723-AC82-9BEDB70025E1}"/>
    <cellStyle name="20% - Accent3 2 2 4 4 3" xfId="32370" xr:uid="{B3FB0975-46F7-4FC9-A4EB-974E465A74B2}"/>
    <cellStyle name="20% - Accent3 2 2 4 5" xfId="16251" xr:uid="{235105DA-7404-45CE-859A-373E716657AA}"/>
    <cellStyle name="20% - Accent3 2 2 4 5 2" xfId="32372" xr:uid="{3E1FA294-0331-4383-90D4-7A8614FF8ECF}"/>
    <cellStyle name="20% - Accent3 2 2 4 6" xfId="32357" xr:uid="{851A3825-2928-45C1-BDDC-6FB5DADF7405}"/>
    <cellStyle name="20% - Accent3 2 2 5" xfId="1652" xr:uid="{294B48CB-1BE4-4BF2-8205-75F4563B34C5}"/>
    <cellStyle name="20% - Accent3 2 2 5 2" xfId="5384" xr:uid="{9ED1BDDB-CCCB-467D-BFC8-91EF7BC8776E}"/>
    <cellStyle name="20% - Accent3 2 2 5 2 2" xfId="13092" xr:uid="{06776ECB-4461-4DB6-9A39-16602D7AA8E8}"/>
    <cellStyle name="20% - Accent3 2 2 5 2 2 2" xfId="28504" xr:uid="{7AEB17ED-BD53-4EDD-BABF-047E84D128F6}"/>
    <cellStyle name="20% - Accent3 2 2 5 2 2 2 2" xfId="32376" xr:uid="{15A4D92C-B64F-4901-8418-BBD41874F8BF}"/>
    <cellStyle name="20% - Accent3 2 2 5 2 2 3" xfId="32375" xr:uid="{26388CFC-6E2D-445B-A13D-F289362F45A4}"/>
    <cellStyle name="20% - Accent3 2 2 5 2 3" xfId="20799" xr:uid="{57C0BBA7-05E1-473C-A246-55280B39D667}"/>
    <cellStyle name="20% - Accent3 2 2 5 2 3 2" xfId="32377" xr:uid="{E7105B5C-7F79-4228-BA93-A43F73250F54}"/>
    <cellStyle name="20% - Accent3 2 2 5 2 4" xfId="32374" xr:uid="{BDE384C8-902A-4340-B9FD-30BE9528CDB0}"/>
    <cellStyle name="20% - Accent3 2 2 5 3" xfId="9364" xr:uid="{222666EF-B0F5-4B64-B208-5385636EF285}"/>
    <cellStyle name="20% - Accent3 2 2 5 3 2" xfId="24777" xr:uid="{8DAA2383-AB09-41B6-8BE9-E6BB1F1E808F}"/>
    <cellStyle name="20% - Accent3 2 2 5 3 2 2" xfId="32379" xr:uid="{15FEB6E1-D0D8-45B2-AEDD-ACAE38B0D8B9}"/>
    <cellStyle name="20% - Accent3 2 2 5 3 3" xfId="32378" xr:uid="{BD37D01D-4873-464A-A11A-DC017CBD15C2}"/>
    <cellStyle name="20% - Accent3 2 2 5 4" xfId="17072" xr:uid="{C7DBBF93-6FEB-41D5-B9B1-C349F66D3A7E}"/>
    <cellStyle name="20% - Accent3 2 2 5 4 2" xfId="32380" xr:uid="{7B4D637F-8243-4C5F-9A34-FCC3F5BC7305}"/>
    <cellStyle name="20% - Accent3 2 2 5 5" xfId="32373" xr:uid="{9597C4C7-DE95-4B50-91C1-3911FAD17508}"/>
    <cellStyle name="20% - Accent3 2 2 6" xfId="3899" xr:uid="{83430128-ACAD-4B22-80DD-8C746C4F22D0}"/>
    <cellStyle name="20% - Accent3 2 2 6 2" xfId="11607" xr:uid="{02CCED75-A3AF-45A8-A559-7F47DE1469EA}"/>
    <cellStyle name="20% - Accent3 2 2 6 2 2" xfId="27019" xr:uid="{342E9CB0-272B-4759-85A5-D4715AFF893A}"/>
    <cellStyle name="20% - Accent3 2 2 6 2 2 2" xfId="32383" xr:uid="{0686C29C-44F6-4D8F-AB19-494731906881}"/>
    <cellStyle name="20% - Accent3 2 2 6 2 3" xfId="32382" xr:uid="{1D778967-4DF3-4D9F-A183-9B4EE756EBF2}"/>
    <cellStyle name="20% - Accent3 2 2 6 3" xfId="19314" xr:uid="{D811C249-F3AD-46F0-B639-85DB98CDB634}"/>
    <cellStyle name="20% - Accent3 2 2 6 3 2" xfId="32384" xr:uid="{17BDEC97-7E26-4AD2-9B35-458BC591E5F0}"/>
    <cellStyle name="20% - Accent3 2 2 6 4" xfId="32381" xr:uid="{75A6D8E6-0A77-4EE0-90C3-8897497E83DB}"/>
    <cellStyle name="20% - Accent3 2 2 7" xfId="7887" xr:uid="{A0A8D150-6013-4B9B-A400-46EE4BEEEDAA}"/>
    <cellStyle name="20% - Accent3 2 2 7 2" xfId="23300" xr:uid="{D419040E-7617-4F2E-9BD5-F746EF398FCC}"/>
    <cellStyle name="20% - Accent3 2 2 7 2 2" xfId="32386" xr:uid="{5F91907E-E3BB-4205-B53D-FF402AE50B1B}"/>
    <cellStyle name="20% - Accent3 2 2 7 3" xfId="32385" xr:uid="{DF5BBE04-5AB9-4908-A862-F01E998CD2B7}"/>
    <cellStyle name="20% - Accent3 2 2 8" xfId="15595" xr:uid="{C12C158D-16AB-45E3-8F20-BD6F81529292}"/>
    <cellStyle name="20% - Accent3 2 2 8 2" xfId="32387" xr:uid="{1AE622C9-51AF-4F49-B6FC-D9BB1C5C1C4B}"/>
    <cellStyle name="20% - Accent3 2 2 9" xfId="32260" xr:uid="{96D2FE00-146B-414E-ABE8-C71BF72474F7}"/>
    <cellStyle name="20% - Accent3 2 3" xfId="185" xr:uid="{7D68E3E5-C71E-47BC-8AD4-16925FB3EF6A}"/>
    <cellStyle name="20% - Accent3 2 3 2" xfId="394" xr:uid="{EC2A35DE-ECC9-49B9-BC81-92EFF3FD929B}"/>
    <cellStyle name="20% - Accent3 2 3 2 2" xfId="1056" xr:uid="{F3B10FC4-D127-42EE-9061-4DB461616D76}"/>
    <cellStyle name="20% - Accent3 2 3 2 2 2" xfId="2524" xr:uid="{D8FD0610-37D1-42CC-A061-2EEAF576D3F5}"/>
    <cellStyle name="20% - Accent3 2 3 2 2 2 2" xfId="6256" xr:uid="{F6341265-D9EC-4C9B-BB83-7ABCD7AAB29B}"/>
    <cellStyle name="20% - Accent3 2 3 2 2 2 2 2" xfId="13964" xr:uid="{F791F33C-4049-441B-A839-97DDE9C241F3}"/>
    <cellStyle name="20% - Accent3 2 3 2 2 2 2 2 2" xfId="29376" xr:uid="{05488D01-AAB9-46FC-9A50-6F07B3A4C55C}"/>
    <cellStyle name="20% - Accent3 2 3 2 2 2 2 2 2 2" xfId="32394" xr:uid="{5CCED63E-F1D9-4A5F-A912-37299BD74F12}"/>
    <cellStyle name="20% - Accent3 2 3 2 2 2 2 2 3" xfId="32393" xr:uid="{EC400B0C-BFB1-4608-904E-1B812AD75B91}"/>
    <cellStyle name="20% - Accent3 2 3 2 2 2 2 3" xfId="21671" xr:uid="{42CE46F4-363E-4EB1-A450-051C0CAE49AC}"/>
    <cellStyle name="20% - Accent3 2 3 2 2 2 2 3 2" xfId="32395" xr:uid="{C0248F82-12FE-45A0-985B-3771C43D4B69}"/>
    <cellStyle name="20% - Accent3 2 3 2 2 2 2 4" xfId="32392" xr:uid="{04F962E4-6FB0-4DA1-9208-F98A33CA3ADD}"/>
    <cellStyle name="20% - Accent3 2 3 2 2 2 3" xfId="10235" xr:uid="{816353F3-22BF-4D07-ADF0-E2FBFF8C8779}"/>
    <cellStyle name="20% - Accent3 2 3 2 2 2 3 2" xfId="25648" xr:uid="{5EC32CA4-CE50-4E29-8490-1BD1339DEB14}"/>
    <cellStyle name="20% - Accent3 2 3 2 2 2 3 2 2" xfId="32397" xr:uid="{2A761A0D-AB1E-454A-8900-A79C40B583DD}"/>
    <cellStyle name="20% - Accent3 2 3 2 2 2 3 3" xfId="32396" xr:uid="{0401F9D4-0BDF-4EC0-B776-C44D582F2768}"/>
    <cellStyle name="20% - Accent3 2 3 2 2 2 4" xfId="17943" xr:uid="{FF1FDBC1-41D0-4BD3-96AB-729EDBE9DE54}"/>
    <cellStyle name="20% - Accent3 2 3 2 2 2 4 2" xfId="32398" xr:uid="{F68787A7-846D-4EDD-A209-98873F2FFBAA}"/>
    <cellStyle name="20% - Accent3 2 3 2 2 2 5" xfId="32391" xr:uid="{DE97B934-010B-4EE7-A699-73C6420E4D9D}"/>
    <cellStyle name="20% - Accent3 2 3 2 2 3" xfId="4793" xr:uid="{27B3EB3C-5659-406E-BF47-5890539F3BDE}"/>
    <cellStyle name="20% - Accent3 2 3 2 2 3 2" xfId="12501" xr:uid="{1D6B2381-E6AC-449D-A19F-C42A78C7D8C1}"/>
    <cellStyle name="20% - Accent3 2 3 2 2 3 2 2" xfId="27913" xr:uid="{80EB6827-95EA-4E96-A5EB-FABB16B4FF86}"/>
    <cellStyle name="20% - Accent3 2 3 2 2 3 2 2 2" xfId="32401" xr:uid="{E1105DA3-3E10-42EE-9145-A36950FC2935}"/>
    <cellStyle name="20% - Accent3 2 3 2 2 3 2 3" xfId="32400" xr:uid="{10FFAA63-FB2B-4F89-A8C2-7693C410FF6C}"/>
    <cellStyle name="20% - Accent3 2 3 2 2 3 3" xfId="20208" xr:uid="{BB7BBC75-2EF0-4FCE-A85E-1C34D3887BE8}"/>
    <cellStyle name="20% - Accent3 2 3 2 2 3 3 2" xfId="32402" xr:uid="{2851B4E5-835F-4409-B84A-DA48FA72EA87}"/>
    <cellStyle name="20% - Accent3 2 3 2 2 3 4" xfId="32399" xr:uid="{25CD22F3-576C-4D65-ACD2-A7A7DD1AB456}"/>
    <cellStyle name="20% - Accent3 2 3 2 2 4" xfId="8776" xr:uid="{A6E4C025-5000-491E-B8BB-736EA382547C}"/>
    <cellStyle name="20% - Accent3 2 3 2 2 4 2" xfId="24189" xr:uid="{26E48742-5C35-41AA-B96F-18BFA3DD39A4}"/>
    <cellStyle name="20% - Accent3 2 3 2 2 4 2 2" xfId="32404" xr:uid="{333927FB-F07E-4D41-8070-7C6C858B7BF9}"/>
    <cellStyle name="20% - Accent3 2 3 2 2 4 3" xfId="32403" xr:uid="{DAADF1B7-F254-4EAE-9B4C-6B201796FE11}"/>
    <cellStyle name="20% - Accent3 2 3 2 2 5" xfId="16484" xr:uid="{B95E0058-27D4-4C10-B677-E19532A120A7}"/>
    <cellStyle name="20% - Accent3 2 3 2 2 5 2" xfId="32405" xr:uid="{97D1E6EB-D329-4415-95A7-96E33A763D25}"/>
    <cellStyle name="20% - Accent3 2 3 2 2 6" xfId="32390" xr:uid="{46974C37-F2C8-45F3-98B2-8366028EC577}"/>
    <cellStyle name="20% - Accent3 2 3 2 3" xfId="1886" xr:uid="{3303B2CA-B163-4D98-AB9E-521D71F08560}"/>
    <cellStyle name="20% - Accent3 2 3 2 3 2" xfId="5618" xr:uid="{D633838E-DF0A-4093-B375-F7E3FC25E1BD}"/>
    <cellStyle name="20% - Accent3 2 3 2 3 2 2" xfId="13326" xr:uid="{6849D967-1820-48C9-A21F-42A6A11CC831}"/>
    <cellStyle name="20% - Accent3 2 3 2 3 2 2 2" xfId="28738" xr:uid="{722CD36D-9A12-40E6-8F1D-E5F889A7EA8A}"/>
    <cellStyle name="20% - Accent3 2 3 2 3 2 2 2 2" xfId="32409" xr:uid="{71AD5DE8-F248-4491-84E2-461AD8EBEA90}"/>
    <cellStyle name="20% - Accent3 2 3 2 3 2 2 3" xfId="32408" xr:uid="{7B6DD62F-D343-4D1C-9434-2152B39C7AAB}"/>
    <cellStyle name="20% - Accent3 2 3 2 3 2 3" xfId="21033" xr:uid="{CC49B7B2-B6B4-4A7D-A5A3-DB044DCC9EC5}"/>
    <cellStyle name="20% - Accent3 2 3 2 3 2 3 2" xfId="32410" xr:uid="{115274FE-C16F-4946-8E8B-75AB70C9D32C}"/>
    <cellStyle name="20% - Accent3 2 3 2 3 2 4" xfId="32407" xr:uid="{3B7172FC-3116-4EFB-9422-A38551A2D8E8}"/>
    <cellStyle name="20% - Accent3 2 3 2 3 3" xfId="9597" xr:uid="{88C45D95-9DCD-403B-929F-303AE08DBC70}"/>
    <cellStyle name="20% - Accent3 2 3 2 3 3 2" xfId="25010" xr:uid="{9EB7B650-0141-4AE3-BAE9-DFB1625BA3FF}"/>
    <cellStyle name="20% - Accent3 2 3 2 3 3 2 2" xfId="32412" xr:uid="{E247A1BF-30B0-4286-9043-7BF658E2D027}"/>
    <cellStyle name="20% - Accent3 2 3 2 3 3 3" xfId="32411" xr:uid="{0BB6055E-7BDD-408E-BFB4-49F5E1FEC28A}"/>
    <cellStyle name="20% - Accent3 2 3 2 3 4" xfId="17305" xr:uid="{8A44281B-BA08-4FAA-8D80-A63C04E4CEF2}"/>
    <cellStyle name="20% - Accent3 2 3 2 3 4 2" xfId="32413" xr:uid="{76A83EEB-BD3D-40D1-94E1-7171E8F74844}"/>
    <cellStyle name="20% - Accent3 2 3 2 3 5" xfId="32406" xr:uid="{73503E68-AA9B-4965-A2CD-5D4105EAB5B2}"/>
    <cellStyle name="20% - Accent3 2 3 2 4" xfId="4141" xr:uid="{7B534DED-3F8D-4BB1-A7DD-27B5B17FD77F}"/>
    <cellStyle name="20% - Accent3 2 3 2 4 2" xfId="11849" xr:uid="{1EBDD289-5B1C-4800-AD1C-D0BF06073A04}"/>
    <cellStyle name="20% - Accent3 2 3 2 4 2 2" xfId="27261" xr:uid="{2CD89392-F839-43AF-9290-DDB68E96D5BC}"/>
    <cellStyle name="20% - Accent3 2 3 2 4 2 2 2" xfId="32416" xr:uid="{D0BE3DA0-F8E8-4781-83CF-1ACB57F0F8BC}"/>
    <cellStyle name="20% - Accent3 2 3 2 4 2 3" xfId="32415" xr:uid="{98610AC4-DCB7-4A43-9847-42159F434163}"/>
    <cellStyle name="20% - Accent3 2 3 2 4 3" xfId="19556" xr:uid="{25F1AE3F-52CE-4E5F-AA84-49A2F1486542}"/>
    <cellStyle name="20% - Accent3 2 3 2 4 3 2" xfId="32417" xr:uid="{0F33267F-C270-4C16-9646-524F667C6DB4}"/>
    <cellStyle name="20% - Accent3 2 3 2 4 4" xfId="32414" xr:uid="{78F1C81B-5CBB-4A85-8F32-0108AEA107E5}"/>
    <cellStyle name="20% - Accent3 2 3 2 5" xfId="8138" xr:uid="{36D24DFF-EDC9-42AA-B96D-4AB15CD4777A}"/>
    <cellStyle name="20% - Accent3 2 3 2 5 2" xfId="23551" xr:uid="{FE978BC4-A8BB-4BF3-BA0D-B06E2DF41CF9}"/>
    <cellStyle name="20% - Accent3 2 3 2 5 2 2" xfId="32419" xr:uid="{282CC2BF-576C-4378-9DDE-2C06E196647B}"/>
    <cellStyle name="20% - Accent3 2 3 2 5 3" xfId="32418" xr:uid="{E66A6A7D-C571-4BDF-83B1-8815570DA72B}"/>
    <cellStyle name="20% - Accent3 2 3 2 6" xfId="15846" xr:uid="{6D5FD357-3063-464E-9109-A8F0F6EA704B}"/>
    <cellStyle name="20% - Accent3 2 3 2 6 2" xfId="32420" xr:uid="{EFE483B3-C050-4537-9AEF-08B632177FA8}"/>
    <cellStyle name="20% - Accent3 2 3 2 7" xfId="32389" xr:uid="{74FA30E6-7AB1-4F01-86B8-B647ACC080D2}"/>
    <cellStyle name="20% - Accent3 2 3 3" xfId="851" xr:uid="{58F236FA-84B5-46E5-AEC5-DB2EF8341E38}"/>
    <cellStyle name="20% - Accent3 2 3 3 2" xfId="2326" xr:uid="{DFC45377-476F-4B74-9904-3088AAAD36E7}"/>
    <cellStyle name="20% - Accent3 2 3 3 2 2" xfId="6058" xr:uid="{9C0E57FD-5809-405A-B0BF-05BD40696B91}"/>
    <cellStyle name="20% - Accent3 2 3 3 2 2 2" xfId="13766" xr:uid="{0DA48609-02BD-407C-9DF0-1E5464171FE4}"/>
    <cellStyle name="20% - Accent3 2 3 3 2 2 2 2" xfId="29178" xr:uid="{6EA66B9E-3270-45BE-BFDA-CF892C2B6B5C}"/>
    <cellStyle name="20% - Accent3 2 3 3 2 2 2 2 2" xfId="32425" xr:uid="{5D0041D8-DBF8-4A0F-BFD7-9817A50509C4}"/>
    <cellStyle name="20% - Accent3 2 3 3 2 2 2 3" xfId="32424" xr:uid="{8CC5C79E-0430-4E7D-B4AD-5EE895239744}"/>
    <cellStyle name="20% - Accent3 2 3 3 2 2 3" xfId="21473" xr:uid="{DE3229EA-D621-4D02-9552-B7636D7973B4}"/>
    <cellStyle name="20% - Accent3 2 3 3 2 2 3 2" xfId="32426" xr:uid="{1C557D5D-C9DB-46BF-BAFA-BB72031915CF}"/>
    <cellStyle name="20% - Accent3 2 3 3 2 2 4" xfId="32423" xr:uid="{DCDDC352-3644-4645-AD14-89796B2A30D9}"/>
    <cellStyle name="20% - Accent3 2 3 3 2 3" xfId="10037" xr:uid="{1E5568FD-ADCB-4C54-A976-C82D007BB790}"/>
    <cellStyle name="20% - Accent3 2 3 3 2 3 2" xfId="25450" xr:uid="{03DFC815-DB56-4C77-80E9-AD8DFC93DECE}"/>
    <cellStyle name="20% - Accent3 2 3 3 2 3 2 2" xfId="32428" xr:uid="{EEA9F802-09BE-477A-A387-489AA6C07343}"/>
    <cellStyle name="20% - Accent3 2 3 3 2 3 3" xfId="32427" xr:uid="{A8CFAB2B-E8E1-4510-8A94-2AECD5D98483}"/>
    <cellStyle name="20% - Accent3 2 3 3 2 4" xfId="17745" xr:uid="{006BB545-A50F-41F1-996C-3DFFEFEA9437}"/>
    <cellStyle name="20% - Accent3 2 3 3 2 4 2" xfId="32429" xr:uid="{ED288DF4-EC56-450D-9EF1-0D627CDF8E31}"/>
    <cellStyle name="20% - Accent3 2 3 3 2 5" xfId="32422" xr:uid="{7121535F-4793-4D6D-9663-4AB1194E5546}"/>
    <cellStyle name="20% - Accent3 2 3 3 3" xfId="4588" xr:uid="{CAE34637-873D-4DC9-B243-749B383BFEF7}"/>
    <cellStyle name="20% - Accent3 2 3 3 3 2" xfId="12296" xr:uid="{02B293B2-0235-4046-8878-F5FAD7BC3DFD}"/>
    <cellStyle name="20% - Accent3 2 3 3 3 2 2" xfId="27708" xr:uid="{E72DF14F-1546-4B43-97F4-40CB68B5B35A}"/>
    <cellStyle name="20% - Accent3 2 3 3 3 2 2 2" xfId="32432" xr:uid="{47739866-A4A4-46F5-9723-812DF765780D}"/>
    <cellStyle name="20% - Accent3 2 3 3 3 2 3" xfId="32431" xr:uid="{43A302A3-D321-4220-A37C-F44491D40544}"/>
    <cellStyle name="20% - Accent3 2 3 3 3 3" xfId="20003" xr:uid="{BB8B813C-A48B-4FF6-8825-D480444D40FD}"/>
    <cellStyle name="20% - Accent3 2 3 3 3 3 2" xfId="32433" xr:uid="{6935FCD3-AD47-4390-B415-4F65DDBB9B90}"/>
    <cellStyle name="20% - Accent3 2 3 3 3 4" xfId="32430" xr:uid="{EE3DD710-50AF-4509-9ABB-AF4402387B69}"/>
    <cellStyle name="20% - Accent3 2 3 3 4" xfId="8578" xr:uid="{16E6BD77-6C5B-4C1E-B30F-E8947D378752}"/>
    <cellStyle name="20% - Accent3 2 3 3 4 2" xfId="23991" xr:uid="{D055443B-D521-4687-B374-5616531FC7C2}"/>
    <cellStyle name="20% - Accent3 2 3 3 4 2 2" xfId="32435" xr:uid="{7A16FE68-9B2B-4103-AB4F-E2A92599B4DA}"/>
    <cellStyle name="20% - Accent3 2 3 3 4 3" xfId="32434" xr:uid="{607B85B8-2D0D-4A14-9A4A-671E58E72AB8}"/>
    <cellStyle name="20% - Accent3 2 3 3 5" xfId="16286" xr:uid="{B1ADDF48-5369-4D97-B19A-2693B1CBE610}"/>
    <cellStyle name="20% - Accent3 2 3 3 5 2" xfId="32436" xr:uid="{CB127FB7-47FF-4733-8D14-4AC5519B4D46}"/>
    <cellStyle name="20% - Accent3 2 3 3 6" xfId="32421" xr:uid="{F2876A73-270E-4DCE-9174-4C52BB2D532C}"/>
    <cellStyle name="20% - Accent3 2 3 4" xfId="1688" xr:uid="{56960834-93FD-487C-BA31-D7F215120E41}"/>
    <cellStyle name="20% - Accent3 2 3 4 2" xfId="5420" xr:uid="{D18C374F-17BB-4C80-B3D3-28D75E67BA9B}"/>
    <cellStyle name="20% - Accent3 2 3 4 2 2" xfId="13128" xr:uid="{77026589-98FB-41F1-8003-4C7CACFB0C17}"/>
    <cellStyle name="20% - Accent3 2 3 4 2 2 2" xfId="28540" xr:uid="{1A8E05E2-C296-4A27-BBFC-5DE088128B6E}"/>
    <cellStyle name="20% - Accent3 2 3 4 2 2 2 2" xfId="32440" xr:uid="{72B3D18D-84DC-421D-AB35-B9E8D6432711}"/>
    <cellStyle name="20% - Accent3 2 3 4 2 2 3" xfId="32439" xr:uid="{AD6B381A-82E1-4C29-ADC1-0AA3ABF65564}"/>
    <cellStyle name="20% - Accent3 2 3 4 2 3" xfId="20835" xr:uid="{1E697966-30F1-4FEE-93B5-0C747336B449}"/>
    <cellStyle name="20% - Accent3 2 3 4 2 3 2" xfId="32441" xr:uid="{E4834D0D-0BA7-4B36-A3F4-C3A9327A5506}"/>
    <cellStyle name="20% - Accent3 2 3 4 2 4" xfId="32438" xr:uid="{AEFE1F1A-7D21-425A-81BB-2D0A3C213894}"/>
    <cellStyle name="20% - Accent3 2 3 4 3" xfId="9399" xr:uid="{ED4194D5-75F2-4A0B-8E7F-39957AEDC516}"/>
    <cellStyle name="20% - Accent3 2 3 4 3 2" xfId="24812" xr:uid="{C5765049-5E21-4412-9A8B-E0AE42E47516}"/>
    <cellStyle name="20% - Accent3 2 3 4 3 2 2" xfId="32443" xr:uid="{4E56CDA1-FC99-45D1-9524-88F7F627DE80}"/>
    <cellStyle name="20% - Accent3 2 3 4 3 3" xfId="32442" xr:uid="{E75ACFD5-655A-4A4E-889A-2BCC69298093}"/>
    <cellStyle name="20% - Accent3 2 3 4 4" xfId="17107" xr:uid="{1F1A8553-0BA7-45C9-9D6F-B3C359BCC25F}"/>
    <cellStyle name="20% - Accent3 2 3 4 4 2" xfId="32444" xr:uid="{CCA7B841-58BD-41C1-AF7E-9A06939BAFE5}"/>
    <cellStyle name="20% - Accent3 2 3 4 5" xfId="32437" xr:uid="{9E21AFC5-6D5D-43A8-AF13-936928DFA5D6}"/>
    <cellStyle name="20% - Accent3 2 3 5" xfId="3936" xr:uid="{1C2C02CA-8597-49FB-B82A-972CE5C8ED40}"/>
    <cellStyle name="20% - Accent3 2 3 5 2" xfId="11644" xr:uid="{17905873-61A8-46DC-87DB-D9FD9317F14D}"/>
    <cellStyle name="20% - Accent3 2 3 5 2 2" xfId="27056" xr:uid="{CC040B51-DB0D-4912-96F2-8E324DC8B69D}"/>
    <cellStyle name="20% - Accent3 2 3 5 2 2 2" xfId="32447" xr:uid="{444644DB-BDF4-4056-9D0C-EEB837AD48F6}"/>
    <cellStyle name="20% - Accent3 2 3 5 2 3" xfId="32446" xr:uid="{7068CE5D-0303-432E-87D5-C669500A9C6E}"/>
    <cellStyle name="20% - Accent3 2 3 5 3" xfId="19351" xr:uid="{4C66967D-3330-4E24-82E3-52BCA812B9AA}"/>
    <cellStyle name="20% - Accent3 2 3 5 3 2" xfId="32448" xr:uid="{BB01E81A-35C3-44EE-9673-B2E3414A43C4}"/>
    <cellStyle name="20% - Accent3 2 3 5 4" xfId="32445" xr:uid="{04665C47-B5EE-4FAB-9876-04F34EDAF842}"/>
    <cellStyle name="20% - Accent3 2 3 6" xfId="7940" xr:uid="{A65644CA-49B5-4E44-97A9-F248AC9943C1}"/>
    <cellStyle name="20% - Accent3 2 3 6 2" xfId="23353" xr:uid="{1220AFD5-7AC6-4684-B9EA-4448CE0054D8}"/>
    <cellStyle name="20% - Accent3 2 3 6 2 2" xfId="32450" xr:uid="{8FAA4BEF-B32B-48CB-B4AB-CC05CCCE882A}"/>
    <cellStyle name="20% - Accent3 2 3 6 3" xfId="32449" xr:uid="{71B3F375-CA6E-495D-BB47-7715A9110BBB}"/>
    <cellStyle name="20% - Accent3 2 3 7" xfId="15648" xr:uid="{A8A71CB0-76D2-4720-A3E6-8571A41241D1}"/>
    <cellStyle name="20% - Accent3 2 3 7 2" xfId="32451" xr:uid="{171C0B92-5EBF-4D08-A311-90DC65D59648}"/>
    <cellStyle name="20% - Accent3 2 3 8" xfId="32388" xr:uid="{572120AB-1B91-4D4E-AE06-6BF5A15F0FB5}"/>
    <cellStyle name="20% - Accent3 2 4" xfId="341" xr:uid="{874E5D69-B56E-4C29-A966-C79844C4FEB9}"/>
    <cellStyle name="20% - Accent3 2 4 2" xfId="1004" xr:uid="{3FB1F6C3-81C5-48A8-8F10-61D23CFD0684}"/>
    <cellStyle name="20% - Accent3 2 4 2 2" xfId="2474" xr:uid="{63900AE0-0188-4A93-A2B0-6F6DDD5CF4B6}"/>
    <cellStyle name="20% - Accent3 2 4 2 2 2" xfId="6206" xr:uid="{7E808D41-CA0A-4793-B7B9-1860014DA378}"/>
    <cellStyle name="20% - Accent3 2 4 2 2 2 2" xfId="13914" xr:uid="{196871E2-D08C-4630-8138-3FFA7DF9899F}"/>
    <cellStyle name="20% - Accent3 2 4 2 2 2 2 2" xfId="29326" xr:uid="{E0DA9E1A-925A-426A-BF79-B7671C9E8D5F}"/>
    <cellStyle name="20% - Accent3 2 4 2 2 2 2 2 2" xfId="32457" xr:uid="{353328BB-6035-4D9D-B205-2E60FDE2E1ED}"/>
    <cellStyle name="20% - Accent3 2 4 2 2 2 2 3" xfId="32456" xr:uid="{9A78E088-AC93-40F0-94F7-8CC24FB22E33}"/>
    <cellStyle name="20% - Accent3 2 4 2 2 2 3" xfId="21621" xr:uid="{0F0A95FB-A927-46D1-9183-E52A60E83AE5}"/>
    <cellStyle name="20% - Accent3 2 4 2 2 2 3 2" xfId="32458" xr:uid="{0D673906-A3C0-42CC-A652-BA8173637CC4}"/>
    <cellStyle name="20% - Accent3 2 4 2 2 2 4" xfId="32455" xr:uid="{3F460539-8CE4-4EA2-AF52-BF591F320123}"/>
    <cellStyle name="20% - Accent3 2 4 2 2 3" xfId="10185" xr:uid="{3A027675-1746-4AFE-9A54-594E8D97A3AF}"/>
    <cellStyle name="20% - Accent3 2 4 2 2 3 2" xfId="25598" xr:uid="{B14B2E05-D142-4152-83F9-C7299CFC42E3}"/>
    <cellStyle name="20% - Accent3 2 4 2 2 3 2 2" xfId="32460" xr:uid="{C0CD84B4-C368-4002-A98A-F63215E62ECC}"/>
    <cellStyle name="20% - Accent3 2 4 2 2 3 3" xfId="32459" xr:uid="{703FC9C3-124F-4851-9540-64841640AD86}"/>
    <cellStyle name="20% - Accent3 2 4 2 2 4" xfId="17893" xr:uid="{CFEEEC02-31EF-4E9D-80E9-60160410D9DC}"/>
    <cellStyle name="20% - Accent3 2 4 2 2 4 2" xfId="32461" xr:uid="{2CD18402-FCA1-49A8-B924-DE5E89B9D9F7}"/>
    <cellStyle name="20% - Accent3 2 4 2 2 5" xfId="32454" xr:uid="{ECE2A2DA-A94F-4A54-A729-7E9D24242637}"/>
    <cellStyle name="20% - Accent3 2 4 2 3" xfId="4741" xr:uid="{EEC9B388-9EED-4F02-952A-2DEAFCE415B7}"/>
    <cellStyle name="20% - Accent3 2 4 2 3 2" xfId="12449" xr:uid="{15774A58-8875-4942-94FA-FE0FF7BFE90D}"/>
    <cellStyle name="20% - Accent3 2 4 2 3 2 2" xfId="27861" xr:uid="{78126DFF-957E-4330-B924-AD7FE3A8B36C}"/>
    <cellStyle name="20% - Accent3 2 4 2 3 2 2 2" xfId="32464" xr:uid="{37692E50-9ED6-47B8-B4E1-693CA8D08C42}"/>
    <cellStyle name="20% - Accent3 2 4 2 3 2 3" xfId="32463" xr:uid="{0F81D230-1E94-43AD-B732-01259EDA47EA}"/>
    <cellStyle name="20% - Accent3 2 4 2 3 3" xfId="20156" xr:uid="{1838E17E-1A4F-407F-8BA8-7EFE8B8F65E3}"/>
    <cellStyle name="20% - Accent3 2 4 2 3 3 2" xfId="32465" xr:uid="{A605A1CF-388B-456A-A19C-DB63D7ED6D6F}"/>
    <cellStyle name="20% - Accent3 2 4 2 3 4" xfId="32462" xr:uid="{14D05C21-F960-4967-9EF7-33BB6778757D}"/>
    <cellStyle name="20% - Accent3 2 4 2 4" xfId="8726" xr:uid="{D9B40CA8-F8C6-469D-B2B4-B9A5E9166D44}"/>
    <cellStyle name="20% - Accent3 2 4 2 4 2" xfId="24139" xr:uid="{FC1C6B15-D0AB-47F2-88D1-4FDFEAEA9BFD}"/>
    <cellStyle name="20% - Accent3 2 4 2 4 2 2" xfId="32467" xr:uid="{047A0CE6-FC7E-4AF1-BB03-D9FFA421AF7B}"/>
    <cellStyle name="20% - Accent3 2 4 2 4 3" xfId="32466" xr:uid="{6677DEF6-1625-472C-8D72-2F0986309E66}"/>
    <cellStyle name="20% - Accent3 2 4 2 5" xfId="16434" xr:uid="{CF4B29CA-0959-4E73-8F3F-32A9D32D4D54}"/>
    <cellStyle name="20% - Accent3 2 4 2 5 2" xfId="32468" xr:uid="{43F73B6A-1D6B-41D5-8806-FB3A2253B420}"/>
    <cellStyle name="20% - Accent3 2 4 2 6" xfId="32453" xr:uid="{996D35A1-61CE-4202-820C-89B2F2EB71FB}"/>
    <cellStyle name="20% - Accent3 2 4 3" xfId="1836" xr:uid="{69BF56D0-6066-4E63-BA12-D71F3CEE8708}"/>
    <cellStyle name="20% - Accent3 2 4 3 2" xfId="5568" xr:uid="{C4AE0088-4F92-4184-B1E3-74313028A1CC}"/>
    <cellStyle name="20% - Accent3 2 4 3 2 2" xfId="13276" xr:uid="{18CF223F-687C-467A-B268-58B2C4780422}"/>
    <cellStyle name="20% - Accent3 2 4 3 2 2 2" xfId="28688" xr:uid="{DDEF338C-4D68-46C1-9F0C-7C4AD008F6B8}"/>
    <cellStyle name="20% - Accent3 2 4 3 2 2 2 2" xfId="32472" xr:uid="{D2761047-26FB-490A-B91D-34E70030C50B}"/>
    <cellStyle name="20% - Accent3 2 4 3 2 2 3" xfId="32471" xr:uid="{ABCBF8C9-BEF2-4981-B889-B086A37FD673}"/>
    <cellStyle name="20% - Accent3 2 4 3 2 3" xfId="20983" xr:uid="{C21B4D05-1398-4837-8CC4-6BE4445EB536}"/>
    <cellStyle name="20% - Accent3 2 4 3 2 3 2" xfId="32473" xr:uid="{C6BB3C58-FE1A-4F87-8E1F-B56DEA0FF51A}"/>
    <cellStyle name="20% - Accent3 2 4 3 2 4" xfId="32470" xr:uid="{A56AFB86-53D9-4985-9014-3E3F4A1EC171}"/>
    <cellStyle name="20% - Accent3 2 4 3 3" xfId="9547" xr:uid="{8EE7F6C4-5BD6-45DD-8675-877D10E26A71}"/>
    <cellStyle name="20% - Accent3 2 4 3 3 2" xfId="24960" xr:uid="{D5272276-15B5-45B6-98B6-64FC97FBAE5B}"/>
    <cellStyle name="20% - Accent3 2 4 3 3 2 2" xfId="32475" xr:uid="{76781C3C-3D6B-41CE-8FBF-D1A74D6BBCDB}"/>
    <cellStyle name="20% - Accent3 2 4 3 3 3" xfId="32474" xr:uid="{DF8D0689-FA1F-44A1-8A20-AE895C0CA976}"/>
    <cellStyle name="20% - Accent3 2 4 3 4" xfId="17255" xr:uid="{FD5D708F-6C21-4E88-A826-4D3C01DFC165}"/>
    <cellStyle name="20% - Accent3 2 4 3 4 2" xfId="32476" xr:uid="{ACF10381-3E69-48DC-968B-1A1FCF4FDA4B}"/>
    <cellStyle name="20% - Accent3 2 4 3 5" xfId="32469" xr:uid="{D8012E25-E7F4-4867-BF1A-C5DD449C9F8A}"/>
    <cellStyle name="20% - Accent3 2 4 4" xfId="4089" xr:uid="{6D63D7ED-2931-412C-99AA-9FF349B4FC72}"/>
    <cellStyle name="20% - Accent3 2 4 4 2" xfId="11797" xr:uid="{A5C8AB5B-90C0-449D-AB79-957967D50B52}"/>
    <cellStyle name="20% - Accent3 2 4 4 2 2" xfId="27209" xr:uid="{F739E0E0-07E3-40E6-BE5C-EFD50A5F1743}"/>
    <cellStyle name="20% - Accent3 2 4 4 2 2 2" xfId="32479" xr:uid="{D59344C4-3B53-420C-B923-DE83721F1B33}"/>
    <cellStyle name="20% - Accent3 2 4 4 2 3" xfId="32478" xr:uid="{01BEB675-B134-400F-8952-7DC242B81AB2}"/>
    <cellStyle name="20% - Accent3 2 4 4 3" xfId="19504" xr:uid="{0166124D-390D-41BD-B287-F4DD7C45DCA9}"/>
    <cellStyle name="20% - Accent3 2 4 4 3 2" xfId="32480" xr:uid="{57024765-0D2C-4269-A94A-2D8FFDA1C5E4}"/>
    <cellStyle name="20% - Accent3 2 4 4 4" xfId="32477" xr:uid="{07C6A633-6BC1-43D3-A5F7-346FBD8386C0}"/>
    <cellStyle name="20% - Accent3 2 4 5" xfId="8088" xr:uid="{65336B91-5186-422B-8D9D-C89C6847B672}"/>
    <cellStyle name="20% - Accent3 2 4 5 2" xfId="23501" xr:uid="{1D5BC242-5F32-494B-8EB5-98ADBC813B55}"/>
    <cellStyle name="20% - Accent3 2 4 5 2 2" xfId="32482" xr:uid="{F7B61353-C241-428F-94D6-FE5BCAE8A2BE}"/>
    <cellStyle name="20% - Accent3 2 4 5 3" xfId="32481" xr:uid="{3B092D67-87DA-4358-B6DD-B73A2B123498}"/>
    <cellStyle name="20% - Accent3 2 4 6" xfId="15796" xr:uid="{CD372094-9D7F-4F6D-BB13-FCBFC960B9F7}"/>
    <cellStyle name="20% - Accent3 2 4 6 2" xfId="32483" xr:uid="{B3564146-15CB-4422-9765-54DCBC7B4D3A}"/>
    <cellStyle name="20% - Accent3 2 4 7" xfId="32452" xr:uid="{90BD9364-6F08-4EBE-AC67-F42C295BF7D1}"/>
    <cellStyle name="20% - Accent3 2 5" xfId="787" xr:uid="{3C33738C-C826-4284-9F1A-26A894D6938C}"/>
    <cellStyle name="20% - Accent3 2 5 2" xfId="2276" xr:uid="{27B7A8C1-F9CA-4290-9921-2C0B0CDC9550}"/>
    <cellStyle name="20% - Accent3 2 5 2 2" xfId="6008" xr:uid="{CE94B4FF-5EFA-43A5-A25F-37F4DC481322}"/>
    <cellStyle name="20% - Accent3 2 5 2 2 2" xfId="13716" xr:uid="{5DC4A5CF-551F-4D07-82E0-1471FFAA5B04}"/>
    <cellStyle name="20% - Accent3 2 5 2 2 2 2" xfId="29128" xr:uid="{4A78AE88-3277-412D-9D10-4BC34B785C74}"/>
    <cellStyle name="20% - Accent3 2 5 2 2 2 2 2" xfId="32488" xr:uid="{FB03B278-5EE0-4D34-835F-4A5824B68585}"/>
    <cellStyle name="20% - Accent3 2 5 2 2 2 3" xfId="32487" xr:uid="{DB8780EF-422D-40EA-A9B9-906CA940F4B7}"/>
    <cellStyle name="20% - Accent3 2 5 2 2 3" xfId="21423" xr:uid="{CE5BC534-973E-4585-8FF9-EDC231E2FF96}"/>
    <cellStyle name="20% - Accent3 2 5 2 2 3 2" xfId="32489" xr:uid="{6E2B01F1-63BC-4E74-88E0-C4EF19BA7D7C}"/>
    <cellStyle name="20% - Accent3 2 5 2 2 4" xfId="32486" xr:uid="{36F44635-6D97-4EF5-960F-BF84464AE9E4}"/>
    <cellStyle name="20% - Accent3 2 5 2 3" xfId="9987" xr:uid="{47CD6BFE-AD01-4503-B317-F6D8EF6BE7B4}"/>
    <cellStyle name="20% - Accent3 2 5 2 3 2" xfId="25400" xr:uid="{77B58FCC-7DA6-4FC1-A62D-E195925BE326}"/>
    <cellStyle name="20% - Accent3 2 5 2 3 2 2" xfId="32491" xr:uid="{55616375-6DBE-47A9-8C87-668801EDF474}"/>
    <cellStyle name="20% - Accent3 2 5 2 3 3" xfId="32490" xr:uid="{3FC7402D-09DA-4462-B642-0765F52B2CC9}"/>
    <cellStyle name="20% - Accent3 2 5 2 4" xfId="17695" xr:uid="{EBF4A0CD-2BFF-441A-B1E5-F41453F6E491}"/>
    <cellStyle name="20% - Accent3 2 5 2 4 2" xfId="32492" xr:uid="{401CAFF3-A448-415B-8F85-53F3EB4DC034}"/>
    <cellStyle name="20% - Accent3 2 5 2 5" xfId="32485" xr:uid="{CA8E6141-4D22-4B3E-891D-C8947B4D6E51}"/>
    <cellStyle name="20% - Accent3 2 5 3" xfId="4531" xr:uid="{CFB10B3D-EC17-4CBC-A4CA-637F5C507CA8}"/>
    <cellStyle name="20% - Accent3 2 5 3 2" xfId="12239" xr:uid="{7451D63D-59B6-408C-B411-3E3BA7C0EF34}"/>
    <cellStyle name="20% - Accent3 2 5 3 2 2" xfId="27651" xr:uid="{D159375D-2C46-4D6F-8900-449ACA82D05E}"/>
    <cellStyle name="20% - Accent3 2 5 3 2 2 2" xfId="32495" xr:uid="{E2BF3CF8-C692-4CB2-A0C4-F9F20142B8E3}"/>
    <cellStyle name="20% - Accent3 2 5 3 2 3" xfId="32494" xr:uid="{630E6093-1912-45E6-AFB7-956357BE540D}"/>
    <cellStyle name="20% - Accent3 2 5 3 3" xfId="19946" xr:uid="{57A3E33B-C4D0-4F6D-B4A2-D06CD301C6E5}"/>
    <cellStyle name="20% - Accent3 2 5 3 3 2" xfId="32496" xr:uid="{93B8DF98-7301-419D-BE0B-B6764D8A81CC}"/>
    <cellStyle name="20% - Accent3 2 5 3 4" xfId="32493" xr:uid="{A1CF70E8-420D-489E-BC59-394352B7D547}"/>
    <cellStyle name="20% - Accent3 2 5 4" xfId="8528" xr:uid="{99E5C71B-3509-45C5-9312-36CFDD8DBE20}"/>
    <cellStyle name="20% - Accent3 2 5 4 2" xfId="23941" xr:uid="{FB981BAD-69E7-4D8A-B1E4-6F688B958061}"/>
    <cellStyle name="20% - Accent3 2 5 4 2 2" xfId="32498" xr:uid="{1D6D0372-368E-4174-9EB3-ABCAB697DEBD}"/>
    <cellStyle name="20% - Accent3 2 5 4 3" xfId="32497" xr:uid="{8F09955C-D657-4EB3-B8D5-C21B98155A47}"/>
    <cellStyle name="20% - Accent3 2 5 5" xfId="16236" xr:uid="{D29A147E-7527-4CA4-A322-D290C8E620DB}"/>
    <cellStyle name="20% - Accent3 2 5 5 2" xfId="32499" xr:uid="{0846876E-2FAC-49B1-AC31-B56EBD47197D}"/>
    <cellStyle name="20% - Accent3 2 5 6" xfId="32484" xr:uid="{550129A5-0138-40AC-8250-558A87409003}"/>
    <cellStyle name="20% - Accent3 2 6" xfId="1634" xr:uid="{E33F4CD9-3BD4-4A1E-86F0-C4CCCFCF95F6}"/>
    <cellStyle name="20% - Accent3 2 6 2" xfId="5368" xr:uid="{F467B529-A938-4276-93A9-C780B8010E5E}"/>
    <cellStyle name="20% - Accent3 2 6 2 2" xfId="13076" xr:uid="{1686DAD7-209E-4C8D-8AFC-A6130F398806}"/>
    <cellStyle name="20% - Accent3 2 6 2 2 2" xfId="28488" xr:uid="{3C08B924-37C5-4134-8AD3-7F0207F3038C}"/>
    <cellStyle name="20% - Accent3 2 6 2 2 2 2" xfId="32503" xr:uid="{CF5D2D6F-9902-484A-93C7-714EEB4E7919}"/>
    <cellStyle name="20% - Accent3 2 6 2 2 3" xfId="32502" xr:uid="{85C9FA89-2120-4E94-A6E3-182FE99021A8}"/>
    <cellStyle name="20% - Accent3 2 6 2 3" xfId="20783" xr:uid="{AF4F35C1-7DFD-4740-AA5E-CC35875CBA90}"/>
    <cellStyle name="20% - Accent3 2 6 2 3 2" xfId="32504" xr:uid="{8C33EA46-5A60-4925-815A-88A5EA7775D7}"/>
    <cellStyle name="20% - Accent3 2 6 2 4" xfId="32501" xr:uid="{57EA84F6-B66D-4588-AC0C-779349D52400}"/>
    <cellStyle name="20% - Accent3 2 6 3" xfId="9349" xr:uid="{C19D6C09-1066-4068-8B18-3A0C01F33233}"/>
    <cellStyle name="20% - Accent3 2 6 3 2" xfId="24762" xr:uid="{93D7F8D7-B739-458F-A420-C051C80EC738}"/>
    <cellStyle name="20% - Accent3 2 6 3 2 2" xfId="32506" xr:uid="{7B89888D-5AB2-41CC-967E-50F5864FDC3C}"/>
    <cellStyle name="20% - Accent3 2 6 3 3" xfId="32505" xr:uid="{EE955FDB-32AD-4A58-AD8F-3F157C36AA10}"/>
    <cellStyle name="20% - Accent3 2 6 4" xfId="17057" xr:uid="{FC1B9B02-9022-4334-BEE0-877471BA8A8A}"/>
    <cellStyle name="20% - Accent3 2 6 4 2" xfId="32507" xr:uid="{E3F7E311-356F-4F01-A068-D8245DCAD0D5}"/>
    <cellStyle name="20% - Accent3 2 6 5" xfId="32500" xr:uid="{85DFFFE7-F2A0-4DD1-814B-650E1F30AD2A}"/>
    <cellStyle name="20% - Accent3 2 7" xfId="3878" xr:uid="{7BA24FCC-535D-4DF1-8861-DB439B81367D}"/>
    <cellStyle name="20% - Accent3 2 7 2" xfId="11587" xr:uid="{A3D122FC-F1C4-4558-8BFA-2EE1691CD3F2}"/>
    <cellStyle name="20% - Accent3 2 7 2 2" xfId="26999" xr:uid="{ECB73D88-4D9E-4AC5-9236-84A8135A8C40}"/>
    <cellStyle name="20% - Accent3 2 7 2 2 2" xfId="32510" xr:uid="{A0C06F43-B1C3-4BCC-915B-CA5F618375F3}"/>
    <cellStyle name="20% - Accent3 2 7 2 3" xfId="32509" xr:uid="{9374367A-D911-49E9-94D4-A1E2D85F881B}"/>
    <cellStyle name="20% - Accent3 2 7 3" xfId="19294" xr:uid="{2C2D7F47-E021-47B5-BB0F-77B6709FB949}"/>
    <cellStyle name="20% - Accent3 2 7 3 2" xfId="32511" xr:uid="{4348133F-444E-4481-8A1D-7284702DECC5}"/>
    <cellStyle name="20% - Accent3 2 7 4" xfId="32508" xr:uid="{E4A11331-2209-4036-BB8B-B14F9244A2FD}"/>
    <cellStyle name="20% - Accent3 2 8" xfId="7872" xr:uid="{133BABD6-8004-4D00-B907-E79158B14590}"/>
    <cellStyle name="20% - Accent3 2 8 2" xfId="23285" xr:uid="{8A183559-2D5E-4A7A-80D8-5BD3100040C0}"/>
    <cellStyle name="20% - Accent3 2 8 2 2" xfId="32513" xr:uid="{39FB1DBD-A759-47EF-94B0-A6427B224C8C}"/>
    <cellStyle name="20% - Accent3 2 8 3" xfId="32512" xr:uid="{A8CB82E3-C583-43DE-8B3D-1A03F6DCD0E3}"/>
    <cellStyle name="20% - Accent3 2 9" xfId="15580" xr:uid="{CD2B1FCC-12FE-4C84-A3E5-680BD3BB9427}"/>
    <cellStyle name="20% - Accent3 2 9 2" xfId="32514" xr:uid="{EE7D6843-6A06-4CED-93BE-2D9CBD7B34FC}"/>
    <cellStyle name="20% - Accent3 20" xfId="3603" xr:uid="{A7C8C7F2-7A7E-43EC-8B02-4C5B6F77AD21}"/>
    <cellStyle name="20% - Accent3 20 2" xfId="7334" xr:uid="{32634DAD-548C-4B63-9307-54D3D6A5611A}"/>
    <cellStyle name="20% - Accent3 20 2 2" xfId="15042" xr:uid="{602A1EDF-A0E7-4CF9-97F2-6392F6163D0E}"/>
    <cellStyle name="20% - Accent3 20 2 2 2" xfId="30454" xr:uid="{ED5E3CAF-34D7-45E2-BC96-2C9C73BB4F8F}"/>
    <cellStyle name="20% - Accent3 20 2 2 2 2" xfId="32518" xr:uid="{E389E4C5-7F6B-43BA-A66C-6BA54264431F}"/>
    <cellStyle name="20% - Accent3 20 2 2 3" xfId="32517" xr:uid="{6FC61F21-3161-455B-978A-8326033973BC}"/>
    <cellStyle name="20% - Accent3 20 2 3" xfId="22749" xr:uid="{14D1C9E7-B673-4B37-B385-CA26A6836BAE}"/>
    <cellStyle name="20% - Accent3 20 2 3 2" xfId="32519" xr:uid="{421C9AE1-375A-4562-8BE2-1D5D4A37613D}"/>
    <cellStyle name="20% - Accent3 20 2 4" xfId="32516" xr:uid="{C3557E73-3713-4B0A-B01E-EE6C256080A5}"/>
    <cellStyle name="20% - Accent3 20 3" xfId="11313" xr:uid="{EB5774E8-49EE-4137-8069-7AAF3731D61C}"/>
    <cellStyle name="20% - Accent3 20 3 2" xfId="26726" xr:uid="{E06AB1C7-0694-439E-97B1-63BB694DCA62}"/>
    <cellStyle name="20% - Accent3 20 3 2 2" xfId="32521" xr:uid="{25902607-C0A2-4FA2-B7D1-48880F35F416}"/>
    <cellStyle name="20% - Accent3 20 3 3" xfId="32520" xr:uid="{16A391D0-A870-4C49-8298-9655FC65FE8C}"/>
    <cellStyle name="20% - Accent3 20 4" xfId="19021" xr:uid="{F681C365-F65A-4660-9A62-EBA510DBB371}"/>
    <cellStyle name="20% - Accent3 20 4 2" xfId="32522" xr:uid="{59DBAFC3-1C5A-4789-8C70-379C9833C036}"/>
    <cellStyle name="20% - Accent3 20 5" xfId="32515" xr:uid="{4458531B-6FCB-43F8-8A3E-D1911C44EA8D}"/>
    <cellStyle name="20% - Accent3 21" xfId="3623" xr:uid="{4021BC6C-DD20-459E-9696-73F606FE2C6A}"/>
    <cellStyle name="20% - Accent3 21 2" xfId="7354" xr:uid="{DE8DED6D-3A16-453E-AFA2-6A2717CDAB6B}"/>
    <cellStyle name="20% - Accent3 21 2 2" xfId="15062" xr:uid="{24663E30-E19B-4FD4-9801-69D0D40E1B36}"/>
    <cellStyle name="20% - Accent3 21 2 2 2" xfId="30474" xr:uid="{FD8B12D0-116A-4631-A5E2-361E03DE405A}"/>
    <cellStyle name="20% - Accent3 21 2 2 2 2" xfId="32526" xr:uid="{FA8B383E-5DE2-4165-8E36-2EC508ABD144}"/>
    <cellStyle name="20% - Accent3 21 2 2 3" xfId="32525" xr:uid="{A2C0FE6C-10C1-4317-B0BD-3426699783B9}"/>
    <cellStyle name="20% - Accent3 21 2 3" xfId="22769" xr:uid="{2DAC43CF-D691-437C-8DCC-05D7B0683FDC}"/>
    <cellStyle name="20% - Accent3 21 2 3 2" xfId="32527" xr:uid="{C5076CA9-A91A-445C-969B-BCC3730ED33B}"/>
    <cellStyle name="20% - Accent3 21 2 4" xfId="32524" xr:uid="{CCF5F073-DC73-4359-8FB9-D8636F56E179}"/>
    <cellStyle name="20% - Accent3 21 3" xfId="11333" xr:uid="{2B9B29A5-AA3F-4DB2-BF5A-13915AAE8194}"/>
    <cellStyle name="20% - Accent3 21 3 2" xfId="26746" xr:uid="{D2695515-2971-4727-9CF3-1C4EC33F2076}"/>
    <cellStyle name="20% - Accent3 21 3 2 2" xfId="32529" xr:uid="{CBB64A0B-CA45-4FD4-BFE1-36991F57A96F}"/>
    <cellStyle name="20% - Accent3 21 3 3" xfId="32528" xr:uid="{610FEA1E-54FC-4E36-8640-6F240A963B4A}"/>
    <cellStyle name="20% - Accent3 21 4" xfId="19041" xr:uid="{A94098A7-832F-448F-A862-504F0C5E3CBA}"/>
    <cellStyle name="20% - Accent3 21 4 2" xfId="32530" xr:uid="{83457449-8591-4265-98CF-AB80C4E268E1}"/>
    <cellStyle name="20% - Accent3 21 5" xfId="32523" xr:uid="{098D3487-3863-40DB-B724-9D5ED625F232}"/>
    <cellStyle name="20% - Accent3 22" xfId="3643" xr:uid="{1B6E6252-6D6D-4D96-806D-8B8F54C7EAB6}"/>
    <cellStyle name="20% - Accent3 22 2" xfId="7374" xr:uid="{EF3C9487-07A5-48BB-913D-1583B1E2D502}"/>
    <cellStyle name="20% - Accent3 22 2 2" xfId="15082" xr:uid="{BE150AEB-B277-4948-9815-E3468A947511}"/>
    <cellStyle name="20% - Accent3 22 2 2 2" xfId="30494" xr:uid="{078D344E-461F-4236-BBC3-82AA4BBA0BA4}"/>
    <cellStyle name="20% - Accent3 22 2 2 2 2" xfId="32534" xr:uid="{127960B4-3D70-4025-9686-642F11EE8618}"/>
    <cellStyle name="20% - Accent3 22 2 2 3" xfId="32533" xr:uid="{CA5596B9-D705-43E4-8CDF-2B394E46CC9B}"/>
    <cellStyle name="20% - Accent3 22 2 3" xfId="22789" xr:uid="{73A743A4-2293-4A96-B360-1287B8EF85EE}"/>
    <cellStyle name="20% - Accent3 22 2 3 2" xfId="32535" xr:uid="{03E138B0-B481-4642-89AE-789391A6D5D3}"/>
    <cellStyle name="20% - Accent3 22 2 4" xfId="32532" xr:uid="{A087F455-08F7-42BD-8696-FABC28BD9AB2}"/>
    <cellStyle name="20% - Accent3 22 3" xfId="11353" xr:uid="{42946620-5595-4B4A-BE44-24BB02041204}"/>
    <cellStyle name="20% - Accent3 22 3 2" xfId="26766" xr:uid="{9705CA73-59D1-4508-BF05-5301061EBDE5}"/>
    <cellStyle name="20% - Accent3 22 3 2 2" xfId="32537" xr:uid="{09ADF765-EE3C-45EE-AD97-B5E0BC2C0E71}"/>
    <cellStyle name="20% - Accent3 22 3 3" xfId="32536" xr:uid="{B2AEC763-D188-45CD-8153-0708D1D0EF0A}"/>
    <cellStyle name="20% - Accent3 22 4" xfId="19061" xr:uid="{8B3204D3-D701-44D8-8920-2CA435F0EBC2}"/>
    <cellStyle name="20% - Accent3 22 4 2" xfId="32538" xr:uid="{579FE7A0-04C9-455B-8CFF-A246C53810F3}"/>
    <cellStyle name="20% - Accent3 22 5" xfId="32531" xr:uid="{915E982C-8AB1-4993-8792-E1B78EC449A8}"/>
    <cellStyle name="20% - Accent3 23" xfId="3663" xr:uid="{9D48519A-FE50-483F-BBDE-0320B2F1D911}"/>
    <cellStyle name="20% - Accent3 23 2" xfId="7394" xr:uid="{15D3B807-52C0-4263-A71F-8EE1592FC875}"/>
    <cellStyle name="20% - Accent3 23 2 2" xfId="15102" xr:uid="{E182820C-810E-433C-9735-189EC80E68C5}"/>
    <cellStyle name="20% - Accent3 23 2 2 2" xfId="30514" xr:uid="{CCA05C29-C3C2-45C4-93EC-DE4F63F10272}"/>
    <cellStyle name="20% - Accent3 23 2 2 2 2" xfId="32542" xr:uid="{98DA33CD-A7B3-49FE-8E87-6D9976AFFF86}"/>
    <cellStyle name="20% - Accent3 23 2 2 3" xfId="32541" xr:uid="{E0998B2C-54B9-45DB-817C-CFD911F89CD4}"/>
    <cellStyle name="20% - Accent3 23 2 3" xfId="22809" xr:uid="{C577B336-B18A-4A4B-A1D8-A054EEDE6E65}"/>
    <cellStyle name="20% - Accent3 23 2 3 2" xfId="32543" xr:uid="{4DC91D43-EF96-44BA-A0CB-487E917CBD83}"/>
    <cellStyle name="20% - Accent3 23 2 4" xfId="32540" xr:uid="{7071096A-B54B-46CB-A0BD-AC22E8E90556}"/>
    <cellStyle name="20% - Accent3 23 3" xfId="11373" xr:uid="{41BB2841-9BE5-4AF6-9B5B-6A73C5813D9B}"/>
    <cellStyle name="20% - Accent3 23 3 2" xfId="26786" xr:uid="{B84FDDBF-A72C-4516-AB21-FBBF4E7DB0DD}"/>
    <cellStyle name="20% - Accent3 23 3 2 2" xfId="32545" xr:uid="{34F396AF-926F-4D4D-927D-63067794243E}"/>
    <cellStyle name="20% - Accent3 23 3 3" xfId="32544" xr:uid="{9962ADFF-B6AC-43E1-8798-FA5C93FF1AFD}"/>
    <cellStyle name="20% - Accent3 23 4" xfId="19081" xr:uid="{800313CF-ECA4-4053-ADF4-AB081E5BF87D}"/>
    <cellStyle name="20% - Accent3 23 4 2" xfId="32546" xr:uid="{7B8395DC-2E7F-4355-ACA8-945C3FBFC675}"/>
    <cellStyle name="20% - Accent3 23 5" xfId="32539" xr:uid="{D015D6E9-75B0-4415-812D-357322093A4E}"/>
    <cellStyle name="20% - Accent3 24" xfId="3683" xr:uid="{353E510C-18EC-4BBA-A39B-918002284DDB}"/>
    <cellStyle name="20% - Accent3 24 2" xfId="7414" xr:uid="{A31007A1-6D7A-4EC3-838B-B42AB81CCD95}"/>
    <cellStyle name="20% - Accent3 24 2 2" xfId="15122" xr:uid="{2DD4E702-67D8-4516-A33E-E3B1D54A8A7C}"/>
    <cellStyle name="20% - Accent3 24 2 2 2" xfId="30534" xr:uid="{89A8146F-F4C1-4894-9F28-8AE957E238A3}"/>
    <cellStyle name="20% - Accent3 24 2 2 2 2" xfId="32550" xr:uid="{254B8F73-4506-48C5-A25C-EB71E6712B23}"/>
    <cellStyle name="20% - Accent3 24 2 2 3" xfId="32549" xr:uid="{96674DEF-FE04-4C67-8679-3C75E1F1DF0C}"/>
    <cellStyle name="20% - Accent3 24 2 3" xfId="22829" xr:uid="{7B5569E7-A47A-4EDA-BBF3-224D0A7EA8FD}"/>
    <cellStyle name="20% - Accent3 24 2 3 2" xfId="32551" xr:uid="{319CC33F-E145-42F6-BCB0-6457D7A2906D}"/>
    <cellStyle name="20% - Accent3 24 2 4" xfId="32548" xr:uid="{C7D544BC-8C50-43AD-94AD-7F6C66739BC6}"/>
    <cellStyle name="20% - Accent3 24 3" xfId="11393" xr:uid="{BB6E04F4-F8C9-483D-AF98-9CFDF9822D1A}"/>
    <cellStyle name="20% - Accent3 24 3 2" xfId="26806" xr:uid="{AE36809C-6FFA-425B-87C1-B06212E2834A}"/>
    <cellStyle name="20% - Accent3 24 3 2 2" xfId="32553" xr:uid="{4AA0AD96-1052-41D2-8D9B-9A94FDCEE8C5}"/>
    <cellStyle name="20% - Accent3 24 3 3" xfId="32552" xr:uid="{7AB6FC11-B9A7-490A-8ACD-C593879075D9}"/>
    <cellStyle name="20% - Accent3 24 4" xfId="19101" xr:uid="{AB779994-BAD7-43CD-A360-58FB9C70AE9D}"/>
    <cellStyle name="20% - Accent3 24 4 2" xfId="32554" xr:uid="{2CDF7BB5-5025-493C-BCB5-6C84842B514E}"/>
    <cellStyle name="20% - Accent3 24 5" xfId="32547" xr:uid="{D06F8A6E-0A1C-4BDD-B612-FEDC177AF770}"/>
    <cellStyle name="20% - Accent3 25" xfId="3703" xr:uid="{3ED5E2EA-EC25-4610-9E25-306E6E6343BF}"/>
    <cellStyle name="20% - Accent3 25 2" xfId="7434" xr:uid="{3397CD13-E029-4F42-83BD-C217AD4656E9}"/>
    <cellStyle name="20% - Accent3 25 2 2" xfId="15142" xr:uid="{813492EA-8321-422E-B72C-F3CCA03B8FDF}"/>
    <cellStyle name="20% - Accent3 25 2 2 2" xfId="30554" xr:uid="{FCBA84A7-395C-433A-96E9-9B65D0440428}"/>
    <cellStyle name="20% - Accent3 25 2 2 2 2" xfId="32558" xr:uid="{4590F9AB-0F4A-45E8-8748-D1F84C4C790D}"/>
    <cellStyle name="20% - Accent3 25 2 2 3" xfId="32557" xr:uid="{22C8CBF7-99B8-47B2-BCB4-F4355EEFC34E}"/>
    <cellStyle name="20% - Accent3 25 2 3" xfId="22849" xr:uid="{0D8457EC-F176-48F8-B068-B12CE56456CC}"/>
    <cellStyle name="20% - Accent3 25 2 3 2" xfId="32559" xr:uid="{CF60BE71-F5C2-4BF2-B362-6F6956EB0C01}"/>
    <cellStyle name="20% - Accent3 25 2 4" xfId="32556" xr:uid="{2326BE8A-C0A0-45B6-BE32-C9094AF511C4}"/>
    <cellStyle name="20% - Accent3 25 3" xfId="11413" xr:uid="{04889D6A-CA8F-4AAA-86AF-2B414C8A281F}"/>
    <cellStyle name="20% - Accent3 25 3 2" xfId="26826" xr:uid="{3D13C31F-3855-4D21-9181-42663F18FF9C}"/>
    <cellStyle name="20% - Accent3 25 3 2 2" xfId="32561" xr:uid="{F68EC9DC-2747-4F2F-B100-C2586056F542}"/>
    <cellStyle name="20% - Accent3 25 3 3" xfId="32560" xr:uid="{60A6B791-AD73-4691-94EC-EEABC85AB236}"/>
    <cellStyle name="20% - Accent3 25 4" xfId="19121" xr:uid="{DE112504-2F90-43F6-86F9-91C8A541E7E7}"/>
    <cellStyle name="20% - Accent3 25 4 2" xfId="32562" xr:uid="{77C4994E-8678-4518-A2D9-85F5AE670C31}"/>
    <cellStyle name="20% - Accent3 25 5" xfId="32555" xr:uid="{10C418B5-2F2E-41F6-A25C-32483C0B083F}"/>
    <cellStyle name="20% - Accent3 26" xfId="3723" xr:uid="{5A10E203-ECC8-4D8F-8B2E-93880721C313}"/>
    <cellStyle name="20% - Accent3 26 2" xfId="7454" xr:uid="{3280804A-D6E5-4472-BEB1-3E21056B2C7F}"/>
    <cellStyle name="20% - Accent3 26 2 2" xfId="15162" xr:uid="{F49511DF-03CC-4A06-8E56-FCA3D993B17A}"/>
    <cellStyle name="20% - Accent3 26 2 2 2" xfId="30574" xr:uid="{2E73A113-200B-44FC-BB18-3F56FCF21CCA}"/>
    <cellStyle name="20% - Accent3 26 2 2 2 2" xfId="32566" xr:uid="{9B1640E9-8A76-46C0-87FA-515A2291A8DB}"/>
    <cellStyle name="20% - Accent3 26 2 2 3" xfId="32565" xr:uid="{048392A3-7A22-4DFE-876D-A4F361F6A18D}"/>
    <cellStyle name="20% - Accent3 26 2 3" xfId="22869" xr:uid="{21BBCFEF-4970-459F-A86F-815142412BFE}"/>
    <cellStyle name="20% - Accent3 26 2 3 2" xfId="32567" xr:uid="{8C6A9C2E-C0A6-4481-8942-40EA0330789C}"/>
    <cellStyle name="20% - Accent3 26 2 4" xfId="32564" xr:uid="{26467532-F26B-4D8E-AFFD-349D02223C04}"/>
    <cellStyle name="20% - Accent3 26 3" xfId="11433" xr:uid="{2745667D-EAA2-4734-8836-52533EE99071}"/>
    <cellStyle name="20% - Accent3 26 3 2" xfId="26846" xr:uid="{2EB583FC-BE07-40FE-8C62-EE340342D22B}"/>
    <cellStyle name="20% - Accent3 26 3 2 2" xfId="32569" xr:uid="{B1769942-17B3-4570-BCCA-836C5FE110A5}"/>
    <cellStyle name="20% - Accent3 26 3 3" xfId="32568" xr:uid="{01FE9CA7-C2F9-4B0B-8650-26F206B87191}"/>
    <cellStyle name="20% - Accent3 26 4" xfId="19141" xr:uid="{EAC39D75-88EB-4678-9562-84F0C4CA0856}"/>
    <cellStyle name="20% - Accent3 26 4 2" xfId="32570" xr:uid="{9F15B325-3A81-4CAA-80EE-C7F6E2E05BC1}"/>
    <cellStyle name="20% - Accent3 26 5" xfId="32563" xr:uid="{DC54645D-31BF-4162-9A28-5B48B10372A5}"/>
    <cellStyle name="20% - Accent3 27" xfId="3743" xr:uid="{0652E99A-9CD2-4DBE-862C-41956053EEB0}"/>
    <cellStyle name="20% - Accent3 27 2" xfId="7474" xr:uid="{2EDBAC34-435D-488C-A998-60D24CD041C5}"/>
    <cellStyle name="20% - Accent3 27 2 2" xfId="15182" xr:uid="{1B6F0FF1-92FB-4AF6-8502-851EA664B3D9}"/>
    <cellStyle name="20% - Accent3 27 2 2 2" xfId="30594" xr:uid="{DDC1C2AF-114B-4E8C-A67A-6C7B8CF5EFDC}"/>
    <cellStyle name="20% - Accent3 27 2 2 2 2" xfId="32574" xr:uid="{7D9D8059-BC19-4F07-B2D5-DE927DAB7632}"/>
    <cellStyle name="20% - Accent3 27 2 2 3" xfId="32573" xr:uid="{0F34E316-725E-4A7F-A481-19F52E43F79F}"/>
    <cellStyle name="20% - Accent3 27 2 3" xfId="22889" xr:uid="{5F56A5C8-DCAE-434B-BD2B-1F4F745F975D}"/>
    <cellStyle name="20% - Accent3 27 2 3 2" xfId="32575" xr:uid="{521259CC-5CB0-40E4-9EA1-A73898FA9577}"/>
    <cellStyle name="20% - Accent3 27 2 4" xfId="32572" xr:uid="{65B5B3A2-916C-4A79-B9CB-B812F1BE700D}"/>
    <cellStyle name="20% - Accent3 27 3" xfId="11453" xr:uid="{222AB83F-E395-45DB-9EE4-A00D18C28FA1}"/>
    <cellStyle name="20% - Accent3 27 3 2" xfId="26866" xr:uid="{92481FFB-2870-4A5D-8519-F3EE295AC0B5}"/>
    <cellStyle name="20% - Accent3 27 3 2 2" xfId="32577" xr:uid="{B78C2262-1869-4878-BD92-A6F875F0D79A}"/>
    <cellStyle name="20% - Accent3 27 3 3" xfId="32576" xr:uid="{1E40CA60-10FD-4FE8-A671-2CD858C16854}"/>
    <cellStyle name="20% - Accent3 27 4" xfId="19161" xr:uid="{49B577B0-55F5-4741-9449-E84015FE57A7}"/>
    <cellStyle name="20% - Accent3 27 4 2" xfId="32578" xr:uid="{05392CDB-897D-4EE2-BDFF-FBA19C359475}"/>
    <cellStyle name="20% - Accent3 27 5" xfId="32571" xr:uid="{76D772A9-1E37-4963-8B3D-A2451047C301}"/>
    <cellStyle name="20% - Accent3 28" xfId="3763" xr:uid="{F47A16B5-29FB-47B9-80A2-034DA506FCFC}"/>
    <cellStyle name="20% - Accent3 28 2" xfId="7494" xr:uid="{27AD780D-B43B-4527-9A9D-0E0D09B20FE9}"/>
    <cellStyle name="20% - Accent3 28 2 2" xfId="15202" xr:uid="{9BB45D89-6603-4473-A612-C0576DAB1D35}"/>
    <cellStyle name="20% - Accent3 28 2 2 2" xfId="30614" xr:uid="{3BE41425-264F-43C3-A47D-9E50A28BE6B9}"/>
    <cellStyle name="20% - Accent3 28 2 2 2 2" xfId="32582" xr:uid="{E724F1B7-9BD2-401B-AE92-D2F2132B8DB4}"/>
    <cellStyle name="20% - Accent3 28 2 2 3" xfId="32581" xr:uid="{5565631C-BF8F-46DE-BDD7-2AD1D4CED3A7}"/>
    <cellStyle name="20% - Accent3 28 2 3" xfId="22909" xr:uid="{2DDD3F8E-1F2C-4FB6-B889-F71346E52B70}"/>
    <cellStyle name="20% - Accent3 28 2 3 2" xfId="32583" xr:uid="{1AA1C18D-0009-433F-A754-063E047FAD5D}"/>
    <cellStyle name="20% - Accent3 28 2 4" xfId="32580" xr:uid="{8E1EED8C-A61D-411F-A11D-C06233712833}"/>
    <cellStyle name="20% - Accent3 28 3" xfId="11473" xr:uid="{38B1C81D-F756-4FC8-9106-6B0A215E554F}"/>
    <cellStyle name="20% - Accent3 28 3 2" xfId="26886" xr:uid="{4A839B88-21DE-420C-97E6-C1BEE4AE27CE}"/>
    <cellStyle name="20% - Accent3 28 3 2 2" xfId="32585" xr:uid="{4C207D1A-7FA7-4BA4-B1CD-72EF59DB243A}"/>
    <cellStyle name="20% - Accent3 28 3 3" xfId="32584" xr:uid="{4F03BCEE-A838-4BE2-9191-14462BCC6C93}"/>
    <cellStyle name="20% - Accent3 28 4" xfId="19181" xr:uid="{A6A3D163-2F0B-4AAC-8AD8-B05956693E82}"/>
    <cellStyle name="20% - Accent3 28 4 2" xfId="32586" xr:uid="{1B711FBE-7B29-4CAE-A4E2-5930627FB644}"/>
    <cellStyle name="20% - Accent3 28 5" xfId="32579" xr:uid="{6482818C-379F-422C-A06C-694DAC0B7F5D}"/>
    <cellStyle name="20% - Accent3 29" xfId="3783" xr:uid="{0332B059-14D7-4477-BCC7-B91858D9710E}"/>
    <cellStyle name="20% - Accent3 29 2" xfId="7514" xr:uid="{C60042E9-1129-4AB0-ADEF-09C986A70D56}"/>
    <cellStyle name="20% - Accent3 29 2 2" xfId="15222" xr:uid="{D4327615-406A-49C1-856B-16E2CC4784E7}"/>
    <cellStyle name="20% - Accent3 29 2 2 2" xfId="30634" xr:uid="{5A99993C-208F-4F14-907F-E9B1F7ACE467}"/>
    <cellStyle name="20% - Accent3 29 2 2 2 2" xfId="32590" xr:uid="{A9746E04-AD3F-4D8B-B11D-F35D1E91EBB7}"/>
    <cellStyle name="20% - Accent3 29 2 2 3" xfId="32589" xr:uid="{810E89C5-92D4-4872-8B63-78B2C181245F}"/>
    <cellStyle name="20% - Accent3 29 2 3" xfId="22929" xr:uid="{ED3619F0-5212-4E9F-9C74-03B51E0968D1}"/>
    <cellStyle name="20% - Accent3 29 2 3 2" xfId="32591" xr:uid="{270791EB-913A-4D45-A5AB-1A2119D28D26}"/>
    <cellStyle name="20% - Accent3 29 2 4" xfId="32588" xr:uid="{9A7984DC-A588-40B7-9019-FBCC1ABDF781}"/>
    <cellStyle name="20% - Accent3 29 3" xfId="11493" xr:uid="{CF636276-8E92-4E98-90A9-838A6A9D63B9}"/>
    <cellStyle name="20% - Accent3 29 3 2" xfId="26906" xr:uid="{99B8A911-641E-45E7-8338-60E4AE9DFF93}"/>
    <cellStyle name="20% - Accent3 29 3 2 2" xfId="32593" xr:uid="{EF21A7C4-F388-4786-BF40-47E118652EE2}"/>
    <cellStyle name="20% - Accent3 29 3 3" xfId="32592" xr:uid="{6E4A1ADF-1149-44EE-A8DB-F072282A093C}"/>
    <cellStyle name="20% - Accent3 29 4" xfId="19201" xr:uid="{915F464F-880B-4541-B401-8D9339966149}"/>
    <cellStyle name="20% - Accent3 29 4 2" xfId="32594" xr:uid="{9BEDFD6F-D3CF-4560-A5EB-C9DF7FF4EDC3}"/>
    <cellStyle name="20% - Accent3 29 5" xfId="32587" xr:uid="{4C693F16-09F1-49E4-8357-77030770FEBE}"/>
    <cellStyle name="20% - Accent3 3" xfId="326" xr:uid="{5EF49821-5326-4206-8686-199E18C26BD9}"/>
    <cellStyle name="20% - Accent3 3 2" xfId="990" xr:uid="{19690BBA-8BE0-4BDB-B857-E713DD07C3FE}"/>
    <cellStyle name="20% - Accent3 3 2 2" xfId="2460" xr:uid="{E8AEECB0-0905-4F2E-AF51-E9F19CEF6C29}"/>
    <cellStyle name="20% - Accent3 3 2 2 2" xfId="6192" xr:uid="{7FDA6097-50DD-4281-BE56-19819F96317C}"/>
    <cellStyle name="20% - Accent3 3 2 2 2 2" xfId="13900" xr:uid="{6C979F26-69C2-4B26-99B0-512735D2E4D6}"/>
    <cellStyle name="20% - Accent3 3 2 2 2 2 2" xfId="29312" xr:uid="{1DE28C2E-4385-4D83-ACFD-F7914F8212E6}"/>
    <cellStyle name="20% - Accent3 3 2 2 2 2 2 2" xfId="32600" xr:uid="{03D5BF0D-31DA-40B7-8063-D32B4CE4C8AD}"/>
    <cellStyle name="20% - Accent3 3 2 2 2 2 3" xfId="32599" xr:uid="{F2FB2273-6CAE-465D-9CD5-757DB65AC200}"/>
    <cellStyle name="20% - Accent3 3 2 2 2 3" xfId="21607" xr:uid="{2DA4F78F-03FA-4F80-B1F5-D487C666F51F}"/>
    <cellStyle name="20% - Accent3 3 2 2 2 3 2" xfId="32601" xr:uid="{F5ECEAF4-4AE5-4394-9DFB-40EC9496B618}"/>
    <cellStyle name="20% - Accent3 3 2 2 2 4" xfId="32598" xr:uid="{00042B2E-8C8D-4A94-AD0F-AD16FC06BACC}"/>
    <cellStyle name="20% - Accent3 3 2 2 3" xfId="10171" xr:uid="{EAE12AA3-E317-473A-83B6-DEA1A5DAD86A}"/>
    <cellStyle name="20% - Accent3 3 2 2 3 2" xfId="25584" xr:uid="{463639BF-EE07-4F08-8ECD-957865F74212}"/>
    <cellStyle name="20% - Accent3 3 2 2 3 2 2" xfId="32603" xr:uid="{2079DDD0-8DC2-46A4-92AF-5B103217E796}"/>
    <cellStyle name="20% - Accent3 3 2 2 3 3" xfId="32602" xr:uid="{9AA13905-27EC-49C2-8A67-DE64CD32E517}"/>
    <cellStyle name="20% - Accent3 3 2 2 4" xfId="17879" xr:uid="{0EF8BF86-5A80-46FC-AEA7-8EB8FD6A74BC}"/>
    <cellStyle name="20% - Accent3 3 2 2 4 2" xfId="32604" xr:uid="{E9F5661D-F858-40B6-8DA2-855A9621E529}"/>
    <cellStyle name="20% - Accent3 3 2 2 5" xfId="32597" xr:uid="{AD3B8057-6BA6-4B85-A82C-4B6C18B9AD2A}"/>
    <cellStyle name="20% - Accent3 3 2 3" xfId="4727" xr:uid="{001067D6-C648-4731-A702-8EB541F161E3}"/>
    <cellStyle name="20% - Accent3 3 2 3 2" xfId="12435" xr:uid="{EE5A4629-EC3E-4374-B530-7C690D9FB593}"/>
    <cellStyle name="20% - Accent3 3 2 3 2 2" xfId="27847" xr:uid="{492F95A7-BD28-4A23-830C-32861CE85378}"/>
    <cellStyle name="20% - Accent3 3 2 3 2 2 2" xfId="32607" xr:uid="{82D78E57-E18B-46F7-8826-CCDCF46E76CC}"/>
    <cellStyle name="20% - Accent3 3 2 3 2 3" xfId="32606" xr:uid="{404D2078-9167-427B-A454-5E443073C327}"/>
    <cellStyle name="20% - Accent3 3 2 3 3" xfId="20142" xr:uid="{E9EEC1A1-0E5C-4508-9804-B1511E237755}"/>
    <cellStyle name="20% - Accent3 3 2 3 3 2" xfId="32608" xr:uid="{35BF2EAF-F0D5-426D-BB2C-F99AE51199B4}"/>
    <cellStyle name="20% - Accent3 3 2 3 4" xfId="32605" xr:uid="{0FB37C1C-2CB4-4EA0-82EB-917BFDCEABCE}"/>
    <cellStyle name="20% - Accent3 3 2 4" xfId="8712" xr:uid="{4D7E2693-2D22-464A-A206-8ADDA891CD23}"/>
    <cellStyle name="20% - Accent3 3 2 4 2" xfId="24125" xr:uid="{4D6A9829-ECC8-44E1-8285-94A771E84643}"/>
    <cellStyle name="20% - Accent3 3 2 4 2 2" xfId="32610" xr:uid="{3CEBD1B9-0B1B-4883-8646-0F7BE0F40D36}"/>
    <cellStyle name="20% - Accent3 3 2 4 3" xfId="32609" xr:uid="{40F8F86A-AB4C-4242-91E3-BB149009234B}"/>
    <cellStyle name="20% - Accent3 3 2 5" xfId="16420" xr:uid="{4E0A4260-7450-4CA6-90B7-E28E2BC2898C}"/>
    <cellStyle name="20% - Accent3 3 2 5 2" xfId="32611" xr:uid="{8CA21A4A-58CC-4DDF-BDD3-3C6A6C84F2A0}"/>
    <cellStyle name="20% - Accent3 3 2 6" xfId="32596" xr:uid="{847F3CEE-0EDC-4A97-A4A3-5390C66820EF}"/>
    <cellStyle name="20% - Accent3 3 3" xfId="1822" xr:uid="{03DAF311-9785-4FD7-AB3E-14AA5F19EC17}"/>
    <cellStyle name="20% - Accent3 3 3 2" xfId="5554" xr:uid="{6E3DFE76-3E0D-43A9-B250-5D9E1C4A722D}"/>
    <cellStyle name="20% - Accent3 3 3 2 2" xfId="13262" xr:uid="{F04D0EB9-3121-4E22-9DD3-3FBFF5787CB7}"/>
    <cellStyle name="20% - Accent3 3 3 2 2 2" xfId="28674" xr:uid="{DA82DB00-167C-4366-82EE-5EBA3359F8CA}"/>
    <cellStyle name="20% - Accent3 3 3 2 2 2 2" xfId="32615" xr:uid="{4961C5A1-5ADF-45B0-ACA8-01AD24DEF31E}"/>
    <cellStyle name="20% - Accent3 3 3 2 2 3" xfId="32614" xr:uid="{5CE76EDC-892A-4D26-880D-D1F6C2F3418B}"/>
    <cellStyle name="20% - Accent3 3 3 2 3" xfId="20969" xr:uid="{C34EE006-0F8E-453B-9910-DBDC075CFF22}"/>
    <cellStyle name="20% - Accent3 3 3 2 3 2" xfId="32616" xr:uid="{C160284D-D960-48D3-90C8-CE2E571B4F1B}"/>
    <cellStyle name="20% - Accent3 3 3 2 4" xfId="32613" xr:uid="{BBDA389C-929A-4A57-868E-EC84B0EDC4DA}"/>
    <cellStyle name="20% - Accent3 3 3 3" xfId="9533" xr:uid="{79541AE5-0903-4BD4-8A2A-24EA345D21B2}"/>
    <cellStyle name="20% - Accent3 3 3 3 2" xfId="24946" xr:uid="{5CBF3BF7-3522-4636-8289-85FF5402B70B}"/>
    <cellStyle name="20% - Accent3 3 3 3 2 2" xfId="32618" xr:uid="{F4358BF1-3341-4380-A828-AC0BE029488B}"/>
    <cellStyle name="20% - Accent3 3 3 3 3" xfId="32617" xr:uid="{E4939346-B914-4F44-9EA5-8C79B58314EE}"/>
    <cellStyle name="20% - Accent3 3 3 4" xfId="17241" xr:uid="{E022C1DD-69BA-4B74-ACB9-9CD05252E617}"/>
    <cellStyle name="20% - Accent3 3 3 4 2" xfId="32619" xr:uid="{593BB92D-ACB5-44C3-9C3D-50241DFD4CAC}"/>
    <cellStyle name="20% - Accent3 3 3 5" xfId="32612" xr:uid="{B863039A-EBD6-49AF-AA73-548E5BBEA7FB}"/>
    <cellStyle name="20% - Accent3 3 4" xfId="4075" xr:uid="{36853BB2-B08D-4B00-927C-15A772D0B91F}"/>
    <cellStyle name="20% - Accent3 3 4 2" xfId="11783" xr:uid="{CD6A0D14-CDEA-412D-887E-B168EBD5FE13}"/>
    <cellStyle name="20% - Accent3 3 4 2 2" xfId="27195" xr:uid="{67CE022B-7FD6-4786-A368-559C85A6C03E}"/>
    <cellStyle name="20% - Accent3 3 4 2 2 2" xfId="32622" xr:uid="{FA4F9C91-CB46-4799-8B30-5A1B4DFAC591}"/>
    <cellStyle name="20% - Accent3 3 4 2 3" xfId="32621" xr:uid="{C6D0AE58-B641-41EE-9ABB-80C7FE8E4FDF}"/>
    <cellStyle name="20% - Accent3 3 4 3" xfId="19490" xr:uid="{C37FBB7A-8DF8-420D-B20B-838E83D6BD2B}"/>
    <cellStyle name="20% - Accent3 3 4 3 2" xfId="32623" xr:uid="{0734C2CB-5046-472B-9FF5-B0DC127D46D6}"/>
    <cellStyle name="20% - Accent3 3 4 4" xfId="32620" xr:uid="{6D925E7C-0260-4EC0-ACED-80E505720E6D}"/>
    <cellStyle name="20% - Accent3 3 5" xfId="8074" xr:uid="{A75B6290-B550-4774-AA0C-D6B1B82142AA}"/>
    <cellStyle name="20% - Accent3 3 5 2" xfId="23487" xr:uid="{042CCCAB-069C-42AA-835B-7F744C5BF8AF}"/>
    <cellStyle name="20% - Accent3 3 5 2 2" xfId="32625" xr:uid="{E99510C7-17C7-4CEE-9304-130AB5F8A296}"/>
    <cellStyle name="20% - Accent3 3 5 3" xfId="32624" xr:uid="{B523AFA6-7458-4430-B2EA-F39C7EC61FC2}"/>
    <cellStyle name="20% - Accent3 3 6" xfId="15782" xr:uid="{4ABA7C8D-F727-4875-BF94-F111ABA4A4E3}"/>
    <cellStyle name="20% - Accent3 3 6 2" xfId="32626" xr:uid="{D206DBC9-C5BA-4CAD-8D2A-C09BE199EA0D}"/>
    <cellStyle name="20% - Accent3 3 7" xfId="32595" xr:uid="{2C6A6718-1C39-4C06-B276-E5CA48A4CC1E}"/>
    <cellStyle name="20% - Accent3 30" xfId="3803" xr:uid="{D12A8256-9DE5-4D2D-870F-16E126BCD5D0}"/>
    <cellStyle name="20% - Accent3 30 2" xfId="7534" xr:uid="{D04E3B27-5B21-48FF-8DF6-FFE260856AC7}"/>
    <cellStyle name="20% - Accent3 30 2 2" xfId="15242" xr:uid="{64BAAE6A-5395-4F88-B638-BA93E774DFCB}"/>
    <cellStyle name="20% - Accent3 30 2 2 2" xfId="30654" xr:uid="{31A2023F-E04C-477B-AA7D-FB9D247E2E15}"/>
    <cellStyle name="20% - Accent3 30 2 2 2 2" xfId="32630" xr:uid="{21BED8A9-6F89-4910-A43C-AA9AC185E200}"/>
    <cellStyle name="20% - Accent3 30 2 2 3" xfId="32629" xr:uid="{0C94AB36-6FA8-4F9F-835B-7843BA35D4AB}"/>
    <cellStyle name="20% - Accent3 30 2 3" xfId="22949" xr:uid="{BB62810A-AA06-4A7F-9889-D66778A010F1}"/>
    <cellStyle name="20% - Accent3 30 2 3 2" xfId="32631" xr:uid="{96FD5DC7-42F9-48A1-8E50-0E5D3CA75D9F}"/>
    <cellStyle name="20% - Accent3 30 2 4" xfId="32628" xr:uid="{39169C7A-233B-431F-BAE6-0A1B3DD98879}"/>
    <cellStyle name="20% - Accent3 30 3" xfId="11513" xr:uid="{388F8F7D-46B8-4555-923C-36E047DC8978}"/>
    <cellStyle name="20% - Accent3 30 3 2" xfId="26926" xr:uid="{7DA18B3D-3598-48A0-8C9D-B3BBB2B87640}"/>
    <cellStyle name="20% - Accent3 30 3 2 2" xfId="32633" xr:uid="{4C08FD74-C67C-43C6-8234-43FC7821C312}"/>
    <cellStyle name="20% - Accent3 30 3 3" xfId="32632" xr:uid="{D11BE419-D883-4DEF-A417-D83FD7F8F276}"/>
    <cellStyle name="20% - Accent3 30 4" xfId="19221" xr:uid="{DF980FEB-6C23-418E-89F0-FB1440BE5A02}"/>
    <cellStyle name="20% - Accent3 30 4 2" xfId="32634" xr:uid="{E01B5825-6413-4256-8EE0-63BB3631F290}"/>
    <cellStyle name="20% - Accent3 30 5" xfId="32627" xr:uid="{DC74646A-5791-409F-804D-5E696086C6D8}"/>
    <cellStyle name="20% - Accent3 31" xfId="3823" xr:uid="{0C3ADB9B-52FE-4344-9C1D-1C610DD3BA7F}"/>
    <cellStyle name="20% - Accent3 31 2" xfId="7554" xr:uid="{8A02453B-38E6-4C49-8074-ED338D351B23}"/>
    <cellStyle name="20% - Accent3 31 2 2" xfId="15262" xr:uid="{FD4BCC55-D278-4133-AE25-73CDFE4B5F1F}"/>
    <cellStyle name="20% - Accent3 31 2 2 2" xfId="30674" xr:uid="{335EDF31-932B-48BB-9C72-3622C79B0258}"/>
    <cellStyle name="20% - Accent3 31 2 2 2 2" xfId="32638" xr:uid="{017D7BE7-F0B9-4E81-9823-6059843F9CC5}"/>
    <cellStyle name="20% - Accent3 31 2 2 3" xfId="32637" xr:uid="{7A129E88-B4E1-4BFE-A9AE-BB156981898A}"/>
    <cellStyle name="20% - Accent3 31 2 3" xfId="22969" xr:uid="{41C63129-A4EC-482D-80F4-D0860030CC0B}"/>
    <cellStyle name="20% - Accent3 31 2 3 2" xfId="32639" xr:uid="{B554957C-B659-4A97-801A-826FA59B4C34}"/>
    <cellStyle name="20% - Accent3 31 2 4" xfId="32636" xr:uid="{4801CF73-CE73-4A6E-8E8E-BFE6A310BC01}"/>
    <cellStyle name="20% - Accent3 31 3" xfId="11533" xr:uid="{5D260CDF-AE43-4A85-A7B0-6DCAED1E445D}"/>
    <cellStyle name="20% - Accent3 31 3 2" xfId="26946" xr:uid="{47F0B602-98B3-4453-8F29-6B714A8BDFA1}"/>
    <cellStyle name="20% - Accent3 31 3 2 2" xfId="32641" xr:uid="{ECD03104-FC11-4C0F-B7EE-00AEDF3A2AF5}"/>
    <cellStyle name="20% - Accent3 31 3 3" xfId="32640" xr:uid="{52EFC123-9E18-48DD-AA39-A8B3BEEA2893}"/>
    <cellStyle name="20% - Accent3 31 4" xfId="19241" xr:uid="{805F7EEF-D741-4730-AD5B-CD5D21E82603}"/>
    <cellStyle name="20% - Accent3 31 4 2" xfId="32642" xr:uid="{A6C6D21C-3768-4EB5-87F2-969697B9C7CF}"/>
    <cellStyle name="20% - Accent3 31 5" xfId="32635" xr:uid="{94D8C184-CE09-4F38-98DE-8F0DD41A7527}"/>
    <cellStyle name="20% - Accent3 32" xfId="3844" xr:uid="{A22E45B2-D258-4933-8E22-41D4D42447F0}"/>
    <cellStyle name="20% - Accent3 32 2" xfId="7574" xr:uid="{BE114176-8931-48E9-8AA5-E8793A249255}"/>
    <cellStyle name="20% - Accent3 32 2 2" xfId="15282" xr:uid="{2BBCACAC-EAAB-4A63-B145-BC60DB86B194}"/>
    <cellStyle name="20% - Accent3 32 2 2 2" xfId="30694" xr:uid="{34F54F9B-4F50-4BBD-B82C-E6B00796C128}"/>
    <cellStyle name="20% - Accent3 32 2 2 2 2" xfId="32646" xr:uid="{1B954736-F9B2-418D-A8FC-09365CBB4782}"/>
    <cellStyle name="20% - Accent3 32 2 2 3" xfId="32645" xr:uid="{78638999-6ABE-4723-A674-A2587BE18AE5}"/>
    <cellStyle name="20% - Accent3 32 2 3" xfId="22989" xr:uid="{C5A0068A-8BF6-4E4C-B4B8-950F7329FEC9}"/>
    <cellStyle name="20% - Accent3 32 2 3 2" xfId="32647" xr:uid="{8EC59AAD-9624-45EB-BA88-CBB6B5D6D598}"/>
    <cellStyle name="20% - Accent3 32 2 4" xfId="32644" xr:uid="{2F3DCFF3-34BF-4C23-A08F-DC39DAB70689}"/>
    <cellStyle name="20% - Accent3 32 3" xfId="11554" xr:uid="{30022C7C-A1E0-4AA5-AD94-982CB70BA545}"/>
    <cellStyle name="20% - Accent3 32 3 2" xfId="26966" xr:uid="{5255712D-4C38-4AA5-B8D5-0270AC67C229}"/>
    <cellStyle name="20% - Accent3 32 3 2 2" xfId="32649" xr:uid="{14404965-B4F5-4CD7-BD79-1582CB504B3B}"/>
    <cellStyle name="20% - Accent3 32 3 3" xfId="32648" xr:uid="{C6F6858B-8115-4C49-BC27-E60B520F6B9A}"/>
    <cellStyle name="20% - Accent3 32 4" xfId="19261" xr:uid="{2FCEEC5B-A854-4627-A555-7E5F911F601C}"/>
    <cellStyle name="20% - Accent3 32 4 2" xfId="32650" xr:uid="{41B95008-EAC5-452B-9CA9-9624C707762C}"/>
    <cellStyle name="20% - Accent3 32 5" xfId="32643" xr:uid="{4709857C-F614-4DDB-ACA5-6E784A547121}"/>
    <cellStyle name="20% - Accent3 33" xfId="3863" xr:uid="{08157B2F-B6D2-47B5-991A-0898F8296936}"/>
    <cellStyle name="20% - Accent3 33 2" xfId="11573" xr:uid="{98C655DB-C02A-40A5-BD90-E2C720F6DC93}"/>
    <cellStyle name="20% - Accent3 33 2 2" xfId="26985" xr:uid="{C5F579AF-6AC3-45BC-BD84-1D386E69F7A5}"/>
    <cellStyle name="20% - Accent3 33 2 2 2" xfId="32653" xr:uid="{CCC9A81C-FFF6-48F4-8745-D6CF567E4A3D}"/>
    <cellStyle name="20% - Accent3 33 2 3" xfId="32652" xr:uid="{F60432C1-D2EB-400E-8E1A-165677F413CC}"/>
    <cellStyle name="20% - Accent3 33 3" xfId="19280" xr:uid="{8FAD5072-2668-46CE-B628-B9980F82412B}"/>
    <cellStyle name="20% - Accent3 33 3 2" xfId="32654" xr:uid="{5BB357FA-AF5F-439B-81A0-AB9446BD7AF9}"/>
    <cellStyle name="20% - Accent3 33 4" xfId="32651" xr:uid="{194F7307-3A1E-42CB-AD95-B345E97C610F}"/>
    <cellStyle name="20% - Accent3 34" xfId="7594" xr:uid="{D5591981-0A5D-4D82-A648-20A690537EAF}"/>
    <cellStyle name="20% - Accent3 34 2" xfId="15302" xr:uid="{BBC30F32-6571-4AB7-A015-B7DBA50EC9CF}"/>
    <cellStyle name="20% - Accent3 34 2 2" xfId="30714" xr:uid="{698CC7F6-ED9E-48A7-B918-2F0F450F2F4A}"/>
    <cellStyle name="20% - Accent3 34 2 2 2" xfId="32657" xr:uid="{4F55A828-618C-4E1C-8FF4-DC97E13D49DE}"/>
    <cellStyle name="20% - Accent3 34 2 3" xfId="32656" xr:uid="{952B4CB6-B82E-4FA6-A35D-9C1D87F7198E}"/>
    <cellStyle name="20% - Accent3 34 3" xfId="23009" xr:uid="{7F96C1B0-8DA5-4F77-B2F8-9B22FFCF81E3}"/>
    <cellStyle name="20% - Accent3 34 3 2" xfId="32658" xr:uid="{3B183D1A-61F9-44C4-922A-4650B4E160A0}"/>
    <cellStyle name="20% - Accent3 34 4" xfId="32655" xr:uid="{1CFE11C5-E814-4A9F-B0FF-6BDF22BDF62A}"/>
    <cellStyle name="20% - Accent3 35" xfId="7614" xr:uid="{8F6553E6-5858-4F2D-B2C7-A51DFA221D65}"/>
    <cellStyle name="20% - Accent3 35 2" xfId="15322" xr:uid="{6F8FE5AC-F9DD-4ED8-926B-29704C8E6200}"/>
    <cellStyle name="20% - Accent3 35 2 2" xfId="30734" xr:uid="{AC9E7951-F371-4BF8-9602-09924E0BB82B}"/>
    <cellStyle name="20% - Accent3 35 2 2 2" xfId="32661" xr:uid="{5F354257-4D2D-4A51-AE87-132A511A2C92}"/>
    <cellStyle name="20% - Accent3 35 2 3" xfId="32660" xr:uid="{D2F298D4-0272-462D-B948-7F8C46694B6C}"/>
    <cellStyle name="20% - Accent3 35 3" xfId="23029" xr:uid="{B1A20076-99C2-4CE4-95CA-FDA4053CA543}"/>
    <cellStyle name="20% - Accent3 35 3 2" xfId="32662" xr:uid="{9E2F6033-3402-42B5-B14C-AB7D27497AEF}"/>
    <cellStyle name="20% - Accent3 35 4" xfId="32659" xr:uid="{0B9BF949-2FD4-443D-A74C-6CCD743DD99A}"/>
    <cellStyle name="20% - Accent3 36" xfId="7634" xr:uid="{A649EA0B-BFF2-4003-9C1C-ACDE303174E8}"/>
    <cellStyle name="20% - Accent3 36 2" xfId="15342" xr:uid="{CB9D4CC7-5561-4142-89FA-E684A149F10B}"/>
    <cellStyle name="20% - Accent3 36 2 2" xfId="30754" xr:uid="{EEAC70C5-27B0-4926-9880-A9A50B84CB5D}"/>
    <cellStyle name="20% - Accent3 36 2 2 2" xfId="32665" xr:uid="{BFDD3B4F-A18F-4263-A77D-587067950331}"/>
    <cellStyle name="20% - Accent3 36 2 3" xfId="32664" xr:uid="{99834AC6-46FB-4E92-BF87-9FC9188F8915}"/>
    <cellStyle name="20% - Accent3 36 3" xfId="23049" xr:uid="{D88BB332-02E3-4F95-B108-2A209580065B}"/>
    <cellStyle name="20% - Accent3 36 3 2" xfId="32666" xr:uid="{DE288519-EF7A-41E0-8B7D-D765DC52155F}"/>
    <cellStyle name="20% - Accent3 36 4" xfId="32663" xr:uid="{81DA440E-AD3E-4C2A-86CA-DCD8743BDF92}"/>
    <cellStyle name="20% - Accent3 37" xfId="7654" xr:uid="{5260083F-F510-43D7-B641-6D40E6CAA296}"/>
    <cellStyle name="20% - Accent3 37 2" xfId="15362" xr:uid="{E127AAD4-43C8-4C9C-ADB7-B40AC5F2F075}"/>
    <cellStyle name="20% - Accent3 37 2 2" xfId="30774" xr:uid="{8D81C606-67E3-401E-9779-7F83777EF7CE}"/>
    <cellStyle name="20% - Accent3 37 2 2 2" xfId="32669" xr:uid="{A622FF0C-0219-427C-A16A-177185AA7BAF}"/>
    <cellStyle name="20% - Accent3 37 2 3" xfId="32668" xr:uid="{EAC7039A-1010-40AC-A0C0-F99350E55E04}"/>
    <cellStyle name="20% - Accent3 37 3" xfId="23069" xr:uid="{7F2D015A-B116-48A0-B0B9-DABD14F6A6A3}"/>
    <cellStyle name="20% - Accent3 37 3 2" xfId="32670" xr:uid="{7BA192A2-DAFC-437E-8D58-A3DE97575B1A}"/>
    <cellStyle name="20% - Accent3 37 4" xfId="32667" xr:uid="{FCC6934A-11A6-462F-A699-2D704C2B33FB}"/>
    <cellStyle name="20% - Accent3 38" xfId="7674" xr:uid="{8622E354-AE16-4B6F-B86C-5EACD903833A}"/>
    <cellStyle name="20% - Accent3 38 2" xfId="15382" xr:uid="{9D280DE7-F7B3-4A14-8338-D429FAB7C89A}"/>
    <cellStyle name="20% - Accent3 38 2 2" xfId="30794" xr:uid="{50FE728F-7A08-4D64-A7A7-69CED827A6FB}"/>
    <cellStyle name="20% - Accent3 38 2 2 2" xfId="32673" xr:uid="{EE2B78D9-C6A5-498D-B620-F716A1359116}"/>
    <cellStyle name="20% - Accent3 38 2 3" xfId="32672" xr:uid="{31A0C3F1-36CD-4133-BAB5-C6C4C7784BCD}"/>
    <cellStyle name="20% - Accent3 38 3" xfId="23089" xr:uid="{BC365851-6843-415D-9226-647F496F910D}"/>
    <cellStyle name="20% - Accent3 38 3 2" xfId="32674" xr:uid="{C3EA2A07-66D6-446A-82E3-DEF23C5A6CEF}"/>
    <cellStyle name="20% - Accent3 38 4" xfId="32671" xr:uid="{91C25E46-BD1C-44E7-A518-2F55974BF5CA}"/>
    <cellStyle name="20% - Accent3 39" xfId="7694" xr:uid="{5EB30906-E113-4050-B8E3-2E1279EBA0FD}"/>
    <cellStyle name="20% - Accent3 39 2" xfId="15402" xr:uid="{4646C1CB-87EA-4031-8EEF-CA27AD6FF2A0}"/>
    <cellStyle name="20% - Accent3 39 2 2" xfId="30814" xr:uid="{0D15E58E-F4B9-4F99-8951-972F69ADC23B}"/>
    <cellStyle name="20% - Accent3 39 2 2 2" xfId="32677" xr:uid="{8890DF96-8397-461C-AC46-8BC9AA5F0580}"/>
    <cellStyle name="20% - Accent3 39 2 3" xfId="32676" xr:uid="{1B4BD7A0-DB50-4AE1-8F64-92B5082DB3FE}"/>
    <cellStyle name="20% - Accent3 39 3" xfId="23109" xr:uid="{AB52B94B-3691-4834-B346-46278AD82B7A}"/>
    <cellStyle name="20% - Accent3 39 3 2" xfId="32678" xr:uid="{BFB3B545-66D7-43A5-B1E1-0A0568B906B9}"/>
    <cellStyle name="20% - Accent3 39 4" xfId="32675" xr:uid="{3A6BE077-0193-4D81-BF00-CC30D3BB397E}"/>
    <cellStyle name="20% - Accent3 4" xfId="1619" xr:uid="{B4D3FA9E-6FCD-42B7-A250-75CBA68C201A}"/>
    <cellStyle name="20% - Accent3 4 2" xfId="5354" xr:uid="{6EA585FC-6DAF-4227-8A60-6CCCBB11C679}"/>
    <cellStyle name="20% - Accent3 4 2 2" xfId="13062" xr:uid="{A1B315A2-4CDD-4918-B842-7638339D3FB7}"/>
    <cellStyle name="20% - Accent3 4 2 2 2" xfId="28474" xr:uid="{14610957-4217-4B5B-9149-6003F59D6E73}"/>
    <cellStyle name="20% - Accent3 4 2 2 2 2" xfId="32682" xr:uid="{60A819A5-128D-4D63-BD86-3CFA88D40C65}"/>
    <cellStyle name="20% - Accent3 4 2 2 3" xfId="32681" xr:uid="{90E79FD2-FA42-4798-AFA6-3EF7D1E54801}"/>
    <cellStyle name="20% - Accent3 4 2 3" xfId="20769" xr:uid="{79612596-C5F0-40C0-80E5-AC6D3636B751}"/>
    <cellStyle name="20% - Accent3 4 2 3 2" xfId="32683" xr:uid="{8C11B81B-1585-4BD5-B3F8-37DED49EC653}"/>
    <cellStyle name="20% - Accent3 4 2 4" xfId="32680" xr:uid="{C84EBB8D-3C8C-49A4-9280-A4173A270B81}"/>
    <cellStyle name="20% - Accent3 4 3" xfId="9335" xr:uid="{C4D557F8-7FF6-4C51-B50A-FAB5A6C8C237}"/>
    <cellStyle name="20% - Accent3 4 3 2" xfId="24748" xr:uid="{BEC75524-CB84-4DC1-A8FF-590C933FE353}"/>
    <cellStyle name="20% - Accent3 4 3 2 2" xfId="32685" xr:uid="{898A277B-4B72-4C9A-A40B-9957EA484F0A}"/>
    <cellStyle name="20% - Accent3 4 3 3" xfId="32684" xr:uid="{39E314A6-C3B5-4DC8-82E1-09FE1B98AED0}"/>
    <cellStyle name="20% - Accent3 4 4" xfId="17043" xr:uid="{00B38267-EFD1-41F4-9143-B0207608F4D1}"/>
    <cellStyle name="20% - Accent3 4 4 2" xfId="32686" xr:uid="{2473A842-4F6E-4133-8BF7-7C4D8625C4CF}"/>
    <cellStyle name="20% - Accent3 4 5" xfId="32679" xr:uid="{15C30660-54E1-4549-85A4-CCB47B0AB211}"/>
    <cellStyle name="20% - Accent3 40" xfId="7714" xr:uid="{009A36D3-2746-442F-ACF9-A1523542C5F4}"/>
    <cellStyle name="20% - Accent3 40 2" xfId="15422" xr:uid="{324456BD-6B8F-4980-A91A-1D389353EE45}"/>
    <cellStyle name="20% - Accent3 40 2 2" xfId="30834" xr:uid="{B085F17B-1B8A-4A46-9414-F7D3324152C0}"/>
    <cellStyle name="20% - Accent3 40 2 2 2" xfId="32689" xr:uid="{06EABB77-3EF3-4340-98A6-B350485E393E}"/>
    <cellStyle name="20% - Accent3 40 2 3" xfId="32688" xr:uid="{E3D450D1-99F9-4012-9FA1-505B9191AA23}"/>
    <cellStyle name="20% - Accent3 40 3" xfId="23129" xr:uid="{69EC535F-8C45-4BAC-B048-6D59CC8B33DC}"/>
    <cellStyle name="20% - Accent3 40 3 2" xfId="32690" xr:uid="{8E02ED34-8EFB-4E6B-A13A-2A580A68B225}"/>
    <cellStyle name="20% - Accent3 40 4" xfId="32687" xr:uid="{929C6AAE-9FDD-4F5E-8C65-30D584FD9D5C}"/>
    <cellStyle name="20% - Accent3 41" xfId="7734" xr:uid="{31A3DDCE-1DFD-46D8-BF35-3B9B647F8DDB}"/>
    <cellStyle name="20% - Accent3 41 2" xfId="15442" xr:uid="{9B9B6D90-912F-4755-A9AD-2306F61796B0}"/>
    <cellStyle name="20% - Accent3 41 2 2" xfId="30854" xr:uid="{E1BA0453-ACFD-41D6-92A7-F32485E4B091}"/>
    <cellStyle name="20% - Accent3 41 2 2 2" xfId="32693" xr:uid="{7DDBF1C5-1ACE-49E0-B182-4355FA615AFB}"/>
    <cellStyle name="20% - Accent3 41 2 3" xfId="32692" xr:uid="{2CD0496B-5F54-4EDC-A7FA-FD141AE41D25}"/>
    <cellStyle name="20% - Accent3 41 3" xfId="23149" xr:uid="{BF83E848-8F61-4F2C-8634-F6C437C53EBF}"/>
    <cellStyle name="20% - Accent3 41 3 2" xfId="32694" xr:uid="{F8E77D19-B536-4420-8050-38019F86FD14}"/>
    <cellStyle name="20% - Accent3 41 4" xfId="32691" xr:uid="{E98B4F31-F39D-45B8-8CE1-31CA834C4714}"/>
    <cellStyle name="20% - Accent3 42" xfId="7754" xr:uid="{F76C017F-5406-4515-A3E0-8E25AE0EAD95}"/>
    <cellStyle name="20% - Accent3 42 2" xfId="15462" xr:uid="{410045F2-D9F0-4D4B-8101-B3CA1BC28E49}"/>
    <cellStyle name="20% - Accent3 42 2 2" xfId="30874" xr:uid="{1A1A1C04-7AF7-4B64-BD9A-60A9158FD346}"/>
    <cellStyle name="20% - Accent3 42 2 2 2" xfId="32697" xr:uid="{5C8AD103-7C6A-47A2-BD8D-99F8B40A7DAA}"/>
    <cellStyle name="20% - Accent3 42 2 3" xfId="32696" xr:uid="{033BB3F0-65DD-4DD4-AAF9-CF54894B2AAE}"/>
    <cellStyle name="20% - Accent3 42 3" xfId="23169" xr:uid="{2A0BEA67-3C2B-42CA-91CD-5D663678D1BD}"/>
    <cellStyle name="20% - Accent3 42 3 2" xfId="32698" xr:uid="{D0DE08B5-81FD-4FAF-9F1E-9B840EDAAAA9}"/>
    <cellStyle name="20% - Accent3 42 4" xfId="32695" xr:uid="{0592E666-B02C-46BC-82C0-9F3EF5473866}"/>
    <cellStyle name="20% - Accent3 43" xfId="7774" xr:uid="{B53F38A0-4AF6-45A7-8CBE-58CA27C81A04}"/>
    <cellStyle name="20% - Accent3 43 2" xfId="15482" xr:uid="{4AE445FB-824B-4D6B-8543-80895C477C1C}"/>
    <cellStyle name="20% - Accent3 43 2 2" xfId="30894" xr:uid="{80EA6096-87A0-4DFE-9992-39CD0021B27E}"/>
    <cellStyle name="20% - Accent3 43 2 2 2" xfId="32701" xr:uid="{D2DCF5B7-FA8F-49DC-B951-357735636793}"/>
    <cellStyle name="20% - Accent3 43 2 3" xfId="32700" xr:uid="{6068BD22-D14C-4275-BE17-46CC1E5BED98}"/>
    <cellStyle name="20% - Accent3 43 3" xfId="23189" xr:uid="{A4F49B31-20D1-45DE-860E-5449255AECDA}"/>
    <cellStyle name="20% - Accent3 43 3 2" xfId="32702" xr:uid="{A7DAE2BA-0DFE-45C7-950B-267A96BC4304}"/>
    <cellStyle name="20% - Accent3 43 4" xfId="32699" xr:uid="{3D055868-F8BC-4D7F-99DF-711C4AEB5E4E}"/>
    <cellStyle name="20% - Accent3 44" xfId="7794" xr:uid="{8455D9C5-E0D4-4E6B-AEB4-74BE8CBB52D5}"/>
    <cellStyle name="20% - Accent3 44 2" xfId="15502" xr:uid="{24CD23B1-0181-4F90-BC83-ABCE50242762}"/>
    <cellStyle name="20% - Accent3 44 2 2" xfId="30914" xr:uid="{BCC4E83D-F25A-45BD-A4FC-13D955804799}"/>
    <cellStyle name="20% - Accent3 44 2 2 2" xfId="32705" xr:uid="{CE9D75B5-32F4-4C7B-BB73-115A1DE946FE}"/>
    <cellStyle name="20% - Accent3 44 2 3" xfId="32704" xr:uid="{132A8833-7870-414C-AC01-0A72B29BFFDB}"/>
    <cellStyle name="20% - Accent3 44 3" xfId="23209" xr:uid="{9D7075A5-BA13-4773-9854-C792C770862F}"/>
    <cellStyle name="20% - Accent3 44 3 2" xfId="32706" xr:uid="{E5969441-C8D0-4253-8E1E-211BDBC23FAD}"/>
    <cellStyle name="20% - Accent3 44 4" xfId="32703" xr:uid="{4758F235-4D22-43D7-9E77-D2726D555995}"/>
    <cellStyle name="20% - Accent3 45" xfId="7816" xr:uid="{190318BC-514E-488C-92ED-E15B1E8F352D}"/>
    <cellStyle name="20% - Accent3 45 2" xfId="15524" xr:uid="{EF436863-AC84-45CE-973C-E76C7B11EAE3}"/>
    <cellStyle name="20% - Accent3 45 2 2" xfId="30936" xr:uid="{8C727198-E92E-4FF6-904E-BBD7FBF98A63}"/>
    <cellStyle name="20% - Accent3 45 2 2 2" xfId="32709" xr:uid="{F8D9C6F8-CE42-4EF9-B71D-E64C6BDED290}"/>
    <cellStyle name="20% - Accent3 45 2 3" xfId="32708" xr:uid="{8E4EB70B-C83F-4952-BF64-FA4AB4A80E16}"/>
    <cellStyle name="20% - Accent3 45 3" xfId="23231" xr:uid="{25609174-9758-4498-A7FC-1B3767C71360}"/>
    <cellStyle name="20% - Accent3 45 3 2" xfId="32710" xr:uid="{3D0A3C71-92DB-4217-BB73-D8E383E2DD51}"/>
    <cellStyle name="20% - Accent3 45 4" xfId="32707" xr:uid="{8C86F0C1-2D1E-49E9-BE46-163438E322E7}"/>
    <cellStyle name="20% - Accent3 46" xfId="7837" xr:uid="{1A4EAA77-3EEF-4909-98F4-8C47AF00D683}"/>
    <cellStyle name="20% - Accent3 46 2" xfId="15545" xr:uid="{F01238F1-2E67-44F3-80AD-A5EA9AE998FF}"/>
    <cellStyle name="20% - Accent3 46 2 2" xfId="30956" xr:uid="{E501A213-8A3F-4D0D-ACC5-0058A563A6F2}"/>
    <cellStyle name="20% - Accent3 46 2 2 2" xfId="32713" xr:uid="{3174FD6F-254A-47C1-8A74-9AE17D97B1A7}"/>
    <cellStyle name="20% - Accent3 46 2 3" xfId="32712" xr:uid="{0FE46E13-7548-404E-A4B4-F30B66A3AB6E}"/>
    <cellStyle name="20% - Accent3 46 3" xfId="23251" xr:uid="{249123A8-F239-4A0E-B081-8CF6F0CF9F8B}"/>
    <cellStyle name="20% - Accent3 46 3 2" xfId="32714" xr:uid="{1D9AE054-DAD4-4E5A-B583-5C60CD031D3F}"/>
    <cellStyle name="20% - Accent3 46 4" xfId="32711" xr:uid="{AC72AD26-A622-498A-9525-863E205D5752}"/>
    <cellStyle name="20% - Accent3 47" xfId="7857" xr:uid="{98C2E9E3-7B04-4B6E-8D3E-659B41B71E2D}"/>
    <cellStyle name="20% - Accent3 47 2" xfId="15565" xr:uid="{343987C4-B6BF-43A1-A8A5-86A186D51225}"/>
    <cellStyle name="20% - Accent3 47 2 2" xfId="30976" xr:uid="{1C444E03-CA08-428F-BF8B-E8DC98E26289}"/>
    <cellStyle name="20% - Accent3 47 2 2 2" xfId="32717" xr:uid="{200158DD-7AFC-4A46-AC8B-17491B5A49A9}"/>
    <cellStyle name="20% - Accent3 47 2 3" xfId="32716" xr:uid="{FB21503A-E488-4DC3-A837-B2E15E9730CC}"/>
    <cellStyle name="20% - Accent3 47 3" xfId="23271" xr:uid="{4C010E0E-0C73-427E-983F-9C34D3EB5590}"/>
    <cellStyle name="20% - Accent3 47 3 2" xfId="32718" xr:uid="{E0FB0A53-3AF5-4C7C-8BFF-82582FAB5BF9}"/>
    <cellStyle name="20% - Accent3 47 4" xfId="32715" xr:uid="{E7BAECC0-22D7-4B46-B0F7-0CFE2BBAD9D4}"/>
    <cellStyle name="20% - Accent3 48" xfId="7910" xr:uid="{846651F4-4C90-4EEF-86AC-4E5E976F8E30}"/>
    <cellStyle name="20% - Accent3 48 2" xfId="23323" xr:uid="{E3B0A4A0-28E7-4E67-9E75-2E3CE8C57D8E}"/>
    <cellStyle name="20% - Accent3 48 2 2" xfId="32720" xr:uid="{7EF6355E-6E35-441D-9FBC-A6BEF045252D}"/>
    <cellStyle name="20% - Accent3 48 3" xfId="32719" xr:uid="{578E40E4-85B0-42B8-82A2-93BD93686036}"/>
    <cellStyle name="20% - Accent3 49" xfId="15618" xr:uid="{CFC395C0-08A1-427E-BE9F-B546B8C381AD}"/>
    <cellStyle name="20% - Accent3 49 2" xfId="32721" xr:uid="{9009CECD-1C0D-4F4F-B45F-16B2BA2AC2BE}"/>
    <cellStyle name="20% - Accent3 5" xfId="3302" xr:uid="{10E8FB18-7A28-4C46-8503-97BF98E79C4D}"/>
    <cellStyle name="20% - Accent3 5 2" xfId="7034" xr:uid="{09AB0632-A42F-4AA0-8DFD-0B38B6C210AF}"/>
    <cellStyle name="20% - Accent3 5 2 2" xfId="14742" xr:uid="{0A2B1E3B-9062-46FC-8F62-562EBB3D1567}"/>
    <cellStyle name="20% - Accent3 5 2 2 2" xfId="30154" xr:uid="{9CEB6439-D00A-42E3-9D4D-13578727F935}"/>
    <cellStyle name="20% - Accent3 5 2 2 2 2" xfId="32725" xr:uid="{E2672365-6135-4BC2-AB64-81BD69CB11EF}"/>
    <cellStyle name="20% - Accent3 5 2 2 3" xfId="32724" xr:uid="{E2D837BD-13A3-4F8B-A114-DA61F1C4E64A}"/>
    <cellStyle name="20% - Accent3 5 2 3" xfId="22449" xr:uid="{3A185D62-6A33-402A-A77A-C3642E4CBD31}"/>
    <cellStyle name="20% - Accent3 5 2 3 2" xfId="32726" xr:uid="{4CEC88D5-A82A-4E49-9967-A88D3185A59D}"/>
    <cellStyle name="20% - Accent3 5 2 4" xfId="32723" xr:uid="{C2D473B9-2D89-4204-983B-34AE7A3602FC}"/>
    <cellStyle name="20% - Accent3 5 3" xfId="11013" xr:uid="{6521AA1A-581D-49B0-AF8E-AFE050AB875F}"/>
    <cellStyle name="20% - Accent3 5 3 2" xfId="26426" xr:uid="{2A0861ED-6C95-4834-AF1D-1B264546BA2B}"/>
    <cellStyle name="20% - Accent3 5 3 2 2" xfId="32728" xr:uid="{CEDFD84A-0278-494E-BEBD-98799D0BEF30}"/>
    <cellStyle name="20% - Accent3 5 3 3" xfId="32727" xr:uid="{5E8DA6AB-F39B-4E59-B6B0-0B691C4BE66B}"/>
    <cellStyle name="20% - Accent3 5 4" xfId="18721" xr:uid="{518EAB62-596E-451D-80B9-B7A6EFB71F73}"/>
    <cellStyle name="20% - Accent3 5 4 2" xfId="32729" xr:uid="{671899AE-F921-4B68-8DF4-E74478BCEEF8}"/>
    <cellStyle name="20% - Accent3 5 5" xfId="32722" xr:uid="{93131A97-B756-4BF3-977F-196F2A219F32}"/>
    <cellStyle name="20% - Accent3 50" xfId="30996" xr:uid="{F879A4F9-82DE-405D-BA8E-E7B20D14C3DA}"/>
    <cellStyle name="20% - Accent3 50 2" xfId="32730" xr:uid="{35C37FBE-A154-4436-A899-81700D9BD94E}"/>
    <cellStyle name="20% - Accent3 51" xfId="32178" xr:uid="{10FC2790-9276-484B-B5F8-91230A6A434F}"/>
    <cellStyle name="20% - Accent3 52" xfId="61976" xr:uid="{494A7CDE-7226-4DB4-A659-04D6958EB35A}"/>
    <cellStyle name="20% - Accent3 53" xfId="61996" xr:uid="{F12077C9-FD66-45AD-AD9A-56C1563C63EF}"/>
    <cellStyle name="20% - Accent3 54" xfId="62016" xr:uid="{F54403C1-FB83-4D4A-AA65-B7663FFCD75A}"/>
    <cellStyle name="20% - Accent3 55" xfId="62031" xr:uid="{A00ED69C-A952-425E-B907-76CA3C67A7C7}"/>
    <cellStyle name="20% - Accent3 56" xfId="62054" xr:uid="{7CB4E3C0-C3B4-481A-A68E-635303009579}"/>
    <cellStyle name="20% - Accent3 57" xfId="62085" xr:uid="{1C057042-7901-4074-BA18-ADE46FF51630}"/>
    <cellStyle name="20% - Accent3 6" xfId="3322" xr:uid="{30C544A6-4EFE-4D79-8DAE-5863298DAC9D}"/>
    <cellStyle name="20% - Accent3 6 2" xfId="7054" xr:uid="{47A863C7-CCF1-4DFD-9332-65CC5470686E}"/>
    <cellStyle name="20% - Accent3 6 2 2" xfId="14762" xr:uid="{74E75E9A-48A4-4CEF-B1AD-B43E944AA9A1}"/>
    <cellStyle name="20% - Accent3 6 2 2 2" xfId="30174" xr:uid="{CB167712-FE0E-47A1-8E79-4A0A0D909D01}"/>
    <cellStyle name="20% - Accent3 6 2 2 2 2" xfId="32734" xr:uid="{3A06C64C-0FB9-4837-850E-EC5047B2AE0B}"/>
    <cellStyle name="20% - Accent3 6 2 2 3" xfId="32733" xr:uid="{7DDC5D4F-CA7A-41AA-8111-97112862E3EA}"/>
    <cellStyle name="20% - Accent3 6 2 3" xfId="22469" xr:uid="{28B39CFE-DDF6-4F52-941C-15CF3423D043}"/>
    <cellStyle name="20% - Accent3 6 2 3 2" xfId="32735" xr:uid="{6BAA037F-2206-4A17-9EDD-F777419E4537}"/>
    <cellStyle name="20% - Accent3 6 2 4" xfId="32732" xr:uid="{41601993-5109-4F14-824B-081BA1DCB60C}"/>
    <cellStyle name="20% - Accent3 6 3" xfId="11033" xr:uid="{60E087C7-4696-4F0E-B535-659DA8FCB530}"/>
    <cellStyle name="20% - Accent3 6 3 2" xfId="26446" xr:uid="{7C2FFA84-910D-4990-B0B4-3EF55189BF1A}"/>
    <cellStyle name="20% - Accent3 6 3 2 2" xfId="32737" xr:uid="{A302D6EA-862B-4955-BDFA-FEA97CD94FBE}"/>
    <cellStyle name="20% - Accent3 6 3 3" xfId="32736" xr:uid="{246BC4E7-75CF-4CAE-B53B-6579EDB710A5}"/>
    <cellStyle name="20% - Accent3 6 4" xfId="18741" xr:uid="{FA098E6B-72FA-4145-8B32-0ACAC63FC1C0}"/>
    <cellStyle name="20% - Accent3 6 4 2" xfId="32738" xr:uid="{B540974B-5631-441D-8F90-9A7A26EA5460}"/>
    <cellStyle name="20% - Accent3 6 5" xfId="32731" xr:uid="{61E32123-BC97-415D-A3E3-675D886BFDDA}"/>
    <cellStyle name="20% - Accent3 7" xfId="3342" xr:uid="{C503253B-AC6C-4153-8BFE-5772D291CC4C}"/>
    <cellStyle name="20% - Accent3 7 2" xfId="7074" xr:uid="{252D44BC-9F75-4E0D-8207-1DF8732D0193}"/>
    <cellStyle name="20% - Accent3 7 2 2" xfId="14782" xr:uid="{5F6447C7-C5BF-4255-AA79-55C14E56C1F3}"/>
    <cellStyle name="20% - Accent3 7 2 2 2" xfId="30194" xr:uid="{C4A643AA-9979-4BE0-AAF8-2261A2AB8ED3}"/>
    <cellStyle name="20% - Accent3 7 2 2 2 2" xfId="32742" xr:uid="{5DB11373-A5C4-4E53-A2D0-5AA4D1CBB4CB}"/>
    <cellStyle name="20% - Accent3 7 2 2 3" xfId="32741" xr:uid="{7A0A85A8-FEC5-4E05-A9A1-3811B098F2C7}"/>
    <cellStyle name="20% - Accent3 7 2 3" xfId="22489" xr:uid="{B3873BE3-59A9-4CE3-A2F6-7B0AC3BAE08B}"/>
    <cellStyle name="20% - Accent3 7 2 3 2" xfId="32743" xr:uid="{BE4AAE30-4AAD-4270-8435-D8C6C6D50F0B}"/>
    <cellStyle name="20% - Accent3 7 2 4" xfId="32740" xr:uid="{1534DEE5-C444-4C40-B5BC-E9702E282C38}"/>
    <cellStyle name="20% - Accent3 7 3" xfId="11053" xr:uid="{A89E4F04-475D-4364-99C8-3A237C52349E}"/>
    <cellStyle name="20% - Accent3 7 3 2" xfId="26466" xr:uid="{7B8D4811-DECA-4379-B1ED-481223777B32}"/>
    <cellStyle name="20% - Accent3 7 3 2 2" xfId="32745" xr:uid="{6D346198-C179-4EAF-A9C4-55AA84EF4187}"/>
    <cellStyle name="20% - Accent3 7 3 3" xfId="32744" xr:uid="{884512BA-45EE-4C9C-B3D3-4AB649878F3F}"/>
    <cellStyle name="20% - Accent3 7 4" xfId="18761" xr:uid="{2EAFCFC1-20E6-4CA0-84FC-A94D4A1B4207}"/>
    <cellStyle name="20% - Accent3 7 4 2" xfId="32746" xr:uid="{71863C1E-C5C0-4F65-AC3E-EA18AB2FD225}"/>
    <cellStyle name="20% - Accent3 7 5" xfId="32739" xr:uid="{E71541F3-C16A-4177-BA26-5BB45C2038BE}"/>
    <cellStyle name="20% - Accent3 8" xfId="3362" xr:uid="{686AFDBE-7F7C-404B-B19F-2F1976E92D39}"/>
    <cellStyle name="20% - Accent3 8 2" xfId="7094" xr:uid="{67FD3AA9-D75E-42EA-97A5-52B28C2856EF}"/>
    <cellStyle name="20% - Accent3 8 2 2" xfId="14802" xr:uid="{DA99A749-5D4A-4F7B-A9B3-2F1C1D416577}"/>
    <cellStyle name="20% - Accent3 8 2 2 2" xfId="30214" xr:uid="{4C8C0A12-F070-4464-835D-7C07B11D9B1A}"/>
    <cellStyle name="20% - Accent3 8 2 2 2 2" xfId="32750" xr:uid="{1C0B257E-5418-475D-A7CF-642FAA1CF1EC}"/>
    <cellStyle name="20% - Accent3 8 2 2 3" xfId="32749" xr:uid="{4B081C8C-8102-475C-B0A4-094CEC33A7F8}"/>
    <cellStyle name="20% - Accent3 8 2 3" xfId="22509" xr:uid="{A0EBBED8-276D-4E87-AA1E-5AC125BD1073}"/>
    <cellStyle name="20% - Accent3 8 2 3 2" xfId="32751" xr:uid="{0AAD4BA7-1913-4389-97ED-640F309A8E56}"/>
    <cellStyle name="20% - Accent3 8 2 4" xfId="32748" xr:uid="{5C01BF40-E2FC-471D-96F1-8C42C71F2FF7}"/>
    <cellStyle name="20% - Accent3 8 3" xfId="11073" xr:uid="{F7C335C5-3F90-4CEF-AC11-8E1493A8EA59}"/>
    <cellStyle name="20% - Accent3 8 3 2" xfId="26486" xr:uid="{8FA04404-309B-4F59-89A8-3756575E3430}"/>
    <cellStyle name="20% - Accent3 8 3 2 2" xfId="32753" xr:uid="{735B9B93-A483-4F21-BF33-72BF7954DC52}"/>
    <cellStyle name="20% - Accent3 8 3 3" xfId="32752" xr:uid="{F574256B-4A3F-4371-A1B5-38D4110C3AEF}"/>
    <cellStyle name="20% - Accent3 8 4" xfId="18781" xr:uid="{8DCF296F-3C9D-4EC6-9722-EA2948A55DC1}"/>
    <cellStyle name="20% - Accent3 8 4 2" xfId="32754" xr:uid="{FA8EE5EC-3B44-4244-81F5-F49307C5AB27}"/>
    <cellStyle name="20% - Accent3 8 5" xfId="32747" xr:uid="{775D1EE0-E380-429F-A8CB-770C548F6947}"/>
    <cellStyle name="20% - Accent3 9" xfId="3382" xr:uid="{C7CEBACB-3D7F-477D-AFAD-044F5818429C}"/>
    <cellStyle name="20% - Accent3 9 2" xfId="7114" xr:uid="{5FB989E8-5991-476D-AFF3-21C59B580A10}"/>
    <cellStyle name="20% - Accent3 9 2 2" xfId="14822" xr:uid="{6C9FA7D7-D87C-43FA-B5F6-5259077A0753}"/>
    <cellStyle name="20% - Accent3 9 2 2 2" xfId="30234" xr:uid="{F893264D-0141-4099-BCA3-EEC5BA144CFB}"/>
    <cellStyle name="20% - Accent3 9 2 2 2 2" xfId="32758" xr:uid="{E0EA2EDD-5F8C-4B54-ABAA-A5374133F62D}"/>
    <cellStyle name="20% - Accent3 9 2 2 3" xfId="32757" xr:uid="{E0732C9A-76DE-4EC9-86C3-A3E6B8DC3995}"/>
    <cellStyle name="20% - Accent3 9 2 3" xfId="22529" xr:uid="{C89C23A9-21D9-4EA2-9CF5-50B66B60DBE0}"/>
    <cellStyle name="20% - Accent3 9 2 3 2" xfId="32759" xr:uid="{063724E9-1D86-4196-A26F-49D7B3BD9462}"/>
    <cellStyle name="20% - Accent3 9 2 4" xfId="32756" xr:uid="{B0C804F2-C3F1-4E42-9D16-9BE2DA3BFF80}"/>
    <cellStyle name="20% - Accent3 9 3" xfId="11093" xr:uid="{4434F4B1-9EC1-4096-97D1-7B7451DEBE5F}"/>
    <cellStyle name="20% - Accent3 9 3 2" xfId="26506" xr:uid="{F791581A-BDAC-4AAA-80B9-A43C01CBCD92}"/>
    <cellStyle name="20% - Accent3 9 3 2 2" xfId="32761" xr:uid="{BA83E5B7-526B-4200-9043-27D5011B2D53}"/>
    <cellStyle name="20% - Accent3 9 3 3" xfId="32760" xr:uid="{B367B651-289F-4F1C-A2D4-117446ACE6D2}"/>
    <cellStyle name="20% - Accent3 9 4" xfId="18801" xr:uid="{66065DB3-15EF-4266-B684-5B644BCDDCA5}"/>
    <cellStyle name="20% - Accent3 9 4 2" xfId="32762" xr:uid="{284854F5-DCDE-4D03-8F48-FDD5DB86E26B}"/>
    <cellStyle name="20% - Accent3 9 5" xfId="32755" xr:uid="{2FB580F2-89C0-4EC5-B40D-F8E949C56529}"/>
    <cellStyle name="20% - Accent4 10" xfId="3405" xr:uid="{097D5F80-8732-489A-8629-06C939821B45}"/>
    <cellStyle name="20% - Accent4 10 2" xfId="7137" xr:uid="{041BDE56-6E97-4A8F-BF87-2BB4999D0D41}"/>
    <cellStyle name="20% - Accent4 10 2 2" xfId="14845" xr:uid="{C62A4832-562D-47FE-A764-569BAF5028F9}"/>
    <cellStyle name="20% - Accent4 10 2 2 2" xfId="30257" xr:uid="{7B1308F5-2DAA-41EF-A384-F9048086A265}"/>
    <cellStyle name="20% - Accent4 10 2 2 2 2" xfId="32767" xr:uid="{559A032C-A5C4-497E-AB38-F630CFE39274}"/>
    <cellStyle name="20% - Accent4 10 2 2 3" xfId="32766" xr:uid="{E1341DDE-9E95-4512-BA5F-3D02062F36CB}"/>
    <cellStyle name="20% - Accent4 10 2 3" xfId="22552" xr:uid="{B277C982-437B-49F8-8CF4-F9A7D192A82B}"/>
    <cellStyle name="20% - Accent4 10 2 3 2" xfId="32768" xr:uid="{2AF1CBA8-82B6-4E26-9327-2C406B0DF8BA}"/>
    <cellStyle name="20% - Accent4 10 2 4" xfId="32765" xr:uid="{33EF4C50-542D-4B45-9D92-1D34988BB267}"/>
    <cellStyle name="20% - Accent4 10 3" xfId="11116" xr:uid="{77AA1E7E-8909-48A9-9E45-968AE83CD63C}"/>
    <cellStyle name="20% - Accent4 10 3 2" xfId="26529" xr:uid="{0CB08628-6FEC-4D5C-90DA-CBCD0178C7DB}"/>
    <cellStyle name="20% - Accent4 10 3 2 2" xfId="32770" xr:uid="{73B4C40F-69DB-47B1-87CE-EEF764D460C7}"/>
    <cellStyle name="20% - Accent4 10 3 3" xfId="32769" xr:uid="{69B666A9-7B74-4A60-AA64-8EFAA0F29659}"/>
    <cellStyle name="20% - Accent4 10 4" xfId="18824" xr:uid="{B9D43B2D-6C9B-4134-98FC-077A9DEFEC94}"/>
    <cellStyle name="20% - Accent4 10 4 2" xfId="32771" xr:uid="{B429ACAB-4650-42B8-A8A8-611EE641C9A6}"/>
    <cellStyle name="20% - Accent4 10 5" xfId="32764" xr:uid="{3F3597D2-5779-4797-81D0-7DB314E5AC87}"/>
    <cellStyle name="20% - Accent4 11" xfId="3425" xr:uid="{C46AA121-6824-4659-B904-D113355EB41D}"/>
    <cellStyle name="20% - Accent4 11 2" xfId="7157" xr:uid="{6FE3A975-1554-49E9-84A6-ADC644D5FB17}"/>
    <cellStyle name="20% - Accent4 11 2 2" xfId="14865" xr:uid="{343DF30E-6014-4F50-ACB7-570FB3F35131}"/>
    <cellStyle name="20% - Accent4 11 2 2 2" xfId="30277" xr:uid="{8354EDCB-B58D-47C1-8A6F-176D265B08F0}"/>
    <cellStyle name="20% - Accent4 11 2 2 2 2" xfId="32775" xr:uid="{79B1CCF9-AEF2-4E9F-B1D5-A451DEE4FE86}"/>
    <cellStyle name="20% - Accent4 11 2 2 3" xfId="32774" xr:uid="{3B85278F-8168-413C-9BC6-366B00C48806}"/>
    <cellStyle name="20% - Accent4 11 2 3" xfId="22572" xr:uid="{FE81A52B-B3AA-459B-99D5-81E40B637268}"/>
    <cellStyle name="20% - Accent4 11 2 3 2" xfId="32776" xr:uid="{0475232A-9260-4F60-84D4-9728B537FDDE}"/>
    <cellStyle name="20% - Accent4 11 2 4" xfId="32773" xr:uid="{A854AF1E-BFFC-4BA3-94A4-9ECF4971258A}"/>
    <cellStyle name="20% - Accent4 11 3" xfId="11136" xr:uid="{A9C98AE4-2790-4B4A-95AE-AA7F804E4F13}"/>
    <cellStyle name="20% - Accent4 11 3 2" xfId="26549" xr:uid="{A7D4E4B9-8FEA-4416-8B84-A96863D0DF70}"/>
    <cellStyle name="20% - Accent4 11 3 2 2" xfId="32778" xr:uid="{B7929CFC-2924-4178-AD37-A73B4CA86C35}"/>
    <cellStyle name="20% - Accent4 11 3 3" xfId="32777" xr:uid="{643C36F9-D1B1-4DD7-934B-0EFDE521D721}"/>
    <cellStyle name="20% - Accent4 11 4" xfId="18844" xr:uid="{9FF0B5A2-5FFF-4688-9E72-0F2C828F1EBB}"/>
    <cellStyle name="20% - Accent4 11 4 2" xfId="32779" xr:uid="{665015D1-8178-4886-9805-3464FC625365}"/>
    <cellStyle name="20% - Accent4 11 5" xfId="32772" xr:uid="{9E9B5724-A08B-437E-9BC7-6717AC21DB94}"/>
    <cellStyle name="20% - Accent4 12" xfId="3445" xr:uid="{27B7CAB5-AFE4-452E-972E-4FDBDEED5FC8}"/>
    <cellStyle name="20% - Accent4 12 2" xfId="7177" xr:uid="{E36D333B-682E-48C5-B246-14302DF0B608}"/>
    <cellStyle name="20% - Accent4 12 2 2" xfId="14885" xr:uid="{4587019F-0AA8-4112-A3BB-A5A7926CD24C}"/>
    <cellStyle name="20% - Accent4 12 2 2 2" xfId="30297" xr:uid="{131B9CDF-B72F-4042-9235-8182135F0F24}"/>
    <cellStyle name="20% - Accent4 12 2 2 2 2" xfId="32783" xr:uid="{D4E292F3-4577-4C5E-8630-333367F24C88}"/>
    <cellStyle name="20% - Accent4 12 2 2 3" xfId="32782" xr:uid="{4F0762F2-9F48-42B9-A357-6582FC21B989}"/>
    <cellStyle name="20% - Accent4 12 2 3" xfId="22592" xr:uid="{1260B6A8-DFEC-45E1-954D-9C76C5F95FA8}"/>
    <cellStyle name="20% - Accent4 12 2 3 2" xfId="32784" xr:uid="{DDAF8BFD-3D0B-4165-BB61-464673C9CA18}"/>
    <cellStyle name="20% - Accent4 12 2 4" xfId="32781" xr:uid="{F644601E-826B-451E-AE37-0ECC46133874}"/>
    <cellStyle name="20% - Accent4 12 3" xfId="11156" xr:uid="{6528C099-A2AB-4B3C-BA5E-6914D37E0F50}"/>
    <cellStyle name="20% - Accent4 12 3 2" xfId="26569" xr:uid="{B2240578-EB3D-481E-93C8-34F245C21880}"/>
    <cellStyle name="20% - Accent4 12 3 2 2" xfId="32786" xr:uid="{FA9ED9D8-8A8C-490D-B40C-6744229AC5DF}"/>
    <cellStyle name="20% - Accent4 12 3 3" xfId="32785" xr:uid="{A930CE7F-233F-476D-A03C-E38D93E0DDC3}"/>
    <cellStyle name="20% - Accent4 12 4" xfId="18864" xr:uid="{A8E3D37E-29CF-4616-B309-EB8D44C586F0}"/>
    <cellStyle name="20% - Accent4 12 4 2" xfId="32787" xr:uid="{4C1138AB-D219-4477-ACCD-4EFDE51D2915}"/>
    <cellStyle name="20% - Accent4 12 5" xfId="32780" xr:uid="{A9B8FE7B-8879-446A-B3C6-C888E12D1A4A}"/>
    <cellStyle name="20% - Accent4 13" xfId="3465" xr:uid="{C2981802-7B99-42EF-9193-0F1E627E281E}"/>
    <cellStyle name="20% - Accent4 13 2" xfId="7197" xr:uid="{47563CCA-2B24-45E1-8535-8A81BA5C8335}"/>
    <cellStyle name="20% - Accent4 13 2 2" xfId="14905" xr:uid="{7E6A0E57-8D35-4F56-9F68-D4575E16E522}"/>
    <cellStyle name="20% - Accent4 13 2 2 2" xfId="30317" xr:uid="{6868FC3C-7D92-4655-A6B5-BCA6C724E81B}"/>
    <cellStyle name="20% - Accent4 13 2 2 2 2" xfId="32791" xr:uid="{32B8EC2C-EC77-46E1-86A8-0CCBBD421E0C}"/>
    <cellStyle name="20% - Accent4 13 2 2 3" xfId="32790" xr:uid="{F6F96FF2-20C7-4328-A109-AAF1942F97C8}"/>
    <cellStyle name="20% - Accent4 13 2 3" xfId="22612" xr:uid="{3E5D9AB5-7FB3-445A-868A-C05A4455C976}"/>
    <cellStyle name="20% - Accent4 13 2 3 2" xfId="32792" xr:uid="{1C0DC3CF-85E7-4784-AF13-8477FABF9BFB}"/>
    <cellStyle name="20% - Accent4 13 2 4" xfId="32789" xr:uid="{C822F576-C98C-42F1-AEAF-8A5228A47AF1}"/>
    <cellStyle name="20% - Accent4 13 3" xfId="11176" xr:uid="{FAA5C31B-D38A-4E0B-B2F8-022183289F40}"/>
    <cellStyle name="20% - Accent4 13 3 2" xfId="26589" xr:uid="{91787F6B-B4D3-4523-98D0-1942D58DACAB}"/>
    <cellStyle name="20% - Accent4 13 3 2 2" xfId="32794" xr:uid="{A9FF2087-9E19-40FA-89EB-0BFDB88E74F1}"/>
    <cellStyle name="20% - Accent4 13 3 3" xfId="32793" xr:uid="{48E3BB8F-CD38-4F5F-B3BB-938E99BA23C8}"/>
    <cellStyle name="20% - Accent4 13 4" xfId="18884" xr:uid="{1BFCB2D4-244F-4128-AB73-7F3E8F2E057A}"/>
    <cellStyle name="20% - Accent4 13 4 2" xfId="32795" xr:uid="{D3D7B648-99FD-46C3-AA2B-1A69AC21F032}"/>
    <cellStyle name="20% - Accent4 13 5" xfId="32788" xr:uid="{88278910-9A45-4354-89A0-B1E880F58FEB}"/>
    <cellStyle name="20% - Accent4 14" xfId="3485" xr:uid="{5B22FE24-02DA-4AAD-B5EB-A50858889A00}"/>
    <cellStyle name="20% - Accent4 14 2" xfId="7217" xr:uid="{A9CC9A37-CA8F-4F78-8CC5-2DB98B27364C}"/>
    <cellStyle name="20% - Accent4 14 2 2" xfId="14925" xr:uid="{1EFA7069-151A-4749-95BD-30DE692295F8}"/>
    <cellStyle name="20% - Accent4 14 2 2 2" xfId="30337" xr:uid="{325D48EF-B8A6-43AC-A18E-C836C316A98D}"/>
    <cellStyle name="20% - Accent4 14 2 2 2 2" xfId="32799" xr:uid="{50DF6A3E-F0A6-47D1-9BDF-BCA43380A186}"/>
    <cellStyle name="20% - Accent4 14 2 2 3" xfId="32798" xr:uid="{D5561633-6949-4E04-AC0E-4485D02F97DA}"/>
    <cellStyle name="20% - Accent4 14 2 3" xfId="22632" xr:uid="{FB780DA6-480C-4110-8342-D34FBCEFFFEC}"/>
    <cellStyle name="20% - Accent4 14 2 3 2" xfId="32800" xr:uid="{E792BDE7-9D2F-4627-8D51-FB08E76EFC77}"/>
    <cellStyle name="20% - Accent4 14 2 4" xfId="32797" xr:uid="{FCEFA5A5-D182-423B-9394-8AD45292DBAE}"/>
    <cellStyle name="20% - Accent4 14 3" xfId="11196" xr:uid="{C2075707-9D7D-417D-AFD4-E30256A203E5}"/>
    <cellStyle name="20% - Accent4 14 3 2" xfId="26609" xr:uid="{1F6D99B1-D566-45D6-9150-40EB43F31FD7}"/>
    <cellStyle name="20% - Accent4 14 3 2 2" xfId="32802" xr:uid="{723B8CA4-9972-40A4-BD7D-18BD7F6193FA}"/>
    <cellStyle name="20% - Accent4 14 3 3" xfId="32801" xr:uid="{D90EB4B4-1233-4F55-928D-A8EDCC97E396}"/>
    <cellStyle name="20% - Accent4 14 4" xfId="18904" xr:uid="{B0A12755-8744-4274-A6B9-1619C1DEAAF5}"/>
    <cellStyle name="20% - Accent4 14 4 2" xfId="32803" xr:uid="{C74021CF-299E-44F4-983F-F1E4C30DDEC4}"/>
    <cellStyle name="20% - Accent4 14 5" xfId="32796" xr:uid="{1B2A1F55-1660-4FF5-B381-3A54974A0569}"/>
    <cellStyle name="20% - Accent4 15" xfId="3505" xr:uid="{EF00AE20-C0DB-4FFD-A085-1AD3AD201CA4}"/>
    <cellStyle name="20% - Accent4 15 2" xfId="7237" xr:uid="{B10B2B6E-599C-4AD9-905E-0C42B874A405}"/>
    <cellStyle name="20% - Accent4 15 2 2" xfId="14945" xr:uid="{38953E98-8CA8-476D-90E4-34F7F1FFF0BB}"/>
    <cellStyle name="20% - Accent4 15 2 2 2" xfId="30357" xr:uid="{3CE47514-8ADB-4B2E-9D53-FF68D5DDB571}"/>
    <cellStyle name="20% - Accent4 15 2 2 2 2" xfId="32807" xr:uid="{61E8A19B-A76B-4E01-9313-D7881B820D34}"/>
    <cellStyle name="20% - Accent4 15 2 2 3" xfId="32806" xr:uid="{506776F0-62C7-47AC-905A-FE2927BF77D8}"/>
    <cellStyle name="20% - Accent4 15 2 3" xfId="22652" xr:uid="{B2E8DF17-BBAD-423B-AB27-DF934A70E124}"/>
    <cellStyle name="20% - Accent4 15 2 3 2" xfId="32808" xr:uid="{B5B96669-76E0-4CA6-AB66-402E3918AC67}"/>
    <cellStyle name="20% - Accent4 15 2 4" xfId="32805" xr:uid="{C2FBF910-1C2D-43EE-90B7-D49F803AAAC8}"/>
    <cellStyle name="20% - Accent4 15 3" xfId="11216" xr:uid="{40E327AE-B329-4894-9E17-E4E9B722B6B3}"/>
    <cellStyle name="20% - Accent4 15 3 2" xfId="26629" xr:uid="{DF594D33-7CDC-4D20-8DE7-F85409325C88}"/>
    <cellStyle name="20% - Accent4 15 3 2 2" xfId="32810" xr:uid="{FB3F1E06-7767-4C79-9CCB-E4EBAE407FED}"/>
    <cellStyle name="20% - Accent4 15 3 3" xfId="32809" xr:uid="{F61F11C2-3F28-4AF2-88A9-4D24D3A8CD89}"/>
    <cellStyle name="20% - Accent4 15 4" xfId="18924" xr:uid="{A7ED03A4-F2B6-48E8-9D7E-4001AB6F987C}"/>
    <cellStyle name="20% - Accent4 15 4 2" xfId="32811" xr:uid="{48E55B48-0566-4696-A556-DBD0D2F04BAB}"/>
    <cellStyle name="20% - Accent4 15 5" xfId="32804" xr:uid="{37720131-D704-4C7D-8176-C42BF076D8A9}"/>
    <cellStyle name="20% - Accent4 16" xfId="3525" xr:uid="{F09C4CE0-3691-4387-8BA2-19B7BD1C1F9D}"/>
    <cellStyle name="20% - Accent4 16 2" xfId="7257" xr:uid="{7E517ACA-1E6E-471E-8FA2-BDD39E257253}"/>
    <cellStyle name="20% - Accent4 16 2 2" xfId="14965" xr:uid="{85BB3125-4496-4431-A561-6A682447B326}"/>
    <cellStyle name="20% - Accent4 16 2 2 2" xfId="30377" xr:uid="{2AB44A03-1E2A-4E74-B318-DCE394290697}"/>
    <cellStyle name="20% - Accent4 16 2 2 2 2" xfId="32815" xr:uid="{E590D767-650B-45C2-B9ED-7866BBE57A2D}"/>
    <cellStyle name="20% - Accent4 16 2 2 3" xfId="32814" xr:uid="{AA57B6F0-FB60-4D77-8CD6-5EB7AA20B442}"/>
    <cellStyle name="20% - Accent4 16 2 3" xfId="22672" xr:uid="{77AAEE76-2364-4EF2-B826-224AE570FE10}"/>
    <cellStyle name="20% - Accent4 16 2 3 2" xfId="32816" xr:uid="{F9C2F21A-306F-4424-B329-DF57EDF02086}"/>
    <cellStyle name="20% - Accent4 16 2 4" xfId="32813" xr:uid="{C1A50D9F-882B-41F8-A0E2-D19DA1368CC7}"/>
    <cellStyle name="20% - Accent4 16 3" xfId="11236" xr:uid="{42F53305-78D3-4EE4-B5D6-EA4AFC4BC5A3}"/>
    <cellStyle name="20% - Accent4 16 3 2" xfId="26649" xr:uid="{601F3356-0454-4308-8B5C-E75B639F3333}"/>
    <cellStyle name="20% - Accent4 16 3 2 2" xfId="32818" xr:uid="{D8785C71-5EB5-43D1-8E73-DADB01368B7F}"/>
    <cellStyle name="20% - Accent4 16 3 3" xfId="32817" xr:uid="{DA2A4248-913F-4E59-AF69-C8DC0F2A6C45}"/>
    <cellStyle name="20% - Accent4 16 4" xfId="18944" xr:uid="{CEDE3660-89E4-4834-BACB-50E2163D4CAB}"/>
    <cellStyle name="20% - Accent4 16 4 2" xfId="32819" xr:uid="{74760B7C-0057-48EE-9D4A-F6F2E7D6D680}"/>
    <cellStyle name="20% - Accent4 16 5" xfId="32812" xr:uid="{C819E521-CA4A-463D-82B4-ADDDA58DA4BD}"/>
    <cellStyle name="20% - Accent4 17" xfId="3545" xr:uid="{21C0BA11-2840-40BE-93E5-13D7F663F9EB}"/>
    <cellStyle name="20% - Accent4 17 2" xfId="7277" xr:uid="{A74D35AB-41CA-4B4E-8A4B-8489FA7D1DD4}"/>
    <cellStyle name="20% - Accent4 17 2 2" xfId="14985" xr:uid="{9CE92CB7-AEE2-4D30-8B07-1FFC52C1A148}"/>
    <cellStyle name="20% - Accent4 17 2 2 2" xfId="30397" xr:uid="{2F24AF1F-8039-4562-9145-37C93B86285E}"/>
    <cellStyle name="20% - Accent4 17 2 2 2 2" xfId="32823" xr:uid="{A1AE7D94-8F41-4FC0-A690-F8B9A1711009}"/>
    <cellStyle name="20% - Accent4 17 2 2 3" xfId="32822" xr:uid="{90E1B8B2-21E0-441E-AC8A-EFF2D06F44D1}"/>
    <cellStyle name="20% - Accent4 17 2 3" xfId="22692" xr:uid="{E9D1031E-42C6-4590-8C51-33F148D28601}"/>
    <cellStyle name="20% - Accent4 17 2 3 2" xfId="32824" xr:uid="{73913A20-62A8-4A10-9EFE-AEECCF677B47}"/>
    <cellStyle name="20% - Accent4 17 2 4" xfId="32821" xr:uid="{46F58C3A-1182-44BE-8F9B-BFD56F3D78ED}"/>
    <cellStyle name="20% - Accent4 17 3" xfId="11256" xr:uid="{9748DEFF-CB41-4C9D-B837-E2E9C05470A8}"/>
    <cellStyle name="20% - Accent4 17 3 2" xfId="26669" xr:uid="{459AB62E-6106-4193-B698-A8D33AD6A00C}"/>
    <cellStyle name="20% - Accent4 17 3 2 2" xfId="32826" xr:uid="{C04A9E4B-D231-43EC-B615-C5822713010D}"/>
    <cellStyle name="20% - Accent4 17 3 3" xfId="32825" xr:uid="{3D29543A-FEFD-4CB5-8415-1C10CDDC7EFE}"/>
    <cellStyle name="20% - Accent4 17 4" xfId="18964" xr:uid="{9B7D50F9-97E4-433E-A022-A2DA8E16FE6C}"/>
    <cellStyle name="20% - Accent4 17 4 2" xfId="32827" xr:uid="{AA1E1394-3A45-4323-ADB0-E56041C22F1F}"/>
    <cellStyle name="20% - Accent4 17 5" xfId="32820" xr:uid="{E9C3304E-3506-4686-89C4-2425E7A99409}"/>
    <cellStyle name="20% - Accent4 18" xfId="3565" xr:uid="{D4A637E8-3568-4CE8-98A3-04D141F4D938}"/>
    <cellStyle name="20% - Accent4 18 2" xfId="7297" xr:uid="{900B402C-D8E5-465C-BF9E-92F53B31155A}"/>
    <cellStyle name="20% - Accent4 18 2 2" xfId="15005" xr:uid="{60F347AA-41AE-45C0-AC29-DBD84598484D}"/>
    <cellStyle name="20% - Accent4 18 2 2 2" xfId="30417" xr:uid="{3CB70125-EC6E-4F7B-A131-2F2A81B7E110}"/>
    <cellStyle name="20% - Accent4 18 2 2 2 2" xfId="32831" xr:uid="{D7BDCD46-55A3-4B0B-A74B-7BA026A2FD4E}"/>
    <cellStyle name="20% - Accent4 18 2 2 3" xfId="32830" xr:uid="{8197FDBB-477F-479F-9E10-3DA8835181B4}"/>
    <cellStyle name="20% - Accent4 18 2 3" xfId="22712" xr:uid="{5349A9D5-B83E-476E-908A-9790852CD3B5}"/>
    <cellStyle name="20% - Accent4 18 2 3 2" xfId="32832" xr:uid="{E14AB642-D27B-48C5-A9E5-AC5C47046280}"/>
    <cellStyle name="20% - Accent4 18 2 4" xfId="32829" xr:uid="{3D7CF3BD-8DDD-4EAE-AE27-F23C09ADC49C}"/>
    <cellStyle name="20% - Accent4 18 3" xfId="11276" xr:uid="{78A34E7C-BAE9-43E1-87A6-9459BFFF2F7D}"/>
    <cellStyle name="20% - Accent4 18 3 2" xfId="26689" xr:uid="{67DBFB53-A955-4F59-9614-894DD5CC7664}"/>
    <cellStyle name="20% - Accent4 18 3 2 2" xfId="32834" xr:uid="{D58850E5-F705-48BC-98F5-C1EFE7FA0674}"/>
    <cellStyle name="20% - Accent4 18 3 3" xfId="32833" xr:uid="{F625F81E-239F-435A-89F6-082B94768F0C}"/>
    <cellStyle name="20% - Accent4 18 4" xfId="18984" xr:uid="{D83E3132-8A35-4B01-9EC4-BA8F4BDD86D6}"/>
    <cellStyle name="20% - Accent4 18 4 2" xfId="32835" xr:uid="{5A1F4685-13D3-40F9-BD3A-1953C1AE0065}"/>
    <cellStyle name="20% - Accent4 18 5" xfId="32828" xr:uid="{CCD1D979-852C-48FC-B187-F04BC47B22D4}"/>
    <cellStyle name="20% - Accent4 19" xfId="3586" xr:uid="{077B287A-7F47-4A41-AD40-DB0E6B943E1F}"/>
    <cellStyle name="20% - Accent4 19 2" xfId="7317" xr:uid="{67035D4C-0DF1-4DFE-899D-250FB7EA60DF}"/>
    <cellStyle name="20% - Accent4 19 2 2" xfId="15025" xr:uid="{A565B817-8C9E-4310-A895-A531C7D6A3F7}"/>
    <cellStyle name="20% - Accent4 19 2 2 2" xfId="30437" xr:uid="{363F8FFC-8856-4AED-A101-0218F4D665A9}"/>
    <cellStyle name="20% - Accent4 19 2 2 2 2" xfId="32839" xr:uid="{6515CC45-DD1C-4EFD-A4C1-7277F008D908}"/>
    <cellStyle name="20% - Accent4 19 2 2 3" xfId="32838" xr:uid="{161ACF40-9B5E-4AE9-BB57-BF48ADC56C79}"/>
    <cellStyle name="20% - Accent4 19 2 3" xfId="22732" xr:uid="{4C63A375-EA6D-442A-BEAD-DCB918C0F8FE}"/>
    <cellStyle name="20% - Accent4 19 2 3 2" xfId="32840" xr:uid="{898D85B9-9551-414B-A494-A62F533E8804}"/>
    <cellStyle name="20% - Accent4 19 2 4" xfId="32837" xr:uid="{6950C38D-AE57-4558-96C5-62D00AE0F1DB}"/>
    <cellStyle name="20% - Accent4 19 3" xfId="11296" xr:uid="{76C36ECB-F5BE-4D08-93B2-195389E926BB}"/>
    <cellStyle name="20% - Accent4 19 3 2" xfId="26709" xr:uid="{0C57C2AF-1559-4F94-A3C9-326E36BD6990}"/>
    <cellStyle name="20% - Accent4 19 3 2 2" xfId="32842" xr:uid="{04F8641B-5A1B-452C-9A21-C2A458B766B4}"/>
    <cellStyle name="20% - Accent4 19 3 3" xfId="32841" xr:uid="{519DDAB8-88F5-4111-90D6-897C635E09C9}"/>
    <cellStyle name="20% - Accent4 19 4" xfId="19004" xr:uid="{E4A1DE94-4BDD-40D3-B7DE-CE305F7880FD}"/>
    <cellStyle name="20% - Accent4 19 4 2" xfId="32843" xr:uid="{49ED46CD-F76B-4E15-9280-85BACB85DD7A}"/>
    <cellStyle name="20% - Accent4 19 5" xfId="32836" xr:uid="{8CF764EF-05CE-490B-A628-AD77A0CC3D73}"/>
    <cellStyle name="20% - Accent4 2" xfId="78" xr:uid="{E5E69C66-1208-4A9C-9990-1A62E9E4C265}"/>
    <cellStyle name="20% - Accent4 2 10" xfId="32844" xr:uid="{0D77EB63-62E7-471C-B19F-694D0DB30093}"/>
    <cellStyle name="20% - Accent4 2 2" xfId="142" xr:uid="{262787F9-18ED-437B-A784-905F6FEE7268}"/>
    <cellStyle name="20% - Accent4 2 2 2" xfId="205" xr:uid="{15D330B4-7DFC-4B3D-A07B-90286982DD35}"/>
    <cellStyle name="20% - Accent4 2 2 2 2" xfId="410" xr:uid="{9A0D1B7E-6F3E-4879-965A-6BC80166293E}"/>
    <cellStyle name="20% - Accent4 2 2 2 2 2" xfId="1072" xr:uid="{E1B3D003-8FAB-4552-B554-D7B48D775256}"/>
    <cellStyle name="20% - Accent4 2 2 2 2 2 2" xfId="2540" xr:uid="{40DC3037-B36E-4C34-9F5D-DC7558E60DAC}"/>
    <cellStyle name="20% - Accent4 2 2 2 2 2 2 2" xfId="6272" xr:uid="{3D416DE3-2D5C-4D32-95F2-7FC0B239BEB0}"/>
    <cellStyle name="20% - Accent4 2 2 2 2 2 2 2 2" xfId="13980" xr:uid="{1BFDBE09-CFED-464A-A70A-77F3B2061939}"/>
    <cellStyle name="20% - Accent4 2 2 2 2 2 2 2 2 2" xfId="29392" xr:uid="{A0D0C4F1-900A-4FAE-9C1C-F3BF27AB3EFF}"/>
    <cellStyle name="20% - Accent4 2 2 2 2 2 2 2 2 2 2" xfId="32852" xr:uid="{8FEC780D-CA22-4750-B93F-0379CA654BED}"/>
    <cellStyle name="20% - Accent4 2 2 2 2 2 2 2 2 3" xfId="32851" xr:uid="{70F11E77-26D4-4D4F-ACC4-93BCDB1E962E}"/>
    <cellStyle name="20% - Accent4 2 2 2 2 2 2 2 3" xfId="21687" xr:uid="{258556C0-FA50-43C1-BE02-D36E2CED8A25}"/>
    <cellStyle name="20% - Accent4 2 2 2 2 2 2 2 3 2" xfId="32853" xr:uid="{B25A33E7-667B-4780-B52B-A2DC77939B54}"/>
    <cellStyle name="20% - Accent4 2 2 2 2 2 2 2 4" xfId="32850" xr:uid="{FC81D716-4586-4053-A46C-9B2FE607B099}"/>
    <cellStyle name="20% - Accent4 2 2 2 2 2 2 3" xfId="10251" xr:uid="{D523045F-5DB6-404C-BC26-06A544DDE4A7}"/>
    <cellStyle name="20% - Accent4 2 2 2 2 2 2 3 2" xfId="25664" xr:uid="{4A48A27D-B16F-4254-932F-B3D69E69DF7C}"/>
    <cellStyle name="20% - Accent4 2 2 2 2 2 2 3 2 2" xfId="32855" xr:uid="{7BF34734-A9F9-4BF6-B6F0-80F5F424EF38}"/>
    <cellStyle name="20% - Accent4 2 2 2 2 2 2 3 3" xfId="32854" xr:uid="{0C117AD9-A559-495F-BB92-4188E984682B}"/>
    <cellStyle name="20% - Accent4 2 2 2 2 2 2 4" xfId="17959" xr:uid="{91D6609B-25F0-4890-B3DB-33637D4BAA16}"/>
    <cellStyle name="20% - Accent4 2 2 2 2 2 2 4 2" xfId="32856" xr:uid="{613F8E31-ED80-47F0-9A18-A8544AFD6BC0}"/>
    <cellStyle name="20% - Accent4 2 2 2 2 2 2 5" xfId="32849" xr:uid="{8180D3E4-F15F-4237-B5C1-69B47022F35B}"/>
    <cellStyle name="20% - Accent4 2 2 2 2 2 3" xfId="4809" xr:uid="{3AB9132D-827E-4A9F-9DD6-F76D9B6A7C4A}"/>
    <cellStyle name="20% - Accent4 2 2 2 2 2 3 2" xfId="12517" xr:uid="{6E0AE033-8A66-4D6A-9600-68A1E395775D}"/>
    <cellStyle name="20% - Accent4 2 2 2 2 2 3 2 2" xfId="27929" xr:uid="{95826631-70F0-4015-AFD2-0FC614FC6E82}"/>
    <cellStyle name="20% - Accent4 2 2 2 2 2 3 2 2 2" xfId="32859" xr:uid="{C4449CDB-E57B-426D-8D2E-B93E3B6CE84D}"/>
    <cellStyle name="20% - Accent4 2 2 2 2 2 3 2 3" xfId="32858" xr:uid="{4414CF04-018C-40B0-BEFB-FCBEAAC253C6}"/>
    <cellStyle name="20% - Accent4 2 2 2 2 2 3 3" xfId="20224" xr:uid="{380311A9-5DE8-42AD-81BC-9A67E076BDB9}"/>
    <cellStyle name="20% - Accent4 2 2 2 2 2 3 3 2" xfId="32860" xr:uid="{96D2EEEE-9B37-4254-8CBB-6221E89A7D7A}"/>
    <cellStyle name="20% - Accent4 2 2 2 2 2 3 4" xfId="32857" xr:uid="{EC70F47B-7C8B-424D-8325-AEB42DE7A6D2}"/>
    <cellStyle name="20% - Accent4 2 2 2 2 2 4" xfId="8792" xr:uid="{798DB8F0-7F40-4CBA-B01A-654C7E8A240C}"/>
    <cellStyle name="20% - Accent4 2 2 2 2 2 4 2" xfId="24205" xr:uid="{EEBCEF65-5C52-40A3-A58D-0348848A6AAE}"/>
    <cellStyle name="20% - Accent4 2 2 2 2 2 4 2 2" xfId="32862" xr:uid="{21582337-4ACD-44EE-A6A1-2D9BE25459F7}"/>
    <cellStyle name="20% - Accent4 2 2 2 2 2 4 3" xfId="32861" xr:uid="{AF62667F-7533-4613-8906-1331893458AE}"/>
    <cellStyle name="20% - Accent4 2 2 2 2 2 5" xfId="16500" xr:uid="{FD56298E-644D-4B23-904D-57F7F7AC6412}"/>
    <cellStyle name="20% - Accent4 2 2 2 2 2 5 2" xfId="32863" xr:uid="{FB0B1592-8A6F-493E-9B8E-02294EA5DCD8}"/>
    <cellStyle name="20% - Accent4 2 2 2 2 2 6" xfId="32848" xr:uid="{2F22088C-22A5-4ED4-B8B3-68190D203370}"/>
    <cellStyle name="20% - Accent4 2 2 2 2 3" xfId="1902" xr:uid="{2015F08A-67E6-4D55-B57C-869BB474A7F4}"/>
    <cellStyle name="20% - Accent4 2 2 2 2 3 2" xfId="5634" xr:uid="{8929D281-E819-45EC-9182-66BEB43475BB}"/>
    <cellStyle name="20% - Accent4 2 2 2 2 3 2 2" xfId="13342" xr:uid="{B01E92A1-0D10-4C7F-9FFC-30D79359EA75}"/>
    <cellStyle name="20% - Accent4 2 2 2 2 3 2 2 2" xfId="28754" xr:uid="{3E8D5E37-B670-4602-B2EA-D0D94132C281}"/>
    <cellStyle name="20% - Accent4 2 2 2 2 3 2 2 2 2" xfId="32867" xr:uid="{9BD391EC-20EA-4444-A022-11573A0047E4}"/>
    <cellStyle name="20% - Accent4 2 2 2 2 3 2 2 3" xfId="32866" xr:uid="{FAF45309-0172-4F32-A827-76672A2F4321}"/>
    <cellStyle name="20% - Accent4 2 2 2 2 3 2 3" xfId="21049" xr:uid="{551B5B29-71B2-4A4D-8148-F2CE0CE63B93}"/>
    <cellStyle name="20% - Accent4 2 2 2 2 3 2 3 2" xfId="32868" xr:uid="{E7B30C1F-4162-4BA5-9E5B-2E1A6D14F727}"/>
    <cellStyle name="20% - Accent4 2 2 2 2 3 2 4" xfId="32865" xr:uid="{B64F3A51-3DC8-4041-8D49-71EC699C4F93}"/>
    <cellStyle name="20% - Accent4 2 2 2 2 3 3" xfId="9613" xr:uid="{9C1C6ABF-ED4D-4949-9E65-82BBDDB6775A}"/>
    <cellStyle name="20% - Accent4 2 2 2 2 3 3 2" xfId="25026" xr:uid="{334F08A6-06D4-4BF1-8D0F-807C59BB96C2}"/>
    <cellStyle name="20% - Accent4 2 2 2 2 3 3 2 2" xfId="32870" xr:uid="{F35320EE-117E-42C1-B306-7AA5FF799EC2}"/>
    <cellStyle name="20% - Accent4 2 2 2 2 3 3 3" xfId="32869" xr:uid="{AFCAD7D0-0138-42D2-9019-21439AA9B728}"/>
    <cellStyle name="20% - Accent4 2 2 2 2 3 4" xfId="17321" xr:uid="{A4E6B108-ABC6-4431-A3A0-D74552DA434B}"/>
    <cellStyle name="20% - Accent4 2 2 2 2 3 4 2" xfId="32871" xr:uid="{AA96A17C-5383-4D5C-9E05-B50950A0177C}"/>
    <cellStyle name="20% - Accent4 2 2 2 2 3 5" xfId="32864" xr:uid="{64BE4992-9700-45EB-91C6-216E6F902ADF}"/>
    <cellStyle name="20% - Accent4 2 2 2 2 4" xfId="4157" xr:uid="{80959360-836E-4B5E-BD36-3EA9D1C4470E}"/>
    <cellStyle name="20% - Accent4 2 2 2 2 4 2" xfId="11865" xr:uid="{AD9B1979-E5D1-474B-9065-3239008D7765}"/>
    <cellStyle name="20% - Accent4 2 2 2 2 4 2 2" xfId="27277" xr:uid="{A9ACD285-DBFA-4DB6-B73F-9BA099041978}"/>
    <cellStyle name="20% - Accent4 2 2 2 2 4 2 2 2" xfId="32874" xr:uid="{027AC64B-966D-4494-B961-D03EB1BFDF2D}"/>
    <cellStyle name="20% - Accent4 2 2 2 2 4 2 3" xfId="32873" xr:uid="{14A6AF4B-378C-4D62-B7BC-77D2C6705BA6}"/>
    <cellStyle name="20% - Accent4 2 2 2 2 4 3" xfId="19572" xr:uid="{0061844D-72C8-44EB-BBFC-C6836F795714}"/>
    <cellStyle name="20% - Accent4 2 2 2 2 4 3 2" xfId="32875" xr:uid="{99A685BB-019B-4DB3-95C9-09491705769D}"/>
    <cellStyle name="20% - Accent4 2 2 2 2 4 4" xfId="32872" xr:uid="{191E2FEF-BD6E-4F35-B551-5935AA5E6D7B}"/>
    <cellStyle name="20% - Accent4 2 2 2 2 5" xfId="8154" xr:uid="{F777AEAB-55D6-4359-8FA3-C87A06A4D05D}"/>
    <cellStyle name="20% - Accent4 2 2 2 2 5 2" xfId="23567" xr:uid="{723B92B7-899F-4304-863C-96E314AC4B88}"/>
    <cellStyle name="20% - Accent4 2 2 2 2 5 2 2" xfId="32877" xr:uid="{332E78EC-D5CD-4B99-81B7-8C3FE5A8123E}"/>
    <cellStyle name="20% - Accent4 2 2 2 2 5 3" xfId="32876" xr:uid="{056C51C5-633C-47DF-9FA5-86CF05AC37B3}"/>
    <cellStyle name="20% - Accent4 2 2 2 2 6" xfId="15862" xr:uid="{84161E38-701C-496B-BA5D-B7209A670642}"/>
    <cellStyle name="20% - Accent4 2 2 2 2 6 2" xfId="32878" xr:uid="{C63BE7AD-5893-4F20-A0DF-EED27D1053EE}"/>
    <cellStyle name="20% - Accent4 2 2 2 2 7" xfId="32847" xr:uid="{B8795063-6A17-49E8-A762-1EC41A1A8B9A}"/>
    <cellStyle name="20% - Accent4 2 2 2 3" xfId="871" xr:uid="{21B7AEAE-D581-4857-BF46-EE07D23B9AF7}"/>
    <cellStyle name="20% - Accent4 2 2 2 3 2" xfId="2342" xr:uid="{85E79591-83B4-4EAF-97F0-A819FB51C02A}"/>
    <cellStyle name="20% - Accent4 2 2 2 3 2 2" xfId="6074" xr:uid="{4B2C85C8-6E68-4D8D-B263-428281F26DB2}"/>
    <cellStyle name="20% - Accent4 2 2 2 3 2 2 2" xfId="13782" xr:uid="{7B88AD80-E616-47D3-82B4-045D7E512808}"/>
    <cellStyle name="20% - Accent4 2 2 2 3 2 2 2 2" xfId="29194" xr:uid="{C5389F43-D787-4EB6-8A37-E2AAD640BB68}"/>
    <cellStyle name="20% - Accent4 2 2 2 3 2 2 2 2 2" xfId="32883" xr:uid="{9409191E-CCDC-4B89-AAD2-89F2A3492F2C}"/>
    <cellStyle name="20% - Accent4 2 2 2 3 2 2 2 3" xfId="32882" xr:uid="{B0A4BDF1-0DB9-4772-9D3D-B3896F42502C}"/>
    <cellStyle name="20% - Accent4 2 2 2 3 2 2 3" xfId="21489" xr:uid="{E34D0F4E-FDC7-460F-89FE-A9251DF31FC1}"/>
    <cellStyle name="20% - Accent4 2 2 2 3 2 2 3 2" xfId="32884" xr:uid="{75936679-6DBF-48C2-A092-EF237631CA08}"/>
    <cellStyle name="20% - Accent4 2 2 2 3 2 2 4" xfId="32881" xr:uid="{1997FAB4-E13F-4DA0-8201-DA82EACDF31B}"/>
    <cellStyle name="20% - Accent4 2 2 2 3 2 3" xfId="10053" xr:uid="{8A096DB5-C64B-461D-B40D-0126DD54C9B9}"/>
    <cellStyle name="20% - Accent4 2 2 2 3 2 3 2" xfId="25466" xr:uid="{3A1D4D12-9D9B-4CE5-85F0-CA42790D897B}"/>
    <cellStyle name="20% - Accent4 2 2 2 3 2 3 2 2" xfId="32886" xr:uid="{712F76B0-3551-4221-95E1-5DA5761F9000}"/>
    <cellStyle name="20% - Accent4 2 2 2 3 2 3 3" xfId="32885" xr:uid="{7B9B4306-AFCB-4ECD-B5EC-5F1A4EE4A6C3}"/>
    <cellStyle name="20% - Accent4 2 2 2 3 2 4" xfId="17761" xr:uid="{E30E7587-DA1E-431C-A6C9-3BC2231944F8}"/>
    <cellStyle name="20% - Accent4 2 2 2 3 2 4 2" xfId="32887" xr:uid="{FDFEE41D-7F40-4553-AEB3-6B635C524FBC}"/>
    <cellStyle name="20% - Accent4 2 2 2 3 2 5" xfId="32880" xr:uid="{53AE3196-B9B4-43A1-90F7-1C6AEDFA6A2A}"/>
    <cellStyle name="20% - Accent4 2 2 2 3 3" xfId="4608" xr:uid="{2A1EE746-D13A-4D19-ADF9-938DA42C522D}"/>
    <cellStyle name="20% - Accent4 2 2 2 3 3 2" xfId="12316" xr:uid="{2E2F22B6-0FCF-4AA3-83D4-148F8C051A35}"/>
    <cellStyle name="20% - Accent4 2 2 2 3 3 2 2" xfId="27728" xr:uid="{A95576B2-2513-4B99-BD67-43B6A7CE275A}"/>
    <cellStyle name="20% - Accent4 2 2 2 3 3 2 2 2" xfId="32890" xr:uid="{82ABDB7C-B00D-4AB0-814B-9CAD9F022C71}"/>
    <cellStyle name="20% - Accent4 2 2 2 3 3 2 3" xfId="32889" xr:uid="{B177C903-5822-4A93-80A9-37501E40616C}"/>
    <cellStyle name="20% - Accent4 2 2 2 3 3 3" xfId="20023" xr:uid="{5632AA95-02C7-46CF-AE63-97C0D9E700EF}"/>
    <cellStyle name="20% - Accent4 2 2 2 3 3 3 2" xfId="32891" xr:uid="{8D362D8A-9A8F-4B21-A064-159AD00346F0}"/>
    <cellStyle name="20% - Accent4 2 2 2 3 3 4" xfId="32888" xr:uid="{04572E61-4BB7-4689-A44D-FD600C57B840}"/>
    <cellStyle name="20% - Accent4 2 2 2 3 4" xfId="8594" xr:uid="{FEEB24B8-9BD6-48B7-BC2A-8DD6BA79976C}"/>
    <cellStyle name="20% - Accent4 2 2 2 3 4 2" xfId="24007" xr:uid="{C283C5DD-65F6-4171-AC4A-D42561E2BA8E}"/>
    <cellStyle name="20% - Accent4 2 2 2 3 4 2 2" xfId="32893" xr:uid="{A33C7E3D-77FA-4537-B859-3D7B5B7482E2}"/>
    <cellStyle name="20% - Accent4 2 2 2 3 4 3" xfId="32892" xr:uid="{FFEEB534-7EFD-4166-9A65-459CB81CCA28}"/>
    <cellStyle name="20% - Accent4 2 2 2 3 5" xfId="16302" xr:uid="{0063CDF4-C7E1-4835-A244-390AE458253C}"/>
    <cellStyle name="20% - Accent4 2 2 2 3 5 2" xfId="32894" xr:uid="{AC26699B-CB63-4800-AD2E-B6AAA4A71A08}"/>
    <cellStyle name="20% - Accent4 2 2 2 3 6" xfId="32879" xr:uid="{D6B5370E-F6F7-4B59-8538-8E071EA4796E}"/>
    <cellStyle name="20% - Accent4 2 2 2 4" xfId="1704" xr:uid="{9A29DD5D-F33B-4FE1-AD59-D8782B2F7DCE}"/>
    <cellStyle name="20% - Accent4 2 2 2 4 2" xfId="5436" xr:uid="{B7C6C9FA-3B44-4676-9DC0-08241BE0F486}"/>
    <cellStyle name="20% - Accent4 2 2 2 4 2 2" xfId="13144" xr:uid="{9D1C2B14-2B27-472D-98A9-42F70B2D10DC}"/>
    <cellStyle name="20% - Accent4 2 2 2 4 2 2 2" xfId="28556" xr:uid="{DFEA109F-25B2-4E8C-8DF5-531232285965}"/>
    <cellStyle name="20% - Accent4 2 2 2 4 2 2 2 2" xfId="32898" xr:uid="{BD339363-C5D9-466B-873A-A1E395D09068}"/>
    <cellStyle name="20% - Accent4 2 2 2 4 2 2 3" xfId="32897" xr:uid="{92F79E26-34AB-40F0-9841-C8D6F0F30669}"/>
    <cellStyle name="20% - Accent4 2 2 2 4 2 3" xfId="20851" xr:uid="{07292DC6-BC01-4488-9EF1-DEEF6F9E604C}"/>
    <cellStyle name="20% - Accent4 2 2 2 4 2 3 2" xfId="32899" xr:uid="{226325E2-3C64-45E8-81F4-6A81C39CC923}"/>
    <cellStyle name="20% - Accent4 2 2 2 4 2 4" xfId="32896" xr:uid="{9A633ECB-9CD6-4C36-A4D6-87D588FBE0B7}"/>
    <cellStyle name="20% - Accent4 2 2 2 4 3" xfId="9415" xr:uid="{B3459303-2291-4921-A7A7-B07584EC35E6}"/>
    <cellStyle name="20% - Accent4 2 2 2 4 3 2" xfId="24828" xr:uid="{A0D2DFC9-5498-4935-98CE-4224BDD3C47D}"/>
    <cellStyle name="20% - Accent4 2 2 2 4 3 2 2" xfId="32901" xr:uid="{B1E343B1-D6E2-4298-8A18-538DB8F8FE7D}"/>
    <cellStyle name="20% - Accent4 2 2 2 4 3 3" xfId="32900" xr:uid="{72899895-7C81-4DD0-849C-79CC3C8534B5}"/>
    <cellStyle name="20% - Accent4 2 2 2 4 4" xfId="17123" xr:uid="{E2647F15-295C-4385-A1FD-1E2E088EF9E2}"/>
    <cellStyle name="20% - Accent4 2 2 2 4 4 2" xfId="32902" xr:uid="{DB33E8C2-49BD-475F-8A76-96CCAAB0936C}"/>
    <cellStyle name="20% - Accent4 2 2 2 4 5" xfId="32895" xr:uid="{152A30BF-17A1-4C3E-BE6A-246FC73F72CB}"/>
    <cellStyle name="20% - Accent4 2 2 2 5" xfId="3956" xr:uid="{96DAB3F0-83A0-4A81-91CD-D3E3F2DA67BA}"/>
    <cellStyle name="20% - Accent4 2 2 2 5 2" xfId="11664" xr:uid="{E95F3A55-27F9-41A1-AB90-F5A98853DF43}"/>
    <cellStyle name="20% - Accent4 2 2 2 5 2 2" xfId="27076" xr:uid="{AC4E8619-A8C0-4B5C-8C3F-5EC60BA7DFA2}"/>
    <cellStyle name="20% - Accent4 2 2 2 5 2 2 2" xfId="32905" xr:uid="{566DF419-0FF9-459E-B6CB-543DBEC36070}"/>
    <cellStyle name="20% - Accent4 2 2 2 5 2 3" xfId="32904" xr:uid="{7ED68124-EE5B-4AB1-9F61-BA2F99B796C2}"/>
    <cellStyle name="20% - Accent4 2 2 2 5 3" xfId="19371" xr:uid="{5C08DFCA-CE25-4BAF-91BD-A177F4E634F8}"/>
    <cellStyle name="20% - Accent4 2 2 2 5 3 2" xfId="32906" xr:uid="{8DD79FFE-CF00-4026-A0D0-AAB0F1433E9E}"/>
    <cellStyle name="20% - Accent4 2 2 2 5 4" xfId="32903" xr:uid="{1EF609C4-5655-4D67-8DA7-D98AF6B5AFC2}"/>
    <cellStyle name="20% - Accent4 2 2 2 6" xfId="7956" xr:uid="{ACE77BE7-4E74-4CC7-A515-695B33081499}"/>
    <cellStyle name="20% - Accent4 2 2 2 6 2" xfId="23369" xr:uid="{560E7270-8804-40D0-A04E-1C0F0BC3E78A}"/>
    <cellStyle name="20% - Accent4 2 2 2 6 2 2" xfId="32908" xr:uid="{512264FE-26B5-4D8D-8209-412514D72063}"/>
    <cellStyle name="20% - Accent4 2 2 2 6 3" xfId="32907" xr:uid="{CB3995A5-631B-45D9-9D60-D909F542C43C}"/>
    <cellStyle name="20% - Accent4 2 2 2 7" xfId="15664" xr:uid="{EC087B86-F8F2-4C57-B632-55EE2C3D444D}"/>
    <cellStyle name="20% - Accent4 2 2 2 7 2" xfId="32909" xr:uid="{F0A40779-CBAE-47CC-AFB1-9A28F10BAAC5}"/>
    <cellStyle name="20% - Accent4 2 2 2 8" xfId="32846" xr:uid="{5F19E58F-511D-43AB-924D-19D2165B181D}"/>
    <cellStyle name="20% - Accent4 2 2 3" xfId="359" xr:uid="{4D3D3909-8479-40B3-93B9-B2B87CCF877E}"/>
    <cellStyle name="20% - Accent4 2 2 3 2" xfId="1021" xr:uid="{20B34C3F-E1BF-40A9-8F1F-0197F2F45299}"/>
    <cellStyle name="20% - Accent4 2 2 3 2 2" xfId="2490" xr:uid="{6239AA37-4D5A-478A-BAF9-D1970649AD9E}"/>
    <cellStyle name="20% - Accent4 2 2 3 2 2 2" xfId="6222" xr:uid="{2C6F9834-28B7-40BC-A0E5-30D187EC17C6}"/>
    <cellStyle name="20% - Accent4 2 2 3 2 2 2 2" xfId="13930" xr:uid="{A72DA82D-84C0-4BA3-8264-BA7958A695DE}"/>
    <cellStyle name="20% - Accent4 2 2 3 2 2 2 2 2" xfId="29342" xr:uid="{279760BF-909C-424A-910B-7E1056018D1B}"/>
    <cellStyle name="20% - Accent4 2 2 3 2 2 2 2 2 2" xfId="32915" xr:uid="{5B26F9C1-E3C9-4D31-819A-2FE0C274EFBB}"/>
    <cellStyle name="20% - Accent4 2 2 3 2 2 2 2 3" xfId="32914" xr:uid="{22E9D335-20B2-4BA1-BA79-3CFDE091A585}"/>
    <cellStyle name="20% - Accent4 2 2 3 2 2 2 3" xfId="21637" xr:uid="{8E249D88-A949-42CA-885A-645D9E6572C1}"/>
    <cellStyle name="20% - Accent4 2 2 3 2 2 2 3 2" xfId="32916" xr:uid="{E445809E-45D7-4D05-9D87-654F3C6C4569}"/>
    <cellStyle name="20% - Accent4 2 2 3 2 2 2 4" xfId="32913" xr:uid="{02719FA7-CBF4-4FD1-A1A3-DB2386EF5E9F}"/>
    <cellStyle name="20% - Accent4 2 2 3 2 2 3" xfId="10201" xr:uid="{C82ACB30-68DA-4320-A886-4FDFD6EB7C4A}"/>
    <cellStyle name="20% - Accent4 2 2 3 2 2 3 2" xfId="25614" xr:uid="{5EA441C8-5463-4AD9-AFB5-A936CAFFB2C9}"/>
    <cellStyle name="20% - Accent4 2 2 3 2 2 3 2 2" xfId="32918" xr:uid="{17130B3E-67E6-490C-BC9E-1B285A7B88AB}"/>
    <cellStyle name="20% - Accent4 2 2 3 2 2 3 3" xfId="32917" xr:uid="{7DC2EECE-09A3-468E-B5FE-9F998F8BC8BC}"/>
    <cellStyle name="20% - Accent4 2 2 3 2 2 4" xfId="17909" xr:uid="{3920A073-EA77-4161-A406-33F738D276E1}"/>
    <cellStyle name="20% - Accent4 2 2 3 2 2 4 2" xfId="32919" xr:uid="{FEC17AB3-07CF-4D51-8BFD-A4E3E0AB3400}"/>
    <cellStyle name="20% - Accent4 2 2 3 2 2 5" xfId="32912" xr:uid="{89165A00-30A6-4C14-9300-BF494A89956A}"/>
    <cellStyle name="20% - Accent4 2 2 3 2 3" xfId="4758" xr:uid="{38F0D334-4A8A-4A8D-B93A-F63D37760A1C}"/>
    <cellStyle name="20% - Accent4 2 2 3 2 3 2" xfId="12466" xr:uid="{A7E7C320-8596-416A-A90B-A704173D8D8A}"/>
    <cellStyle name="20% - Accent4 2 2 3 2 3 2 2" xfId="27878" xr:uid="{D1F71BED-BB08-4BF9-B5C1-F4417BD571C7}"/>
    <cellStyle name="20% - Accent4 2 2 3 2 3 2 2 2" xfId="32922" xr:uid="{F32E787F-1645-44F1-9E76-8541D457BE9E}"/>
    <cellStyle name="20% - Accent4 2 2 3 2 3 2 3" xfId="32921" xr:uid="{6A4B8C02-6AD8-42DB-8486-82A8C9B7DB56}"/>
    <cellStyle name="20% - Accent4 2 2 3 2 3 3" xfId="20173" xr:uid="{4B648A6F-53FA-46C5-88A9-CD953BBFEE62}"/>
    <cellStyle name="20% - Accent4 2 2 3 2 3 3 2" xfId="32923" xr:uid="{E27D9B3A-64E8-4CD2-A279-E8BE9DD9BA41}"/>
    <cellStyle name="20% - Accent4 2 2 3 2 3 4" xfId="32920" xr:uid="{3B5A10DF-8B9F-4A9D-A364-085BF1957516}"/>
    <cellStyle name="20% - Accent4 2 2 3 2 4" xfId="8742" xr:uid="{34908939-7287-4C15-ABFA-3541D2511CEA}"/>
    <cellStyle name="20% - Accent4 2 2 3 2 4 2" xfId="24155" xr:uid="{B4728DF2-5648-40F4-820E-87C79AA276E3}"/>
    <cellStyle name="20% - Accent4 2 2 3 2 4 2 2" xfId="32925" xr:uid="{AAEED811-8C18-4A22-8DFB-89DF1D106423}"/>
    <cellStyle name="20% - Accent4 2 2 3 2 4 3" xfId="32924" xr:uid="{53909708-4225-4F59-ADD0-FD2962D1CE72}"/>
    <cellStyle name="20% - Accent4 2 2 3 2 5" xfId="16450" xr:uid="{7566E667-D9DB-4793-AADA-49AA520FF97A}"/>
    <cellStyle name="20% - Accent4 2 2 3 2 5 2" xfId="32926" xr:uid="{AA554BEE-B8C7-41F2-8FC6-73483DFA82F8}"/>
    <cellStyle name="20% - Accent4 2 2 3 2 6" xfId="32911" xr:uid="{E840A374-3222-4373-A804-F9449EE99D55}"/>
    <cellStyle name="20% - Accent4 2 2 3 3" xfId="1852" xr:uid="{F9687868-7D56-400D-BAE8-87C48495FE36}"/>
    <cellStyle name="20% - Accent4 2 2 3 3 2" xfId="5584" xr:uid="{94ACD00E-2876-4B6F-89DB-1622A2475780}"/>
    <cellStyle name="20% - Accent4 2 2 3 3 2 2" xfId="13292" xr:uid="{8B1A1258-0A05-4469-A069-E0609AB66232}"/>
    <cellStyle name="20% - Accent4 2 2 3 3 2 2 2" xfId="28704" xr:uid="{AAEC54BC-E2D9-4541-BFC0-BD91FE245ED8}"/>
    <cellStyle name="20% - Accent4 2 2 3 3 2 2 2 2" xfId="32930" xr:uid="{021A7F27-C418-4622-B5BE-9875CD6DEE91}"/>
    <cellStyle name="20% - Accent4 2 2 3 3 2 2 3" xfId="32929" xr:uid="{C1C2220C-FF45-407B-8831-2A0C6D296C55}"/>
    <cellStyle name="20% - Accent4 2 2 3 3 2 3" xfId="20999" xr:uid="{164AFF0A-65AF-4905-A21A-5249CB3D1320}"/>
    <cellStyle name="20% - Accent4 2 2 3 3 2 3 2" xfId="32931" xr:uid="{5CEC829B-29D1-4252-8136-E11D4FF90104}"/>
    <cellStyle name="20% - Accent4 2 2 3 3 2 4" xfId="32928" xr:uid="{E66AF9DE-9719-4614-981D-A46E82FA3F36}"/>
    <cellStyle name="20% - Accent4 2 2 3 3 3" xfId="9563" xr:uid="{53D82F6D-10D4-4C57-9A1D-BA9A0B1F18F8}"/>
    <cellStyle name="20% - Accent4 2 2 3 3 3 2" xfId="24976" xr:uid="{2466B8B2-D35B-4693-8674-1FD74F047C6A}"/>
    <cellStyle name="20% - Accent4 2 2 3 3 3 2 2" xfId="32933" xr:uid="{D598A5F8-1993-456D-BE73-7BDB55DC1458}"/>
    <cellStyle name="20% - Accent4 2 2 3 3 3 3" xfId="32932" xr:uid="{38CA51F4-5EFD-4DAB-8515-7B83E267B860}"/>
    <cellStyle name="20% - Accent4 2 2 3 3 4" xfId="17271" xr:uid="{E9DD6C82-7C1C-4FB2-8A29-870C7E92C564}"/>
    <cellStyle name="20% - Accent4 2 2 3 3 4 2" xfId="32934" xr:uid="{B17172DE-9322-4EC5-9FB0-A2C7A2258B07}"/>
    <cellStyle name="20% - Accent4 2 2 3 3 5" xfId="32927" xr:uid="{A93D4767-E491-4E39-9F01-21F87B2C87B7}"/>
    <cellStyle name="20% - Accent4 2 2 3 4" xfId="4106" xr:uid="{C2B16392-5C6D-4EAE-A21C-B429811FC9E1}"/>
    <cellStyle name="20% - Accent4 2 2 3 4 2" xfId="11814" xr:uid="{969F0B28-B436-45C8-B91B-2044DA383B78}"/>
    <cellStyle name="20% - Accent4 2 2 3 4 2 2" xfId="27226" xr:uid="{B504D697-A0CA-4BAF-AF85-8C2DDBC4EC09}"/>
    <cellStyle name="20% - Accent4 2 2 3 4 2 2 2" xfId="32937" xr:uid="{B77C6CB4-44CD-4DDA-8146-E30D863DEC21}"/>
    <cellStyle name="20% - Accent4 2 2 3 4 2 3" xfId="32936" xr:uid="{255CDBB2-6D59-46ED-878B-1027E400DBD9}"/>
    <cellStyle name="20% - Accent4 2 2 3 4 3" xfId="19521" xr:uid="{1A186D12-29B4-42ED-AD11-8FF626D38D2F}"/>
    <cellStyle name="20% - Accent4 2 2 3 4 3 2" xfId="32938" xr:uid="{572B9794-8B12-44D8-9F68-3FBEBB77BEF7}"/>
    <cellStyle name="20% - Accent4 2 2 3 4 4" xfId="32935" xr:uid="{658653C3-987F-4B22-9EC0-D6663BA55814}"/>
    <cellStyle name="20% - Accent4 2 2 3 5" xfId="8104" xr:uid="{AEFF6FA9-5E59-406A-99A7-13DAC37ACE28}"/>
    <cellStyle name="20% - Accent4 2 2 3 5 2" xfId="23517" xr:uid="{FCAE9D88-2059-4F69-B979-1582645AA906}"/>
    <cellStyle name="20% - Accent4 2 2 3 5 2 2" xfId="32940" xr:uid="{7FBFC7C7-1843-4654-8700-A9BE2D58445F}"/>
    <cellStyle name="20% - Accent4 2 2 3 5 3" xfId="32939" xr:uid="{DE43AA6C-3628-4E4B-81D8-94D62DB4DE64}"/>
    <cellStyle name="20% - Accent4 2 2 3 6" xfId="15812" xr:uid="{BF4F8F80-0D09-4BC5-A58B-D2165522A52D}"/>
    <cellStyle name="20% - Accent4 2 2 3 6 2" xfId="32941" xr:uid="{3035AB76-5A15-4E27-AF89-52E59974D769}"/>
    <cellStyle name="20% - Accent4 2 2 3 7" xfId="32910" xr:uid="{EAD1E4DE-7B5C-43BC-9B8B-D2ED0655F58B}"/>
    <cellStyle name="20% - Accent4 2 2 4" xfId="815" xr:uid="{FDCF0ECE-89E2-4920-B7EE-094BEB42EE65}"/>
    <cellStyle name="20% - Accent4 2 2 4 2" xfId="2292" xr:uid="{49F61A92-D376-4B91-9C70-77952A7B3A17}"/>
    <cellStyle name="20% - Accent4 2 2 4 2 2" xfId="6024" xr:uid="{2DAF8BD0-C0FB-4C1A-8875-EE15EFA83C1D}"/>
    <cellStyle name="20% - Accent4 2 2 4 2 2 2" xfId="13732" xr:uid="{6E84748D-A140-4BDD-B263-561D12079FFF}"/>
    <cellStyle name="20% - Accent4 2 2 4 2 2 2 2" xfId="29144" xr:uid="{F4C3C9A7-AE67-40B0-A212-10BCDCA50E46}"/>
    <cellStyle name="20% - Accent4 2 2 4 2 2 2 2 2" xfId="32946" xr:uid="{66C82D27-1DBD-48DB-893E-1DF8DF3EF024}"/>
    <cellStyle name="20% - Accent4 2 2 4 2 2 2 3" xfId="32945" xr:uid="{985B5EE6-4948-4AF2-8532-6F1D1F93CF0D}"/>
    <cellStyle name="20% - Accent4 2 2 4 2 2 3" xfId="21439" xr:uid="{A87E0FC4-CA50-4BF5-B3A3-EBD862F412C6}"/>
    <cellStyle name="20% - Accent4 2 2 4 2 2 3 2" xfId="32947" xr:uid="{93C9D0D3-E1FF-4678-BB4F-CACCDE6F9AA8}"/>
    <cellStyle name="20% - Accent4 2 2 4 2 2 4" xfId="32944" xr:uid="{93790CCA-B713-40F9-9C40-76A5686BB8AD}"/>
    <cellStyle name="20% - Accent4 2 2 4 2 3" xfId="10003" xr:uid="{59C8A00D-54F4-49AE-AF35-B7FFDE410CEE}"/>
    <cellStyle name="20% - Accent4 2 2 4 2 3 2" xfId="25416" xr:uid="{D5EA746E-6C23-43E1-9A85-DE0ADE6F9A75}"/>
    <cellStyle name="20% - Accent4 2 2 4 2 3 2 2" xfId="32949" xr:uid="{51E0E9DA-DDBE-41E1-8EFD-53E1F78187E4}"/>
    <cellStyle name="20% - Accent4 2 2 4 2 3 3" xfId="32948" xr:uid="{1F18A57A-0213-470D-AB29-F6B6BBA9913F}"/>
    <cellStyle name="20% - Accent4 2 2 4 2 4" xfId="17711" xr:uid="{C35B79FA-6C1D-48F3-8D55-6573FA1E66B4}"/>
    <cellStyle name="20% - Accent4 2 2 4 2 4 2" xfId="32950" xr:uid="{41376461-8444-4E90-A226-A53C313681B6}"/>
    <cellStyle name="20% - Accent4 2 2 4 2 5" xfId="32943" xr:uid="{DA9B3799-F8DB-4F56-968D-38C2C38EE62C}"/>
    <cellStyle name="20% - Accent4 2 2 4 3" xfId="4552" xr:uid="{FA5B5EC1-933F-4B27-96FC-CE6A8C78E6D6}"/>
    <cellStyle name="20% - Accent4 2 2 4 3 2" xfId="12260" xr:uid="{A0C558CB-5C9F-4E6E-8D37-0B07E5F3FFD6}"/>
    <cellStyle name="20% - Accent4 2 2 4 3 2 2" xfId="27672" xr:uid="{A1C32462-A4FA-47C8-8201-DA29E7A201EC}"/>
    <cellStyle name="20% - Accent4 2 2 4 3 2 2 2" xfId="32953" xr:uid="{6717D5FB-A60E-4F04-9272-2EF39B47124D}"/>
    <cellStyle name="20% - Accent4 2 2 4 3 2 3" xfId="32952" xr:uid="{D07E7A0A-1C79-4AB6-9E10-0895BE43A038}"/>
    <cellStyle name="20% - Accent4 2 2 4 3 3" xfId="19967" xr:uid="{3E488741-0D08-48FC-90A0-7C43BEA761F7}"/>
    <cellStyle name="20% - Accent4 2 2 4 3 3 2" xfId="32954" xr:uid="{5A99166F-1D15-4ED2-9870-AF47B2DCA948}"/>
    <cellStyle name="20% - Accent4 2 2 4 3 4" xfId="32951" xr:uid="{444EE3AF-6ADB-4CC8-9536-4C9152A2AA46}"/>
    <cellStyle name="20% - Accent4 2 2 4 4" xfId="8544" xr:uid="{7B8517CD-8CDE-479B-B0CA-896E24C8B9D3}"/>
    <cellStyle name="20% - Accent4 2 2 4 4 2" xfId="23957" xr:uid="{F82AB28B-C214-4CF2-9E91-3F980C0BE0C0}"/>
    <cellStyle name="20% - Accent4 2 2 4 4 2 2" xfId="32956" xr:uid="{2A3BB6F4-0834-4825-92C4-804369CB0A95}"/>
    <cellStyle name="20% - Accent4 2 2 4 4 3" xfId="32955" xr:uid="{8B1F9714-6A65-4FE8-BD43-C9DA0AD360CA}"/>
    <cellStyle name="20% - Accent4 2 2 4 5" xfId="16252" xr:uid="{EA263ECE-7519-450A-92E3-13371FF36658}"/>
    <cellStyle name="20% - Accent4 2 2 4 5 2" xfId="32957" xr:uid="{D2DCAEBE-B899-4016-8F3F-992535FB2CFB}"/>
    <cellStyle name="20% - Accent4 2 2 4 6" xfId="32942" xr:uid="{C3FC884B-9310-4F0C-A3EF-CEB3CD00CC4B}"/>
    <cellStyle name="20% - Accent4 2 2 5" xfId="1653" xr:uid="{1EEBA4E2-87F8-457C-921D-F473B9DD1CB1}"/>
    <cellStyle name="20% - Accent4 2 2 5 2" xfId="5385" xr:uid="{7CE4B933-B755-488E-B09D-33597A165C5D}"/>
    <cellStyle name="20% - Accent4 2 2 5 2 2" xfId="13093" xr:uid="{8E1EADB6-C758-4517-BB53-7A4D22D33E7A}"/>
    <cellStyle name="20% - Accent4 2 2 5 2 2 2" xfId="28505" xr:uid="{EFCA5D01-1E86-4E3A-A969-1E794D727320}"/>
    <cellStyle name="20% - Accent4 2 2 5 2 2 2 2" xfId="32961" xr:uid="{35C565FF-ACFA-4917-9B67-1752036C681F}"/>
    <cellStyle name="20% - Accent4 2 2 5 2 2 3" xfId="32960" xr:uid="{5F7274BC-011D-4EF9-8BCC-077CE268CB74}"/>
    <cellStyle name="20% - Accent4 2 2 5 2 3" xfId="20800" xr:uid="{4F28D885-2956-4C60-8FA7-D00CEF281C30}"/>
    <cellStyle name="20% - Accent4 2 2 5 2 3 2" xfId="32962" xr:uid="{26EF398B-080B-477D-A4A2-51ACE26886A2}"/>
    <cellStyle name="20% - Accent4 2 2 5 2 4" xfId="32959" xr:uid="{0DC11D87-C887-48AA-8DF8-3D89EB55B477}"/>
    <cellStyle name="20% - Accent4 2 2 5 3" xfId="9365" xr:uid="{60984DE7-3C63-4671-8FA4-772385406900}"/>
    <cellStyle name="20% - Accent4 2 2 5 3 2" xfId="24778" xr:uid="{40CB2ECB-9B15-4B4F-85AD-A8A643E8EEFA}"/>
    <cellStyle name="20% - Accent4 2 2 5 3 2 2" xfId="32964" xr:uid="{DAEBD6E5-B670-4DEC-A7E6-F630C2FBD68C}"/>
    <cellStyle name="20% - Accent4 2 2 5 3 3" xfId="32963" xr:uid="{1722A1FB-9D76-48C6-A596-90BC9D4777B5}"/>
    <cellStyle name="20% - Accent4 2 2 5 4" xfId="17073" xr:uid="{227EFECF-8F30-4D1A-874E-7D55C7DBA3FD}"/>
    <cellStyle name="20% - Accent4 2 2 5 4 2" xfId="32965" xr:uid="{8C69999B-6DB0-40D9-A317-0A4897102A8A}"/>
    <cellStyle name="20% - Accent4 2 2 5 5" xfId="32958" xr:uid="{6C69AB1F-06D9-4792-B8ED-74B7683E2DB5}"/>
    <cellStyle name="20% - Accent4 2 2 6" xfId="3900" xr:uid="{8BBB2E33-3081-404A-A752-EA0EABD3BE4A}"/>
    <cellStyle name="20% - Accent4 2 2 6 2" xfId="11608" xr:uid="{14AB00D9-88DF-4863-9DAC-82445EB4B31F}"/>
    <cellStyle name="20% - Accent4 2 2 6 2 2" xfId="27020" xr:uid="{AB68A04F-D0DB-4305-8F3B-EC2BA31DA7C7}"/>
    <cellStyle name="20% - Accent4 2 2 6 2 2 2" xfId="32968" xr:uid="{D13BDA53-B328-4A9A-B510-05DD230FCCE7}"/>
    <cellStyle name="20% - Accent4 2 2 6 2 3" xfId="32967" xr:uid="{7EB667AE-B4FC-46B4-B0E8-EF472B8F5488}"/>
    <cellStyle name="20% - Accent4 2 2 6 3" xfId="19315" xr:uid="{8A4EB933-9B77-4DFD-A97E-0243F794E9E0}"/>
    <cellStyle name="20% - Accent4 2 2 6 3 2" xfId="32969" xr:uid="{1AA04C3C-D587-4C35-8EE9-FB6ACEF85A8C}"/>
    <cellStyle name="20% - Accent4 2 2 6 4" xfId="32966" xr:uid="{A4BFFF90-C99D-4C81-8C36-1D42DE03244E}"/>
    <cellStyle name="20% - Accent4 2 2 7" xfId="7888" xr:uid="{7B675C64-A039-4615-A6F2-238B3DED6D5D}"/>
    <cellStyle name="20% - Accent4 2 2 7 2" xfId="23301" xr:uid="{66E0F8E5-EDF4-4D7B-B3E8-653959FC23E2}"/>
    <cellStyle name="20% - Accent4 2 2 7 2 2" xfId="32971" xr:uid="{61590CFC-EC04-43DD-AC42-F3EA13F50D58}"/>
    <cellStyle name="20% - Accent4 2 2 7 3" xfId="32970" xr:uid="{98E8BE48-C60F-4657-A32D-AEBA34A16D70}"/>
    <cellStyle name="20% - Accent4 2 2 8" xfId="15596" xr:uid="{E9B699DB-3368-4169-870E-E8C1B7104590}"/>
    <cellStyle name="20% - Accent4 2 2 8 2" xfId="32972" xr:uid="{C099A12E-B311-4871-95B3-B68133773D41}"/>
    <cellStyle name="20% - Accent4 2 2 9" xfId="32845" xr:uid="{61DD3770-E915-4746-9292-F7FBCA60193A}"/>
    <cellStyle name="20% - Accent4 2 3" xfId="186" xr:uid="{35AB7744-1579-4DE9-9701-5D0D3D7D5688}"/>
    <cellStyle name="20% - Accent4 2 3 2" xfId="395" xr:uid="{3A7314A5-0678-4CAD-8665-9FC69BC70566}"/>
    <cellStyle name="20% - Accent4 2 3 2 2" xfId="1057" xr:uid="{F262CCF9-A9CD-4B71-9A21-7D8ADA265B41}"/>
    <cellStyle name="20% - Accent4 2 3 2 2 2" xfId="2525" xr:uid="{083BC87C-4A05-4026-8FE8-53D9A03019AB}"/>
    <cellStyle name="20% - Accent4 2 3 2 2 2 2" xfId="6257" xr:uid="{5364C8F6-E1B3-4B8E-AA92-69FA7186F51A}"/>
    <cellStyle name="20% - Accent4 2 3 2 2 2 2 2" xfId="13965" xr:uid="{C8F0AC5A-19CA-4C83-B476-7A7C878EEADD}"/>
    <cellStyle name="20% - Accent4 2 3 2 2 2 2 2 2" xfId="29377" xr:uid="{97FD9296-23D2-4FF5-AD7E-C6FF828F2E18}"/>
    <cellStyle name="20% - Accent4 2 3 2 2 2 2 2 2 2" xfId="32979" xr:uid="{F9BF0A9A-2BE7-4042-B11D-D2438D371181}"/>
    <cellStyle name="20% - Accent4 2 3 2 2 2 2 2 3" xfId="32978" xr:uid="{BA1D28F8-219F-4A44-9AEB-B7D1AFBBE99F}"/>
    <cellStyle name="20% - Accent4 2 3 2 2 2 2 3" xfId="21672" xr:uid="{A9352296-146E-46FA-9284-EC121687606B}"/>
    <cellStyle name="20% - Accent4 2 3 2 2 2 2 3 2" xfId="32980" xr:uid="{071FEBEC-404B-4E56-A499-9657AB4B6B9D}"/>
    <cellStyle name="20% - Accent4 2 3 2 2 2 2 4" xfId="32977" xr:uid="{2BEE55D3-71BF-455C-AD0C-5735545F77D3}"/>
    <cellStyle name="20% - Accent4 2 3 2 2 2 3" xfId="10236" xr:uid="{A9834B4F-A9DD-4950-8A48-6F460D18DFCB}"/>
    <cellStyle name="20% - Accent4 2 3 2 2 2 3 2" xfId="25649" xr:uid="{6110A263-5F6E-4E61-9A5A-7FC6E3C97517}"/>
    <cellStyle name="20% - Accent4 2 3 2 2 2 3 2 2" xfId="32982" xr:uid="{ABA54343-348D-4FCC-9581-1505CFD6BF20}"/>
    <cellStyle name="20% - Accent4 2 3 2 2 2 3 3" xfId="32981" xr:uid="{FC3544C7-D802-4840-AA4E-04AACBD85FF8}"/>
    <cellStyle name="20% - Accent4 2 3 2 2 2 4" xfId="17944" xr:uid="{4E75056D-B1B0-43BF-AC69-C5B26A20C975}"/>
    <cellStyle name="20% - Accent4 2 3 2 2 2 4 2" xfId="32983" xr:uid="{024C6F12-7A31-47D0-9779-4D7AAE62D393}"/>
    <cellStyle name="20% - Accent4 2 3 2 2 2 5" xfId="32976" xr:uid="{EE7B2BA3-D3C0-4C2E-9106-A4662179ABE7}"/>
    <cellStyle name="20% - Accent4 2 3 2 2 3" xfId="4794" xr:uid="{18B8DCCB-8A4D-408E-AB84-56ED82F4E771}"/>
    <cellStyle name="20% - Accent4 2 3 2 2 3 2" xfId="12502" xr:uid="{BEFAC440-DEAF-460F-AC76-590C8B3973C0}"/>
    <cellStyle name="20% - Accent4 2 3 2 2 3 2 2" xfId="27914" xr:uid="{0A46BA07-EBBB-4D5B-909F-2A2A7379F609}"/>
    <cellStyle name="20% - Accent4 2 3 2 2 3 2 2 2" xfId="32986" xr:uid="{44320F07-7A23-45FD-A745-FC25B3C6E508}"/>
    <cellStyle name="20% - Accent4 2 3 2 2 3 2 3" xfId="32985" xr:uid="{5CACDE87-F01F-4668-B56C-14AC33D08D73}"/>
    <cellStyle name="20% - Accent4 2 3 2 2 3 3" xfId="20209" xr:uid="{32762F86-1112-476B-BCE1-F4765EE22244}"/>
    <cellStyle name="20% - Accent4 2 3 2 2 3 3 2" xfId="32987" xr:uid="{F586E3C2-5FF9-4879-A60D-F884BCEE40E2}"/>
    <cellStyle name="20% - Accent4 2 3 2 2 3 4" xfId="32984" xr:uid="{58005723-285E-46DC-AF87-C43455149F02}"/>
    <cellStyle name="20% - Accent4 2 3 2 2 4" xfId="8777" xr:uid="{B685E69A-663A-4621-BFC2-760014E495AF}"/>
    <cellStyle name="20% - Accent4 2 3 2 2 4 2" xfId="24190" xr:uid="{BED5EDC4-E6CA-4CC9-9AA3-461F9ACFEC00}"/>
    <cellStyle name="20% - Accent4 2 3 2 2 4 2 2" xfId="32989" xr:uid="{6F3943EF-B63C-4889-8E35-1CD3A2102DEB}"/>
    <cellStyle name="20% - Accent4 2 3 2 2 4 3" xfId="32988" xr:uid="{5FE76C5A-BC04-489E-9561-52A714245630}"/>
    <cellStyle name="20% - Accent4 2 3 2 2 5" xfId="16485" xr:uid="{1D0DE2B2-1505-4E90-922E-A2EAE9824FFC}"/>
    <cellStyle name="20% - Accent4 2 3 2 2 5 2" xfId="32990" xr:uid="{571049A3-9F2D-41A8-9AF3-64BB8BDC4C50}"/>
    <cellStyle name="20% - Accent4 2 3 2 2 6" xfId="32975" xr:uid="{55B207A2-5BE5-4CE8-BD47-E4C75870A297}"/>
    <cellStyle name="20% - Accent4 2 3 2 3" xfId="1887" xr:uid="{C28FC4CD-0C08-42B1-BC45-ABD961F4D31E}"/>
    <cellStyle name="20% - Accent4 2 3 2 3 2" xfId="5619" xr:uid="{C11B3B94-C3DD-4833-B97F-5EEABC35A5E3}"/>
    <cellStyle name="20% - Accent4 2 3 2 3 2 2" xfId="13327" xr:uid="{8BCD53D5-E2E5-4655-9991-65A7C431D254}"/>
    <cellStyle name="20% - Accent4 2 3 2 3 2 2 2" xfId="28739" xr:uid="{AC4CF3F4-0FDA-4948-858B-BD18CF4D9272}"/>
    <cellStyle name="20% - Accent4 2 3 2 3 2 2 2 2" xfId="32994" xr:uid="{81CC7695-4419-4F7B-9C21-00A55CA7F762}"/>
    <cellStyle name="20% - Accent4 2 3 2 3 2 2 3" xfId="32993" xr:uid="{260E82F1-3DEE-4EBF-BB65-93DDD77428F0}"/>
    <cellStyle name="20% - Accent4 2 3 2 3 2 3" xfId="21034" xr:uid="{310F7BD5-4002-4301-BEFA-DC5A7F107F64}"/>
    <cellStyle name="20% - Accent4 2 3 2 3 2 3 2" xfId="32995" xr:uid="{93F2A708-05F3-46D4-B582-D54E37BD6B95}"/>
    <cellStyle name="20% - Accent4 2 3 2 3 2 4" xfId="32992" xr:uid="{DB3B8343-0AB9-477C-AC3F-F1D44C24CD72}"/>
    <cellStyle name="20% - Accent4 2 3 2 3 3" xfId="9598" xr:uid="{A568912A-7E7A-4DEB-962E-CBBD71C6B31B}"/>
    <cellStyle name="20% - Accent4 2 3 2 3 3 2" xfId="25011" xr:uid="{9C034C48-B311-47E3-BD97-4C0439CE6EE5}"/>
    <cellStyle name="20% - Accent4 2 3 2 3 3 2 2" xfId="32997" xr:uid="{FE95E427-EBFA-4049-B97F-CCCB413D9EED}"/>
    <cellStyle name="20% - Accent4 2 3 2 3 3 3" xfId="32996" xr:uid="{7E5A8A56-7332-4E0B-9711-2C9FA52EB197}"/>
    <cellStyle name="20% - Accent4 2 3 2 3 4" xfId="17306" xr:uid="{D4EA360E-5008-4BCC-A572-568FBD87030E}"/>
    <cellStyle name="20% - Accent4 2 3 2 3 4 2" xfId="32998" xr:uid="{BB3AE412-EF3B-4625-9A8B-F961D39363EA}"/>
    <cellStyle name="20% - Accent4 2 3 2 3 5" xfId="32991" xr:uid="{0E911758-41C9-4089-AEC8-DF5179625739}"/>
    <cellStyle name="20% - Accent4 2 3 2 4" xfId="4142" xr:uid="{100535E5-25E8-4D52-89CC-A47EB212EFCE}"/>
    <cellStyle name="20% - Accent4 2 3 2 4 2" xfId="11850" xr:uid="{E90510D6-E2F9-4639-AC47-E4A23F0A7DEB}"/>
    <cellStyle name="20% - Accent4 2 3 2 4 2 2" xfId="27262" xr:uid="{D658A5F3-4DB3-4A10-873C-14ED9089BD6F}"/>
    <cellStyle name="20% - Accent4 2 3 2 4 2 2 2" xfId="33001" xr:uid="{40B351B6-4A26-4A92-9DFC-EEFFFA45D026}"/>
    <cellStyle name="20% - Accent4 2 3 2 4 2 3" xfId="33000" xr:uid="{3DCE56E2-FB32-4A0A-A10D-9E026D9F5DDE}"/>
    <cellStyle name="20% - Accent4 2 3 2 4 3" xfId="19557" xr:uid="{A6B3FE8C-327F-4365-B3E4-10FBF02B384D}"/>
    <cellStyle name="20% - Accent4 2 3 2 4 3 2" xfId="33002" xr:uid="{81FC2CDB-BFB9-45D6-B62F-977050ADBD0C}"/>
    <cellStyle name="20% - Accent4 2 3 2 4 4" xfId="32999" xr:uid="{EB5BB793-8AF6-4BB7-9F4D-F7841D9BC6F0}"/>
    <cellStyle name="20% - Accent4 2 3 2 5" xfId="8139" xr:uid="{2EDB4F54-06AE-439C-913D-7C7F241ABAF8}"/>
    <cellStyle name="20% - Accent4 2 3 2 5 2" xfId="23552" xr:uid="{4DA062A1-89F0-4484-A30A-C16587D7C609}"/>
    <cellStyle name="20% - Accent4 2 3 2 5 2 2" xfId="33004" xr:uid="{39BBD447-F69A-44EE-9229-5C46340A596B}"/>
    <cellStyle name="20% - Accent4 2 3 2 5 3" xfId="33003" xr:uid="{F1390549-AFF0-419B-B940-41C72DF27707}"/>
    <cellStyle name="20% - Accent4 2 3 2 6" xfId="15847" xr:uid="{646AA71C-E2AA-4024-8089-9F69F22AF8D6}"/>
    <cellStyle name="20% - Accent4 2 3 2 6 2" xfId="33005" xr:uid="{9ECB669C-E00A-46B9-A42D-8F4DF5C80EF4}"/>
    <cellStyle name="20% - Accent4 2 3 2 7" xfId="32974" xr:uid="{E25A5275-5F35-4FAD-BD12-7B3CE51BE668}"/>
    <cellStyle name="20% - Accent4 2 3 3" xfId="852" xr:uid="{0F6FDAEC-5A30-4150-9077-053978E6C3C5}"/>
    <cellStyle name="20% - Accent4 2 3 3 2" xfId="2327" xr:uid="{2F5D541C-9543-448B-BB14-C4BAF79CFFB4}"/>
    <cellStyle name="20% - Accent4 2 3 3 2 2" xfId="6059" xr:uid="{05C28578-9319-473A-A920-B9185E5C97CE}"/>
    <cellStyle name="20% - Accent4 2 3 3 2 2 2" xfId="13767" xr:uid="{9D9B28EA-0B5D-4670-9E1E-29179AB8ADB2}"/>
    <cellStyle name="20% - Accent4 2 3 3 2 2 2 2" xfId="29179" xr:uid="{AF6643C5-FACA-4D52-9944-B89E662E3233}"/>
    <cellStyle name="20% - Accent4 2 3 3 2 2 2 2 2" xfId="33010" xr:uid="{9FFE6EDC-4F3C-42A0-8703-F07546CABF3E}"/>
    <cellStyle name="20% - Accent4 2 3 3 2 2 2 3" xfId="33009" xr:uid="{46EC5CB2-7940-488A-B888-CAB76B5B2F81}"/>
    <cellStyle name="20% - Accent4 2 3 3 2 2 3" xfId="21474" xr:uid="{1610D4D4-8683-4497-9D66-DCF8EC03C547}"/>
    <cellStyle name="20% - Accent4 2 3 3 2 2 3 2" xfId="33011" xr:uid="{C70A540C-1DBF-468B-9C74-A533E54CBE1C}"/>
    <cellStyle name="20% - Accent4 2 3 3 2 2 4" xfId="33008" xr:uid="{F6CF37EF-DF42-4563-94C7-12B2D275B8B3}"/>
    <cellStyle name="20% - Accent4 2 3 3 2 3" xfId="10038" xr:uid="{FB214916-1184-4309-86ED-5DF423C2E9E8}"/>
    <cellStyle name="20% - Accent4 2 3 3 2 3 2" xfId="25451" xr:uid="{B0A425D4-D3BE-4D84-8D71-8F64F759179D}"/>
    <cellStyle name="20% - Accent4 2 3 3 2 3 2 2" xfId="33013" xr:uid="{6855A02C-85C4-49AB-AA12-3C841826A898}"/>
    <cellStyle name="20% - Accent4 2 3 3 2 3 3" xfId="33012" xr:uid="{7ED95EDD-6DEB-4CCF-88D6-682CFE11E217}"/>
    <cellStyle name="20% - Accent4 2 3 3 2 4" xfId="17746" xr:uid="{84281AFE-5263-4D8B-97DF-9B14AAD095FF}"/>
    <cellStyle name="20% - Accent4 2 3 3 2 4 2" xfId="33014" xr:uid="{F07D0330-E667-472C-ABB5-0DCDB1A7AA74}"/>
    <cellStyle name="20% - Accent4 2 3 3 2 5" xfId="33007" xr:uid="{D51596F3-3F38-49FD-89B4-FF6621A01274}"/>
    <cellStyle name="20% - Accent4 2 3 3 3" xfId="4589" xr:uid="{8711B730-DA73-4E19-A74B-760EFF66D10E}"/>
    <cellStyle name="20% - Accent4 2 3 3 3 2" xfId="12297" xr:uid="{3A05017F-63F1-441D-9AB3-771332121A80}"/>
    <cellStyle name="20% - Accent4 2 3 3 3 2 2" xfId="27709" xr:uid="{914E61C8-979B-4401-99E0-71BEE4EAF468}"/>
    <cellStyle name="20% - Accent4 2 3 3 3 2 2 2" xfId="33017" xr:uid="{754D9BDB-26B6-44E8-B581-2977EAF5B720}"/>
    <cellStyle name="20% - Accent4 2 3 3 3 2 3" xfId="33016" xr:uid="{8DC4E830-D196-471D-B8E8-CE230B1F51BD}"/>
    <cellStyle name="20% - Accent4 2 3 3 3 3" xfId="20004" xr:uid="{9D6984C7-26B1-4667-9F2A-E2E0C12552D5}"/>
    <cellStyle name="20% - Accent4 2 3 3 3 3 2" xfId="33018" xr:uid="{D0CD9542-56B8-4B10-B807-D5FCCE73A981}"/>
    <cellStyle name="20% - Accent4 2 3 3 3 4" xfId="33015" xr:uid="{09A789B0-D1AE-47E3-8FF4-BFD21581A7E9}"/>
    <cellStyle name="20% - Accent4 2 3 3 4" xfId="8579" xr:uid="{DA0A3F0D-9860-482E-BE98-196C82071E64}"/>
    <cellStyle name="20% - Accent4 2 3 3 4 2" xfId="23992" xr:uid="{E1DFF1E3-379D-4B37-89F5-0A75CD257FC3}"/>
    <cellStyle name="20% - Accent4 2 3 3 4 2 2" xfId="33020" xr:uid="{1EF28443-561A-48F5-B10E-F07367476A38}"/>
    <cellStyle name="20% - Accent4 2 3 3 4 3" xfId="33019" xr:uid="{010DF1D3-A143-4B0B-B021-690E4D022490}"/>
    <cellStyle name="20% - Accent4 2 3 3 5" xfId="16287" xr:uid="{9CD9B4CD-5001-4F4C-88CE-7BA649CCCD05}"/>
    <cellStyle name="20% - Accent4 2 3 3 5 2" xfId="33021" xr:uid="{E31BC60F-7E01-4E07-BA53-ECB5A102E20B}"/>
    <cellStyle name="20% - Accent4 2 3 3 6" xfId="33006" xr:uid="{F1D43AF3-054B-469C-BB48-3593658A2DFA}"/>
    <cellStyle name="20% - Accent4 2 3 4" xfId="1689" xr:uid="{8CCFCCEA-9717-495B-8D2D-AC8E471D5117}"/>
    <cellStyle name="20% - Accent4 2 3 4 2" xfId="5421" xr:uid="{77E93ED0-663C-4C9E-83BC-01E7AE56388B}"/>
    <cellStyle name="20% - Accent4 2 3 4 2 2" xfId="13129" xr:uid="{924A0FFD-4D15-4005-8BF9-01D5EF88CFBB}"/>
    <cellStyle name="20% - Accent4 2 3 4 2 2 2" xfId="28541" xr:uid="{FFFF6FAE-B43A-4D17-A952-499A44CE0AAD}"/>
    <cellStyle name="20% - Accent4 2 3 4 2 2 2 2" xfId="33025" xr:uid="{D3EEBC40-BFA1-4E5E-987D-EE821EB9D4EC}"/>
    <cellStyle name="20% - Accent4 2 3 4 2 2 3" xfId="33024" xr:uid="{425A9503-20A1-4BC1-B1D7-00F50E461EA6}"/>
    <cellStyle name="20% - Accent4 2 3 4 2 3" xfId="20836" xr:uid="{1841D75A-BA46-44B9-B3EB-E3F40EAB8067}"/>
    <cellStyle name="20% - Accent4 2 3 4 2 3 2" xfId="33026" xr:uid="{6CF35EBF-5D9B-43CB-BD74-51C5E7BA013F}"/>
    <cellStyle name="20% - Accent4 2 3 4 2 4" xfId="33023" xr:uid="{04A439A4-651A-4402-BD0E-D7F8F914545C}"/>
    <cellStyle name="20% - Accent4 2 3 4 3" xfId="9400" xr:uid="{B2B1B74C-B591-4F78-BCB1-B75986ABCD5F}"/>
    <cellStyle name="20% - Accent4 2 3 4 3 2" xfId="24813" xr:uid="{36195B58-53E1-4376-8071-3FDAD6D6626F}"/>
    <cellStyle name="20% - Accent4 2 3 4 3 2 2" xfId="33028" xr:uid="{DB17EE5D-8A97-4FAC-B88C-1B522CE27B4B}"/>
    <cellStyle name="20% - Accent4 2 3 4 3 3" xfId="33027" xr:uid="{331E7000-9AC6-4504-9D39-7532F9C9CB93}"/>
    <cellStyle name="20% - Accent4 2 3 4 4" xfId="17108" xr:uid="{10C9CDBB-8E60-4D88-AA37-91B9CB48EEB7}"/>
    <cellStyle name="20% - Accent4 2 3 4 4 2" xfId="33029" xr:uid="{092EC8D2-7AB2-4B21-A60C-DAC50E272B8B}"/>
    <cellStyle name="20% - Accent4 2 3 4 5" xfId="33022" xr:uid="{20FF1224-054E-4CAE-87B0-FE89B1D5C662}"/>
    <cellStyle name="20% - Accent4 2 3 5" xfId="3937" xr:uid="{A5B67E2B-A76C-4D9B-9C34-36AC390C5B21}"/>
    <cellStyle name="20% - Accent4 2 3 5 2" xfId="11645" xr:uid="{87B1C732-12B1-42E5-BD0A-2BCCAF289C55}"/>
    <cellStyle name="20% - Accent4 2 3 5 2 2" xfId="27057" xr:uid="{B81E0EDD-D5F7-498C-9983-9335D62593AF}"/>
    <cellStyle name="20% - Accent4 2 3 5 2 2 2" xfId="33032" xr:uid="{5AD6F8C7-CD7E-4432-9D03-3DA7E2C7F886}"/>
    <cellStyle name="20% - Accent4 2 3 5 2 3" xfId="33031" xr:uid="{CD8F5056-1FF0-4C68-A206-B1D13D9C9CC5}"/>
    <cellStyle name="20% - Accent4 2 3 5 3" xfId="19352" xr:uid="{74B14566-8D00-4BA2-9861-156BE20C4D76}"/>
    <cellStyle name="20% - Accent4 2 3 5 3 2" xfId="33033" xr:uid="{2EA791CD-3470-4C3D-B911-17F03A9FF016}"/>
    <cellStyle name="20% - Accent4 2 3 5 4" xfId="33030" xr:uid="{3A93C376-F4E2-4B57-A068-F32CAFD0E49D}"/>
    <cellStyle name="20% - Accent4 2 3 6" xfId="7941" xr:uid="{F617E6D9-D5B1-4BF8-8CF6-D69B16B969DD}"/>
    <cellStyle name="20% - Accent4 2 3 6 2" xfId="23354" xr:uid="{EDF3AC4F-0BA3-4642-B8AA-17C444ED4041}"/>
    <cellStyle name="20% - Accent4 2 3 6 2 2" xfId="33035" xr:uid="{0ED7044D-C555-470D-8095-4F04EACD82C6}"/>
    <cellStyle name="20% - Accent4 2 3 6 3" xfId="33034" xr:uid="{D91083A5-1E44-486E-8BFD-1561FCBDA6A8}"/>
    <cellStyle name="20% - Accent4 2 3 7" xfId="15649" xr:uid="{12D4485B-9997-4942-A62F-31669163A616}"/>
    <cellStyle name="20% - Accent4 2 3 7 2" xfId="33036" xr:uid="{8CDBF951-10A1-4F03-AD2C-0B09DAE53C08}"/>
    <cellStyle name="20% - Accent4 2 3 8" xfId="32973" xr:uid="{B1C7C64B-0050-4BDC-8586-79E6E818D95D}"/>
    <cellStyle name="20% - Accent4 2 4" xfId="342" xr:uid="{10D6C40E-BC64-46D0-9731-986D3BB2EAD3}"/>
    <cellStyle name="20% - Accent4 2 4 2" xfId="1005" xr:uid="{6B96B4A1-A4B7-484D-B0CE-BE9ACE0D3D97}"/>
    <cellStyle name="20% - Accent4 2 4 2 2" xfId="2475" xr:uid="{7C703C9A-05E5-47C4-8D5B-8AB838750993}"/>
    <cellStyle name="20% - Accent4 2 4 2 2 2" xfId="6207" xr:uid="{E9DF2C1A-F295-4C32-81E7-1EA6BC855B35}"/>
    <cellStyle name="20% - Accent4 2 4 2 2 2 2" xfId="13915" xr:uid="{E32497E6-AEC5-4017-8EA4-952248782870}"/>
    <cellStyle name="20% - Accent4 2 4 2 2 2 2 2" xfId="29327" xr:uid="{21E64023-FA83-4410-AF38-C298D9E92E30}"/>
    <cellStyle name="20% - Accent4 2 4 2 2 2 2 2 2" xfId="33042" xr:uid="{C400A7DD-36E2-4852-922E-C3812AD94523}"/>
    <cellStyle name="20% - Accent4 2 4 2 2 2 2 3" xfId="33041" xr:uid="{22FF3026-21DE-4BCF-B3AA-F7CD60F22E6A}"/>
    <cellStyle name="20% - Accent4 2 4 2 2 2 3" xfId="21622" xr:uid="{E8E72621-D1AB-4CD3-9649-72BD38D647FD}"/>
    <cellStyle name="20% - Accent4 2 4 2 2 2 3 2" xfId="33043" xr:uid="{5F0A0883-2AC0-43EF-830D-E51B54B52BDD}"/>
    <cellStyle name="20% - Accent4 2 4 2 2 2 4" xfId="33040" xr:uid="{1D8D15DA-8DF3-4C3D-9DA1-A2E3693E7C17}"/>
    <cellStyle name="20% - Accent4 2 4 2 2 3" xfId="10186" xr:uid="{9FB08B82-A22E-4C5B-8195-CAD3321A6A39}"/>
    <cellStyle name="20% - Accent4 2 4 2 2 3 2" xfId="25599" xr:uid="{8EBE4303-FF13-4940-B06C-7C0F5BFC7691}"/>
    <cellStyle name="20% - Accent4 2 4 2 2 3 2 2" xfId="33045" xr:uid="{8E8B659F-E126-4948-B656-3E472AA9C83F}"/>
    <cellStyle name="20% - Accent4 2 4 2 2 3 3" xfId="33044" xr:uid="{9AA397D2-4463-4CF4-A8FF-4A06BA1D7D74}"/>
    <cellStyle name="20% - Accent4 2 4 2 2 4" xfId="17894" xr:uid="{BCE2EEEB-A356-4BC7-B6EE-F5C657C80688}"/>
    <cellStyle name="20% - Accent4 2 4 2 2 4 2" xfId="33046" xr:uid="{875886D7-950B-4289-B61C-6488ACADD64F}"/>
    <cellStyle name="20% - Accent4 2 4 2 2 5" xfId="33039" xr:uid="{B4C888CD-8A1F-4F8C-BED4-D12C4730B625}"/>
    <cellStyle name="20% - Accent4 2 4 2 3" xfId="4742" xr:uid="{A90F13D3-1DAB-4214-956D-1C9D7620C498}"/>
    <cellStyle name="20% - Accent4 2 4 2 3 2" xfId="12450" xr:uid="{B72EDDA5-4F4B-46BF-BC66-BBD9A5CA91E5}"/>
    <cellStyle name="20% - Accent4 2 4 2 3 2 2" xfId="27862" xr:uid="{652FC7BA-F6C5-4BD5-82E6-B065E7F527E1}"/>
    <cellStyle name="20% - Accent4 2 4 2 3 2 2 2" xfId="33049" xr:uid="{3EDB82C1-BDAA-4411-9760-3E599CF285C3}"/>
    <cellStyle name="20% - Accent4 2 4 2 3 2 3" xfId="33048" xr:uid="{6E7F6391-54EE-4421-9CCC-C6D7A76E37A8}"/>
    <cellStyle name="20% - Accent4 2 4 2 3 3" xfId="20157" xr:uid="{AC66547A-1B9B-48D4-AC18-1E788DD2F67A}"/>
    <cellStyle name="20% - Accent4 2 4 2 3 3 2" xfId="33050" xr:uid="{CB80A5F4-11EB-46E3-84D6-310773E7121D}"/>
    <cellStyle name="20% - Accent4 2 4 2 3 4" xfId="33047" xr:uid="{7AACD3D1-5589-458F-826C-FE7400203006}"/>
    <cellStyle name="20% - Accent4 2 4 2 4" xfId="8727" xr:uid="{2B45E26B-A08D-43C7-A473-E79F038C7F87}"/>
    <cellStyle name="20% - Accent4 2 4 2 4 2" xfId="24140" xr:uid="{79903BBE-DE93-4F9B-AA44-94F827AB1982}"/>
    <cellStyle name="20% - Accent4 2 4 2 4 2 2" xfId="33052" xr:uid="{26A2098D-4BD0-4C24-8332-D6FCBAF066C1}"/>
    <cellStyle name="20% - Accent4 2 4 2 4 3" xfId="33051" xr:uid="{90AF8338-93EE-45C2-B8AE-D4F8D7A438D1}"/>
    <cellStyle name="20% - Accent4 2 4 2 5" xfId="16435" xr:uid="{41588D8B-425B-4AFF-87F9-67ACAFDBAD68}"/>
    <cellStyle name="20% - Accent4 2 4 2 5 2" xfId="33053" xr:uid="{CE4D3251-83D7-47C9-8D68-CB7E948C9A9F}"/>
    <cellStyle name="20% - Accent4 2 4 2 6" xfId="33038" xr:uid="{6F613025-FBBF-4FDF-81CD-854AF69849F5}"/>
    <cellStyle name="20% - Accent4 2 4 3" xfId="1837" xr:uid="{341B9F9F-D635-404D-94F3-0829A7C1D299}"/>
    <cellStyle name="20% - Accent4 2 4 3 2" xfId="5569" xr:uid="{EF2545F1-CFBE-483C-A20F-D38D8DB27CE7}"/>
    <cellStyle name="20% - Accent4 2 4 3 2 2" xfId="13277" xr:uid="{45D61545-F396-443F-81D5-4AD14E413C56}"/>
    <cellStyle name="20% - Accent4 2 4 3 2 2 2" xfId="28689" xr:uid="{A909B9A1-C51F-4644-A33C-55AD50F8477C}"/>
    <cellStyle name="20% - Accent4 2 4 3 2 2 2 2" xfId="33057" xr:uid="{D87340C7-4339-4CB5-9CCA-BEA0C3C353D4}"/>
    <cellStyle name="20% - Accent4 2 4 3 2 2 3" xfId="33056" xr:uid="{160D62BA-59B8-4D02-8665-97FB8BE36EF3}"/>
    <cellStyle name="20% - Accent4 2 4 3 2 3" xfId="20984" xr:uid="{B567579B-C258-48EC-9D93-1437DC0150B8}"/>
    <cellStyle name="20% - Accent4 2 4 3 2 3 2" xfId="33058" xr:uid="{2FFCE19B-E5BB-4E5D-B945-E507F4877FB9}"/>
    <cellStyle name="20% - Accent4 2 4 3 2 4" xfId="33055" xr:uid="{9E9DA0F9-71E2-45C4-9472-0505B6253557}"/>
    <cellStyle name="20% - Accent4 2 4 3 3" xfId="9548" xr:uid="{106F37BD-1F05-4CDD-AF2C-6DD0E09F9F83}"/>
    <cellStyle name="20% - Accent4 2 4 3 3 2" xfId="24961" xr:uid="{EF77E536-39E3-4BE2-B755-4D665FA02460}"/>
    <cellStyle name="20% - Accent4 2 4 3 3 2 2" xfId="33060" xr:uid="{FDB7F942-D7BF-4379-9965-03DEDBD46A4F}"/>
    <cellStyle name="20% - Accent4 2 4 3 3 3" xfId="33059" xr:uid="{746646E5-7E64-42A4-B780-9CAAF3CA251D}"/>
    <cellStyle name="20% - Accent4 2 4 3 4" xfId="17256" xr:uid="{7CAD3E84-6AB1-4CAF-87DA-B1CDB94813A9}"/>
    <cellStyle name="20% - Accent4 2 4 3 4 2" xfId="33061" xr:uid="{99CA9DC9-8D4F-4298-B205-30632FBB3250}"/>
    <cellStyle name="20% - Accent4 2 4 3 5" xfId="33054" xr:uid="{765EE296-6E1F-49D0-9F3A-92F0D2C5ADE0}"/>
    <cellStyle name="20% - Accent4 2 4 4" xfId="4090" xr:uid="{B9542EC6-52ED-4318-BE42-F71431A56803}"/>
    <cellStyle name="20% - Accent4 2 4 4 2" xfId="11798" xr:uid="{92F8282A-1DFF-4185-A6F8-262676FB3F87}"/>
    <cellStyle name="20% - Accent4 2 4 4 2 2" xfId="27210" xr:uid="{1956D0CC-369A-45C9-B925-81E24FE15B02}"/>
    <cellStyle name="20% - Accent4 2 4 4 2 2 2" xfId="33064" xr:uid="{F235EA7D-3EF4-45B7-B7FA-361179758D72}"/>
    <cellStyle name="20% - Accent4 2 4 4 2 3" xfId="33063" xr:uid="{56BA1BCD-8275-46FE-B886-FAFB3A6A3F21}"/>
    <cellStyle name="20% - Accent4 2 4 4 3" xfId="19505" xr:uid="{6855D7E0-C299-4F44-A6EC-ACFC9969CC7A}"/>
    <cellStyle name="20% - Accent4 2 4 4 3 2" xfId="33065" xr:uid="{F76B3E43-81D8-464F-9B2C-B51880F22180}"/>
    <cellStyle name="20% - Accent4 2 4 4 4" xfId="33062" xr:uid="{DAB785CD-6979-40FF-954C-E2CC3759FF47}"/>
    <cellStyle name="20% - Accent4 2 4 5" xfId="8089" xr:uid="{22BD6143-9E57-4DC6-9A3B-39B54335A67D}"/>
    <cellStyle name="20% - Accent4 2 4 5 2" xfId="23502" xr:uid="{DEEBF70E-D796-4E11-B761-1281A097A7B4}"/>
    <cellStyle name="20% - Accent4 2 4 5 2 2" xfId="33067" xr:uid="{882D7BCB-AD19-4836-8DE7-8A1603C14CED}"/>
    <cellStyle name="20% - Accent4 2 4 5 3" xfId="33066" xr:uid="{C2CD98AB-A579-425B-A9BA-66063D295D6C}"/>
    <cellStyle name="20% - Accent4 2 4 6" xfId="15797" xr:uid="{11E0B8AF-846C-4C0A-B82F-4F6D76D9E2A5}"/>
    <cellStyle name="20% - Accent4 2 4 6 2" xfId="33068" xr:uid="{7DA9762F-D6A0-4DF1-A669-E5CFA56F98B8}"/>
    <cellStyle name="20% - Accent4 2 4 7" xfId="33037" xr:uid="{A8BB4F7D-FD1E-42E7-972F-50558CA2E23D}"/>
    <cellStyle name="20% - Accent4 2 5" xfId="788" xr:uid="{8BFCEFCE-3561-42AB-8E0A-41D5C2B66665}"/>
    <cellStyle name="20% - Accent4 2 5 2" xfId="2277" xr:uid="{18436744-115B-413E-B9A9-32632243EDA3}"/>
    <cellStyle name="20% - Accent4 2 5 2 2" xfId="6009" xr:uid="{746ED9CC-C0C0-4C17-8F7A-B69F3E31440B}"/>
    <cellStyle name="20% - Accent4 2 5 2 2 2" xfId="13717" xr:uid="{E7E62844-3F09-4026-816A-A494E1D6A417}"/>
    <cellStyle name="20% - Accent4 2 5 2 2 2 2" xfId="29129" xr:uid="{272733F6-D076-4E44-B211-A7DA322E4D39}"/>
    <cellStyle name="20% - Accent4 2 5 2 2 2 2 2" xfId="33073" xr:uid="{A138EBDF-06F0-4E6F-BAEB-64E72196E0EE}"/>
    <cellStyle name="20% - Accent4 2 5 2 2 2 3" xfId="33072" xr:uid="{2F8AE769-303B-434C-8D74-3C381357C3B8}"/>
    <cellStyle name="20% - Accent4 2 5 2 2 3" xfId="21424" xr:uid="{EEC3D11E-6205-4889-B561-320EE13EEAA1}"/>
    <cellStyle name="20% - Accent4 2 5 2 2 3 2" xfId="33074" xr:uid="{8366052A-468F-4541-ACB5-0EF8B9ADD4F6}"/>
    <cellStyle name="20% - Accent4 2 5 2 2 4" xfId="33071" xr:uid="{09841B11-C3D4-426A-BCC4-C80946AA75C6}"/>
    <cellStyle name="20% - Accent4 2 5 2 3" xfId="9988" xr:uid="{CC8F94A5-B320-48F5-AB27-3856BCEC5789}"/>
    <cellStyle name="20% - Accent4 2 5 2 3 2" xfId="25401" xr:uid="{9A672E12-C7BE-474A-83AA-9295C1AB8CF6}"/>
    <cellStyle name="20% - Accent4 2 5 2 3 2 2" xfId="33076" xr:uid="{5787E8DC-D058-4508-AB0B-F568B6220102}"/>
    <cellStyle name="20% - Accent4 2 5 2 3 3" xfId="33075" xr:uid="{31461CC0-7AF9-4B0E-AC4E-46D034FAEBFA}"/>
    <cellStyle name="20% - Accent4 2 5 2 4" xfId="17696" xr:uid="{319511FF-A3F3-4904-BF62-1DF614B364C2}"/>
    <cellStyle name="20% - Accent4 2 5 2 4 2" xfId="33077" xr:uid="{B4A4AD26-7F8C-4414-A4FE-4061599F219A}"/>
    <cellStyle name="20% - Accent4 2 5 2 5" xfId="33070" xr:uid="{16FAD489-ECE0-4FFC-8CC5-520871F69E51}"/>
    <cellStyle name="20% - Accent4 2 5 3" xfId="4532" xr:uid="{502178E7-B483-4480-869F-AB00CDDF52A8}"/>
    <cellStyle name="20% - Accent4 2 5 3 2" xfId="12240" xr:uid="{AF1966AE-C979-4EC8-9CCC-AE2C717C4016}"/>
    <cellStyle name="20% - Accent4 2 5 3 2 2" xfId="27652" xr:uid="{7A972DE4-3972-4BA1-B42F-D1710FD30436}"/>
    <cellStyle name="20% - Accent4 2 5 3 2 2 2" xfId="33080" xr:uid="{E4CC8D7A-40B3-467F-AB5A-4A9C6A865464}"/>
    <cellStyle name="20% - Accent4 2 5 3 2 3" xfId="33079" xr:uid="{7763BEB9-3640-49A8-9FD4-94FE3002D255}"/>
    <cellStyle name="20% - Accent4 2 5 3 3" xfId="19947" xr:uid="{05FCC1F2-5F55-49D5-83FE-85ADA74F880A}"/>
    <cellStyle name="20% - Accent4 2 5 3 3 2" xfId="33081" xr:uid="{4AE0E976-FFE0-4181-9849-864777A8BDFE}"/>
    <cellStyle name="20% - Accent4 2 5 3 4" xfId="33078" xr:uid="{083DC7BF-EBC3-4CF9-890D-61C0F0886A64}"/>
    <cellStyle name="20% - Accent4 2 5 4" xfId="8529" xr:uid="{259E3595-46BD-4BB8-B0C2-244CF940FB8B}"/>
    <cellStyle name="20% - Accent4 2 5 4 2" xfId="23942" xr:uid="{696D0C58-BBCC-42D6-915D-8D93FA8FD01A}"/>
    <cellStyle name="20% - Accent4 2 5 4 2 2" xfId="33083" xr:uid="{C1AB3CD1-8E67-4399-9715-54B175F76149}"/>
    <cellStyle name="20% - Accent4 2 5 4 3" xfId="33082" xr:uid="{C752A5FA-F537-49C3-9DFA-3009C4572391}"/>
    <cellStyle name="20% - Accent4 2 5 5" xfId="16237" xr:uid="{B3AA2FCC-6AA0-467A-AD97-64CBF279C3E4}"/>
    <cellStyle name="20% - Accent4 2 5 5 2" xfId="33084" xr:uid="{AD8D12FE-0CC5-4024-9655-99073C595CF8}"/>
    <cellStyle name="20% - Accent4 2 5 6" xfId="33069" xr:uid="{7456AE9B-D110-42DE-8520-3DAF2AB802F1}"/>
    <cellStyle name="20% - Accent4 2 6" xfId="1635" xr:uid="{629D02F8-0427-4BB9-AFB5-5374BE2A73D8}"/>
    <cellStyle name="20% - Accent4 2 6 2" xfId="5369" xr:uid="{8E58AA27-B7CF-4525-9036-D6B99AE2A235}"/>
    <cellStyle name="20% - Accent4 2 6 2 2" xfId="13077" xr:uid="{4045F436-07EA-4FCB-869E-42DD6C454350}"/>
    <cellStyle name="20% - Accent4 2 6 2 2 2" xfId="28489" xr:uid="{A84E4123-56A5-4C79-B5E7-F2CB9D518697}"/>
    <cellStyle name="20% - Accent4 2 6 2 2 2 2" xfId="33088" xr:uid="{C30F1A7F-B5C3-4376-BD18-44C8ADC0E139}"/>
    <cellStyle name="20% - Accent4 2 6 2 2 3" xfId="33087" xr:uid="{5EC0AA0B-ADD6-4337-96CA-9105000821DD}"/>
    <cellStyle name="20% - Accent4 2 6 2 3" xfId="20784" xr:uid="{79CE0DAB-FDDA-423C-8F13-1E23E9EB0CEE}"/>
    <cellStyle name="20% - Accent4 2 6 2 3 2" xfId="33089" xr:uid="{1DCC448A-B7AC-4027-982D-5C81E24ACF33}"/>
    <cellStyle name="20% - Accent4 2 6 2 4" xfId="33086" xr:uid="{C81E8F6D-8C8A-436B-9C03-CC50BC0BC670}"/>
    <cellStyle name="20% - Accent4 2 6 3" xfId="9350" xr:uid="{DCB8AB9E-7AA4-4279-B762-94B32A90ECC7}"/>
    <cellStyle name="20% - Accent4 2 6 3 2" xfId="24763" xr:uid="{BEDD2C4B-CEF6-410E-A848-B5BCF1C32A5A}"/>
    <cellStyle name="20% - Accent4 2 6 3 2 2" xfId="33091" xr:uid="{4302055C-3938-4D34-B4BE-CA0218FE3265}"/>
    <cellStyle name="20% - Accent4 2 6 3 3" xfId="33090" xr:uid="{38F72A09-BEA8-4CD6-B51A-EF694B4A0E5F}"/>
    <cellStyle name="20% - Accent4 2 6 4" xfId="17058" xr:uid="{899D0B57-B149-4A3D-80CE-39C1E337AB20}"/>
    <cellStyle name="20% - Accent4 2 6 4 2" xfId="33092" xr:uid="{D841251F-2D56-4D1B-8315-FE8EC69F1BF4}"/>
    <cellStyle name="20% - Accent4 2 6 5" xfId="33085" xr:uid="{3223E628-B435-4377-9203-31A90073835B}"/>
    <cellStyle name="20% - Accent4 2 7" xfId="3879" xr:uid="{00D4F724-9F55-4C1F-A841-A0E753CB7CB3}"/>
    <cellStyle name="20% - Accent4 2 7 2" xfId="11588" xr:uid="{55286720-80D0-4D2F-A157-04B8172DADCC}"/>
    <cellStyle name="20% - Accent4 2 7 2 2" xfId="27000" xr:uid="{87686B3A-61DF-4BC2-BA10-7AF2D8148D39}"/>
    <cellStyle name="20% - Accent4 2 7 2 2 2" xfId="33095" xr:uid="{22230DB2-EFA6-41CF-9F7F-17807B7162F5}"/>
    <cellStyle name="20% - Accent4 2 7 2 3" xfId="33094" xr:uid="{E4A81F77-3F9D-4D2E-A999-95CF38C9A5B0}"/>
    <cellStyle name="20% - Accent4 2 7 3" xfId="19295" xr:uid="{19EBCF24-8984-4A10-9BF4-3AEB66879C8D}"/>
    <cellStyle name="20% - Accent4 2 7 3 2" xfId="33096" xr:uid="{A1BABCBB-E66C-4FA8-BE22-DB5015199E3F}"/>
    <cellStyle name="20% - Accent4 2 7 4" xfId="33093" xr:uid="{FA576CA7-958A-459F-8BE3-3201BEE1E01B}"/>
    <cellStyle name="20% - Accent4 2 8" xfId="7873" xr:uid="{93F01129-C449-4277-A86E-BC25D4E6386F}"/>
    <cellStyle name="20% - Accent4 2 8 2" xfId="23286" xr:uid="{540E5A1A-89F2-44CD-8465-55A294A7683F}"/>
    <cellStyle name="20% - Accent4 2 8 2 2" xfId="33098" xr:uid="{9A04EA17-72A6-44E6-A35F-7AEE655D5ADB}"/>
    <cellStyle name="20% - Accent4 2 8 3" xfId="33097" xr:uid="{3F30B784-AC8A-4E1A-84C6-B91FE5195A6C}"/>
    <cellStyle name="20% - Accent4 2 9" xfId="15581" xr:uid="{1FDE666A-8C48-447A-B1D5-3F324BB42B09}"/>
    <cellStyle name="20% - Accent4 2 9 2" xfId="33099" xr:uid="{05FE8286-F105-46F5-8F9B-ED97CACC49B8}"/>
    <cellStyle name="20% - Accent4 20" xfId="3606" xr:uid="{0BEB75FC-55F7-45FA-BD52-A7C1C588725A}"/>
    <cellStyle name="20% - Accent4 20 2" xfId="7337" xr:uid="{CEFC7B83-99DF-48C0-A30C-8FF33DFE6090}"/>
    <cellStyle name="20% - Accent4 20 2 2" xfId="15045" xr:uid="{54D94EAB-1331-4AE1-A75C-D9BC49C576EE}"/>
    <cellStyle name="20% - Accent4 20 2 2 2" xfId="30457" xr:uid="{E3117C78-ED2F-4A3B-ACB4-2959A3B367B0}"/>
    <cellStyle name="20% - Accent4 20 2 2 2 2" xfId="33103" xr:uid="{1FE4BC8B-1A94-4C1F-B23D-C856C7FAA0E0}"/>
    <cellStyle name="20% - Accent4 20 2 2 3" xfId="33102" xr:uid="{5D184D95-0AED-4BB3-80F9-4BD50C43CA2F}"/>
    <cellStyle name="20% - Accent4 20 2 3" xfId="22752" xr:uid="{58E23AE4-2270-4AAE-B18C-5D6DADB6DA99}"/>
    <cellStyle name="20% - Accent4 20 2 3 2" xfId="33104" xr:uid="{674AB292-98EC-4E72-BC68-A0E886034459}"/>
    <cellStyle name="20% - Accent4 20 2 4" xfId="33101" xr:uid="{662B4872-B7B6-4A39-B836-6B2F60A6C441}"/>
    <cellStyle name="20% - Accent4 20 3" xfId="11316" xr:uid="{C12DB91C-7F18-4EE1-9036-A77306533E65}"/>
    <cellStyle name="20% - Accent4 20 3 2" xfId="26729" xr:uid="{C5BF950B-6DB0-4280-AC35-CECAADE1197D}"/>
    <cellStyle name="20% - Accent4 20 3 2 2" xfId="33106" xr:uid="{7D89B2C4-B158-456A-B5DF-D0352A559990}"/>
    <cellStyle name="20% - Accent4 20 3 3" xfId="33105" xr:uid="{0A0538A9-C1C2-468E-A5A0-43045D75F33D}"/>
    <cellStyle name="20% - Accent4 20 4" xfId="19024" xr:uid="{4480B0BA-2174-4F37-AE9D-FDD21410F90B}"/>
    <cellStyle name="20% - Accent4 20 4 2" xfId="33107" xr:uid="{425A7ECE-CF3D-468F-8FD4-44448ECBC0CB}"/>
    <cellStyle name="20% - Accent4 20 5" xfId="33100" xr:uid="{59A7EB5D-CFDE-43B5-B30D-3DE0CAB29BD6}"/>
    <cellStyle name="20% - Accent4 21" xfId="3626" xr:uid="{B903FD1E-B30B-49F4-B41B-28F56C8939FB}"/>
    <cellStyle name="20% - Accent4 21 2" xfId="7357" xr:uid="{0C33B9CE-CF8D-479B-B475-C0648CB6A371}"/>
    <cellStyle name="20% - Accent4 21 2 2" xfId="15065" xr:uid="{F829B3F3-DBEA-4A7A-A629-FC5F8CD067E4}"/>
    <cellStyle name="20% - Accent4 21 2 2 2" xfId="30477" xr:uid="{0BACF5D5-D1B3-4AA9-ADD9-7F1F63EE7B1B}"/>
    <cellStyle name="20% - Accent4 21 2 2 2 2" xfId="33111" xr:uid="{E893425B-33FC-4A8F-8C26-A0528C19EFBE}"/>
    <cellStyle name="20% - Accent4 21 2 2 3" xfId="33110" xr:uid="{CC41E977-8557-41A0-965C-4075A0FA057A}"/>
    <cellStyle name="20% - Accent4 21 2 3" xfId="22772" xr:uid="{BD7AC675-1157-4380-9B9E-8EEBE23CD77D}"/>
    <cellStyle name="20% - Accent4 21 2 3 2" xfId="33112" xr:uid="{4A961FF9-431C-4E0E-936F-143CE5FAFF6E}"/>
    <cellStyle name="20% - Accent4 21 2 4" xfId="33109" xr:uid="{EBF01B65-F29C-404C-9600-A08475FB34E0}"/>
    <cellStyle name="20% - Accent4 21 3" xfId="11336" xr:uid="{2460A2F0-5412-44EA-BE73-127C9BB3CA35}"/>
    <cellStyle name="20% - Accent4 21 3 2" xfId="26749" xr:uid="{9C780B24-E22C-46A2-9AA6-304AE533C93C}"/>
    <cellStyle name="20% - Accent4 21 3 2 2" xfId="33114" xr:uid="{071D3FEE-8D1F-4C17-9562-16D65EC52C87}"/>
    <cellStyle name="20% - Accent4 21 3 3" xfId="33113" xr:uid="{418C26E7-8D44-4065-AB3B-365D79313EC7}"/>
    <cellStyle name="20% - Accent4 21 4" xfId="19044" xr:uid="{FE023F9D-B83A-440C-AA1E-5B6C574945C3}"/>
    <cellStyle name="20% - Accent4 21 4 2" xfId="33115" xr:uid="{5967984F-341F-494F-9CC6-E88BAC72C28A}"/>
    <cellStyle name="20% - Accent4 21 5" xfId="33108" xr:uid="{71EEB801-539E-4B00-8839-94FE197CC8EB}"/>
    <cellStyle name="20% - Accent4 22" xfId="3646" xr:uid="{7DF89D21-05F2-44B4-BB78-EDDE45FAB037}"/>
    <cellStyle name="20% - Accent4 22 2" xfId="7377" xr:uid="{CD3A9BB6-A496-42CA-9D90-736E0CD95561}"/>
    <cellStyle name="20% - Accent4 22 2 2" xfId="15085" xr:uid="{7A6D4C2E-3028-46C1-B4E2-CBD9FFBC91B9}"/>
    <cellStyle name="20% - Accent4 22 2 2 2" xfId="30497" xr:uid="{D3BAA0C4-346C-4024-9D13-F7033EC68DCC}"/>
    <cellStyle name="20% - Accent4 22 2 2 2 2" xfId="33119" xr:uid="{C2C75B27-9CBA-4892-BD82-BF8989C4FEA7}"/>
    <cellStyle name="20% - Accent4 22 2 2 3" xfId="33118" xr:uid="{09AFE41B-2910-4B63-AFF7-51FFD097745E}"/>
    <cellStyle name="20% - Accent4 22 2 3" xfId="22792" xr:uid="{752B4A89-F782-4184-A6EF-15B868675CFD}"/>
    <cellStyle name="20% - Accent4 22 2 3 2" xfId="33120" xr:uid="{F12A9073-147D-4206-B26F-2BD3D234F5E8}"/>
    <cellStyle name="20% - Accent4 22 2 4" xfId="33117" xr:uid="{F132BC19-5B65-4D8E-822B-1FC221E0F322}"/>
    <cellStyle name="20% - Accent4 22 3" xfId="11356" xr:uid="{34C52374-9FB2-4BE2-9417-788364F73865}"/>
    <cellStyle name="20% - Accent4 22 3 2" xfId="26769" xr:uid="{D715EA62-1252-42F4-B2F5-2A0007737435}"/>
    <cellStyle name="20% - Accent4 22 3 2 2" xfId="33122" xr:uid="{E44C7AE9-640E-4231-B0EF-ACC4444F49C1}"/>
    <cellStyle name="20% - Accent4 22 3 3" xfId="33121" xr:uid="{262A05E3-50EB-4799-B41F-DB01E789CEC9}"/>
    <cellStyle name="20% - Accent4 22 4" xfId="19064" xr:uid="{969595F4-EF8E-430D-909B-E2A8041B89A8}"/>
    <cellStyle name="20% - Accent4 22 4 2" xfId="33123" xr:uid="{FC6F7558-5A26-4E3E-AA1E-4AEF5BD6D88F}"/>
    <cellStyle name="20% - Accent4 22 5" xfId="33116" xr:uid="{606151EE-D4D9-492A-81A9-FCC212517BB8}"/>
    <cellStyle name="20% - Accent4 23" xfId="3666" xr:uid="{157E98C9-0D4C-40F3-995A-2D889743ACAB}"/>
    <cellStyle name="20% - Accent4 23 2" xfId="7397" xr:uid="{95C24F13-7474-4EE4-9DFA-030C3E13DC2C}"/>
    <cellStyle name="20% - Accent4 23 2 2" xfId="15105" xr:uid="{9C465D6C-E6EE-4EBE-986F-545EFAC8615F}"/>
    <cellStyle name="20% - Accent4 23 2 2 2" xfId="30517" xr:uid="{5B71793B-1A39-4E99-ABBE-42EB445EE2AD}"/>
    <cellStyle name="20% - Accent4 23 2 2 2 2" xfId="33127" xr:uid="{2DF140B6-9F23-4825-AE1D-259B36146125}"/>
    <cellStyle name="20% - Accent4 23 2 2 3" xfId="33126" xr:uid="{6B334D27-BDF3-4C99-B7C0-E2D8988F29A6}"/>
    <cellStyle name="20% - Accent4 23 2 3" xfId="22812" xr:uid="{395BFBFD-75D3-40C5-B8DB-866344F9A3FB}"/>
    <cellStyle name="20% - Accent4 23 2 3 2" xfId="33128" xr:uid="{D70A93F1-9863-46DA-97C1-61913447AD89}"/>
    <cellStyle name="20% - Accent4 23 2 4" xfId="33125" xr:uid="{DE18F513-9B8C-40F4-8110-F5506D1D02E7}"/>
    <cellStyle name="20% - Accent4 23 3" xfId="11376" xr:uid="{B4AACF94-CED8-48F2-8523-53DF0EB93A27}"/>
    <cellStyle name="20% - Accent4 23 3 2" xfId="26789" xr:uid="{618443AF-C3B7-48C3-B40D-537B5731AF0B}"/>
    <cellStyle name="20% - Accent4 23 3 2 2" xfId="33130" xr:uid="{0409AE05-97E7-4324-B379-644E6394973E}"/>
    <cellStyle name="20% - Accent4 23 3 3" xfId="33129" xr:uid="{501F2F40-7D35-46CD-8344-64C238BA5BB8}"/>
    <cellStyle name="20% - Accent4 23 4" xfId="19084" xr:uid="{D74CD17B-40C9-4637-A60A-1B7889F5A18A}"/>
    <cellStyle name="20% - Accent4 23 4 2" xfId="33131" xr:uid="{DFE28392-79F1-460A-AE53-E5A6DAF0AF4B}"/>
    <cellStyle name="20% - Accent4 23 5" xfId="33124" xr:uid="{815922B2-E24C-4F6E-AE20-51532648BC3A}"/>
    <cellStyle name="20% - Accent4 24" xfId="3686" xr:uid="{F31AC958-CD25-4171-BB07-D8A5100E38CB}"/>
    <cellStyle name="20% - Accent4 24 2" xfId="7417" xr:uid="{E8E9EFDC-5698-4C6B-A3DE-0F3A00311092}"/>
    <cellStyle name="20% - Accent4 24 2 2" xfId="15125" xr:uid="{BDAE5C1A-51B7-4138-B5A7-24E7FC959BE1}"/>
    <cellStyle name="20% - Accent4 24 2 2 2" xfId="30537" xr:uid="{7A8FA883-D793-408C-81CE-D137849A823B}"/>
    <cellStyle name="20% - Accent4 24 2 2 2 2" xfId="33135" xr:uid="{167BCB0F-E026-4425-B0C9-58BC31312E37}"/>
    <cellStyle name="20% - Accent4 24 2 2 3" xfId="33134" xr:uid="{BD3121A9-FFC8-4A53-B66A-0061F745B25C}"/>
    <cellStyle name="20% - Accent4 24 2 3" xfId="22832" xr:uid="{8143D3C3-62CB-47A4-80A7-3AA7ADF6D787}"/>
    <cellStyle name="20% - Accent4 24 2 3 2" xfId="33136" xr:uid="{49FEDB27-E670-4AAC-9464-40F1ECD51479}"/>
    <cellStyle name="20% - Accent4 24 2 4" xfId="33133" xr:uid="{C7B06593-4055-4737-A610-AC3F2E75529F}"/>
    <cellStyle name="20% - Accent4 24 3" xfId="11396" xr:uid="{500201BD-9335-4F93-874E-7749C5EE6C4B}"/>
    <cellStyle name="20% - Accent4 24 3 2" xfId="26809" xr:uid="{5CF0A263-D3A1-49E4-AC3A-BEC123C10C67}"/>
    <cellStyle name="20% - Accent4 24 3 2 2" xfId="33138" xr:uid="{58EA5D8E-D651-4890-AA7F-F1954F2EE6F3}"/>
    <cellStyle name="20% - Accent4 24 3 3" xfId="33137" xr:uid="{1162FB5D-A9AB-41FA-B121-07194AAF7CC9}"/>
    <cellStyle name="20% - Accent4 24 4" xfId="19104" xr:uid="{942CBDA6-3BDD-4A0D-B401-BB82DFF2B3DD}"/>
    <cellStyle name="20% - Accent4 24 4 2" xfId="33139" xr:uid="{6250E830-BD58-4502-9F2D-62A6CA146BD6}"/>
    <cellStyle name="20% - Accent4 24 5" xfId="33132" xr:uid="{A9AF0663-CF90-4844-865C-4A08C9072A35}"/>
    <cellStyle name="20% - Accent4 25" xfId="3706" xr:uid="{C67F81C5-CBAA-4F73-B50A-A6AB36FBE878}"/>
    <cellStyle name="20% - Accent4 25 2" xfId="7437" xr:uid="{CAC69199-8D80-4536-9C50-B5E16A56E845}"/>
    <cellStyle name="20% - Accent4 25 2 2" xfId="15145" xr:uid="{23936F45-BF90-4733-B83F-E11F011318D1}"/>
    <cellStyle name="20% - Accent4 25 2 2 2" xfId="30557" xr:uid="{0CAB35A4-5024-4630-9F88-5D7EB5EB1F45}"/>
    <cellStyle name="20% - Accent4 25 2 2 2 2" xfId="33143" xr:uid="{20D2404E-DB99-4F16-AA25-B2ECF9FA55A4}"/>
    <cellStyle name="20% - Accent4 25 2 2 3" xfId="33142" xr:uid="{51915FBA-D1F8-4A7A-BAB7-67B80B199304}"/>
    <cellStyle name="20% - Accent4 25 2 3" xfId="22852" xr:uid="{85B0DF5B-F6BD-4049-8F02-0DD8E6344475}"/>
    <cellStyle name="20% - Accent4 25 2 3 2" xfId="33144" xr:uid="{D2328616-7DEA-4161-AACC-C68F2FB82402}"/>
    <cellStyle name="20% - Accent4 25 2 4" xfId="33141" xr:uid="{D3F3412A-84FC-40CB-8D24-E8B7EAD32092}"/>
    <cellStyle name="20% - Accent4 25 3" xfId="11416" xr:uid="{BFB99FAC-5126-42F7-A23F-B0242534B796}"/>
    <cellStyle name="20% - Accent4 25 3 2" xfId="26829" xr:uid="{979F3E0D-576D-4917-8199-21E53A4CE9AB}"/>
    <cellStyle name="20% - Accent4 25 3 2 2" xfId="33146" xr:uid="{C92DB893-CDC2-4322-8AB8-D67C0C87F2C9}"/>
    <cellStyle name="20% - Accent4 25 3 3" xfId="33145" xr:uid="{1ED2EF52-210F-412A-8033-3AA9B12EA3C3}"/>
    <cellStyle name="20% - Accent4 25 4" xfId="19124" xr:uid="{5B81709B-637A-485B-B95B-577086BCD22E}"/>
    <cellStyle name="20% - Accent4 25 4 2" xfId="33147" xr:uid="{50B96469-11FC-4CEC-BBDC-1BDB8C4785CD}"/>
    <cellStyle name="20% - Accent4 25 5" xfId="33140" xr:uid="{1D0969AD-FFF4-4CD6-B99C-7131FB35BFE6}"/>
    <cellStyle name="20% - Accent4 26" xfId="3726" xr:uid="{A63EC1C3-FFAA-4258-AE2D-F591F4480A74}"/>
    <cellStyle name="20% - Accent4 26 2" xfId="7457" xr:uid="{492AA79D-6C6F-4CE3-9E90-6571156A229C}"/>
    <cellStyle name="20% - Accent4 26 2 2" xfId="15165" xr:uid="{65040F5B-3E6E-44FA-9AB5-A4D9E0C01006}"/>
    <cellStyle name="20% - Accent4 26 2 2 2" xfId="30577" xr:uid="{0C6C98C5-CCF3-4C28-B642-86F3569526D7}"/>
    <cellStyle name="20% - Accent4 26 2 2 2 2" xfId="33151" xr:uid="{51A1381C-C9A0-4614-A871-4843C0ADD7BE}"/>
    <cellStyle name="20% - Accent4 26 2 2 3" xfId="33150" xr:uid="{76A57725-FC00-4EB7-B426-070D605ABB40}"/>
    <cellStyle name="20% - Accent4 26 2 3" xfId="22872" xr:uid="{7F36E1B7-57F9-4A87-B0CE-1F338656EE77}"/>
    <cellStyle name="20% - Accent4 26 2 3 2" xfId="33152" xr:uid="{CF5CE3B8-BDCB-44BC-A5AD-9A918E49D2B6}"/>
    <cellStyle name="20% - Accent4 26 2 4" xfId="33149" xr:uid="{57B9207E-5AA1-4281-974D-58BBB8D8841D}"/>
    <cellStyle name="20% - Accent4 26 3" xfId="11436" xr:uid="{D9AF7E79-14BB-4891-BF60-0B39FD7FB033}"/>
    <cellStyle name="20% - Accent4 26 3 2" xfId="26849" xr:uid="{70877DAB-B795-412E-AEE3-0D5CA2A01A97}"/>
    <cellStyle name="20% - Accent4 26 3 2 2" xfId="33154" xr:uid="{F67C24DE-4D3C-470A-A448-4E7828596FA0}"/>
    <cellStyle name="20% - Accent4 26 3 3" xfId="33153" xr:uid="{9037071B-9D2D-4C98-A818-6232447921A9}"/>
    <cellStyle name="20% - Accent4 26 4" xfId="19144" xr:uid="{76CDC1E1-318F-4FDA-8E98-61E0D814D803}"/>
    <cellStyle name="20% - Accent4 26 4 2" xfId="33155" xr:uid="{317AD849-DAE7-4CFA-90D0-72D4C1EAC3AD}"/>
    <cellStyle name="20% - Accent4 26 5" xfId="33148" xr:uid="{A212EF3F-073E-46BC-AD6D-4DBF719C81E7}"/>
    <cellStyle name="20% - Accent4 27" xfId="3746" xr:uid="{DFA168AF-F9AB-40FE-8E14-E21EFFB72404}"/>
    <cellStyle name="20% - Accent4 27 2" xfId="7477" xr:uid="{A8578881-7682-4A44-9D8B-448EE62F5A54}"/>
    <cellStyle name="20% - Accent4 27 2 2" xfId="15185" xr:uid="{ED53ED51-4A22-4685-AA92-A4CADDF5AE9D}"/>
    <cellStyle name="20% - Accent4 27 2 2 2" xfId="30597" xr:uid="{20D78790-9AAF-48C0-A6C1-3D9FB6AE403D}"/>
    <cellStyle name="20% - Accent4 27 2 2 2 2" xfId="33159" xr:uid="{DEA1E3E8-A043-4B88-B080-8E1E36571386}"/>
    <cellStyle name="20% - Accent4 27 2 2 3" xfId="33158" xr:uid="{3512F1A6-124C-4058-8A38-CB3D3714313A}"/>
    <cellStyle name="20% - Accent4 27 2 3" xfId="22892" xr:uid="{51185168-E8E9-4014-9AAC-8BFAC6DDDF0A}"/>
    <cellStyle name="20% - Accent4 27 2 3 2" xfId="33160" xr:uid="{C5F7A78A-A8AB-4E0D-B04C-A36E1310AC8D}"/>
    <cellStyle name="20% - Accent4 27 2 4" xfId="33157" xr:uid="{A8AC888F-003B-4F1E-A4A0-9E7E4E97ECB0}"/>
    <cellStyle name="20% - Accent4 27 3" xfId="11456" xr:uid="{DA511473-91A2-4D19-A8E2-576B4DB6E862}"/>
    <cellStyle name="20% - Accent4 27 3 2" xfId="26869" xr:uid="{D939AC36-6AE3-4D55-A4D6-A03B371BDAEF}"/>
    <cellStyle name="20% - Accent4 27 3 2 2" xfId="33162" xr:uid="{6B56927D-E49A-4DD1-AC84-C44577031172}"/>
    <cellStyle name="20% - Accent4 27 3 3" xfId="33161" xr:uid="{3CB18DB5-B3B7-4C60-90AC-898A7EDFE6E6}"/>
    <cellStyle name="20% - Accent4 27 4" xfId="19164" xr:uid="{75A4510E-4442-4F4C-A5AA-7C2A168257E9}"/>
    <cellStyle name="20% - Accent4 27 4 2" xfId="33163" xr:uid="{11AE05D1-EB18-4B4F-841E-63E64DBBE53D}"/>
    <cellStyle name="20% - Accent4 27 5" xfId="33156" xr:uid="{2C797FCF-96CF-454B-AD41-D97242BCBDB2}"/>
    <cellStyle name="20% - Accent4 28" xfId="3766" xr:uid="{3F2BF8C5-291A-47DF-9649-9DA23AE9C262}"/>
    <cellStyle name="20% - Accent4 28 2" xfId="7497" xr:uid="{48C9740C-78B3-48C9-818B-9EC265C445D2}"/>
    <cellStyle name="20% - Accent4 28 2 2" xfId="15205" xr:uid="{0DD756EE-A2F1-4EA9-A899-FE0BAF96896C}"/>
    <cellStyle name="20% - Accent4 28 2 2 2" xfId="30617" xr:uid="{92B481BF-9F30-4F6E-A6B7-C3E1E4D669EE}"/>
    <cellStyle name="20% - Accent4 28 2 2 2 2" xfId="33167" xr:uid="{6D218773-8440-4942-AE63-63757382B3CA}"/>
    <cellStyle name="20% - Accent4 28 2 2 3" xfId="33166" xr:uid="{1792CC61-8B3F-4743-9CCD-01BEA632D1DC}"/>
    <cellStyle name="20% - Accent4 28 2 3" xfId="22912" xr:uid="{D271F81B-5754-45DE-90F3-CA16FFC95358}"/>
    <cellStyle name="20% - Accent4 28 2 3 2" xfId="33168" xr:uid="{4DAE9764-F154-4974-8CC4-61740A879A55}"/>
    <cellStyle name="20% - Accent4 28 2 4" xfId="33165" xr:uid="{CFE08004-83DB-4D25-967B-84762B889671}"/>
    <cellStyle name="20% - Accent4 28 3" xfId="11476" xr:uid="{53590644-D575-4CBE-B247-47E8C87861B5}"/>
    <cellStyle name="20% - Accent4 28 3 2" xfId="26889" xr:uid="{5124DD77-5446-40D1-B86A-27DB31616DCB}"/>
    <cellStyle name="20% - Accent4 28 3 2 2" xfId="33170" xr:uid="{440696BE-8163-435D-B4CD-92165C4E03D6}"/>
    <cellStyle name="20% - Accent4 28 3 3" xfId="33169" xr:uid="{59BC0B7F-5222-4854-9563-15A9A400A0E3}"/>
    <cellStyle name="20% - Accent4 28 4" xfId="19184" xr:uid="{BE7F7A7F-29DF-41D5-96EF-F2E37BA2C080}"/>
    <cellStyle name="20% - Accent4 28 4 2" xfId="33171" xr:uid="{2FC3CF06-6D6B-4411-84BE-03BBC7047359}"/>
    <cellStyle name="20% - Accent4 28 5" xfId="33164" xr:uid="{A093C245-5377-4645-B374-31EBF72AC921}"/>
    <cellStyle name="20% - Accent4 29" xfId="3786" xr:uid="{0431FE27-18EC-4780-B704-B353169907FF}"/>
    <cellStyle name="20% - Accent4 29 2" xfId="7517" xr:uid="{648F20D3-7A18-4978-903B-59C06CFE225C}"/>
    <cellStyle name="20% - Accent4 29 2 2" xfId="15225" xr:uid="{CB46FC06-BFED-4F88-B02D-3E4F728D1A2B}"/>
    <cellStyle name="20% - Accent4 29 2 2 2" xfId="30637" xr:uid="{50955241-0971-4947-AF05-1A116F462F15}"/>
    <cellStyle name="20% - Accent4 29 2 2 2 2" xfId="33175" xr:uid="{CDCB0F16-3AF6-4C0B-95E9-4FE4C605261A}"/>
    <cellStyle name="20% - Accent4 29 2 2 3" xfId="33174" xr:uid="{4D717D6D-6E20-4A2A-B217-40D7A9A75278}"/>
    <cellStyle name="20% - Accent4 29 2 3" xfId="22932" xr:uid="{D2CF2B73-0907-4D12-AD80-86378AF94F0C}"/>
    <cellStyle name="20% - Accent4 29 2 3 2" xfId="33176" xr:uid="{E9042F2C-55E8-4521-89ED-665F4DC0FAC3}"/>
    <cellStyle name="20% - Accent4 29 2 4" xfId="33173" xr:uid="{E4BAF2AE-D7EF-4177-BD60-337456830DB9}"/>
    <cellStyle name="20% - Accent4 29 3" xfId="11496" xr:uid="{A0F0090B-7B51-4910-B735-25717E0A04D4}"/>
    <cellStyle name="20% - Accent4 29 3 2" xfId="26909" xr:uid="{D8E09E78-391D-43FE-87B8-3074EDDFA5F6}"/>
    <cellStyle name="20% - Accent4 29 3 2 2" xfId="33178" xr:uid="{2E7131CE-D099-41F0-BB4C-4E3C405E0FF4}"/>
    <cellStyle name="20% - Accent4 29 3 3" xfId="33177" xr:uid="{1EDC510E-5432-4252-89E3-D454E310E5DC}"/>
    <cellStyle name="20% - Accent4 29 4" xfId="19204" xr:uid="{AEFEA507-6B23-42B8-92AB-4FEDB00DE534}"/>
    <cellStyle name="20% - Accent4 29 4 2" xfId="33179" xr:uid="{1E1C7254-172C-4354-B2B1-8ABFD3372F80}"/>
    <cellStyle name="20% - Accent4 29 5" xfId="33172" xr:uid="{06509C99-B4C4-41CF-ADF8-6F848BA5CB47}"/>
    <cellStyle name="20% - Accent4 3" xfId="329" xr:uid="{AC10ADAA-28C1-4CD3-BFB3-0F64DCF00C5F}"/>
    <cellStyle name="20% - Accent4 3 2" xfId="993" xr:uid="{22A32CA1-FB35-4111-A773-A274C77C737D}"/>
    <cellStyle name="20% - Accent4 3 2 2" xfId="2463" xr:uid="{E0FB7987-590A-4CA4-B9EB-2B92B9B44DD6}"/>
    <cellStyle name="20% - Accent4 3 2 2 2" xfId="6195" xr:uid="{537C95DB-3950-468D-862E-4F453C92A3A6}"/>
    <cellStyle name="20% - Accent4 3 2 2 2 2" xfId="13903" xr:uid="{7E928A37-2441-46C0-AC29-9E315F4E2425}"/>
    <cellStyle name="20% - Accent4 3 2 2 2 2 2" xfId="29315" xr:uid="{931B9A62-9694-4CCB-BBE7-D69BB7D7964B}"/>
    <cellStyle name="20% - Accent4 3 2 2 2 2 2 2" xfId="33185" xr:uid="{64EB133D-7FA5-4134-BFFF-B66C80B7F933}"/>
    <cellStyle name="20% - Accent4 3 2 2 2 2 3" xfId="33184" xr:uid="{042BF163-8C36-4378-B783-EBA137D6A451}"/>
    <cellStyle name="20% - Accent4 3 2 2 2 3" xfId="21610" xr:uid="{BB82F2CA-8203-4922-9701-5267A872DC15}"/>
    <cellStyle name="20% - Accent4 3 2 2 2 3 2" xfId="33186" xr:uid="{A6C97D1D-E88A-4E13-AC1A-B547154EAED9}"/>
    <cellStyle name="20% - Accent4 3 2 2 2 4" xfId="33183" xr:uid="{08FBFE2D-75F9-48A1-9370-218FDB5E113C}"/>
    <cellStyle name="20% - Accent4 3 2 2 3" xfId="10174" xr:uid="{B01A6B01-9B04-4F2F-90C8-2F43B3C20E23}"/>
    <cellStyle name="20% - Accent4 3 2 2 3 2" xfId="25587" xr:uid="{9559E141-CCDF-4B7F-B194-A0896B88A465}"/>
    <cellStyle name="20% - Accent4 3 2 2 3 2 2" xfId="33188" xr:uid="{892FDDB9-0728-4952-9862-69FBE2ABEBC1}"/>
    <cellStyle name="20% - Accent4 3 2 2 3 3" xfId="33187" xr:uid="{62845CCC-DE86-4629-9D32-3D45737ECCE1}"/>
    <cellStyle name="20% - Accent4 3 2 2 4" xfId="17882" xr:uid="{31243CCA-D2A9-4353-984A-EF6198E66093}"/>
    <cellStyle name="20% - Accent4 3 2 2 4 2" xfId="33189" xr:uid="{3F52952E-EED1-4873-BC11-4E445760BBB9}"/>
    <cellStyle name="20% - Accent4 3 2 2 5" xfId="33182" xr:uid="{00D14B78-C53C-4C6C-9A77-2216C48FF5AC}"/>
    <cellStyle name="20% - Accent4 3 2 3" xfId="4730" xr:uid="{FCD24086-E35D-41AE-82B4-5998D3889868}"/>
    <cellStyle name="20% - Accent4 3 2 3 2" xfId="12438" xr:uid="{81A2B5D4-4F09-4E82-8176-4E7E9EED1427}"/>
    <cellStyle name="20% - Accent4 3 2 3 2 2" xfId="27850" xr:uid="{10014F4A-CA40-4CEE-8CC1-61271ECF09A8}"/>
    <cellStyle name="20% - Accent4 3 2 3 2 2 2" xfId="33192" xr:uid="{DE2F9C60-40EB-464B-B212-DB54595A1E44}"/>
    <cellStyle name="20% - Accent4 3 2 3 2 3" xfId="33191" xr:uid="{72E59B59-4A6A-4D42-9AB4-03E77036F68D}"/>
    <cellStyle name="20% - Accent4 3 2 3 3" xfId="20145" xr:uid="{1A94F5E3-200D-4DE8-906D-010A536E2884}"/>
    <cellStyle name="20% - Accent4 3 2 3 3 2" xfId="33193" xr:uid="{70904FA9-4F53-4A90-9F9E-424B5ED4F080}"/>
    <cellStyle name="20% - Accent4 3 2 3 4" xfId="33190" xr:uid="{2E1F316A-0308-4918-A4CA-31A1FD33A724}"/>
    <cellStyle name="20% - Accent4 3 2 4" xfId="8715" xr:uid="{2B26012E-D675-40DC-9A83-2B7BA6E4FE2B}"/>
    <cellStyle name="20% - Accent4 3 2 4 2" xfId="24128" xr:uid="{4D214118-35AC-4A57-A734-6193202C4365}"/>
    <cellStyle name="20% - Accent4 3 2 4 2 2" xfId="33195" xr:uid="{348DCB73-357E-44DE-833A-96D8B39B4988}"/>
    <cellStyle name="20% - Accent4 3 2 4 3" xfId="33194" xr:uid="{FA6CC8EC-341D-4EE7-8E8A-D4BEB7610C0A}"/>
    <cellStyle name="20% - Accent4 3 2 5" xfId="16423" xr:uid="{D6898D3C-DA36-45D0-AAD0-36FDC0F2EA7E}"/>
    <cellStyle name="20% - Accent4 3 2 5 2" xfId="33196" xr:uid="{8A7CE02F-B4AE-4E4C-92E3-EF10914E213F}"/>
    <cellStyle name="20% - Accent4 3 2 6" xfId="33181" xr:uid="{FAD1215C-5FE0-4DEF-9A88-C6E3E2C85FC6}"/>
    <cellStyle name="20% - Accent4 3 3" xfId="1825" xr:uid="{01BF59D7-94E0-4520-9F30-5282B2F5F145}"/>
    <cellStyle name="20% - Accent4 3 3 2" xfId="5557" xr:uid="{77D04080-EDD9-4D87-9FCD-D63741CE6ED1}"/>
    <cellStyle name="20% - Accent4 3 3 2 2" xfId="13265" xr:uid="{BD8164ED-366D-49DF-902C-C1415153D6CC}"/>
    <cellStyle name="20% - Accent4 3 3 2 2 2" xfId="28677" xr:uid="{97847858-50BF-4ACC-8F53-5CFC91B72047}"/>
    <cellStyle name="20% - Accent4 3 3 2 2 2 2" xfId="33200" xr:uid="{57DA95A9-9DD5-4689-B685-C9D82CEA11B0}"/>
    <cellStyle name="20% - Accent4 3 3 2 2 3" xfId="33199" xr:uid="{5EB0B64D-7A80-46DA-B1A8-111B7CC0F998}"/>
    <cellStyle name="20% - Accent4 3 3 2 3" xfId="20972" xr:uid="{A76586A4-E1B9-40F6-90D9-418C30272773}"/>
    <cellStyle name="20% - Accent4 3 3 2 3 2" xfId="33201" xr:uid="{6F45DF50-7EA4-4A24-B5F0-74D565E12324}"/>
    <cellStyle name="20% - Accent4 3 3 2 4" xfId="33198" xr:uid="{51E3EAE0-F68A-420F-B4F4-9025C22FDFAD}"/>
    <cellStyle name="20% - Accent4 3 3 3" xfId="9536" xr:uid="{0C0BA914-2EBC-4A71-990E-D41FDBC11B30}"/>
    <cellStyle name="20% - Accent4 3 3 3 2" xfId="24949" xr:uid="{CFD4E761-B04B-434B-89A0-3ADF1E2D18E4}"/>
    <cellStyle name="20% - Accent4 3 3 3 2 2" xfId="33203" xr:uid="{57496E7D-97A7-4401-BD86-3C04E1E1129B}"/>
    <cellStyle name="20% - Accent4 3 3 3 3" xfId="33202" xr:uid="{1F003BC2-3399-46C1-A484-E4E93CA6A9D9}"/>
    <cellStyle name="20% - Accent4 3 3 4" xfId="17244" xr:uid="{564973B9-DEBD-4BC5-9024-E93B73C04784}"/>
    <cellStyle name="20% - Accent4 3 3 4 2" xfId="33204" xr:uid="{571CAD44-B5FA-4D7C-BC2B-BC8C2D91E9C4}"/>
    <cellStyle name="20% - Accent4 3 3 5" xfId="33197" xr:uid="{F630A0A2-DF75-4708-BBDF-770F407D98A3}"/>
    <cellStyle name="20% - Accent4 3 4" xfId="4078" xr:uid="{2720259D-9CCA-4EA1-99FE-3604B47D0AEC}"/>
    <cellStyle name="20% - Accent4 3 4 2" xfId="11786" xr:uid="{9C52E9A4-1BF4-4BFB-8189-037AF7010479}"/>
    <cellStyle name="20% - Accent4 3 4 2 2" xfId="27198" xr:uid="{09D156B5-6E47-44C6-98C3-C4B8B72D8D61}"/>
    <cellStyle name="20% - Accent4 3 4 2 2 2" xfId="33207" xr:uid="{9AA63485-7EF2-45AF-B85B-7C0438E91075}"/>
    <cellStyle name="20% - Accent4 3 4 2 3" xfId="33206" xr:uid="{B9DD4AB2-18A2-47DC-94FA-C9A5CEA0BB38}"/>
    <cellStyle name="20% - Accent4 3 4 3" xfId="19493" xr:uid="{8C11D770-4634-40D4-92EF-E4B469826E29}"/>
    <cellStyle name="20% - Accent4 3 4 3 2" xfId="33208" xr:uid="{76BB7236-96F0-45FE-A276-20704ADE5552}"/>
    <cellStyle name="20% - Accent4 3 4 4" xfId="33205" xr:uid="{D64265A2-163E-48FB-9323-E1820DC18D5F}"/>
    <cellStyle name="20% - Accent4 3 5" xfId="8077" xr:uid="{93F128F2-5683-4559-AF51-18C4218217B6}"/>
    <cellStyle name="20% - Accent4 3 5 2" xfId="23490" xr:uid="{625E1F4F-70AD-488E-9CAE-1C9355CB17A3}"/>
    <cellStyle name="20% - Accent4 3 5 2 2" xfId="33210" xr:uid="{53C68A43-CE0F-4862-B75B-CDE5A6A3CBD0}"/>
    <cellStyle name="20% - Accent4 3 5 3" xfId="33209" xr:uid="{5090DD03-C6AB-4652-984F-950D3E0DC038}"/>
    <cellStyle name="20% - Accent4 3 6" xfId="15785" xr:uid="{00E7411A-1859-4FBE-9F07-0DC57F529960}"/>
    <cellStyle name="20% - Accent4 3 6 2" xfId="33211" xr:uid="{B0676705-B190-41E8-AE4F-D046D34AA95B}"/>
    <cellStyle name="20% - Accent4 3 7" xfId="33180" xr:uid="{3F0B4AD7-2FA2-4C38-A828-1B0D2475FD4E}"/>
    <cellStyle name="20% - Accent4 30" xfId="3806" xr:uid="{B9B31FFA-CF09-4027-81B1-4964464D6D3D}"/>
    <cellStyle name="20% - Accent4 30 2" xfId="7537" xr:uid="{E08B235B-9CC8-4224-B2EF-975B9A7100E9}"/>
    <cellStyle name="20% - Accent4 30 2 2" xfId="15245" xr:uid="{7944DBB9-90FF-4EF6-9ACE-1F805D3595D4}"/>
    <cellStyle name="20% - Accent4 30 2 2 2" xfId="30657" xr:uid="{46F05AFC-C7C1-485D-8CC1-EC89DCFDB683}"/>
    <cellStyle name="20% - Accent4 30 2 2 2 2" xfId="33215" xr:uid="{344313F2-0D3B-4BE1-B714-1AAF81ED3FE4}"/>
    <cellStyle name="20% - Accent4 30 2 2 3" xfId="33214" xr:uid="{7AFFB136-410E-4FE1-B573-17DD8261C123}"/>
    <cellStyle name="20% - Accent4 30 2 3" xfId="22952" xr:uid="{77EE5896-00FE-445A-813C-1B9CD39F61BF}"/>
    <cellStyle name="20% - Accent4 30 2 3 2" xfId="33216" xr:uid="{F2BE5A3F-FFA0-47AF-A2C2-60B72C8E7217}"/>
    <cellStyle name="20% - Accent4 30 2 4" xfId="33213" xr:uid="{F426E598-13E9-4FAD-B55C-A9E731D34E54}"/>
    <cellStyle name="20% - Accent4 30 3" xfId="11516" xr:uid="{B0D2D997-2761-4FA8-A51A-3587D8850ED1}"/>
    <cellStyle name="20% - Accent4 30 3 2" xfId="26929" xr:uid="{D0496CF6-E911-43AC-9E5E-4902DE1F09C3}"/>
    <cellStyle name="20% - Accent4 30 3 2 2" xfId="33218" xr:uid="{A71FD9A7-AD05-45E1-8CF7-76DB032D463E}"/>
    <cellStyle name="20% - Accent4 30 3 3" xfId="33217" xr:uid="{FC47B859-4522-44CA-97B8-AC6E9E9BF3AA}"/>
    <cellStyle name="20% - Accent4 30 4" xfId="19224" xr:uid="{E88A266C-517F-4D2B-9E75-DF986BF76ACB}"/>
    <cellStyle name="20% - Accent4 30 4 2" xfId="33219" xr:uid="{47ABF4B0-703E-4112-9F03-69162FBB3967}"/>
    <cellStyle name="20% - Accent4 30 5" xfId="33212" xr:uid="{4EA1D2C1-33F3-4C3F-AA29-7709CD0698EC}"/>
    <cellStyle name="20% - Accent4 31" xfId="3826" xr:uid="{996418B4-818B-4AC2-B014-8E528709F3D2}"/>
    <cellStyle name="20% - Accent4 31 2" xfId="7557" xr:uid="{90C7448E-AB45-4312-B82C-7AE661A1958C}"/>
    <cellStyle name="20% - Accent4 31 2 2" xfId="15265" xr:uid="{21814D6C-165D-4A1B-B72D-E5B69FDF1AEB}"/>
    <cellStyle name="20% - Accent4 31 2 2 2" xfId="30677" xr:uid="{B8118AB9-39F2-4EFD-B2A7-FB1D9FBB3D76}"/>
    <cellStyle name="20% - Accent4 31 2 2 2 2" xfId="33223" xr:uid="{25652A7D-9C13-4A2C-B2FB-65EBBC38C42A}"/>
    <cellStyle name="20% - Accent4 31 2 2 3" xfId="33222" xr:uid="{07DDC2D6-2DC7-471B-A2BD-8F133A0785B7}"/>
    <cellStyle name="20% - Accent4 31 2 3" xfId="22972" xr:uid="{963C7EA6-1425-48D7-B76F-E5716E865CE8}"/>
    <cellStyle name="20% - Accent4 31 2 3 2" xfId="33224" xr:uid="{2BC856F7-1F93-4858-8280-4261E19B0F4C}"/>
    <cellStyle name="20% - Accent4 31 2 4" xfId="33221" xr:uid="{5EE4B1A0-224B-47D5-874E-1AAFC021505A}"/>
    <cellStyle name="20% - Accent4 31 3" xfId="11536" xr:uid="{A73487EE-78A8-4B5A-BE6A-F112BBB7B89E}"/>
    <cellStyle name="20% - Accent4 31 3 2" xfId="26949" xr:uid="{908F1D80-0EDA-4C9D-9FF5-9DCE5525E04F}"/>
    <cellStyle name="20% - Accent4 31 3 2 2" xfId="33226" xr:uid="{14C0FE1D-D057-449A-B553-BC9803C30851}"/>
    <cellStyle name="20% - Accent4 31 3 3" xfId="33225" xr:uid="{933C2F9D-3FFA-4E93-824B-715267502752}"/>
    <cellStyle name="20% - Accent4 31 4" xfId="19244" xr:uid="{1CB6FA68-423C-4438-9DA7-9D2D7636512E}"/>
    <cellStyle name="20% - Accent4 31 4 2" xfId="33227" xr:uid="{843EDF7E-82A6-44B6-A7A0-3B726BB5593D}"/>
    <cellStyle name="20% - Accent4 31 5" xfId="33220" xr:uid="{637B5937-5CD9-4008-BECA-1BC19A29ECA2}"/>
    <cellStyle name="20% - Accent4 32" xfId="3847" xr:uid="{289CFAD0-BF69-46FA-9FA4-A0D7CF6ED120}"/>
    <cellStyle name="20% - Accent4 32 2" xfId="7577" xr:uid="{02CE2968-9F15-48F5-99DE-0F12950EA4AF}"/>
    <cellStyle name="20% - Accent4 32 2 2" xfId="15285" xr:uid="{07D7D350-7B3D-47D4-BB7E-5F6E74F57D87}"/>
    <cellStyle name="20% - Accent4 32 2 2 2" xfId="30697" xr:uid="{C9AC1A3B-6851-4023-9E83-9768C336A780}"/>
    <cellStyle name="20% - Accent4 32 2 2 2 2" xfId="33231" xr:uid="{C73610AB-EB67-477E-9CA1-A309DA272A4D}"/>
    <cellStyle name="20% - Accent4 32 2 2 3" xfId="33230" xr:uid="{2C90EF52-955D-4EC1-A9F2-B0815DDC4058}"/>
    <cellStyle name="20% - Accent4 32 2 3" xfId="22992" xr:uid="{7F9F1B60-95EC-4541-82E0-F8F18B6BBF49}"/>
    <cellStyle name="20% - Accent4 32 2 3 2" xfId="33232" xr:uid="{E31EED25-5DB3-4BFE-A347-031D64AAADFC}"/>
    <cellStyle name="20% - Accent4 32 2 4" xfId="33229" xr:uid="{5716A04F-2F42-44D2-9429-D72CE075E6AB}"/>
    <cellStyle name="20% - Accent4 32 3" xfId="11557" xr:uid="{150C5E27-62D9-4FA6-B29C-FBC17A9658EB}"/>
    <cellStyle name="20% - Accent4 32 3 2" xfId="26969" xr:uid="{D2BFE073-5B3C-4953-BE62-9854089E2F7E}"/>
    <cellStyle name="20% - Accent4 32 3 2 2" xfId="33234" xr:uid="{23BCC767-72F4-45EA-B5E1-60A74C3D69C8}"/>
    <cellStyle name="20% - Accent4 32 3 3" xfId="33233" xr:uid="{7AF1A07A-66EC-4A5F-ADEF-7AB97B109742}"/>
    <cellStyle name="20% - Accent4 32 4" xfId="19264" xr:uid="{DCA1FD1E-E83D-4B12-9E12-A05CCEE93AB7}"/>
    <cellStyle name="20% - Accent4 32 4 2" xfId="33235" xr:uid="{E0ECA6E7-E12E-4818-ABAF-B3F5AB1F46C7}"/>
    <cellStyle name="20% - Accent4 32 5" xfId="33228" xr:uid="{023F8930-D3AB-49E2-89DC-38EE16BB53C0}"/>
    <cellStyle name="20% - Accent4 33" xfId="3866" xr:uid="{93DD7D42-6903-4D7A-AC3D-7D0627C1546C}"/>
    <cellStyle name="20% - Accent4 33 2" xfId="11576" xr:uid="{83C2A9F5-40B5-45DA-A9EA-04C0E4585F37}"/>
    <cellStyle name="20% - Accent4 33 2 2" xfId="26988" xr:uid="{50C185A7-244B-4A18-AAF7-2AA43BE3EFE3}"/>
    <cellStyle name="20% - Accent4 33 2 2 2" xfId="33238" xr:uid="{905FF4F6-1FC4-400A-8814-12A52189E3F9}"/>
    <cellStyle name="20% - Accent4 33 2 3" xfId="33237" xr:uid="{B2D7BD07-0BC5-4392-8301-BBD763D125ED}"/>
    <cellStyle name="20% - Accent4 33 3" xfId="19283" xr:uid="{963D13CF-780B-4F27-BA70-33EF8F440C7F}"/>
    <cellStyle name="20% - Accent4 33 3 2" xfId="33239" xr:uid="{E798765D-B7F2-469A-8FDA-91F50A84799F}"/>
    <cellStyle name="20% - Accent4 33 4" xfId="33236" xr:uid="{666AD319-AE7D-4114-956E-83DC01CB00B6}"/>
    <cellStyle name="20% - Accent4 34" xfId="7597" xr:uid="{1DF34AF3-A39D-4375-B3E0-A2F90B8349C7}"/>
    <cellStyle name="20% - Accent4 34 2" xfId="15305" xr:uid="{A54168EB-28D3-44BA-B8DA-EEDE8DE37087}"/>
    <cellStyle name="20% - Accent4 34 2 2" xfId="30717" xr:uid="{111D8808-8A9D-40E6-97F9-F8A3AD6E872A}"/>
    <cellStyle name="20% - Accent4 34 2 2 2" xfId="33242" xr:uid="{CB2B70E4-C903-4462-BE7E-1897175B2ECC}"/>
    <cellStyle name="20% - Accent4 34 2 3" xfId="33241" xr:uid="{5FFBB6F0-220F-4278-A3AE-86169749CD31}"/>
    <cellStyle name="20% - Accent4 34 3" xfId="23012" xr:uid="{C2EEBCFC-6C36-4791-A305-F24ECC52D7D7}"/>
    <cellStyle name="20% - Accent4 34 3 2" xfId="33243" xr:uid="{3102B0AC-A978-4201-B8E6-A228F031264C}"/>
    <cellStyle name="20% - Accent4 34 4" xfId="33240" xr:uid="{074E43DC-334F-4E5F-992F-186239B12328}"/>
    <cellStyle name="20% - Accent4 35" xfId="7617" xr:uid="{73536E74-B828-46F4-A007-CE2E852B7361}"/>
    <cellStyle name="20% - Accent4 35 2" xfId="15325" xr:uid="{0F12D3AE-6C76-44AD-8299-25E053573280}"/>
    <cellStyle name="20% - Accent4 35 2 2" xfId="30737" xr:uid="{7D69A323-D107-4EA9-A845-7A672EF0CFF7}"/>
    <cellStyle name="20% - Accent4 35 2 2 2" xfId="33246" xr:uid="{3C7D8CF8-23DD-470A-B99A-F57364A4F7BF}"/>
    <cellStyle name="20% - Accent4 35 2 3" xfId="33245" xr:uid="{6F4AE4D0-E138-470B-B318-5E75AED9E797}"/>
    <cellStyle name="20% - Accent4 35 3" xfId="23032" xr:uid="{711D2DF8-7085-45F0-ACC6-E67A5CA3CF76}"/>
    <cellStyle name="20% - Accent4 35 3 2" xfId="33247" xr:uid="{C37948F2-5A99-4603-A0B2-16E8DEF38984}"/>
    <cellStyle name="20% - Accent4 35 4" xfId="33244" xr:uid="{A42CE49A-6DA6-4ACF-BDEB-F5B19299B428}"/>
    <cellStyle name="20% - Accent4 36" xfId="7637" xr:uid="{4D9D9DE3-5D47-4134-8C86-A531F84C33B5}"/>
    <cellStyle name="20% - Accent4 36 2" xfId="15345" xr:uid="{0EAFA885-535C-4710-B3B1-71528D82DD7A}"/>
    <cellStyle name="20% - Accent4 36 2 2" xfId="30757" xr:uid="{80467EDE-14DB-41C3-B91D-ECD04A635423}"/>
    <cellStyle name="20% - Accent4 36 2 2 2" xfId="33250" xr:uid="{3AB9DCE3-9D87-473D-8D15-CB2A30AD58F7}"/>
    <cellStyle name="20% - Accent4 36 2 3" xfId="33249" xr:uid="{C669910A-0D33-467A-B872-1D8CB2588233}"/>
    <cellStyle name="20% - Accent4 36 3" xfId="23052" xr:uid="{F485E8BC-6CFB-456B-8B15-60C874D6C224}"/>
    <cellStyle name="20% - Accent4 36 3 2" xfId="33251" xr:uid="{0138B36B-5E9C-45CC-8F0A-A8C8E1BA7997}"/>
    <cellStyle name="20% - Accent4 36 4" xfId="33248" xr:uid="{D1737E11-B92D-4269-BD13-4C4F6A0B2EBC}"/>
    <cellStyle name="20% - Accent4 37" xfId="7657" xr:uid="{9F966EE1-452C-4641-B72F-3FE1D39B9494}"/>
    <cellStyle name="20% - Accent4 37 2" xfId="15365" xr:uid="{2EF14EBE-9DB3-495D-BB09-4A9908DF927E}"/>
    <cellStyle name="20% - Accent4 37 2 2" xfId="30777" xr:uid="{02EA3DD9-F31E-40AB-8FFE-629D5D0CF3D3}"/>
    <cellStyle name="20% - Accent4 37 2 2 2" xfId="33254" xr:uid="{75755D8C-16BD-4563-A83A-214310E16C17}"/>
    <cellStyle name="20% - Accent4 37 2 3" xfId="33253" xr:uid="{ECE5093F-8FF8-43F9-A115-69375CD140B3}"/>
    <cellStyle name="20% - Accent4 37 3" xfId="23072" xr:uid="{FEFFF595-27C1-4DF1-8BC5-C51074CA2D71}"/>
    <cellStyle name="20% - Accent4 37 3 2" xfId="33255" xr:uid="{60730291-2D92-4737-AD03-F83D37E7635A}"/>
    <cellStyle name="20% - Accent4 37 4" xfId="33252" xr:uid="{90ADB26F-6C9D-4F33-987A-ABD26972F788}"/>
    <cellStyle name="20% - Accent4 38" xfId="7677" xr:uid="{260C4CAB-3A35-468A-BAA0-1365CE6A45B4}"/>
    <cellStyle name="20% - Accent4 38 2" xfId="15385" xr:uid="{774E7A0B-EF1C-45DC-B29B-036D921C326E}"/>
    <cellStyle name="20% - Accent4 38 2 2" xfId="30797" xr:uid="{388FB900-943E-436F-966D-5D4E5A932EC9}"/>
    <cellStyle name="20% - Accent4 38 2 2 2" xfId="33258" xr:uid="{75FCE759-F086-44CE-829F-8C46744A5A22}"/>
    <cellStyle name="20% - Accent4 38 2 3" xfId="33257" xr:uid="{A109C8AA-5EE4-4A96-8658-5998939448D5}"/>
    <cellStyle name="20% - Accent4 38 3" xfId="23092" xr:uid="{AEEB887A-95CD-404A-B6CD-C489C390D41C}"/>
    <cellStyle name="20% - Accent4 38 3 2" xfId="33259" xr:uid="{AB550EF4-2517-4611-82A2-EB7807F61B6A}"/>
    <cellStyle name="20% - Accent4 38 4" xfId="33256" xr:uid="{54A02BCE-2601-4EE6-8A3B-4C3B295C323C}"/>
    <cellStyle name="20% - Accent4 39" xfId="7697" xr:uid="{213B649A-3D0A-4164-8DE6-70D2225E8150}"/>
    <cellStyle name="20% - Accent4 39 2" xfId="15405" xr:uid="{2AE2F78A-ED54-4773-ABC7-52E64AD8BAA1}"/>
    <cellStyle name="20% - Accent4 39 2 2" xfId="30817" xr:uid="{C0C8CB6D-8461-491D-BCA1-269909C6BD1A}"/>
    <cellStyle name="20% - Accent4 39 2 2 2" xfId="33262" xr:uid="{6B2D8098-B014-4777-B5F0-FF6258C7F4F4}"/>
    <cellStyle name="20% - Accent4 39 2 3" xfId="33261" xr:uid="{E37EF4EF-CAEF-4C66-B4C6-27F743D7CC68}"/>
    <cellStyle name="20% - Accent4 39 3" xfId="23112" xr:uid="{61A60FB3-696B-42E3-AC79-FD0E0BD2C323}"/>
    <cellStyle name="20% - Accent4 39 3 2" xfId="33263" xr:uid="{F8FC539A-5940-4724-A716-C70B5F12F519}"/>
    <cellStyle name="20% - Accent4 39 4" xfId="33260" xr:uid="{13A03985-B9EF-41F8-90F7-B5CF0A49D618}"/>
    <cellStyle name="20% - Accent4 4" xfId="1622" xr:uid="{FED85105-E075-4598-892E-244DCF9A4B7F}"/>
    <cellStyle name="20% - Accent4 4 2" xfId="5357" xr:uid="{2775E7B5-1B99-4281-9752-949BA42810D1}"/>
    <cellStyle name="20% - Accent4 4 2 2" xfId="13065" xr:uid="{1BA155AA-C1CB-4ADC-8179-87BAD475946D}"/>
    <cellStyle name="20% - Accent4 4 2 2 2" xfId="28477" xr:uid="{EA6A58B2-33A0-4EF6-AEBC-DEA4E1EC0B5A}"/>
    <cellStyle name="20% - Accent4 4 2 2 2 2" xfId="33267" xr:uid="{3F019859-C01C-4427-A54A-80EF51CD61FC}"/>
    <cellStyle name="20% - Accent4 4 2 2 3" xfId="33266" xr:uid="{A0F29872-B7C4-4090-84CE-E5F5DB490D58}"/>
    <cellStyle name="20% - Accent4 4 2 3" xfId="20772" xr:uid="{728B850F-D3BE-425B-8441-CDE5EFF0C095}"/>
    <cellStyle name="20% - Accent4 4 2 3 2" xfId="33268" xr:uid="{8A4D3802-11EA-41D2-9A48-E9358A07E32A}"/>
    <cellStyle name="20% - Accent4 4 2 4" xfId="33265" xr:uid="{0356592F-19EB-46D7-A418-6913DB2CEB9E}"/>
    <cellStyle name="20% - Accent4 4 3" xfId="9338" xr:uid="{9D7A56B8-A1E0-48DE-9534-01820F1A4B2D}"/>
    <cellStyle name="20% - Accent4 4 3 2" xfId="24751" xr:uid="{480ECA16-4290-4519-B896-FED300578D92}"/>
    <cellStyle name="20% - Accent4 4 3 2 2" xfId="33270" xr:uid="{FA2C9F7E-D3C3-48F4-AF36-A030B81CA6D6}"/>
    <cellStyle name="20% - Accent4 4 3 3" xfId="33269" xr:uid="{054476A4-21F5-424A-AF56-EEBDB451AC23}"/>
    <cellStyle name="20% - Accent4 4 4" xfId="17046" xr:uid="{52D13E72-662C-40C3-A49A-77B50D478861}"/>
    <cellStyle name="20% - Accent4 4 4 2" xfId="33271" xr:uid="{431BC303-B596-4B27-A210-0E232F9B6C59}"/>
    <cellStyle name="20% - Accent4 4 5" xfId="33264" xr:uid="{A640D16A-BA8C-4DAE-8E76-012A13521791}"/>
    <cellStyle name="20% - Accent4 40" xfId="7717" xr:uid="{4A31DE2B-628E-4170-A6B0-797B30C525DF}"/>
    <cellStyle name="20% - Accent4 40 2" xfId="15425" xr:uid="{D80B805C-69C9-4F3D-91E5-D6AFDD343182}"/>
    <cellStyle name="20% - Accent4 40 2 2" xfId="30837" xr:uid="{8A92D9C1-2535-4AC2-AD29-DF9E1C120F74}"/>
    <cellStyle name="20% - Accent4 40 2 2 2" xfId="33274" xr:uid="{E2C0CE0E-D3B3-4E1C-881F-DE1640BF3D57}"/>
    <cellStyle name="20% - Accent4 40 2 3" xfId="33273" xr:uid="{0A6A6E54-D80E-45BA-9541-A3B50AE2CFDF}"/>
    <cellStyle name="20% - Accent4 40 3" xfId="23132" xr:uid="{F42D34F0-710D-4CDC-91B9-A0E780A37C86}"/>
    <cellStyle name="20% - Accent4 40 3 2" xfId="33275" xr:uid="{7F679C56-8212-4C24-B51D-5C548E9DF158}"/>
    <cellStyle name="20% - Accent4 40 4" xfId="33272" xr:uid="{C44FDF75-2625-4F6A-B789-2F06D0C95B34}"/>
    <cellStyle name="20% - Accent4 41" xfId="7737" xr:uid="{01120E9D-33E9-4D6B-9116-C0A2DB96D1F8}"/>
    <cellStyle name="20% - Accent4 41 2" xfId="15445" xr:uid="{C5F625E8-2276-4CDD-B000-527B4AC0A204}"/>
    <cellStyle name="20% - Accent4 41 2 2" xfId="30857" xr:uid="{6C4AACCD-CF73-4D47-8533-C10EEF347E22}"/>
    <cellStyle name="20% - Accent4 41 2 2 2" xfId="33278" xr:uid="{CADD26F1-E2F5-4394-84BF-59764B6F784D}"/>
    <cellStyle name="20% - Accent4 41 2 3" xfId="33277" xr:uid="{92F4816B-4BBB-49B3-BB80-E5A6BCB8F325}"/>
    <cellStyle name="20% - Accent4 41 3" xfId="23152" xr:uid="{576C2F35-E982-4AFA-865B-8C02B037F6BE}"/>
    <cellStyle name="20% - Accent4 41 3 2" xfId="33279" xr:uid="{3484A7E9-265C-488F-8312-7A5D907DF89A}"/>
    <cellStyle name="20% - Accent4 41 4" xfId="33276" xr:uid="{D545F247-0483-4ADD-A2FD-619782B89181}"/>
    <cellStyle name="20% - Accent4 42" xfId="7757" xr:uid="{8DDD4C77-5AD8-4514-A5B5-E16306CCC3C5}"/>
    <cellStyle name="20% - Accent4 42 2" xfId="15465" xr:uid="{4B7D08D0-145D-4985-BC24-C1D6553143E9}"/>
    <cellStyle name="20% - Accent4 42 2 2" xfId="30877" xr:uid="{339A5758-9CFF-4038-86B9-982F2AB8A909}"/>
    <cellStyle name="20% - Accent4 42 2 2 2" xfId="33282" xr:uid="{C9D95174-B497-4442-8DE2-53C39C3FD890}"/>
    <cellStyle name="20% - Accent4 42 2 3" xfId="33281" xr:uid="{B7BB32D1-EFC4-486B-8162-460F3FDDD514}"/>
    <cellStyle name="20% - Accent4 42 3" xfId="23172" xr:uid="{C37311F8-DBA0-438F-85CC-4EE59677E6F2}"/>
    <cellStyle name="20% - Accent4 42 3 2" xfId="33283" xr:uid="{3C1D4A34-3C12-4243-B8D4-B8C9EAE2BA97}"/>
    <cellStyle name="20% - Accent4 42 4" xfId="33280" xr:uid="{57E9819E-A38C-4F57-B0E6-4B2B9983869D}"/>
    <cellStyle name="20% - Accent4 43" xfId="7777" xr:uid="{38E2ECE9-4340-420D-9A86-868D7DF130B6}"/>
    <cellStyle name="20% - Accent4 43 2" xfId="15485" xr:uid="{9AD8BECF-05B7-431F-B3F6-F7D6ED6B4193}"/>
    <cellStyle name="20% - Accent4 43 2 2" xfId="30897" xr:uid="{B8B08A89-85E8-4191-80E0-08909BCCE8F4}"/>
    <cellStyle name="20% - Accent4 43 2 2 2" xfId="33286" xr:uid="{0BE3FD33-5F2F-41CF-A6D4-75D13400D221}"/>
    <cellStyle name="20% - Accent4 43 2 3" xfId="33285" xr:uid="{71B57319-AC94-4743-AA1C-0D10BE9EF534}"/>
    <cellStyle name="20% - Accent4 43 3" xfId="23192" xr:uid="{67A908CC-57E6-4509-ABF7-86292F28EBFD}"/>
    <cellStyle name="20% - Accent4 43 3 2" xfId="33287" xr:uid="{F31E44C0-4800-46C7-857E-9896FCAB6DAA}"/>
    <cellStyle name="20% - Accent4 43 4" xfId="33284" xr:uid="{6724B65A-6BD5-4439-8622-4CCEDF125848}"/>
    <cellStyle name="20% - Accent4 44" xfId="7797" xr:uid="{CA4AEB23-32DA-43C6-AEA0-D89DD26B6F6B}"/>
    <cellStyle name="20% - Accent4 44 2" xfId="15505" xr:uid="{B9DA310E-995E-4796-A53C-F828B185528E}"/>
    <cellStyle name="20% - Accent4 44 2 2" xfId="30917" xr:uid="{E19CE7D0-0900-4A69-9424-38770445F739}"/>
    <cellStyle name="20% - Accent4 44 2 2 2" xfId="33290" xr:uid="{BF32F3A6-E7D4-4937-B77D-DCE5A57A6E4B}"/>
    <cellStyle name="20% - Accent4 44 2 3" xfId="33289" xr:uid="{1CD0C709-5E81-4468-8B11-CA04C95F4127}"/>
    <cellStyle name="20% - Accent4 44 3" xfId="23212" xr:uid="{3152E2D8-F432-420D-8946-26ED334ED203}"/>
    <cellStyle name="20% - Accent4 44 3 2" xfId="33291" xr:uid="{B8DE4118-B872-4853-A81C-29B7BCC1C23C}"/>
    <cellStyle name="20% - Accent4 44 4" xfId="33288" xr:uid="{85AB2B0F-0AB4-4E6B-BED1-939D7F8E8D6C}"/>
    <cellStyle name="20% - Accent4 45" xfId="7819" xr:uid="{7E910D99-7124-409B-8BAA-F4B64DC8FAA8}"/>
    <cellStyle name="20% - Accent4 45 2" xfId="15527" xr:uid="{E31C89E4-3358-4276-9754-877D0EF1A860}"/>
    <cellStyle name="20% - Accent4 45 2 2" xfId="30939" xr:uid="{D720B765-6F87-4100-90AC-01CC308FA02B}"/>
    <cellStyle name="20% - Accent4 45 2 2 2" xfId="33294" xr:uid="{CBF52949-6560-4A39-B817-75AA18BB6035}"/>
    <cellStyle name="20% - Accent4 45 2 3" xfId="33293" xr:uid="{FD12DFE0-4283-4961-B084-4CB23E3B7E0A}"/>
    <cellStyle name="20% - Accent4 45 3" xfId="23234" xr:uid="{F1B2491D-7027-408E-B13B-553A26FC8C1F}"/>
    <cellStyle name="20% - Accent4 45 3 2" xfId="33295" xr:uid="{B46728C2-C7E2-4372-A89D-2B1F298545C7}"/>
    <cellStyle name="20% - Accent4 45 4" xfId="33292" xr:uid="{C1304BF5-D4F6-4321-AD09-4C820EAD1FA6}"/>
    <cellStyle name="20% - Accent4 46" xfId="7840" xr:uid="{74BCB130-7319-40A6-ADD8-1A00CB4A5B4E}"/>
    <cellStyle name="20% - Accent4 46 2" xfId="15548" xr:uid="{CCBC6AA1-B34F-4D2A-93F0-105DB8631559}"/>
    <cellStyle name="20% - Accent4 46 2 2" xfId="30959" xr:uid="{C58C9755-D468-4C9B-82C3-08CFAFDFE7A1}"/>
    <cellStyle name="20% - Accent4 46 2 2 2" xfId="33298" xr:uid="{9F7F57BE-08CF-422B-BDCE-4794029D71B3}"/>
    <cellStyle name="20% - Accent4 46 2 3" xfId="33297" xr:uid="{55DDDA25-27B2-43F6-BD8C-A7CBD4388968}"/>
    <cellStyle name="20% - Accent4 46 3" xfId="23254" xr:uid="{1D30D40C-5E43-4F78-AA12-106C46E1E2E8}"/>
    <cellStyle name="20% - Accent4 46 3 2" xfId="33299" xr:uid="{9CDB5BA6-60E3-4209-B4EB-8B86A7793DCD}"/>
    <cellStyle name="20% - Accent4 46 4" xfId="33296" xr:uid="{70060784-9208-449E-80C7-870ED2302268}"/>
    <cellStyle name="20% - Accent4 47" xfId="7860" xr:uid="{CA6215DF-86C4-4A04-A436-6D8B1FDD1197}"/>
    <cellStyle name="20% - Accent4 47 2" xfId="15568" xr:uid="{C317E6D3-31B7-4615-BA58-9E89BF7AB020}"/>
    <cellStyle name="20% - Accent4 47 2 2" xfId="30979" xr:uid="{894FA2AF-0031-40B4-9E1F-40F902A7A12A}"/>
    <cellStyle name="20% - Accent4 47 2 2 2" xfId="33302" xr:uid="{E8ABF20E-BA9F-42C2-A8C6-B23DE26C1862}"/>
    <cellStyle name="20% - Accent4 47 2 3" xfId="33301" xr:uid="{484A1735-BFC1-4F27-8B93-2B33A94E61F6}"/>
    <cellStyle name="20% - Accent4 47 3" xfId="23274" xr:uid="{65A8406E-3DD6-497B-800E-98CBA5875ED8}"/>
    <cellStyle name="20% - Accent4 47 3 2" xfId="33303" xr:uid="{8AFC0741-791B-46A9-A096-30E4E4221431}"/>
    <cellStyle name="20% - Accent4 47 4" xfId="33300" xr:uid="{1F7B6622-AF4A-4AA4-A7C4-174C5BA09224}"/>
    <cellStyle name="20% - Accent4 48" xfId="7913" xr:uid="{34E9E4FB-130F-4723-AB0B-8B42B36D30CA}"/>
    <cellStyle name="20% - Accent4 48 2" xfId="23326" xr:uid="{93A224FE-202F-41C7-84F1-CAC055FC3375}"/>
    <cellStyle name="20% - Accent4 48 2 2" xfId="33305" xr:uid="{205FFC2F-07AE-455D-B5D6-44B85CD716BA}"/>
    <cellStyle name="20% - Accent4 48 3" xfId="33304" xr:uid="{7E5128F8-B3F2-448A-91D5-EE184A2481FB}"/>
    <cellStyle name="20% - Accent4 49" xfId="15621" xr:uid="{536C6694-B961-420C-AB08-8CB44CD94F9B}"/>
    <cellStyle name="20% - Accent4 49 2" xfId="33306" xr:uid="{1C7B996B-A6A2-45FF-8BD8-38C039E26465}"/>
    <cellStyle name="20% - Accent4 5" xfId="3305" xr:uid="{7CD559B1-CF30-4F81-A9EC-F34A95D0EADA}"/>
    <cellStyle name="20% - Accent4 5 2" xfId="7037" xr:uid="{9E0F7778-90E7-4130-952F-0E3669D1302D}"/>
    <cellStyle name="20% - Accent4 5 2 2" xfId="14745" xr:uid="{9C80C9A8-7D2A-41DD-9C6E-39CA567C0F29}"/>
    <cellStyle name="20% - Accent4 5 2 2 2" xfId="30157" xr:uid="{F874E80D-74C5-491E-BE09-DE0C93063DC3}"/>
    <cellStyle name="20% - Accent4 5 2 2 2 2" xfId="33310" xr:uid="{235C2A20-730E-4335-BEBB-487CB91D56DE}"/>
    <cellStyle name="20% - Accent4 5 2 2 3" xfId="33309" xr:uid="{1628042E-96F8-4DF1-9D36-8C1E04011E98}"/>
    <cellStyle name="20% - Accent4 5 2 3" xfId="22452" xr:uid="{39521969-D969-435B-A602-B400D11EF50D}"/>
    <cellStyle name="20% - Accent4 5 2 3 2" xfId="33311" xr:uid="{1C44C13E-EAE2-4919-8F19-4B0623382B67}"/>
    <cellStyle name="20% - Accent4 5 2 4" xfId="33308" xr:uid="{C7D1E6A5-2DB8-4C31-A29F-C0F1EB73444F}"/>
    <cellStyle name="20% - Accent4 5 3" xfId="11016" xr:uid="{093BE156-975F-48D3-B803-AAE298A2F0E2}"/>
    <cellStyle name="20% - Accent4 5 3 2" xfId="26429" xr:uid="{2AD87B2E-2C71-4BA8-95F7-D7B0D8E9949E}"/>
    <cellStyle name="20% - Accent4 5 3 2 2" xfId="33313" xr:uid="{543FAE6C-9CEA-4767-920D-CA2DDFBE24BF}"/>
    <cellStyle name="20% - Accent4 5 3 3" xfId="33312" xr:uid="{9D90289C-9008-4B21-8FA9-F35E3D01FC38}"/>
    <cellStyle name="20% - Accent4 5 4" xfId="18724" xr:uid="{820DF0B6-9FD4-49ED-B5B9-51FE63DD8057}"/>
    <cellStyle name="20% - Accent4 5 4 2" xfId="33314" xr:uid="{6E5FB339-9E49-4A2B-B875-EFA8B13597FA}"/>
    <cellStyle name="20% - Accent4 5 5" xfId="33307" xr:uid="{EB4DCF06-1A4A-4EFC-9481-D8040C7C9C20}"/>
    <cellStyle name="20% - Accent4 50" xfId="30999" xr:uid="{87DF0E41-14D9-43E8-8866-D30C61F629A3}"/>
    <cellStyle name="20% - Accent4 50 2" xfId="33315" xr:uid="{4620986D-DD82-4A10-9F95-F6CF88AF634E}"/>
    <cellStyle name="20% - Accent4 51" xfId="32763" xr:uid="{5DD26622-9EB1-4D3B-95F1-5CCB7C22BE0C}"/>
    <cellStyle name="20% - Accent4 52" xfId="61979" xr:uid="{1B65E1B3-5893-472D-A485-BA3BDE6B6DAC}"/>
    <cellStyle name="20% - Accent4 53" xfId="61999" xr:uid="{8547501B-E003-4C09-B0BA-E55F55E228B1}"/>
    <cellStyle name="20% - Accent4 54" xfId="62019" xr:uid="{8E5A075F-CAFC-481B-844F-F31EF0C81B84}"/>
    <cellStyle name="20% - Accent4 55" xfId="62032" xr:uid="{EE6B61E9-C1D4-4B36-A934-0A5498E10CBB}"/>
    <cellStyle name="20% - Accent4 56" xfId="62055" xr:uid="{DEA2A408-55AC-4955-9CB6-896E2A4109BF}"/>
    <cellStyle name="20% - Accent4 57" xfId="62088" xr:uid="{CD710DA3-6594-452D-B6BD-A954F64EDC71}"/>
    <cellStyle name="20% - Accent4 6" xfId="3325" xr:uid="{6FE27B94-BAF2-4D0E-AF76-9FF597AFD9F9}"/>
    <cellStyle name="20% - Accent4 6 2" xfId="7057" xr:uid="{542D09E8-D8B7-4CFA-A393-54A5AB986E18}"/>
    <cellStyle name="20% - Accent4 6 2 2" xfId="14765" xr:uid="{6545AE16-C6A3-492C-9C88-65FBB418C0FA}"/>
    <cellStyle name="20% - Accent4 6 2 2 2" xfId="30177" xr:uid="{30CA370E-651F-4707-86CD-9E2DE3B60B43}"/>
    <cellStyle name="20% - Accent4 6 2 2 2 2" xfId="33319" xr:uid="{D4F16C64-2213-47F1-9B2B-D1D0654745C1}"/>
    <cellStyle name="20% - Accent4 6 2 2 3" xfId="33318" xr:uid="{7017D411-23A3-4BD4-83C5-277BFB11B2FB}"/>
    <cellStyle name="20% - Accent4 6 2 3" xfId="22472" xr:uid="{E8EF8624-879F-4AB3-86EB-F469BE6C0FD3}"/>
    <cellStyle name="20% - Accent4 6 2 3 2" xfId="33320" xr:uid="{5EE5F343-195A-499F-ABF0-655FC6099F2B}"/>
    <cellStyle name="20% - Accent4 6 2 4" xfId="33317" xr:uid="{BA5EF4DD-7E9B-4F7A-804D-C090B9B41DB7}"/>
    <cellStyle name="20% - Accent4 6 3" xfId="11036" xr:uid="{E6AF665D-C2AF-4D34-A33F-AE0F3C71C1FF}"/>
    <cellStyle name="20% - Accent4 6 3 2" xfId="26449" xr:uid="{5B3A8706-90EC-49F9-AFF2-C940EEA21057}"/>
    <cellStyle name="20% - Accent4 6 3 2 2" xfId="33322" xr:uid="{71059615-4665-4DDC-B94D-3165175425C2}"/>
    <cellStyle name="20% - Accent4 6 3 3" xfId="33321" xr:uid="{A5195F2C-43AA-4561-94EC-6E30B3255F05}"/>
    <cellStyle name="20% - Accent4 6 4" xfId="18744" xr:uid="{FF18457E-6DE9-45CB-B9C9-C297D10E3B56}"/>
    <cellStyle name="20% - Accent4 6 4 2" xfId="33323" xr:uid="{E1045E3A-8EFC-4866-BF2A-314D4DBE1712}"/>
    <cellStyle name="20% - Accent4 6 5" xfId="33316" xr:uid="{5F41567D-0354-4453-97E9-2CFCE7B06642}"/>
    <cellStyle name="20% - Accent4 7" xfId="3345" xr:uid="{D6DCC118-2C2D-4462-8DFE-4FC72F9C379F}"/>
    <cellStyle name="20% - Accent4 7 2" xfId="7077" xr:uid="{6D4A9A03-FC8E-4D2C-91F9-CA3C6BF4998D}"/>
    <cellStyle name="20% - Accent4 7 2 2" xfId="14785" xr:uid="{85FA33F5-2630-401C-8B5A-42545FC916F3}"/>
    <cellStyle name="20% - Accent4 7 2 2 2" xfId="30197" xr:uid="{F9ACFDFC-199F-4B15-A73F-9EF3C406ACE8}"/>
    <cellStyle name="20% - Accent4 7 2 2 2 2" xfId="33327" xr:uid="{1164F52A-C001-422A-81D1-EB1E6F04A2F5}"/>
    <cellStyle name="20% - Accent4 7 2 2 3" xfId="33326" xr:uid="{BE63E902-48A9-4C03-A8FF-00DE48217987}"/>
    <cellStyle name="20% - Accent4 7 2 3" xfId="22492" xr:uid="{57595FBB-7615-47FB-AF30-F2288D4DFBF0}"/>
    <cellStyle name="20% - Accent4 7 2 3 2" xfId="33328" xr:uid="{B7CF7C69-CC0F-401A-BB77-8867E49ABCB8}"/>
    <cellStyle name="20% - Accent4 7 2 4" xfId="33325" xr:uid="{32092A3A-AC3B-47C3-BCE8-FD21409168CE}"/>
    <cellStyle name="20% - Accent4 7 3" xfId="11056" xr:uid="{47EF3998-0814-4489-A6C5-04E3DE938E8F}"/>
    <cellStyle name="20% - Accent4 7 3 2" xfId="26469" xr:uid="{3CEFAD41-6F68-40F3-B5BA-83B1CFC9612E}"/>
    <cellStyle name="20% - Accent4 7 3 2 2" xfId="33330" xr:uid="{5FCD7A4D-6BA3-4327-9F46-50BC75E9DD87}"/>
    <cellStyle name="20% - Accent4 7 3 3" xfId="33329" xr:uid="{286768AD-5230-493F-B4B9-C27CEA07B659}"/>
    <cellStyle name="20% - Accent4 7 4" xfId="18764" xr:uid="{F2A2FD21-F02C-415E-BACF-C49F472D61AA}"/>
    <cellStyle name="20% - Accent4 7 4 2" xfId="33331" xr:uid="{E6FC5779-AC0B-4AE6-AE1C-38A396E1C2F9}"/>
    <cellStyle name="20% - Accent4 7 5" xfId="33324" xr:uid="{C96C1441-86A1-4B94-AD70-72A7BE94A421}"/>
    <cellStyle name="20% - Accent4 8" xfId="3365" xr:uid="{0F33296C-13E5-41B3-A679-04A50229234D}"/>
    <cellStyle name="20% - Accent4 8 2" xfId="7097" xr:uid="{E34C3752-6B20-4A86-A232-9BC7C3527AD9}"/>
    <cellStyle name="20% - Accent4 8 2 2" xfId="14805" xr:uid="{71E61B50-2D02-479E-B91B-0F991CD646B3}"/>
    <cellStyle name="20% - Accent4 8 2 2 2" xfId="30217" xr:uid="{87A305D2-F2A2-4992-B97B-017281FD1F62}"/>
    <cellStyle name="20% - Accent4 8 2 2 2 2" xfId="33335" xr:uid="{1F0DB106-DF9D-4430-A170-9B535588C02C}"/>
    <cellStyle name="20% - Accent4 8 2 2 3" xfId="33334" xr:uid="{EB1084B7-B4C0-4384-A556-0369D17B7D6E}"/>
    <cellStyle name="20% - Accent4 8 2 3" xfId="22512" xr:uid="{3C85C136-4FD3-491D-9DA3-837FAEA6D5E5}"/>
    <cellStyle name="20% - Accent4 8 2 3 2" xfId="33336" xr:uid="{4595FB29-366C-4ADB-9693-7E5FCB73C19A}"/>
    <cellStyle name="20% - Accent4 8 2 4" xfId="33333" xr:uid="{D6087FA0-4938-442F-BB04-0611ADD872F9}"/>
    <cellStyle name="20% - Accent4 8 3" xfId="11076" xr:uid="{8600E623-10A5-45F9-919C-E7B91289155D}"/>
    <cellStyle name="20% - Accent4 8 3 2" xfId="26489" xr:uid="{4E12F523-0665-4F3C-ABBA-D4ECAF8A8B34}"/>
    <cellStyle name="20% - Accent4 8 3 2 2" xfId="33338" xr:uid="{B6323147-9FB7-47CD-ABE2-4809BDFFA83A}"/>
    <cellStyle name="20% - Accent4 8 3 3" xfId="33337" xr:uid="{03A5FBDD-C034-42A4-9E78-DED399B639B4}"/>
    <cellStyle name="20% - Accent4 8 4" xfId="18784" xr:uid="{B18394CA-7D87-4F11-BF35-9EA7F8B4523B}"/>
    <cellStyle name="20% - Accent4 8 4 2" xfId="33339" xr:uid="{9AAA6C0A-928B-4E71-990D-7ADE3FE4F8EE}"/>
    <cellStyle name="20% - Accent4 8 5" xfId="33332" xr:uid="{C782C4BE-BB5E-474A-A94C-E18B6C6F953A}"/>
    <cellStyle name="20% - Accent4 9" xfId="3385" xr:uid="{C907C78F-0B53-4444-804B-BD966276DA4A}"/>
    <cellStyle name="20% - Accent4 9 2" xfId="7117" xr:uid="{EC313E49-7946-40ED-8AFB-4103D5E70883}"/>
    <cellStyle name="20% - Accent4 9 2 2" xfId="14825" xr:uid="{7A7538F8-EAAF-44C8-B671-264D10AAEACF}"/>
    <cellStyle name="20% - Accent4 9 2 2 2" xfId="30237" xr:uid="{0A9B4DBF-7BCB-47AB-9011-1BCD83DC926E}"/>
    <cellStyle name="20% - Accent4 9 2 2 2 2" xfId="33343" xr:uid="{1C06938C-2C95-4AA1-B572-49FD5CB998D9}"/>
    <cellStyle name="20% - Accent4 9 2 2 3" xfId="33342" xr:uid="{173EE169-E1F3-4366-819A-72AAC5F3707D}"/>
    <cellStyle name="20% - Accent4 9 2 3" xfId="22532" xr:uid="{6BDA46DB-5406-4F35-A2FC-3862646C8213}"/>
    <cellStyle name="20% - Accent4 9 2 3 2" xfId="33344" xr:uid="{F6495666-B3C8-4940-B566-C88F0E7ABE96}"/>
    <cellStyle name="20% - Accent4 9 2 4" xfId="33341" xr:uid="{A136F4CD-1D31-4364-BDA9-BE3BC5F7CDAC}"/>
    <cellStyle name="20% - Accent4 9 3" xfId="11096" xr:uid="{2D51F14A-7052-49FE-A13D-5BF13F65F2C4}"/>
    <cellStyle name="20% - Accent4 9 3 2" xfId="26509" xr:uid="{01414436-430C-46F2-B207-02C914899099}"/>
    <cellStyle name="20% - Accent4 9 3 2 2" xfId="33346" xr:uid="{7CDAE94C-DE55-4576-AFF6-D84581DDCB9A}"/>
    <cellStyle name="20% - Accent4 9 3 3" xfId="33345" xr:uid="{C212E631-BB44-40F6-B1D6-AD4CDC1D6136}"/>
    <cellStyle name="20% - Accent4 9 4" xfId="18804" xr:uid="{0B7E804B-6190-472C-8E29-BCDA0433ADB0}"/>
    <cellStyle name="20% - Accent4 9 4 2" xfId="33347" xr:uid="{D1732788-D7D3-4E37-88E4-EE8BB5B55F9B}"/>
    <cellStyle name="20% - Accent4 9 5" xfId="33340" xr:uid="{4B978799-8A77-40E7-B94C-9F5734D735C9}"/>
    <cellStyle name="20% - Accent5 10" xfId="3408" xr:uid="{26F9CC30-ECA0-47DB-B956-773D3CE12650}"/>
    <cellStyle name="20% - Accent5 10 2" xfId="7140" xr:uid="{C727587A-82F3-42F3-AA0D-DE183E3131CC}"/>
    <cellStyle name="20% - Accent5 10 2 2" xfId="14848" xr:uid="{F276241F-6FBA-4F89-A450-38505D1E9425}"/>
    <cellStyle name="20% - Accent5 10 2 2 2" xfId="30260" xr:uid="{07B6D3FA-8253-4447-95BE-58C76191A3FA}"/>
    <cellStyle name="20% - Accent5 10 2 2 2 2" xfId="33352" xr:uid="{B3E2D583-6FF0-4895-B0B1-2A628E51C100}"/>
    <cellStyle name="20% - Accent5 10 2 2 3" xfId="33351" xr:uid="{EB49C0A9-C071-446F-8CF1-C49FE6121554}"/>
    <cellStyle name="20% - Accent5 10 2 3" xfId="22555" xr:uid="{18D55833-E8F7-46BC-9DA3-0BF5BF2269D1}"/>
    <cellStyle name="20% - Accent5 10 2 3 2" xfId="33353" xr:uid="{A7FB6E60-902A-4434-8386-7D93E2B006BE}"/>
    <cellStyle name="20% - Accent5 10 2 4" xfId="33350" xr:uid="{B09F451E-E5FF-4D73-8361-62FC3B7CFA7E}"/>
    <cellStyle name="20% - Accent5 10 3" xfId="11119" xr:uid="{F7B0D8D7-0834-4B94-AF91-E9EAD53E5AC1}"/>
    <cellStyle name="20% - Accent5 10 3 2" xfId="26532" xr:uid="{4FB02034-1249-4A59-97DF-5E0F6E122BAD}"/>
    <cellStyle name="20% - Accent5 10 3 2 2" xfId="33355" xr:uid="{9F38D077-4BB1-4884-B616-83AC8A92494A}"/>
    <cellStyle name="20% - Accent5 10 3 3" xfId="33354" xr:uid="{FE0EA017-D56A-48AC-8BC9-540E7F29B825}"/>
    <cellStyle name="20% - Accent5 10 4" xfId="18827" xr:uid="{03A6C827-7BA6-4FD9-8889-67351730D0C7}"/>
    <cellStyle name="20% - Accent5 10 4 2" xfId="33356" xr:uid="{D042546E-F985-4A7F-BA13-E622057EF3A0}"/>
    <cellStyle name="20% - Accent5 10 5" xfId="33349" xr:uid="{4FC17388-6E72-498B-80D4-6CFD3EDD61F0}"/>
    <cellStyle name="20% - Accent5 11" xfId="3428" xr:uid="{C8A0739D-2A6B-40BF-9839-BB3B75AF540C}"/>
    <cellStyle name="20% - Accent5 11 2" xfId="7160" xr:uid="{4DE11A34-A0E4-4762-B523-1EAE2A1F70AB}"/>
    <cellStyle name="20% - Accent5 11 2 2" xfId="14868" xr:uid="{43884A97-D70E-4C21-BDC0-7FAB12A0987D}"/>
    <cellStyle name="20% - Accent5 11 2 2 2" xfId="30280" xr:uid="{CE9C9EA6-213D-4D73-BB68-ABD48AA747A5}"/>
    <cellStyle name="20% - Accent5 11 2 2 2 2" xfId="33360" xr:uid="{712075A3-B0ED-451B-BE77-10A27636979A}"/>
    <cellStyle name="20% - Accent5 11 2 2 3" xfId="33359" xr:uid="{FBA70B0E-B304-417C-A8E0-848F2BF51386}"/>
    <cellStyle name="20% - Accent5 11 2 3" xfId="22575" xr:uid="{CE44A8E0-0D9D-427E-9E13-3B006857B916}"/>
    <cellStyle name="20% - Accent5 11 2 3 2" xfId="33361" xr:uid="{EE39FCFF-6B07-4819-B3DB-906E2F9C2AC1}"/>
    <cellStyle name="20% - Accent5 11 2 4" xfId="33358" xr:uid="{B02E9FDD-BFE6-4CF3-AD0A-1CA3B88C5DEC}"/>
    <cellStyle name="20% - Accent5 11 3" xfId="11139" xr:uid="{D6FBD2E2-63F8-4ED1-9E40-AA238B41EC60}"/>
    <cellStyle name="20% - Accent5 11 3 2" xfId="26552" xr:uid="{83789581-A0BD-4E20-8AC2-EB0A5EAE53C9}"/>
    <cellStyle name="20% - Accent5 11 3 2 2" xfId="33363" xr:uid="{D6EBDCE2-6890-4737-A4D9-3FB436F7C8E7}"/>
    <cellStyle name="20% - Accent5 11 3 3" xfId="33362" xr:uid="{10C13F5E-D430-4D15-B55B-2886FFEC47EC}"/>
    <cellStyle name="20% - Accent5 11 4" xfId="18847" xr:uid="{36767ACC-7214-4A97-B87B-8CDB69FCCF6A}"/>
    <cellStyle name="20% - Accent5 11 4 2" xfId="33364" xr:uid="{ADD0310F-D05A-4C4B-B702-0AA5BCB675A1}"/>
    <cellStyle name="20% - Accent5 11 5" xfId="33357" xr:uid="{6C78ED9E-5F83-40BD-9267-1BF5EC645E85}"/>
    <cellStyle name="20% - Accent5 12" xfId="3448" xr:uid="{B7214995-F98F-40B5-B31C-8F05B7B6EC58}"/>
    <cellStyle name="20% - Accent5 12 2" xfId="7180" xr:uid="{D26468AC-451D-4845-9434-15455B135103}"/>
    <cellStyle name="20% - Accent5 12 2 2" xfId="14888" xr:uid="{0DD836C8-D8AD-41D6-980B-F5D622031F49}"/>
    <cellStyle name="20% - Accent5 12 2 2 2" xfId="30300" xr:uid="{5A7ED4D8-BB3E-4F16-87EE-0FFB3A14FDFD}"/>
    <cellStyle name="20% - Accent5 12 2 2 2 2" xfId="33368" xr:uid="{80C0AA04-28ED-4D0A-ACC9-B8B69963125F}"/>
    <cellStyle name="20% - Accent5 12 2 2 3" xfId="33367" xr:uid="{A1433F2C-08C4-4758-9BD3-3D594E1C461E}"/>
    <cellStyle name="20% - Accent5 12 2 3" xfId="22595" xr:uid="{9E6DC1AE-8DE5-4555-80F1-1431F807F957}"/>
    <cellStyle name="20% - Accent5 12 2 3 2" xfId="33369" xr:uid="{1BCA0979-6228-49D0-8CEB-D0264F600FD5}"/>
    <cellStyle name="20% - Accent5 12 2 4" xfId="33366" xr:uid="{B660DDE8-C558-4B14-8C41-0B166F739534}"/>
    <cellStyle name="20% - Accent5 12 3" xfId="11159" xr:uid="{F75305D0-3AED-4CF0-BA66-F576A9F107BE}"/>
    <cellStyle name="20% - Accent5 12 3 2" xfId="26572" xr:uid="{8C3D6EBC-6B15-4F65-88CE-E520890C55A9}"/>
    <cellStyle name="20% - Accent5 12 3 2 2" xfId="33371" xr:uid="{70F4E1B0-44C7-4E72-B099-1FFFE75B9891}"/>
    <cellStyle name="20% - Accent5 12 3 3" xfId="33370" xr:uid="{B7443404-E79F-4FC6-BE9E-7C950DDECA6B}"/>
    <cellStyle name="20% - Accent5 12 4" xfId="18867" xr:uid="{6EE58C1E-B47D-4BBF-BF8A-95B9EACC4256}"/>
    <cellStyle name="20% - Accent5 12 4 2" xfId="33372" xr:uid="{E218D91A-E72D-4E40-B55D-E7EB61546494}"/>
    <cellStyle name="20% - Accent5 12 5" xfId="33365" xr:uid="{9A6880A7-5165-4F63-82EA-7E88B52AC6B6}"/>
    <cellStyle name="20% - Accent5 13" xfId="3468" xr:uid="{C52F8A1F-BC61-4D47-9B3C-99ACB3391626}"/>
    <cellStyle name="20% - Accent5 13 2" xfId="7200" xr:uid="{AA5EEBAB-3870-44AB-8E40-4445AE6CB238}"/>
    <cellStyle name="20% - Accent5 13 2 2" xfId="14908" xr:uid="{7A7B7CAF-3F54-46B8-8828-27593085AC30}"/>
    <cellStyle name="20% - Accent5 13 2 2 2" xfId="30320" xr:uid="{E4A6D201-9D23-42F7-A07F-77DF2A1C184A}"/>
    <cellStyle name="20% - Accent5 13 2 2 2 2" xfId="33376" xr:uid="{DECE3DFB-F1C6-445D-9F5E-BFBD702E884C}"/>
    <cellStyle name="20% - Accent5 13 2 2 3" xfId="33375" xr:uid="{AEBC6E49-787E-48E0-8BC9-EAECED8650C2}"/>
    <cellStyle name="20% - Accent5 13 2 3" xfId="22615" xr:uid="{2753E44B-A7FA-4705-965F-5FEFE037F284}"/>
    <cellStyle name="20% - Accent5 13 2 3 2" xfId="33377" xr:uid="{AB5DEABB-C8D5-4617-99B4-9D921B0302E6}"/>
    <cellStyle name="20% - Accent5 13 2 4" xfId="33374" xr:uid="{12F9DACE-C132-4487-AF68-998854D7DEB5}"/>
    <cellStyle name="20% - Accent5 13 3" xfId="11179" xr:uid="{091D64B2-CE3C-40DE-91B3-1AA1756C95E5}"/>
    <cellStyle name="20% - Accent5 13 3 2" xfId="26592" xr:uid="{D4369E1F-51F0-4AAD-86C8-44F61131D408}"/>
    <cellStyle name="20% - Accent5 13 3 2 2" xfId="33379" xr:uid="{F05DDEDB-0F5B-4800-8285-28E9661D04AF}"/>
    <cellStyle name="20% - Accent5 13 3 3" xfId="33378" xr:uid="{C7DDBDF8-C46C-4684-9B88-C0C6326BF564}"/>
    <cellStyle name="20% - Accent5 13 4" xfId="18887" xr:uid="{34084E86-5834-4364-967E-AB8C7F7BF7C4}"/>
    <cellStyle name="20% - Accent5 13 4 2" xfId="33380" xr:uid="{EB51ED39-4FC7-47DA-947B-372DBAC0522C}"/>
    <cellStyle name="20% - Accent5 13 5" xfId="33373" xr:uid="{94EA4421-E66F-417E-ACE2-61E9AB23E2D6}"/>
    <cellStyle name="20% - Accent5 14" xfId="3488" xr:uid="{73A65AFE-A03F-4EFC-9A03-CB67A5C7891B}"/>
    <cellStyle name="20% - Accent5 14 2" xfId="7220" xr:uid="{3F132F12-C609-4693-9465-C65BE9915643}"/>
    <cellStyle name="20% - Accent5 14 2 2" xfId="14928" xr:uid="{6501CFD7-39F1-4DEA-B303-EB7F526DBBD7}"/>
    <cellStyle name="20% - Accent5 14 2 2 2" xfId="30340" xr:uid="{ACA51651-1CFA-458B-851A-57D247B1905D}"/>
    <cellStyle name="20% - Accent5 14 2 2 2 2" xfId="33384" xr:uid="{B793F079-F8AD-446E-BD3C-FF111B709B4A}"/>
    <cellStyle name="20% - Accent5 14 2 2 3" xfId="33383" xr:uid="{354A904B-FC47-4EF9-BB51-CD259901C90B}"/>
    <cellStyle name="20% - Accent5 14 2 3" xfId="22635" xr:uid="{3A730E07-F3F0-43F0-9AD9-D7D9CA5A053D}"/>
    <cellStyle name="20% - Accent5 14 2 3 2" xfId="33385" xr:uid="{74683B05-21C3-4CAF-B755-263FBE54FFA2}"/>
    <cellStyle name="20% - Accent5 14 2 4" xfId="33382" xr:uid="{85CCD4C3-46BC-4C7A-B14A-0CCCE1B6C4CC}"/>
    <cellStyle name="20% - Accent5 14 3" xfId="11199" xr:uid="{2261303D-BC9B-4D12-A74F-E6A3C449B0A6}"/>
    <cellStyle name="20% - Accent5 14 3 2" xfId="26612" xr:uid="{B17016F6-A022-4671-9706-F70283B722C6}"/>
    <cellStyle name="20% - Accent5 14 3 2 2" xfId="33387" xr:uid="{7809B938-072E-438F-ABE5-4B05838F1E76}"/>
    <cellStyle name="20% - Accent5 14 3 3" xfId="33386" xr:uid="{E95CA274-A394-4CD0-9500-970CB7076FAE}"/>
    <cellStyle name="20% - Accent5 14 4" xfId="18907" xr:uid="{40B5B49F-4BE3-4F09-B28E-95F29A26045C}"/>
    <cellStyle name="20% - Accent5 14 4 2" xfId="33388" xr:uid="{F4498D86-DEF6-45DE-842B-7BFE293883DD}"/>
    <cellStyle name="20% - Accent5 14 5" xfId="33381" xr:uid="{61FCB224-9708-4FC5-8FFA-7393EC47D8E6}"/>
    <cellStyle name="20% - Accent5 15" xfId="3508" xr:uid="{714D3582-477B-408A-862C-A87277996EC0}"/>
    <cellStyle name="20% - Accent5 15 2" xfId="7240" xr:uid="{4086D897-C401-44FC-AD77-AF8B2476EB9A}"/>
    <cellStyle name="20% - Accent5 15 2 2" xfId="14948" xr:uid="{774975DE-E3C5-46A3-9061-5F85F5772B1B}"/>
    <cellStyle name="20% - Accent5 15 2 2 2" xfId="30360" xr:uid="{B49D3B0A-0D25-4471-97E2-E23AA6C31C4A}"/>
    <cellStyle name="20% - Accent5 15 2 2 2 2" xfId="33392" xr:uid="{BC9042CE-3C4E-4411-956E-5C74FFBD9A9C}"/>
    <cellStyle name="20% - Accent5 15 2 2 3" xfId="33391" xr:uid="{EE0AFA80-07FA-4F32-88D2-8AC643F396F6}"/>
    <cellStyle name="20% - Accent5 15 2 3" xfId="22655" xr:uid="{614B1A82-B38D-4B35-A6D1-FC9F9A54353F}"/>
    <cellStyle name="20% - Accent5 15 2 3 2" xfId="33393" xr:uid="{257093EA-8C85-44E6-AD69-3CEF1C6E2782}"/>
    <cellStyle name="20% - Accent5 15 2 4" xfId="33390" xr:uid="{F00993E3-A5B7-4FEF-ADCA-F7432EFAD1AA}"/>
    <cellStyle name="20% - Accent5 15 3" xfId="11219" xr:uid="{A7517A8B-6EFF-412A-BD8E-E040FDE09ECF}"/>
    <cellStyle name="20% - Accent5 15 3 2" xfId="26632" xr:uid="{F171DE2A-AC28-45EC-A0DF-5F9B561DEFD9}"/>
    <cellStyle name="20% - Accent5 15 3 2 2" xfId="33395" xr:uid="{6F307342-31B7-4DE2-B072-4B5BAA05B475}"/>
    <cellStyle name="20% - Accent5 15 3 3" xfId="33394" xr:uid="{B14E83D1-5096-427E-94A0-EAF70A6E761F}"/>
    <cellStyle name="20% - Accent5 15 4" xfId="18927" xr:uid="{A749E89B-1481-4E54-BEEE-7487EC8D3612}"/>
    <cellStyle name="20% - Accent5 15 4 2" xfId="33396" xr:uid="{02F8413C-713F-46D3-BDC2-775DF0F9AD10}"/>
    <cellStyle name="20% - Accent5 15 5" xfId="33389" xr:uid="{6B5E198A-8509-454C-86C2-9E9DFC433D38}"/>
    <cellStyle name="20% - Accent5 16" xfId="3528" xr:uid="{9EAE79B0-9A01-4568-9A06-FA36CD5017B1}"/>
    <cellStyle name="20% - Accent5 16 2" xfId="7260" xr:uid="{7C4FE90E-5B9F-4068-825E-506DCC897BCB}"/>
    <cellStyle name="20% - Accent5 16 2 2" xfId="14968" xr:uid="{74A295AD-2652-41C8-956A-DBA534929956}"/>
    <cellStyle name="20% - Accent5 16 2 2 2" xfId="30380" xr:uid="{D76EE9AE-1877-4758-9FB1-3007F25C6367}"/>
    <cellStyle name="20% - Accent5 16 2 2 2 2" xfId="33400" xr:uid="{5947F598-1DE2-40D4-BF47-12D94F38940F}"/>
    <cellStyle name="20% - Accent5 16 2 2 3" xfId="33399" xr:uid="{3FAA67BC-3F57-4AF4-9AA3-AEE0801EBF66}"/>
    <cellStyle name="20% - Accent5 16 2 3" xfId="22675" xr:uid="{015A182C-6A8D-45C5-BFA0-D55358701580}"/>
    <cellStyle name="20% - Accent5 16 2 3 2" xfId="33401" xr:uid="{CD8F0674-03F2-48D9-8ECA-304272F3ED7B}"/>
    <cellStyle name="20% - Accent5 16 2 4" xfId="33398" xr:uid="{BF8CEEC9-B3D4-4F18-81EB-ABC5E165C7B9}"/>
    <cellStyle name="20% - Accent5 16 3" xfId="11239" xr:uid="{D3A15C68-DB55-4466-9E4A-C6F8E436DE61}"/>
    <cellStyle name="20% - Accent5 16 3 2" xfId="26652" xr:uid="{929C5284-948D-4BB0-8888-744771E875E8}"/>
    <cellStyle name="20% - Accent5 16 3 2 2" xfId="33403" xr:uid="{3D0D7049-C25A-4024-ACEF-B1503412AD05}"/>
    <cellStyle name="20% - Accent5 16 3 3" xfId="33402" xr:uid="{1FC2322B-F7C5-419C-9C6F-5BF6116A1146}"/>
    <cellStyle name="20% - Accent5 16 4" xfId="18947" xr:uid="{3C7DA396-659D-42B3-A112-5269EB0A8B3F}"/>
    <cellStyle name="20% - Accent5 16 4 2" xfId="33404" xr:uid="{1F44C1D3-9A97-4568-8F50-59CAF542A321}"/>
    <cellStyle name="20% - Accent5 16 5" xfId="33397" xr:uid="{FD6071E7-1296-4CA4-8EB2-AA68E86B3766}"/>
    <cellStyle name="20% - Accent5 17" xfId="3548" xr:uid="{1ED82681-54A4-41C8-A178-F5A3BFA2707F}"/>
    <cellStyle name="20% - Accent5 17 2" xfId="7280" xr:uid="{4470D2FD-AB3D-46B2-9D1C-185E84F1FF4F}"/>
    <cellStyle name="20% - Accent5 17 2 2" xfId="14988" xr:uid="{439F1A41-88C5-46AE-8410-2CAE10377A3F}"/>
    <cellStyle name="20% - Accent5 17 2 2 2" xfId="30400" xr:uid="{0F1D06F4-E0B5-4B01-A841-2B06AA2B1245}"/>
    <cellStyle name="20% - Accent5 17 2 2 2 2" xfId="33408" xr:uid="{B847C406-53CC-4A03-9F6E-01A44230044A}"/>
    <cellStyle name="20% - Accent5 17 2 2 3" xfId="33407" xr:uid="{0B760B23-526F-4144-92E2-9D35119C8A41}"/>
    <cellStyle name="20% - Accent5 17 2 3" xfId="22695" xr:uid="{5275F526-BB3A-4DFF-8B85-08283E1E5E5A}"/>
    <cellStyle name="20% - Accent5 17 2 3 2" xfId="33409" xr:uid="{018E578B-2B9B-4E05-87D4-673784E13CFF}"/>
    <cellStyle name="20% - Accent5 17 2 4" xfId="33406" xr:uid="{020497B1-FFDE-4039-A1E0-4338628ABC58}"/>
    <cellStyle name="20% - Accent5 17 3" xfId="11259" xr:uid="{44D48CA6-E636-4591-9FE7-352040704108}"/>
    <cellStyle name="20% - Accent5 17 3 2" xfId="26672" xr:uid="{B2EB6B22-A878-4899-999D-EC9848446174}"/>
    <cellStyle name="20% - Accent5 17 3 2 2" xfId="33411" xr:uid="{7F675E74-69E4-4BF0-97D8-E951B9E11CDC}"/>
    <cellStyle name="20% - Accent5 17 3 3" xfId="33410" xr:uid="{F035832F-D088-48C3-AB0E-7A3AEB96B6AB}"/>
    <cellStyle name="20% - Accent5 17 4" xfId="18967" xr:uid="{B9BFC3F2-7919-43D3-9E50-4CFA31E05253}"/>
    <cellStyle name="20% - Accent5 17 4 2" xfId="33412" xr:uid="{F770B610-D936-4D97-B0F6-FBE8EC0EABA8}"/>
    <cellStyle name="20% - Accent5 17 5" xfId="33405" xr:uid="{DC934535-5C57-4F32-83C6-87191E630418}"/>
    <cellStyle name="20% - Accent5 18" xfId="3568" xr:uid="{11698882-6944-48D1-A4E7-7C3A1E7B6778}"/>
    <cellStyle name="20% - Accent5 18 2" xfId="7300" xr:uid="{F104638A-01BA-4427-AC86-0FBD404604C8}"/>
    <cellStyle name="20% - Accent5 18 2 2" xfId="15008" xr:uid="{8786F215-148A-4F20-AA1B-9B3CD0779E22}"/>
    <cellStyle name="20% - Accent5 18 2 2 2" xfId="30420" xr:uid="{E544028B-CFED-40F6-89FA-A2DBC6E14794}"/>
    <cellStyle name="20% - Accent5 18 2 2 2 2" xfId="33416" xr:uid="{2E1AA0A4-0866-4189-A814-B9C20E9CA60E}"/>
    <cellStyle name="20% - Accent5 18 2 2 3" xfId="33415" xr:uid="{9805D344-3BA8-4AB3-BB67-510795C85273}"/>
    <cellStyle name="20% - Accent5 18 2 3" xfId="22715" xr:uid="{3C26AAEE-326A-48AE-843E-78B2BB2B3D6B}"/>
    <cellStyle name="20% - Accent5 18 2 3 2" xfId="33417" xr:uid="{7CCA3ABB-A3F0-485F-B2B0-0E8EBEACA495}"/>
    <cellStyle name="20% - Accent5 18 2 4" xfId="33414" xr:uid="{FB450825-9E32-4A44-8AA7-25AAFEF6FDF7}"/>
    <cellStyle name="20% - Accent5 18 3" xfId="11279" xr:uid="{226FD034-2C83-48C2-ADF4-160E7BB9CDA6}"/>
    <cellStyle name="20% - Accent5 18 3 2" xfId="26692" xr:uid="{BEF86970-35BB-458D-888D-5A6271A37507}"/>
    <cellStyle name="20% - Accent5 18 3 2 2" xfId="33419" xr:uid="{02F0D99A-8970-48DC-A427-143BFC6D45AD}"/>
    <cellStyle name="20% - Accent5 18 3 3" xfId="33418" xr:uid="{4071DABA-2FB7-4AB9-90B4-C98A071011FB}"/>
    <cellStyle name="20% - Accent5 18 4" xfId="18987" xr:uid="{3B2078CE-6488-4A32-9398-908D9493E6F9}"/>
    <cellStyle name="20% - Accent5 18 4 2" xfId="33420" xr:uid="{6DFBF110-59D4-49C8-901B-574FB59D25A4}"/>
    <cellStyle name="20% - Accent5 18 5" xfId="33413" xr:uid="{FA54E11F-708A-4CCD-8D60-E317320ECA02}"/>
    <cellStyle name="20% - Accent5 19" xfId="3589" xr:uid="{9465F4D8-094E-45B4-BB0C-EAF52D0C32A2}"/>
    <cellStyle name="20% - Accent5 19 2" xfId="7320" xr:uid="{246974F1-5491-4B46-B50F-04D0FB3D5B4C}"/>
    <cellStyle name="20% - Accent5 19 2 2" xfId="15028" xr:uid="{2BD84DCB-5F91-4360-B9ED-0C03923DEF5C}"/>
    <cellStyle name="20% - Accent5 19 2 2 2" xfId="30440" xr:uid="{EEBDE048-CC69-4449-BA8F-CCA1EBC06E8F}"/>
    <cellStyle name="20% - Accent5 19 2 2 2 2" xfId="33424" xr:uid="{85B2F406-D722-49A3-8781-B48170131156}"/>
    <cellStyle name="20% - Accent5 19 2 2 3" xfId="33423" xr:uid="{6A535DBA-EACE-45E4-9C54-FD54D9BD41F6}"/>
    <cellStyle name="20% - Accent5 19 2 3" xfId="22735" xr:uid="{B2ECD576-F2CB-4BF9-AFFA-3391E81090E3}"/>
    <cellStyle name="20% - Accent5 19 2 3 2" xfId="33425" xr:uid="{59790398-4A54-4B25-856D-97F0DF09F159}"/>
    <cellStyle name="20% - Accent5 19 2 4" xfId="33422" xr:uid="{DF668502-D279-4968-8F24-D098F0F43C09}"/>
    <cellStyle name="20% - Accent5 19 3" xfId="11299" xr:uid="{8E388204-34F1-4BF2-B1DD-C807F64B6A1F}"/>
    <cellStyle name="20% - Accent5 19 3 2" xfId="26712" xr:uid="{BB9CF80B-88EF-4D79-A728-A2874A0F7923}"/>
    <cellStyle name="20% - Accent5 19 3 2 2" xfId="33427" xr:uid="{3C0D9DF7-8CC9-4D9D-896B-1F0DB355469F}"/>
    <cellStyle name="20% - Accent5 19 3 3" xfId="33426" xr:uid="{31128084-0F37-417D-8F83-28495E08E32F}"/>
    <cellStyle name="20% - Accent5 19 4" xfId="19007" xr:uid="{D21901D5-622E-4F4F-9A23-B04BECAFB86D}"/>
    <cellStyle name="20% - Accent5 19 4 2" xfId="33428" xr:uid="{A223E8B0-DDA7-4954-8F2D-C957B7F92B31}"/>
    <cellStyle name="20% - Accent5 19 5" xfId="33421" xr:uid="{24662E11-02DA-42B0-A513-E227EFF3A70D}"/>
    <cellStyle name="20% - Accent5 2" xfId="79" xr:uid="{48D87797-9A62-436F-958C-D84C40DF5B24}"/>
    <cellStyle name="20% - Accent5 2 10" xfId="33429" xr:uid="{10D17B9E-B465-4950-95D9-B8C5346A06CF}"/>
    <cellStyle name="20% - Accent5 2 2" xfId="143" xr:uid="{187F95E4-F4E9-454B-A47C-6443B5C6B51E}"/>
    <cellStyle name="20% - Accent5 2 2 2" xfId="206" xr:uid="{94C8683E-597A-46BE-AD49-F8E8B21DE103}"/>
    <cellStyle name="20% - Accent5 2 2 2 2" xfId="411" xr:uid="{1D106615-550D-4F6A-B042-B103241A6949}"/>
    <cellStyle name="20% - Accent5 2 2 2 2 2" xfId="1073" xr:uid="{BEDCC070-D699-4589-B9B3-21E261BE8274}"/>
    <cellStyle name="20% - Accent5 2 2 2 2 2 2" xfId="2541" xr:uid="{587F5BF7-A808-49F7-8E3C-ABB0890BD595}"/>
    <cellStyle name="20% - Accent5 2 2 2 2 2 2 2" xfId="6273" xr:uid="{DA9954C0-D34F-45E9-AE2F-E234467D4CFB}"/>
    <cellStyle name="20% - Accent5 2 2 2 2 2 2 2 2" xfId="13981" xr:uid="{A38ED683-CDD1-423C-9398-3D81FB2B3B66}"/>
    <cellStyle name="20% - Accent5 2 2 2 2 2 2 2 2 2" xfId="29393" xr:uid="{1AE46DA5-2437-41EE-8E1E-3E9A894E4A29}"/>
    <cellStyle name="20% - Accent5 2 2 2 2 2 2 2 2 2 2" xfId="33437" xr:uid="{6866CFFC-B072-49D2-A7C7-4A21EA03C618}"/>
    <cellStyle name="20% - Accent5 2 2 2 2 2 2 2 2 3" xfId="33436" xr:uid="{1D1691C2-54AD-4D5A-B677-2EFCF27761D7}"/>
    <cellStyle name="20% - Accent5 2 2 2 2 2 2 2 3" xfId="21688" xr:uid="{B435DE20-95B4-4566-9544-D32892F855F1}"/>
    <cellStyle name="20% - Accent5 2 2 2 2 2 2 2 3 2" xfId="33438" xr:uid="{2FF9C0BD-550C-4018-B048-077AAA2C0A35}"/>
    <cellStyle name="20% - Accent5 2 2 2 2 2 2 2 4" xfId="33435" xr:uid="{59BCB4EF-A046-4EF7-9078-2C1EF524267E}"/>
    <cellStyle name="20% - Accent5 2 2 2 2 2 2 3" xfId="10252" xr:uid="{BB32D9B7-B586-4F8C-A788-69BE4A890FA6}"/>
    <cellStyle name="20% - Accent5 2 2 2 2 2 2 3 2" xfId="25665" xr:uid="{22F7E300-509B-4F1F-9796-7FA47218EB1F}"/>
    <cellStyle name="20% - Accent5 2 2 2 2 2 2 3 2 2" xfId="33440" xr:uid="{AF8DDA3A-6F4D-425D-AD59-34D0138FE2C0}"/>
    <cellStyle name="20% - Accent5 2 2 2 2 2 2 3 3" xfId="33439" xr:uid="{922CFBFA-4EDF-461A-A1E0-53A8CA5D582B}"/>
    <cellStyle name="20% - Accent5 2 2 2 2 2 2 4" xfId="17960" xr:uid="{B3073F06-8566-48E4-A168-90C64C7A6B11}"/>
    <cellStyle name="20% - Accent5 2 2 2 2 2 2 4 2" xfId="33441" xr:uid="{F0520A03-3851-4FFF-836A-A8E41CB8DA65}"/>
    <cellStyle name="20% - Accent5 2 2 2 2 2 2 5" xfId="33434" xr:uid="{1446E82B-7DAD-44E8-81FC-4A340C9B2EF1}"/>
    <cellStyle name="20% - Accent5 2 2 2 2 2 3" xfId="4810" xr:uid="{F29737D2-812F-4C3C-B79D-BA001B29DA1B}"/>
    <cellStyle name="20% - Accent5 2 2 2 2 2 3 2" xfId="12518" xr:uid="{AA91563D-3152-4B53-9AA3-6E31CF430A0D}"/>
    <cellStyle name="20% - Accent5 2 2 2 2 2 3 2 2" xfId="27930" xr:uid="{B2798562-C948-46BD-9EA1-4AD59B456701}"/>
    <cellStyle name="20% - Accent5 2 2 2 2 2 3 2 2 2" xfId="33444" xr:uid="{35852E5A-EF8E-4244-95E6-EDB6062E70F9}"/>
    <cellStyle name="20% - Accent5 2 2 2 2 2 3 2 3" xfId="33443" xr:uid="{27E28331-5781-4926-A297-8D618D3CECB1}"/>
    <cellStyle name="20% - Accent5 2 2 2 2 2 3 3" xfId="20225" xr:uid="{66E2233E-C977-4324-ABAA-F5A07D8B2C7F}"/>
    <cellStyle name="20% - Accent5 2 2 2 2 2 3 3 2" xfId="33445" xr:uid="{3C2AE358-F597-429E-B9ED-992F5A5418E3}"/>
    <cellStyle name="20% - Accent5 2 2 2 2 2 3 4" xfId="33442" xr:uid="{2A9C53D4-5F77-4EFB-A189-1CBB4ABFBD08}"/>
    <cellStyle name="20% - Accent5 2 2 2 2 2 4" xfId="8793" xr:uid="{13C6BEC3-74FB-417C-B501-BE3154D27FDF}"/>
    <cellStyle name="20% - Accent5 2 2 2 2 2 4 2" xfId="24206" xr:uid="{73C5A5DB-6979-4310-BFEC-98D53E555CF0}"/>
    <cellStyle name="20% - Accent5 2 2 2 2 2 4 2 2" xfId="33447" xr:uid="{6E2BE644-D76A-414C-A519-53B2BE09AC0D}"/>
    <cellStyle name="20% - Accent5 2 2 2 2 2 4 3" xfId="33446" xr:uid="{23984924-F0DD-47CD-8943-33931039BCA1}"/>
    <cellStyle name="20% - Accent5 2 2 2 2 2 5" xfId="16501" xr:uid="{C61ECA09-925C-4F7B-A007-43D757258A19}"/>
    <cellStyle name="20% - Accent5 2 2 2 2 2 5 2" xfId="33448" xr:uid="{1C7A9457-B7E0-4D7B-AD51-442F59E99BC6}"/>
    <cellStyle name="20% - Accent5 2 2 2 2 2 6" xfId="33433" xr:uid="{E23BB314-170C-4E58-9E31-6AD8F4AF9D34}"/>
    <cellStyle name="20% - Accent5 2 2 2 2 3" xfId="1903" xr:uid="{5D1EB44A-28B2-4823-B320-7C24FF8C8B49}"/>
    <cellStyle name="20% - Accent5 2 2 2 2 3 2" xfId="5635" xr:uid="{063541E4-F2A0-45B9-8AE4-C0BDE5F0AF6E}"/>
    <cellStyle name="20% - Accent5 2 2 2 2 3 2 2" xfId="13343" xr:uid="{CB46C12A-6908-4D66-A02B-65B4F4F9A91A}"/>
    <cellStyle name="20% - Accent5 2 2 2 2 3 2 2 2" xfId="28755" xr:uid="{3BC89493-CEB0-4086-BE32-E79E931CB501}"/>
    <cellStyle name="20% - Accent5 2 2 2 2 3 2 2 2 2" xfId="33452" xr:uid="{EC4BF38E-E467-4DB7-91FA-CAF992B764C1}"/>
    <cellStyle name="20% - Accent5 2 2 2 2 3 2 2 3" xfId="33451" xr:uid="{AB27FF58-296B-42B2-B0DA-897C502E9329}"/>
    <cellStyle name="20% - Accent5 2 2 2 2 3 2 3" xfId="21050" xr:uid="{16E6A4D7-7C01-45A8-B13A-CAA554411236}"/>
    <cellStyle name="20% - Accent5 2 2 2 2 3 2 3 2" xfId="33453" xr:uid="{96C31A5E-2DB2-4155-BC5B-20D7CCA4AA0D}"/>
    <cellStyle name="20% - Accent5 2 2 2 2 3 2 4" xfId="33450" xr:uid="{8A271D7E-8605-44A7-BD05-75A38B011F2E}"/>
    <cellStyle name="20% - Accent5 2 2 2 2 3 3" xfId="9614" xr:uid="{EA0300CB-1663-4C11-A611-1A7711B74D5C}"/>
    <cellStyle name="20% - Accent5 2 2 2 2 3 3 2" xfId="25027" xr:uid="{3E874C95-C24D-451F-A124-4B2DA3A8F679}"/>
    <cellStyle name="20% - Accent5 2 2 2 2 3 3 2 2" xfId="33455" xr:uid="{35435809-E230-4A28-806F-03A63EE35308}"/>
    <cellStyle name="20% - Accent5 2 2 2 2 3 3 3" xfId="33454" xr:uid="{5F8A3252-8AA4-4AFD-8EFB-191C0646D089}"/>
    <cellStyle name="20% - Accent5 2 2 2 2 3 4" xfId="17322" xr:uid="{35314E86-85B4-4A9B-B85C-359003E1776E}"/>
    <cellStyle name="20% - Accent5 2 2 2 2 3 4 2" xfId="33456" xr:uid="{5BE6E437-4B94-4875-BB36-EF61D2E8C2FA}"/>
    <cellStyle name="20% - Accent5 2 2 2 2 3 5" xfId="33449" xr:uid="{F83E9EAA-9791-4BC1-B9E9-EC1CE3EE1ECF}"/>
    <cellStyle name="20% - Accent5 2 2 2 2 4" xfId="4158" xr:uid="{AA024231-7241-4E2C-85F2-DF1390A0F90C}"/>
    <cellStyle name="20% - Accent5 2 2 2 2 4 2" xfId="11866" xr:uid="{156FCFC7-9132-4D16-A5DB-BEDD5E7A323F}"/>
    <cellStyle name="20% - Accent5 2 2 2 2 4 2 2" xfId="27278" xr:uid="{882257E8-6996-40DE-AACB-9910BC279BCC}"/>
    <cellStyle name="20% - Accent5 2 2 2 2 4 2 2 2" xfId="33459" xr:uid="{27B7C015-2D6C-46F0-9B6A-462B35F52881}"/>
    <cellStyle name="20% - Accent5 2 2 2 2 4 2 3" xfId="33458" xr:uid="{84236455-4D88-4A52-8FC9-FEF1CD0EE40F}"/>
    <cellStyle name="20% - Accent5 2 2 2 2 4 3" xfId="19573" xr:uid="{7BABEA6D-AC9C-497C-85F7-8145182B1C34}"/>
    <cellStyle name="20% - Accent5 2 2 2 2 4 3 2" xfId="33460" xr:uid="{FB7D9CC3-A47E-4C89-B5B1-EB9142B93906}"/>
    <cellStyle name="20% - Accent5 2 2 2 2 4 4" xfId="33457" xr:uid="{CB95E84D-4E68-4BDB-B23E-D6D15A7CC70D}"/>
    <cellStyle name="20% - Accent5 2 2 2 2 5" xfId="8155" xr:uid="{63D6F662-DB56-4F5C-B749-AE4A7A232863}"/>
    <cellStyle name="20% - Accent5 2 2 2 2 5 2" xfId="23568" xr:uid="{24823862-422F-48A4-92F8-63CEA4BFC50A}"/>
    <cellStyle name="20% - Accent5 2 2 2 2 5 2 2" xfId="33462" xr:uid="{8EC54AFD-B545-44D6-92B9-473BEBBEE070}"/>
    <cellStyle name="20% - Accent5 2 2 2 2 5 3" xfId="33461" xr:uid="{A984A396-1BF1-4379-A87D-6F965FFAF622}"/>
    <cellStyle name="20% - Accent5 2 2 2 2 6" xfId="15863" xr:uid="{9AE5F4B0-1E11-4EF1-B63D-03CD7C1B7A0A}"/>
    <cellStyle name="20% - Accent5 2 2 2 2 6 2" xfId="33463" xr:uid="{CB903FD3-C1CD-4D54-8C6E-96B860A1C50B}"/>
    <cellStyle name="20% - Accent5 2 2 2 2 7" xfId="33432" xr:uid="{74AE3E5C-0040-4CDA-8CAF-DA066A89A216}"/>
    <cellStyle name="20% - Accent5 2 2 2 3" xfId="872" xr:uid="{23895B6A-D8F6-4143-AAA2-057BACFBE60C}"/>
    <cellStyle name="20% - Accent5 2 2 2 3 2" xfId="2343" xr:uid="{A73CB993-E42D-4828-A677-8CD31B39198C}"/>
    <cellStyle name="20% - Accent5 2 2 2 3 2 2" xfId="6075" xr:uid="{1AAAE3DC-F39D-400E-9F7B-442817B15D45}"/>
    <cellStyle name="20% - Accent5 2 2 2 3 2 2 2" xfId="13783" xr:uid="{EDB510DF-9554-4823-B8F8-F8634D99EF35}"/>
    <cellStyle name="20% - Accent5 2 2 2 3 2 2 2 2" xfId="29195" xr:uid="{FE7C4430-A573-47D2-8B94-844FE9757886}"/>
    <cellStyle name="20% - Accent5 2 2 2 3 2 2 2 2 2" xfId="33468" xr:uid="{C062E303-6157-406A-869A-3F9918C57974}"/>
    <cellStyle name="20% - Accent5 2 2 2 3 2 2 2 3" xfId="33467" xr:uid="{198E016C-D414-4225-9C96-856E20395746}"/>
    <cellStyle name="20% - Accent5 2 2 2 3 2 2 3" xfId="21490" xr:uid="{7171D8F5-9ADA-4D62-9CC1-F67DC5C3EF78}"/>
    <cellStyle name="20% - Accent5 2 2 2 3 2 2 3 2" xfId="33469" xr:uid="{F4578BE1-950B-4CD5-A5D8-EC8E32D44BA1}"/>
    <cellStyle name="20% - Accent5 2 2 2 3 2 2 4" xfId="33466" xr:uid="{85CE4150-8F35-4400-83C9-24824A5AFADE}"/>
    <cellStyle name="20% - Accent5 2 2 2 3 2 3" xfId="10054" xr:uid="{5D1AECB9-4962-43A6-A8A9-735CCC2EC451}"/>
    <cellStyle name="20% - Accent5 2 2 2 3 2 3 2" xfId="25467" xr:uid="{1C0EC860-E8B1-4B6D-AA88-8934537E636C}"/>
    <cellStyle name="20% - Accent5 2 2 2 3 2 3 2 2" xfId="33471" xr:uid="{20DB60B1-0F97-4031-A1D0-03E96805FF17}"/>
    <cellStyle name="20% - Accent5 2 2 2 3 2 3 3" xfId="33470" xr:uid="{0C5BB5A5-1729-4B0F-846D-81F4A5E295BC}"/>
    <cellStyle name="20% - Accent5 2 2 2 3 2 4" xfId="17762" xr:uid="{82D571F5-0B55-42C9-9EA9-43F1C77D56EE}"/>
    <cellStyle name="20% - Accent5 2 2 2 3 2 4 2" xfId="33472" xr:uid="{EFF30F2C-81EC-47EA-BFD8-B1A9AE89890D}"/>
    <cellStyle name="20% - Accent5 2 2 2 3 2 5" xfId="33465" xr:uid="{0C5A1405-4394-41A5-8702-BD1938CAF778}"/>
    <cellStyle name="20% - Accent5 2 2 2 3 3" xfId="4609" xr:uid="{26520CAB-0E23-4E95-A799-563D41A9A6BA}"/>
    <cellStyle name="20% - Accent5 2 2 2 3 3 2" xfId="12317" xr:uid="{7F42F9A1-FFE5-4B91-AD05-9659E1F40B68}"/>
    <cellStyle name="20% - Accent5 2 2 2 3 3 2 2" xfId="27729" xr:uid="{7BF4AA6B-09E6-4D61-92D9-088A95C9FF61}"/>
    <cellStyle name="20% - Accent5 2 2 2 3 3 2 2 2" xfId="33475" xr:uid="{57153BB7-C172-48C1-97D1-39873C8DE5C9}"/>
    <cellStyle name="20% - Accent5 2 2 2 3 3 2 3" xfId="33474" xr:uid="{A5D497D5-60D5-4AE0-9F25-EB7EF1B597B4}"/>
    <cellStyle name="20% - Accent5 2 2 2 3 3 3" xfId="20024" xr:uid="{8960EDC8-BFC1-4E75-BD14-0BCD7A706C85}"/>
    <cellStyle name="20% - Accent5 2 2 2 3 3 3 2" xfId="33476" xr:uid="{20CBBFBC-5E4E-4321-A69B-B8EAA7CC5995}"/>
    <cellStyle name="20% - Accent5 2 2 2 3 3 4" xfId="33473" xr:uid="{D2078810-5D64-4DE0-A0E2-5BFB921969AD}"/>
    <cellStyle name="20% - Accent5 2 2 2 3 4" xfId="8595" xr:uid="{62ACAE28-61E7-4F15-BDA0-084514A5CA8E}"/>
    <cellStyle name="20% - Accent5 2 2 2 3 4 2" xfId="24008" xr:uid="{A33C4B02-6A0A-49EC-B449-995FDB44D6AE}"/>
    <cellStyle name="20% - Accent5 2 2 2 3 4 2 2" xfId="33478" xr:uid="{8AC33797-05EA-42BE-AD20-721935DD1015}"/>
    <cellStyle name="20% - Accent5 2 2 2 3 4 3" xfId="33477" xr:uid="{5F469332-1DC9-4F3E-A164-37C86689A841}"/>
    <cellStyle name="20% - Accent5 2 2 2 3 5" xfId="16303" xr:uid="{B5647A15-9BD5-4BEB-BBB7-02F6BBE15BF5}"/>
    <cellStyle name="20% - Accent5 2 2 2 3 5 2" xfId="33479" xr:uid="{A30BFD73-3567-4D7C-B376-C12957933616}"/>
    <cellStyle name="20% - Accent5 2 2 2 3 6" xfId="33464" xr:uid="{56048015-452A-4127-B649-01FAF3533A09}"/>
    <cellStyle name="20% - Accent5 2 2 2 4" xfId="1705" xr:uid="{BE924EB0-C221-4CF7-8412-DE324EF0E727}"/>
    <cellStyle name="20% - Accent5 2 2 2 4 2" xfId="5437" xr:uid="{8E067A4A-F21E-4AE2-BFAE-49AC831ADB8E}"/>
    <cellStyle name="20% - Accent5 2 2 2 4 2 2" xfId="13145" xr:uid="{6527C1D0-2827-4E18-921C-D5EE854C390A}"/>
    <cellStyle name="20% - Accent5 2 2 2 4 2 2 2" xfId="28557" xr:uid="{90F9BECD-5F73-4136-AC87-549758AC374F}"/>
    <cellStyle name="20% - Accent5 2 2 2 4 2 2 2 2" xfId="33483" xr:uid="{A51EFC61-A85E-42AA-8345-6ECF6050C0AA}"/>
    <cellStyle name="20% - Accent5 2 2 2 4 2 2 3" xfId="33482" xr:uid="{F83F72A7-6995-4B54-80E0-10113DBFD6F2}"/>
    <cellStyle name="20% - Accent5 2 2 2 4 2 3" xfId="20852" xr:uid="{8A5B458A-8D84-486B-AFF5-51FC93BE867C}"/>
    <cellStyle name="20% - Accent5 2 2 2 4 2 3 2" xfId="33484" xr:uid="{4D07DBE6-FD03-43E0-81C6-5FBD5D70B88F}"/>
    <cellStyle name="20% - Accent5 2 2 2 4 2 4" xfId="33481" xr:uid="{35414CDC-36F5-4266-A73B-1F9FCD8A399C}"/>
    <cellStyle name="20% - Accent5 2 2 2 4 3" xfId="9416" xr:uid="{4B0468EF-43B1-45DC-A13A-D4A22C27A321}"/>
    <cellStyle name="20% - Accent5 2 2 2 4 3 2" xfId="24829" xr:uid="{07D8D56F-F692-43BC-A978-DD282E60C656}"/>
    <cellStyle name="20% - Accent5 2 2 2 4 3 2 2" xfId="33486" xr:uid="{88559094-641E-40D1-9F76-D717F33A9858}"/>
    <cellStyle name="20% - Accent5 2 2 2 4 3 3" xfId="33485" xr:uid="{2AAA82D1-C883-41DE-A0D1-E37F0C22F6C2}"/>
    <cellStyle name="20% - Accent5 2 2 2 4 4" xfId="17124" xr:uid="{A1826FA0-8CC2-4F7D-8DE9-C778C0AA93E2}"/>
    <cellStyle name="20% - Accent5 2 2 2 4 4 2" xfId="33487" xr:uid="{64B7D383-A72A-4160-B7D4-DF34F69ECD4C}"/>
    <cellStyle name="20% - Accent5 2 2 2 4 5" xfId="33480" xr:uid="{5E7D48AD-D410-4019-9BCE-0ECC5CE39132}"/>
    <cellStyle name="20% - Accent5 2 2 2 5" xfId="3957" xr:uid="{0EE9D77D-70ED-44B2-8BC3-31325CBD4D1E}"/>
    <cellStyle name="20% - Accent5 2 2 2 5 2" xfId="11665" xr:uid="{7792F755-6123-4156-9752-10EC7869129E}"/>
    <cellStyle name="20% - Accent5 2 2 2 5 2 2" xfId="27077" xr:uid="{336D3B97-F053-42AB-9FD1-CCE9B4D6C7E7}"/>
    <cellStyle name="20% - Accent5 2 2 2 5 2 2 2" xfId="33490" xr:uid="{439D4C04-7282-481D-B19D-17D9A423A32D}"/>
    <cellStyle name="20% - Accent5 2 2 2 5 2 3" xfId="33489" xr:uid="{A659196D-43D4-49AF-AEFE-B71E9E92B443}"/>
    <cellStyle name="20% - Accent5 2 2 2 5 3" xfId="19372" xr:uid="{79AE0A74-FCC7-4D6A-9D22-BA49CDABF19E}"/>
    <cellStyle name="20% - Accent5 2 2 2 5 3 2" xfId="33491" xr:uid="{8E1C5BBA-3183-4F8D-A332-5648833123C5}"/>
    <cellStyle name="20% - Accent5 2 2 2 5 4" xfId="33488" xr:uid="{25D2EBC5-8DBC-43C7-8AEC-1A6374C707DA}"/>
    <cellStyle name="20% - Accent5 2 2 2 6" xfId="7957" xr:uid="{D9BA82B9-D048-48CD-9210-D7CA395ADC68}"/>
    <cellStyle name="20% - Accent5 2 2 2 6 2" xfId="23370" xr:uid="{4210D1D8-481E-47A8-ABE6-1CFE74CA012F}"/>
    <cellStyle name="20% - Accent5 2 2 2 6 2 2" xfId="33493" xr:uid="{B8B059C2-D9A7-40FB-878F-F8A5332BE30A}"/>
    <cellStyle name="20% - Accent5 2 2 2 6 3" xfId="33492" xr:uid="{62701908-C637-49E1-9627-DA75992DDEC1}"/>
    <cellStyle name="20% - Accent5 2 2 2 7" xfId="15665" xr:uid="{DAC6BBFA-CC8C-4F70-89B4-8495C8EC5416}"/>
    <cellStyle name="20% - Accent5 2 2 2 7 2" xfId="33494" xr:uid="{5CF281FD-25E0-47AA-8E6C-9FE035639A48}"/>
    <cellStyle name="20% - Accent5 2 2 2 8" xfId="33431" xr:uid="{D79F0D8C-99BD-4EC3-97D4-F60710AEA0FD}"/>
    <cellStyle name="20% - Accent5 2 2 3" xfId="360" xr:uid="{845443C5-DE5A-477C-9349-B5C7D0E6C30A}"/>
    <cellStyle name="20% - Accent5 2 2 3 2" xfId="1022" xr:uid="{687E3914-2FF2-4705-989D-75B4A261FD00}"/>
    <cellStyle name="20% - Accent5 2 2 3 2 2" xfId="2491" xr:uid="{FB15B56D-64CF-44B3-91AD-034391489A9A}"/>
    <cellStyle name="20% - Accent5 2 2 3 2 2 2" xfId="6223" xr:uid="{C45273B3-F471-4507-B5FF-38531A5E0B5F}"/>
    <cellStyle name="20% - Accent5 2 2 3 2 2 2 2" xfId="13931" xr:uid="{0D03D861-7433-4F92-A9F1-74E4A125148B}"/>
    <cellStyle name="20% - Accent5 2 2 3 2 2 2 2 2" xfId="29343" xr:uid="{A82EDBB9-AF7B-41AB-9E66-A7D42EC5B702}"/>
    <cellStyle name="20% - Accent5 2 2 3 2 2 2 2 2 2" xfId="33500" xr:uid="{430536A4-8B13-4BC9-871F-FCBEB10271DB}"/>
    <cellStyle name="20% - Accent5 2 2 3 2 2 2 2 3" xfId="33499" xr:uid="{69993A3F-4E12-4D9C-80DC-D7975CDDA19E}"/>
    <cellStyle name="20% - Accent5 2 2 3 2 2 2 3" xfId="21638" xr:uid="{E24141F7-6E06-4916-A8E2-DD893767B9AD}"/>
    <cellStyle name="20% - Accent5 2 2 3 2 2 2 3 2" xfId="33501" xr:uid="{783368B8-75DF-49BF-AD5C-9CBA9F8A65F0}"/>
    <cellStyle name="20% - Accent5 2 2 3 2 2 2 4" xfId="33498" xr:uid="{5B6A8839-9B0C-4CE0-9014-7AAB93325FFD}"/>
    <cellStyle name="20% - Accent5 2 2 3 2 2 3" xfId="10202" xr:uid="{37E3491D-4A39-484F-9AD1-3C7B6307929F}"/>
    <cellStyle name="20% - Accent5 2 2 3 2 2 3 2" xfId="25615" xr:uid="{1612C2C0-01E7-4D00-9A09-339446FF66C0}"/>
    <cellStyle name="20% - Accent5 2 2 3 2 2 3 2 2" xfId="33503" xr:uid="{3280670C-214E-43AD-87B9-5AF8C3062F9A}"/>
    <cellStyle name="20% - Accent5 2 2 3 2 2 3 3" xfId="33502" xr:uid="{FC3EE4D4-FC7B-4A5A-98A4-2BE3E42ABB58}"/>
    <cellStyle name="20% - Accent5 2 2 3 2 2 4" xfId="17910" xr:uid="{AAE509A9-0C25-48FB-BAED-8C3817272603}"/>
    <cellStyle name="20% - Accent5 2 2 3 2 2 4 2" xfId="33504" xr:uid="{E8A1CF5F-5C91-478E-B767-EED6D51EFBF1}"/>
    <cellStyle name="20% - Accent5 2 2 3 2 2 5" xfId="33497" xr:uid="{11DA6FAF-B0A3-40B9-8061-84D999E64034}"/>
    <cellStyle name="20% - Accent5 2 2 3 2 3" xfId="4759" xr:uid="{14F44234-92A0-471F-A0D9-08679C8297AC}"/>
    <cellStyle name="20% - Accent5 2 2 3 2 3 2" xfId="12467" xr:uid="{ED4FA5E2-D742-484A-9E2B-EDD0788859EB}"/>
    <cellStyle name="20% - Accent5 2 2 3 2 3 2 2" xfId="27879" xr:uid="{559941FF-94F4-4974-8CA0-BD67FDF29137}"/>
    <cellStyle name="20% - Accent5 2 2 3 2 3 2 2 2" xfId="33507" xr:uid="{290B5E81-2840-477E-9034-B179A5EE45A8}"/>
    <cellStyle name="20% - Accent5 2 2 3 2 3 2 3" xfId="33506" xr:uid="{C8E072A5-DD4A-485D-A487-F963A5A45629}"/>
    <cellStyle name="20% - Accent5 2 2 3 2 3 3" xfId="20174" xr:uid="{55A8DFF2-2583-4A13-B1E8-863B602F8377}"/>
    <cellStyle name="20% - Accent5 2 2 3 2 3 3 2" xfId="33508" xr:uid="{4213416C-6569-47FD-B3A8-B33D0FC52EB4}"/>
    <cellStyle name="20% - Accent5 2 2 3 2 3 4" xfId="33505" xr:uid="{5E382326-783F-4A22-8AAE-1DAD06B00786}"/>
    <cellStyle name="20% - Accent5 2 2 3 2 4" xfId="8743" xr:uid="{1F2380B9-0F29-4198-9A8F-8CE7C1E23F0A}"/>
    <cellStyle name="20% - Accent5 2 2 3 2 4 2" xfId="24156" xr:uid="{22DB34F6-D4E8-4A79-8B96-A2396C2E925A}"/>
    <cellStyle name="20% - Accent5 2 2 3 2 4 2 2" xfId="33510" xr:uid="{574FE1CA-A95C-4C51-94F3-B2E7C54FE575}"/>
    <cellStyle name="20% - Accent5 2 2 3 2 4 3" xfId="33509" xr:uid="{4D22D88C-3CF2-4008-85AC-F9D07033F087}"/>
    <cellStyle name="20% - Accent5 2 2 3 2 5" xfId="16451" xr:uid="{9F1B835A-6838-4F81-8E7F-4C0DCE5F9F1C}"/>
    <cellStyle name="20% - Accent5 2 2 3 2 5 2" xfId="33511" xr:uid="{C7508E37-CCF3-4787-A806-08EE91887506}"/>
    <cellStyle name="20% - Accent5 2 2 3 2 6" xfId="33496" xr:uid="{FEB53454-71B5-4F4F-BD53-B8844C67474D}"/>
    <cellStyle name="20% - Accent5 2 2 3 3" xfId="1853" xr:uid="{4F4C153A-83BC-45CE-9D99-707E945E5078}"/>
    <cellStyle name="20% - Accent5 2 2 3 3 2" xfId="5585" xr:uid="{89A90A98-A07A-40A0-A53F-2E6C773155B0}"/>
    <cellStyle name="20% - Accent5 2 2 3 3 2 2" xfId="13293" xr:uid="{D94BB692-5809-4AB9-B5F8-4994C73877B9}"/>
    <cellStyle name="20% - Accent5 2 2 3 3 2 2 2" xfId="28705" xr:uid="{20A53F58-11BC-4961-A0E7-B3219F16B150}"/>
    <cellStyle name="20% - Accent5 2 2 3 3 2 2 2 2" xfId="33515" xr:uid="{A53FDF32-C4DF-45CB-9F97-F144B5F64270}"/>
    <cellStyle name="20% - Accent5 2 2 3 3 2 2 3" xfId="33514" xr:uid="{7716A978-D008-4E30-ADB8-30D10180AF58}"/>
    <cellStyle name="20% - Accent5 2 2 3 3 2 3" xfId="21000" xr:uid="{1A7FBD80-B99E-412E-A771-996B678C9F64}"/>
    <cellStyle name="20% - Accent5 2 2 3 3 2 3 2" xfId="33516" xr:uid="{14FD5815-62B2-4FB1-B5AE-CB7C59609713}"/>
    <cellStyle name="20% - Accent5 2 2 3 3 2 4" xfId="33513" xr:uid="{74C68D2C-F6B2-4ACA-A4CC-21DA4CAF465F}"/>
    <cellStyle name="20% - Accent5 2 2 3 3 3" xfId="9564" xr:uid="{750B5623-F93D-4EE6-A16D-F7AC0E986006}"/>
    <cellStyle name="20% - Accent5 2 2 3 3 3 2" xfId="24977" xr:uid="{002E45AB-F193-488A-8AF1-8CE81D642906}"/>
    <cellStyle name="20% - Accent5 2 2 3 3 3 2 2" xfId="33518" xr:uid="{08E83F21-AE3E-4877-B49C-3735D85473FC}"/>
    <cellStyle name="20% - Accent5 2 2 3 3 3 3" xfId="33517" xr:uid="{BE639AF2-ED80-4B1A-8F1B-F211C8E4FFBB}"/>
    <cellStyle name="20% - Accent5 2 2 3 3 4" xfId="17272" xr:uid="{F2CFE8D4-0263-4D19-8AAC-85B5D65F3DE4}"/>
    <cellStyle name="20% - Accent5 2 2 3 3 4 2" xfId="33519" xr:uid="{20A33FBA-9AED-4508-AC98-4C7813F92665}"/>
    <cellStyle name="20% - Accent5 2 2 3 3 5" xfId="33512" xr:uid="{CD8A9247-26BD-42C0-96E5-0FECB6D64003}"/>
    <cellStyle name="20% - Accent5 2 2 3 4" xfId="4107" xr:uid="{0D578DE5-B17B-449D-8AE8-4539156FDC6A}"/>
    <cellStyle name="20% - Accent5 2 2 3 4 2" xfId="11815" xr:uid="{C0B5A45E-B7C4-44BE-AEC2-C66691776BE1}"/>
    <cellStyle name="20% - Accent5 2 2 3 4 2 2" xfId="27227" xr:uid="{7850746E-6D71-469E-8719-3C85F67939E1}"/>
    <cellStyle name="20% - Accent5 2 2 3 4 2 2 2" xfId="33522" xr:uid="{77C159A0-4709-4657-96A1-4AFDFE7034D4}"/>
    <cellStyle name="20% - Accent5 2 2 3 4 2 3" xfId="33521" xr:uid="{726CB3F2-1806-4851-AD1A-DE537655E1E1}"/>
    <cellStyle name="20% - Accent5 2 2 3 4 3" xfId="19522" xr:uid="{1E9A23B6-81D0-40F5-A07C-28DD1A10F73C}"/>
    <cellStyle name="20% - Accent5 2 2 3 4 3 2" xfId="33523" xr:uid="{A457CD6D-C4E0-46B7-864F-CD98829C8711}"/>
    <cellStyle name="20% - Accent5 2 2 3 4 4" xfId="33520" xr:uid="{F1BA597B-AB2F-4285-B1E7-254C2823940F}"/>
    <cellStyle name="20% - Accent5 2 2 3 5" xfId="8105" xr:uid="{10DC738D-F426-4D5C-B552-C5E298414DFE}"/>
    <cellStyle name="20% - Accent5 2 2 3 5 2" xfId="23518" xr:uid="{FA3821C7-4C12-4FE6-87E4-A7ED3A4DFE35}"/>
    <cellStyle name="20% - Accent5 2 2 3 5 2 2" xfId="33525" xr:uid="{1B23629F-30BD-42BD-A74C-C59D8E1AA014}"/>
    <cellStyle name="20% - Accent5 2 2 3 5 3" xfId="33524" xr:uid="{8E1A3812-5C3D-408A-86BF-5E92F6CD2E65}"/>
    <cellStyle name="20% - Accent5 2 2 3 6" xfId="15813" xr:uid="{3FA87779-309A-4508-8214-7A484A09A5C8}"/>
    <cellStyle name="20% - Accent5 2 2 3 6 2" xfId="33526" xr:uid="{41C95E20-1B8D-47D0-B650-F88C498DC068}"/>
    <cellStyle name="20% - Accent5 2 2 3 7" xfId="33495" xr:uid="{773FAD8E-B7B0-4F71-A5DC-5BCD020F033F}"/>
    <cellStyle name="20% - Accent5 2 2 4" xfId="816" xr:uid="{B7E79C6A-6A21-476D-9CCA-7623F9F3BB7D}"/>
    <cellStyle name="20% - Accent5 2 2 4 2" xfId="2293" xr:uid="{3862E6DE-F31C-4394-9C79-34882E163C95}"/>
    <cellStyle name="20% - Accent5 2 2 4 2 2" xfId="6025" xr:uid="{C2173722-1D27-4534-BBBB-1BBF08ACBEA2}"/>
    <cellStyle name="20% - Accent5 2 2 4 2 2 2" xfId="13733" xr:uid="{CC95D0D5-5B7A-4AE1-838A-1B0FC4045964}"/>
    <cellStyle name="20% - Accent5 2 2 4 2 2 2 2" xfId="29145" xr:uid="{26FCDF31-3EB8-4A13-9D15-4EC1DF326681}"/>
    <cellStyle name="20% - Accent5 2 2 4 2 2 2 2 2" xfId="33531" xr:uid="{16DC904E-5376-4922-9493-8DC3C8A8EC28}"/>
    <cellStyle name="20% - Accent5 2 2 4 2 2 2 3" xfId="33530" xr:uid="{1147F968-45B0-4BED-A5B0-9D07BF2D5628}"/>
    <cellStyle name="20% - Accent5 2 2 4 2 2 3" xfId="21440" xr:uid="{4FEFFE48-DDD9-4552-A7CD-9ABBE41F6F64}"/>
    <cellStyle name="20% - Accent5 2 2 4 2 2 3 2" xfId="33532" xr:uid="{13F10FEA-E238-4D32-A308-C782B85825B8}"/>
    <cellStyle name="20% - Accent5 2 2 4 2 2 4" xfId="33529" xr:uid="{C0CBB22A-0C9E-4D52-8CD9-32158D206F97}"/>
    <cellStyle name="20% - Accent5 2 2 4 2 3" xfId="10004" xr:uid="{E184C43C-CFD6-48B0-82F3-FE1F59B62F9D}"/>
    <cellStyle name="20% - Accent5 2 2 4 2 3 2" xfId="25417" xr:uid="{816A8EEA-94FF-4975-B5C0-EF136EA94B88}"/>
    <cellStyle name="20% - Accent5 2 2 4 2 3 2 2" xfId="33534" xr:uid="{C1E49C48-E155-465C-90C2-292FBDD57E6A}"/>
    <cellStyle name="20% - Accent5 2 2 4 2 3 3" xfId="33533" xr:uid="{2C95A151-2ED6-444B-9C53-90D05C8B72CB}"/>
    <cellStyle name="20% - Accent5 2 2 4 2 4" xfId="17712" xr:uid="{B374B36D-F6D6-4E39-8B1B-568C91F46A9C}"/>
    <cellStyle name="20% - Accent5 2 2 4 2 4 2" xfId="33535" xr:uid="{19227144-7D4E-4811-A453-A85BFBD8C0B9}"/>
    <cellStyle name="20% - Accent5 2 2 4 2 5" xfId="33528" xr:uid="{AF489549-0062-4A0E-B645-81B4C940C528}"/>
    <cellStyle name="20% - Accent5 2 2 4 3" xfId="4553" xr:uid="{430B5005-53A2-4890-972F-9F4330641B0A}"/>
    <cellStyle name="20% - Accent5 2 2 4 3 2" xfId="12261" xr:uid="{6EEAD1F4-C18D-47D5-80CE-39218EEB4E80}"/>
    <cellStyle name="20% - Accent5 2 2 4 3 2 2" xfId="27673" xr:uid="{D8AC669F-C1AF-44E8-964F-A16064361A58}"/>
    <cellStyle name="20% - Accent5 2 2 4 3 2 2 2" xfId="33538" xr:uid="{9631C6F8-2E8F-40F3-99E0-866422E7F52D}"/>
    <cellStyle name="20% - Accent5 2 2 4 3 2 3" xfId="33537" xr:uid="{28844B3B-C311-4806-BB22-EF18F09E398E}"/>
    <cellStyle name="20% - Accent5 2 2 4 3 3" xfId="19968" xr:uid="{13199953-E293-4343-BD8E-9C11AF101BA1}"/>
    <cellStyle name="20% - Accent5 2 2 4 3 3 2" xfId="33539" xr:uid="{62026E17-E7AE-4067-A8A4-D7000F883CBC}"/>
    <cellStyle name="20% - Accent5 2 2 4 3 4" xfId="33536" xr:uid="{ACCAD49A-9C37-45FD-8D19-E75A00B37E8E}"/>
    <cellStyle name="20% - Accent5 2 2 4 4" xfId="8545" xr:uid="{A62643C4-E6ED-4ABE-8036-3B04C8C80067}"/>
    <cellStyle name="20% - Accent5 2 2 4 4 2" xfId="23958" xr:uid="{39761E93-3006-4A28-B24F-925587453E87}"/>
    <cellStyle name="20% - Accent5 2 2 4 4 2 2" xfId="33541" xr:uid="{24186C20-66E1-410D-8A8B-31607B7E376F}"/>
    <cellStyle name="20% - Accent5 2 2 4 4 3" xfId="33540" xr:uid="{A0059016-85B8-4A8E-8EBC-6D12FCD92082}"/>
    <cellStyle name="20% - Accent5 2 2 4 5" xfId="16253" xr:uid="{A0D45901-FEBD-488A-8C5F-8AD71ED05B4D}"/>
    <cellStyle name="20% - Accent5 2 2 4 5 2" xfId="33542" xr:uid="{95DBFB62-2851-4153-A42F-EE3F5AB13B02}"/>
    <cellStyle name="20% - Accent5 2 2 4 6" xfId="33527" xr:uid="{3023390D-530D-4E28-9722-79D369995077}"/>
    <cellStyle name="20% - Accent5 2 2 5" xfId="1654" xr:uid="{8FE068BF-E8F1-4E57-93DC-05C130EC12E5}"/>
    <cellStyle name="20% - Accent5 2 2 5 2" xfId="5386" xr:uid="{5691F51B-4DC3-437C-B119-EE62F3C21A30}"/>
    <cellStyle name="20% - Accent5 2 2 5 2 2" xfId="13094" xr:uid="{6DC90E67-EEA5-4103-8C0A-8ED5478AAABB}"/>
    <cellStyle name="20% - Accent5 2 2 5 2 2 2" xfId="28506" xr:uid="{227C3EF1-FF05-4553-9853-FD0F4BBF3647}"/>
    <cellStyle name="20% - Accent5 2 2 5 2 2 2 2" xfId="33546" xr:uid="{B50A583B-8DD5-4F6B-B68B-6E72893989D4}"/>
    <cellStyle name="20% - Accent5 2 2 5 2 2 3" xfId="33545" xr:uid="{DD476BD2-340C-49DE-9E76-F54EC2D076CE}"/>
    <cellStyle name="20% - Accent5 2 2 5 2 3" xfId="20801" xr:uid="{9E4D73C5-EC09-4941-8E8F-D0CB65C993FB}"/>
    <cellStyle name="20% - Accent5 2 2 5 2 3 2" xfId="33547" xr:uid="{6B9B5B67-8D22-484D-BB11-5531FE16E95A}"/>
    <cellStyle name="20% - Accent5 2 2 5 2 4" xfId="33544" xr:uid="{DF3D5470-3290-46C5-8D9F-415E5F4AA7F0}"/>
    <cellStyle name="20% - Accent5 2 2 5 3" xfId="9366" xr:uid="{0FD0B3EA-B2D6-4473-9181-913940F3A0BF}"/>
    <cellStyle name="20% - Accent5 2 2 5 3 2" xfId="24779" xr:uid="{41DD070F-58D1-4751-8EE1-4E0430EFE433}"/>
    <cellStyle name="20% - Accent5 2 2 5 3 2 2" xfId="33549" xr:uid="{1347391C-3EB6-4469-8A74-B69107C9654F}"/>
    <cellStyle name="20% - Accent5 2 2 5 3 3" xfId="33548" xr:uid="{846006EF-07C0-4DE7-B5E6-773422CF2BD0}"/>
    <cellStyle name="20% - Accent5 2 2 5 4" xfId="17074" xr:uid="{72ADEDFB-78FA-42D3-80C3-2FCFB348EA94}"/>
    <cellStyle name="20% - Accent5 2 2 5 4 2" xfId="33550" xr:uid="{5EFEB715-EDB6-4A9A-B674-788B6A6255E3}"/>
    <cellStyle name="20% - Accent5 2 2 5 5" xfId="33543" xr:uid="{CEFB3299-9F86-4CEE-953A-5572B8E19505}"/>
    <cellStyle name="20% - Accent5 2 2 6" xfId="3901" xr:uid="{E7B5074F-AF1E-4047-9F3C-7C708ACA7D01}"/>
    <cellStyle name="20% - Accent5 2 2 6 2" xfId="11609" xr:uid="{A1FB05BB-422C-4FF6-9F1E-E1CCA933FD79}"/>
    <cellStyle name="20% - Accent5 2 2 6 2 2" xfId="27021" xr:uid="{2E801321-69D1-4E63-BC96-B02EE192B60B}"/>
    <cellStyle name="20% - Accent5 2 2 6 2 2 2" xfId="33553" xr:uid="{173EEE89-80A0-465C-9375-0CA76EE76D47}"/>
    <cellStyle name="20% - Accent5 2 2 6 2 3" xfId="33552" xr:uid="{CE5221F4-A180-4502-A776-A56BBCB08434}"/>
    <cellStyle name="20% - Accent5 2 2 6 3" xfId="19316" xr:uid="{E70942FA-6AD8-41B9-82A4-4287ABD92702}"/>
    <cellStyle name="20% - Accent5 2 2 6 3 2" xfId="33554" xr:uid="{1A1EADD5-00D0-40A6-B98A-4A93E6F35F9D}"/>
    <cellStyle name="20% - Accent5 2 2 6 4" xfId="33551" xr:uid="{D5021AC3-539B-4F7F-954E-7E8513EB5906}"/>
    <cellStyle name="20% - Accent5 2 2 7" xfId="7889" xr:uid="{B70BF242-A127-4A5B-B095-C2CF05A0DDE8}"/>
    <cellStyle name="20% - Accent5 2 2 7 2" xfId="23302" xr:uid="{A43C9632-EA82-4721-BC69-E129A27E6A68}"/>
    <cellStyle name="20% - Accent5 2 2 7 2 2" xfId="33556" xr:uid="{41A0C89B-AD7D-4834-8A73-F2846DFD99FA}"/>
    <cellStyle name="20% - Accent5 2 2 7 3" xfId="33555" xr:uid="{28ED208B-4636-4EB7-8EA9-C4173B32DABE}"/>
    <cellStyle name="20% - Accent5 2 2 8" xfId="15597" xr:uid="{B2CEC751-38BE-4B9F-99CB-7EE54C0E56C4}"/>
    <cellStyle name="20% - Accent5 2 2 8 2" xfId="33557" xr:uid="{5F52D03F-72DA-469D-9963-0BD2AD94356E}"/>
    <cellStyle name="20% - Accent5 2 2 9" xfId="33430" xr:uid="{44D3EA8D-F38B-49DC-ACC2-D47EA47201C6}"/>
    <cellStyle name="20% - Accent5 2 3" xfId="187" xr:uid="{2C16C611-505F-48EB-856B-BBB197496CF2}"/>
    <cellStyle name="20% - Accent5 2 3 2" xfId="396" xr:uid="{0FE54786-78EE-49F7-AB0B-DC159DD33F60}"/>
    <cellStyle name="20% - Accent5 2 3 2 2" xfId="1058" xr:uid="{DBD38555-AEDF-4F94-ADF7-A20A7575D2E2}"/>
    <cellStyle name="20% - Accent5 2 3 2 2 2" xfId="2526" xr:uid="{E07F5D6A-FEA8-4AD7-8998-A6ACB245B7CC}"/>
    <cellStyle name="20% - Accent5 2 3 2 2 2 2" xfId="6258" xr:uid="{22877CB2-8E06-4636-ACA5-C6797B826AEC}"/>
    <cellStyle name="20% - Accent5 2 3 2 2 2 2 2" xfId="13966" xr:uid="{554AE2ED-D76D-43BE-A727-E0C4ECDFD5C6}"/>
    <cellStyle name="20% - Accent5 2 3 2 2 2 2 2 2" xfId="29378" xr:uid="{CD120684-4987-4CEA-99B7-676377BD8A4F}"/>
    <cellStyle name="20% - Accent5 2 3 2 2 2 2 2 2 2" xfId="33564" xr:uid="{1B5E3BDE-96D9-43B0-9A0A-A321F3FA927B}"/>
    <cellStyle name="20% - Accent5 2 3 2 2 2 2 2 3" xfId="33563" xr:uid="{2881C8D8-4D52-4453-949F-52808F702218}"/>
    <cellStyle name="20% - Accent5 2 3 2 2 2 2 3" xfId="21673" xr:uid="{6E4F0863-8F06-4D9B-803C-31E06A19C771}"/>
    <cellStyle name="20% - Accent5 2 3 2 2 2 2 3 2" xfId="33565" xr:uid="{333EF5F4-E408-4D10-840A-AA3CA34F44E8}"/>
    <cellStyle name="20% - Accent5 2 3 2 2 2 2 4" xfId="33562" xr:uid="{0D80A0E5-8EF2-4BB1-A4B0-59B4CDB8744D}"/>
    <cellStyle name="20% - Accent5 2 3 2 2 2 3" xfId="10237" xr:uid="{06D726A6-C7EE-485C-82B9-11E3FB8C1B39}"/>
    <cellStyle name="20% - Accent5 2 3 2 2 2 3 2" xfId="25650" xr:uid="{7C04C5B6-287D-4B97-8C43-360DDE786685}"/>
    <cellStyle name="20% - Accent5 2 3 2 2 2 3 2 2" xfId="33567" xr:uid="{DD606A3E-391C-48B6-997A-5AEAA262FC2E}"/>
    <cellStyle name="20% - Accent5 2 3 2 2 2 3 3" xfId="33566" xr:uid="{A4577B9F-EED1-4B24-9BC9-DA7278BA2D63}"/>
    <cellStyle name="20% - Accent5 2 3 2 2 2 4" xfId="17945" xr:uid="{1C439E4E-49B1-41BE-8DE6-5F2C4C3D7195}"/>
    <cellStyle name="20% - Accent5 2 3 2 2 2 4 2" xfId="33568" xr:uid="{158850D2-1806-456C-81AB-9EF6F5F79E47}"/>
    <cellStyle name="20% - Accent5 2 3 2 2 2 5" xfId="33561" xr:uid="{D0ABD5EE-22CE-4576-BDF8-DF38103B1B86}"/>
    <cellStyle name="20% - Accent5 2 3 2 2 3" xfId="4795" xr:uid="{01CF790A-E51B-4F26-98E1-5A193C494949}"/>
    <cellStyle name="20% - Accent5 2 3 2 2 3 2" xfId="12503" xr:uid="{05173089-BD9E-4625-AB1E-C83E694270A0}"/>
    <cellStyle name="20% - Accent5 2 3 2 2 3 2 2" xfId="27915" xr:uid="{A8E6369E-5EDE-40B2-BFDE-04C2CD8CF3D9}"/>
    <cellStyle name="20% - Accent5 2 3 2 2 3 2 2 2" xfId="33571" xr:uid="{E0E0451F-4BBE-4CEF-A947-25B1C7DA2D81}"/>
    <cellStyle name="20% - Accent5 2 3 2 2 3 2 3" xfId="33570" xr:uid="{8096B3CB-8CA7-48F9-BBF7-81F9F97ABCD6}"/>
    <cellStyle name="20% - Accent5 2 3 2 2 3 3" xfId="20210" xr:uid="{824ED66E-0864-496E-AE6D-30BBB1A80251}"/>
    <cellStyle name="20% - Accent5 2 3 2 2 3 3 2" xfId="33572" xr:uid="{56D4D08B-3EEC-496B-A012-F4DB3B5FB2DC}"/>
    <cellStyle name="20% - Accent5 2 3 2 2 3 4" xfId="33569" xr:uid="{001BE2B2-FAF1-438A-A673-82BDC7212819}"/>
    <cellStyle name="20% - Accent5 2 3 2 2 4" xfId="8778" xr:uid="{C8073357-3B18-4A24-96A8-69846C5989B0}"/>
    <cellStyle name="20% - Accent5 2 3 2 2 4 2" xfId="24191" xr:uid="{96BC8B1F-3749-4CE6-9174-0F15662BBFF0}"/>
    <cellStyle name="20% - Accent5 2 3 2 2 4 2 2" xfId="33574" xr:uid="{5CD48982-1A78-47AD-82C3-9E7F339F8739}"/>
    <cellStyle name="20% - Accent5 2 3 2 2 4 3" xfId="33573" xr:uid="{7CB72D3D-A407-44A0-AFB7-E343386DE373}"/>
    <cellStyle name="20% - Accent5 2 3 2 2 5" xfId="16486" xr:uid="{FE7DBC75-BB4E-4676-9F35-46E044DFA763}"/>
    <cellStyle name="20% - Accent5 2 3 2 2 5 2" xfId="33575" xr:uid="{E9BE3AB1-3F45-4BBA-80CB-9102429239B4}"/>
    <cellStyle name="20% - Accent5 2 3 2 2 6" xfId="33560" xr:uid="{3442F6ED-C3F5-4A7E-B874-B970229BF0CE}"/>
    <cellStyle name="20% - Accent5 2 3 2 3" xfId="1888" xr:uid="{A77AED94-5E6E-4B72-843E-A3F3C75025C2}"/>
    <cellStyle name="20% - Accent5 2 3 2 3 2" xfId="5620" xr:uid="{F6F94473-FD1A-4F9A-BEE4-ED97004B10FD}"/>
    <cellStyle name="20% - Accent5 2 3 2 3 2 2" xfId="13328" xr:uid="{C644BCFB-2278-4435-999C-DB85686C612E}"/>
    <cellStyle name="20% - Accent5 2 3 2 3 2 2 2" xfId="28740" xr:uid="{01D4AAF9-588C-4E7E-8ECE-51A3EF873EE9}"/>
    <cellStyle name="20% - Accent5 2 3 2 3 2 2 2 2" xfId="33579" xr:uid="{4B26C1FF-5978-4ADF-8585-CE46FDF31FC9}"/>
    <cellStyle name="20% - Accent5 2 3 2 3 2 2 3" xfId="33578" xr:uid="{F501868F-D1E5-41F2-8E5B-E177CD221CD7}"/>
    <cellStyle name="20% - Accent5 2 3 2 3 2 3" xfId="21035" xr:uid="{17160938-57B9-4DCE-B7A7-1509524340C4}"/>
    <cellStyle name="20% - Accent5 2 3 2 3 2 3 2" xfId="33580" xr:uid="{CEDF99A2-E0DC-490E-8DC7-54FAEA1EC83C}"/>
    <cellStyle name="20% - Accent5 2 3 2 3 2 4" xfId="33577" xr:uid="{FDF094F9-BC28-412F-9162-3A7BA743F9A3}"/>
    <cellStyle name="20% - Accent5 2 3 2 3 3" xfId="9599" xr:uid="{0B336434-3943-4840-AB11-E5377A0B8DAB}"/>
    <cellStyle name="20% - Accent5 2 3 2 3 3 2" xfId="25012" xr:uid="{8773B20D-CA75-4903-BB86-053AFAFB4155}"/>
    <cellStyle name="20% - Accent5 2 3 2 3 3 2 2" xfId="33582" xr:uid="{44E6AFB7-573C-463A-85B4-6BADFD25BE23}"/>
    <cellStyle name="20% - Accent5 2 3 2 3 3 3" xfId="33581" xr:uid="{42AA9407-D8C6-46D6-8828-2BF14004ABF7}"/>
    <cellStyle name="20% - Accent5 2 3 2 3 4" xfId="17307" xr:uid="{88B4C756-35B6-46BA-A266-F57A14E3EBEF}"/>
    <cellStyle name="20% - Accent5 2 3 2 3 4 2" xfId="33583" xr:uid="{B577488E-5C71-4A4C-9110-8834557B2B2C}"/>
    <cellStyle name="20% - Accent5 2 3 2 3 5" xfId="33576" xr:uid="{24C60A18-397A-48C7-BED0-6EC99BB36277}"/>
    <cellStyle name="20% - Accent5 2 3 2 4" xfId="4143" xr:uid="{3AD43878-2378-44B0-B802-975B46B9D993}"/>
    <cellStyle name="20% - Accent5 2 3 2 4 2" xfId="11851" xr:uid="{70227FCA-F78D-4F70-8EA2-69323DBABC36}"/>
    <cellStyle name="20% - Accent5 2 3 2 4 2 2" xfId="27263" xr:uid="{666EE68F-BE7C-4597-9B3B-59FD27602BF0}"/>
    <cellStyle name="20% - Accent5 2 3 2 4 2 2 2" xfId="33586" xr:uid="{F6FDF7D1-D98A-4FC8-9496-7FB6C0B0FBF3}"/>
    <cellStyle name="20% - Accent5 2 3 2 4 2 3" xfId="33585" xr:uid="{5B0B768B-B5C3-4FB9-B19F-814D33087700}"/>
    <cellStyle name="20% - Accent5 2 3 2 4 3" xfId="19558" xr:uid="{5E2E200C-6F02-4F0C-A967-0D0344C4DE27}"/>
    <cellStyle name="20% - Accent5 2 3 2 4 3 2" xfId="33587" xr:uid="{32A7D4E5-2689-4C9A-B225-85754FEB086E}"/>
    <cellStyle name="20% - Accent5 2 3 2 4 4" xfId="33584" xr:uid="{A0B18975-C44A-4F9C-9DBD-AFD56655D5F2}"/>
    <cellStyle name="20% - Accent5 2 3 2 5" xfId="8140" xr:uid="{7079F1B1-A3BE-481B-BAA6-21E94F5C3EE3}"/>
    <cellStyle name="20% - Accent5 2 3 2 5 2" xfId="23553" xr:uid="{85E1BB12-722C-486F-AD4C-0152E856CD73}"/>
    <cellStyle name="20% - Accent5 2 3 2 5 2 2" xfId="33589" xr:uid="{6ED8C42F-3187-461A-BD5E-42CF111AB44D}"/>
    <cellStyle name="20% - Accent5 2 3 2 5 3" xfId="33588" xr:uid="{7DAFF972-21F9-4873-BD96-9CC55ECCCD47}"/>
    <cellStyle name="20% - Accent5 2 3 2 6" xfId="15848" xr:uid="{58EBD307-1D7C-4640-BCA9-BB4F618825C3}"/>
    <cellStyle name="20% - Accent5 2 3 2 6 2" xfId="33590" xr:uid="{10CF5733-7DC9-4555-94F0-A2BEFF1D0354}"/>
    <cellStyle name="20% - Accent5 2 3 2 7" xfId="33559" xr:uid="{33913127-5236-4DF8-AC4E-CA51D3BD4D48}"/>
    <cellStyle name="20% - Accent5 2 3 3" xfId="853" xr:uid="{E772E11B-2DA9-44C5-8A68-1E53A2C6F753}"/>
    <cellStyle name="20% - Accent5 2 3 3 2" xfId="2328" xr:uid="{E98DD46B-0115-41EC-BB4F-E9E3B72C2C9F}"/>
    <cellStyle name="20% - Accent5 2 3 3 2 2" xfId="6060" xr:uid="{37B9A41B-68CF-4BE3-8094-0F82A79C7DF0}"/>
    <cellStyle name="20% - Accent5 2 3 3 2 2 2" xfId="13768" xr:uid="{96B67200-6435-406F-84D7-FAB7FE3702D2}"/>
    <cellStyle name="20% - Accent5 2 3 3 2 2 2 2" xfId="29180" xr:uid="{6F44AB47-4DB9-4362-98D9-D76CC2FD8116}"/>
    <cellStyle name="20% - Accent5 2 3 3 2 2 2 2 2" xfId="33595" xr:uid="{D304CB68-D2F5-4805-8FD3-6B7AF840BF4E}"/>
    <cellStyle name="20% - Accent5 2 3 3 2 2 2 3" xfId="33594" xr:uid="{B570F1DB-BFED-4B5A-8160-4DA07173EF01}"/>
    <cellStyle name="20% - Accent5 2 3 3 2 2 3" xfId="21475" xr:uid="{06620500-CB1F-4382-BDE1-98C4DC862422}"/>
    <cellStyle name="20% - Accent5 2 3 3 2 2 3 2" xfId="33596" xr:uid="{C1EF0BD5-5D6D-4C84-9152-D540E4F45114}"/>
    <cellStyle name="20% - Accent5 2 3 3 2 2 4" xfId="33593" xr:uid="{7F9B3E56-0311-4C52-A206-6207F82EB700}"/>
    <cellStyle name="20% - Accent5 2 3 3 2 3" xfId="10039" xr:uid="{A8B21291-5D52-4C1F-9E07-6806CED786C0}"/>
    <cellStyle name="20% - Accent5 2 3 3 2 3 2" xfId="25452" xr:uid="{41FF9A36-9336-4EFA-8A9D-C13669E5439F}"/>
    <cellStyle name="20% - Accent5 2 3 3 2 3 2 2" xfId="33598" xr:uid="{179BE1E8-907B-45EF-B892-A36FB72430EF}"/>
    <cellStyle name="20% - Accent5 2 3 3 2 3 3" xfId="33597" xr:uid="{4B82D507-E62C-4D14-B63E-8D05559F36F6}"/>
    <cellStyle name="20% - Accent5 2 3 3 2 4" xfId="17747" xr:uid="{31F80F4B-547E-4EB1-A052-B29641A5AF51}"/>
    <cellStyle name="20% - Accent5 2 3 3 2 4 2" xfId="33599" xr:uid="{57227516-C7CE-460C-A530-3472F6C30F17}"/>
    <cellStyle name="20% - Accent5 2 3 3 2 5" xfId="33592" xr:uid="{EB006AFD-15AE-463F-B086-EE213AFABA2F}"/>
    <cellStyle name="20% - Accent5 2 3 3 3" xfId="4590" xr:uid="{7D7F4D1E-7B98-4F35-BF7D-0BAC5F50DE0D}"/>
    <cellStyle name="20% - Accent5 2 3 3 3 2" xfId="12298" xr:uid="{398A6436-DAC9-4CAC-BB96-FA3521F8ED70}"/>
    <cellStyle name="20% - Accent5 2 3 3 3 2 2" xfId="27710" xr:uid="{C057F86C-5510-435F-8789-1B30A3C2D947}"/>
    <cellStyle name="20% - Accent5 2 3 3 3 2 2 2" xfId="33602" xr:uid="{F5FA740B-03EC-431F-8684-BDA1F1275D27}"/>
    <cellStyle name="20% - Accent5 2 3 3 3 2 3" xfId="33601" xr:uid="{191DD153-7A68-4805-83E8-455589212115}"/>
    <cellStyle name="20% - Accent5 2 3 3 3 3" xfId="20005" xr:uid="{77B8D97E-7BB3-46A3-919E-A9D9A7C465FF}"/>
    <cellStyle name="20% - Accent5 2 3 3 3 3 2" xfId="33603" xr:uid="{58549ED5-4417-4B56-88DA-B7608F6AD5F0}"/>
    <cellStyle name="20% - Accent5 2 3 3 3 4" xfId="33600" xr:uid="{1DB7BC33-610C-4B7C-B82C-3AA155E3AF6A}"/>
    <cellStyle name="20% - Accent5 2 3 3 4" xfId="8580" xr:uid="{7BF1DC7F-CC7B-4826-B162-148543B86740}"/>
    <cellStyle name="20% - Accent5 2 3 3 4 2" xfId="23993" xr:uid="{BE4810EA-D31A-4D10-9E12-B86B2B0AFA3F}"/>
    <cellStyle name="20% - Accent5 2 3 3 4 2 2" xfId="33605" xr:uid="{46346952-73F7-4DDF-9DF4-ACC61261E405}"/>
    <cellStyle name="20% - Accent5 2 3 3 4 3" xfId="33604" xr:uid="{24648870-FA3D-4114-A39B-FC8B9BE4908A}"/>
    <cellStyle name="20% - Accent5 2 3 3 5" xfId="16288" xr:uid="{ADE322A8-B2EB-4C27-A07D-2C478E011937}"/>
    <cellStyle name="20% - Accent5 2 3 3 5 2" xfId="33606" xr:uid="{7AC77F3A-E948-4218-AFEB-CDDA98BDDC03}"/>
    <cellStyle name="20% - Accent5 2 3 3 6" xfId="33591" xr:uid="{D45B7675-7857-4A02-B481-5E8642C06F5A}"/>
    <cellStyle name="20% - Accent5 2 3 4" xfId="1690" xr:uid="{9FE9BE59-6885-4FF7-8161-8706C5A637A2}"/>
    <cellStyle name="20% - Accent5 2 3 4 2" xfId="5422" xr:uid="{EDEE976E-3C7D-4F75-B309-65EEF7ED2F05}"/>
    <cellStyle name="20% - Accent5 2 3 4 2 2" xfId="13130" xr:uid="{A7DED890-A05C-48D3-883B-F9C54D6C8795}"/>
    <cellStyle name="20% - Accent5 2 3 4 2 2 2" xfId="28542" xr:uid="{EFA46686-F6FA-4B6D-9B7A-9ACECA72ACA1}"/>
    <cellStyle name="20% - Accent5 2 3 4 2 2 2 2" xfId="33610" xr:uid="{386E8DBF-34F7-4824-8B99-1A8846F90707}"/>
    <cellStyle name="20% - Accent5 2 3 4 2 2 3" xfId="33609" xr:uid="{619B02D0-BE2A-4F74-A8B5-5FB8973DD040}"/>
    <cellStyle name="20% - Accent5 2 3 4 2 3" xfId="20837" xr:uid="{6C422826-3339-43AF-A68B-94D96F993E3B}"/>
    <cellStyle name="20% - Accent5 2 3 4 2 3 2" xfId="33611" xr:uid="{D9F7BF07-65AB-44E9-A3B7-AE100DE48D42}"/>
    <cellStyle name="20% - Accent5 2 3 4 2 4" xfId="33608" xr:uid="{13983C7C-A226-4F0E-A6C3-64F6FFE986CD}"/>
    <cellStyle name="20% - Accent5 2 3 4 3" xfId="9401" xr:uid="{CF11C1ED-44D4-45A9-B1DE-68B3711FC64F}"/>
    <cellStyle name="20% - Accent5 2 3 4 3 2" xfId="24814" xr:uid="{DF7A471B-7061-470D-BB32-0A5B29AAB88C}"/>
    <cellStyle name="20% - Accent5 2 3 4 3 2 2" xfId="33613" xr:uid="{613C93C7-9778-4BB9-8BB3-45B5FB8A91AA}"/>
    <cellStyle name="20% - Accent5 2 3 4 3 3" xfId="33612" xr:uid="{9790682A-6DF1-481C-8C8D-B719E9339DA8}"/>
    <cellStyle name="20% - Accent5 2 3 4 4" xfId="17109" xr:uid="{AB88CB11-7B73-44C8-82EE-EAE0F99E9851}"/>
    <cellStyle name="20% - Accent5 2 3 4 4 2" xfId="33614" xr:uid="{666A2979-15F6-4819-A95C-E9EF8797522C}"/>
    <cellStyle name="20% - Accent5 2 3 4 5" xfId="33607" xr:uid="{1784F728-1B94-4291-891E-657B054AB168}"/>
    <cellStyle name="20% - Accent5 2 3 5" xfId="3938" xr:uid="{D9031FE3-557A-48A9-8199-6B09E0C8DF90}"/>
    <cellStyle name="20% - Accent5 2 3 5 2" xfId="11646" xr:uid="{230F09A8-A1BC-4339-B466-7A13D0D781E3}"/>
    <cellStyle name="20% - Accent5 2 3 5 2 2" xfId="27058" xr:uid="{F8B38307-D2F7-4806-99CF-0ED41C14DCDA}"/>
    <cellStyle name="20% - Accent5 2 3 5 2 2 2" xfId="33617" xr:uid="{0189F997-FC24-4942-8FCF-7D5B25E70D30}"/>
    <cellStyle name="20% - Accent5 2 3 5 2 3" xfId="33616" xr:uid="{B8ED3B54-D1F6-4A47-B887-85D1A65A2555}"/>
    <cellStyle name="20% - Accent5 2 3 5 3" xfId="19353" xr:uid="{3E8076B2-634F-4173-A6D8-8F52477AACCB}"/>
    <cellStyle name="20% - Accent5 2 3 5 3 2" xfId="33618" xr:uid="{16E503E6-0D79-4FD3-B876-942F8BEFD805}"/>
    <cellStyle name="20% - Accent5 2 3 5 4" xfId="33615" xr:uid="{F577D051-CF2F-4616-BF34-63B2A6DDCEEC}"/>
    <cellStyle name="20% - Accent5 2 3 6" xfId="7942" xr:uid="{9321DBC0-F3D6-4F22-9A59-B03992DE5C2C}"/>
    <cellStyle name="20% - Accent5 2 3 6 2" xfId="23355" xr:uid="{9016EEE8-207B-44C3-A17A-E43E63D578E4}"/>
    <cellStyle name="20% - Accent5 2 3 6 2 2" xfId="33620" xr:uid="{005BB7EE-80F5-4D1C-BFDD-FA7AA28E1E67}"/>
    <cellStyle name="20% - Accent5 2 3 6 3" xfId="33619" xr:uid="{6D3B8035-764F-49AC-9388-355E0EF0A806}"/>
    <cellStyle name="20% - Accent5 2 3 7" xfId="15650" xr:uid="{63E4AE8D-4968-481B-A10B-079D8316832D}"/>
    <cellStyle name="20% - Accent5 2 3 7 2" xfId="33621" xr:uid="{D1543505-BF15-41FF-9EBF-18231607172B}"/>
    <cellStyle name="20% - Accent5 2 3 8" xfId="33558" xr:uid="{3FFEFC13-3ACA-4E92-8241-44690A1432AD}"/>
    <cellStyle name="20% - Accent5 2 4" xfId="343" xr:uid="{2E613475-6BAD-4718-B640-DD80E07ED6F8}"/>
    <cellStyle name="20% - Accent5 2 4 2" xfId="1006" xr:uid="{5BEFDCCD-A401-419C-8E9D-43760BA1AB93}"/>
    <cellStyle name="20% - Accent5 2 4 2 2" xfId="2476" xr:uid="{3030B467-A264-4827-80BE-9FA375367B16}"/>
    <cellStyle name="20% - Accent5 2 4 2 2 2" xfId="6208" xr:uid="{2372FCE0-7F60-4DED-AE28-A8EC5B278864}"/>
    <cellStyle name="20% - Accent5 2 4 2 2 2 2" xfId="13916" xr:uid="{52377974-7FF1-4D9B-82FB-86CC8746DAC7}"/>
    <cellStyle name="20% - Accent5 2 4 2 2 2 2 2" xfId="29328" xr:uid="{C41DE3A3-20B8-49BE-A90B-5D22EBA2D50B}"/>
    <cellStyle name="20% - Accent5 2 4 2 2 2 2 2 2" xfId="33627" xr:uid="{24011F08-2D0F-4B89-8094-C58478AAB24D}"/>
    <cellStyle name="20% - Accent5 2 4 2 2 2 2 3" xfId="33626" xr:uid="{9610C441-C870-41BF-8B63-39C406202C76}"/>
    <cellStyle name="20% - Accent5 2 4 2 2 2 3" xfId="21623" xr:uid="{749EB18F-EF14-48C6-B6F7-B8B6659E7480}"/>
    <cellStyle name="20% - Accent5 2 4 2 2 2 3 2" xfId="33628" xr:uid="{C83CE012-D7A7-445E-BD21-72AF2E8A95BE}"/>
    <cellStyle name="20% - Accent5 2 4 2 2 2 4" xfId="33625" xr:uid="{A6C58DA2-FB8F-442C-AAED-B3B4F503FFA2}"/>
    <cellStyle name="20% - Accent5 2 4 2 2 3" xfId="10187" xr:uid="{F0FE3BB8-EE12-4E16-B443-60F9C78A990F}"/>
    <cellStyle name="20% - Accent5 2 4 2 2 3 2" xfId="25600" xr:uid="{7C43B600-C794-418D-BF38-0EB268028B5D}"/>
    <cellStyle name="20% - Accent5 2 4 2 2 3 2 2" xfId="33630" xr:uid="{7656A239-C2A3-4F27-9A1C-F785DD7921D2}"/>
    <cellStyle name="20% - Accent5 2 4 2 2 3 3" xfId="33629" xr:uid="{51B05489-497B-4BEF-9FB0-83E0DC6E8677}"/>
    <cellStyle name="20% - Accent5 2 4 2 2 4" xfId="17895" xr:uid="{E6CA991D-4AF7-4E8C-A5C3-320223722AFE}"/>
    <cellStyle name="20% - Accent5 2 4 2 2 4 2" xfId="33631" xr:uid="{AEB4B33F-9045-4510-B3C6-B88ADF6647AF}"/>
    <cellStyle name="20% - Accent5 2 4 2 2 5" xfId="33624" xr:uid="{E6E682D5-A76B-462B-A65E-7E0BAF0D4034}"/>
    <cellStyle name="20% - Accent5 2 4 2 3" xfId="4743" xr:uid="{BFFD204A-D32F-4D5C-A905-3876F228003C}"/>
    <cellStyle name="20% - Accent5 2 4 2 3 2" xfId="12451" xr:uid="{BA14BFD5-D0BF-403B-AFAB-59178309504F}"/>
    <cellStyle name="20% - Accent5 2 4 2 3 2 2" xfId="27863" xr:uid="{DD2268F9-864B-49A8-B59A-109F72669E41}"/>
    <cellStyle name="20% - Accent5 2 4 2 3 2 2 2" xfId="33634" xr:uid="{58D86625-BAB9-4534-BE0E-94BA7DDE1DF4}"/>
    <cellStyle name="20% - Accent5 2 4 2 3 2 3" xfId="33633" xr:uid="{32C14330-2944-4AB5-82B1-1F46711F1A12}"/>
    <cellStyle name="20% - Accent5 2 4 2 3 3" xfId="20158" xr:uid="{45C2F7CA-CEC7-45B2-90DB-1368BA336633}"/>
    <cellStyle name="20% - Accent5 2 4 2 3 3 2" xfId="33635" xr:uid="{94936D38-3A7C-47E6-ACB8-576C48D7D17E}"/>
    <cellStyle name="20% - Accent5 2 4 2 3 4" xfId="33632" xr:uid="{AD932242-230C-4E50-BF71-5DDB7D859A08}"/>
    <cellStyle name="20% - Accent5 2 4 2 4" xfId="8728" xr:uid="{802E282A-3ECF-4990-BC77-DE24D25BA218}"/>
    <cellStyle name="20% - Accent5 2 4 2 4 2" xfId="24141" xr:uid="{1241B9AA-0943-46D2-A54E-A778004BDB16}"/>
    <cellStyle name="20% - Accent5 2 4 2 4 2 2" xfId="33637" xr:uid="{B40958F6-9AFA-48DA-AA97-515864E58DC5}"/>
    <cellStyle name="20% - Accent5 2 4 2 4 3" xfId="33636" xr:uid="{846E7637-50E9-4593-88CE-D6B29DE566D5}"/>
    <cellStyle name="20% - Accent5 2 4 2 5" xfId="16436" xr:uid="{36016687-BA82-4FB6-9A91-7E25F82B7A5B}"/>
    <cellStyle name="20% - Accent5 2 4 2 5 2" xfId="33638" xr:uid="{241925E4-E37F-4C91-889A-D67A0CADB073}"/>
    <cellStyle name="20% - Accent5 2 4 2 6" xfId="33623" xr:uid="{F6A5053D-4B4D-42D3-B484-112E000D41E7}"/>
    <cellStyle name="20% - Accent5 2 4 3" xfId="1838" xr:uid="{3D7429BD-2EBB-409F-871D-56C5E1308369}"/>
    <cellStyle name="20% - Accent5 2 4 3 2" xfId="5570" xr:uid="{6A8C4AC8-05DC-4123-BA87-ACB41E463A27}"/>
    <cellStyle name="20% - Accent5 2 4 3 2 2" xfId="13278" xr:uid="{62F16806-F806-4D79-B224-6A9AE5EAF7F9}"/>
    <cellStyle name="20% - Accent5 2 4 3 2 2 2" xfId="28690" xr:uid="{88AC94CD-8222-4988-A07B-6A579EEB8C4E}"/>
    <cellStyle name="20% - Accent5 2 4 3 2 2 2 2" xfId="33642" xr:uid="{4795CB38-DA38-4661-BA13-6A75E5B2EB9F}"/>
    <cellStyle name="20% - Accent5 2 4 3 2 2 3" xfId="33641" xr:uid="{419C6BBA-512F-4047-AD09-5D468DB3B995}"/>
    <cellStyle name="20% - Accent5 2 4 3 2 3" xfId="20985" xr:uid="{28FF79FD-5499-4B98-9134-14A555EC0DF1}"/>
    <cellStyle name="20% - Accent5 2 4 3 2 3 2" xfId="33643" xr:uid="{F5FB16C1-5402-4AB8-9BE4-ABB66154E7FD}"/>
    <cellStyle name="20% - Accent5 2 4 3 2 4" xfId="33640" xr:uid="{4C1F1923-FB91-4DFF-A09B-041644D51557}"/>
    <cellStyle name="20% - Accent5 2 4 3 3" xfId="9549" xr:uid="{6B18A1C3-57E8-4023-A698-B13E81F038F2}"/>
    <cellStyle name="20% - Accent5 2 4 3 3 2" xfId="24962" xr:uid="{05033A13-C74A-416A-B305-1E1DEABAA804}"/>
    <cellStyle name="20% - Accent5 2 4 3 3 2 2" xfId="33645" xr:uid="{45CB816F-DB54-4450-B132-8A7F68F2372E}"/>
    <cellStyle name="20% - Accent5 2 4 3 3 3" xfId="33644" xr:uid="{FD70432C-35DA-4F4A-BBD8-47E09B2F5FAB}"/>
    <cellStyle name="20% - Accent5 2 4 3 4" xfId="17257" xr:uid="{2E4A0241-E477-4805-B2BC-2B57D825755D}"/>
    <cellStyle name="20% - Accent5 2 4 3 4 2" xfId="33646" xr:uid="{2DFFC3E0-74BF-41D6-A10E-069AD590EEB4}"/>
    <cellStyle name="20% - Accent5 2 4 3 5" xfId="33639" xr:uid="{9328795F-B48E-4E9F-A17F-3CC7FC3A7809}"/>
    <cellStyle name="20% - Accent5 2 4 4" xfId="4091" xr:uid="{AF9EF463-B9E1-4B87-953F-5356BF757546}"/>
    <cellStyle name="20% - Accent5 2 4 4 2" xfId="11799" xr:uid="{9F0805A8-3395-4944-B6A6-D942889A05AB}"/>
    <cellStyle name="20% - Accent5 2 4 4 2 2" xfId="27211" xr:uid="{E93436AD-6422-497C-A377-9B8BCCA676DE}"/>
    <cellStyle name="20% - Accent5 2 4 4 2 2 2" xfId="33649" xr:uid="{F7D48194-092C-4662-ABC9-2FD710B5871C}"/>
    <cellStyle name="20% - Accent5 2 4 4 2 3" xfId="33648" xr:uid="{D75034D8-7104-4EEC-8718-7FDDA69895A1}"/>
    <cellStyle name="20% - Accent5 2 4 4 3" xfId="19506" xr:uid="{2400D410-5E29-4044-8346-ACA44FEEDD30}"/>
    <cellStyle name="20% - Accent5 2 4 4 3 2" xfId="33650" xr:uid="{E1A4C2F2-A071-4342-81BA-94873B1472DA}"/>
    <cellStyle name="20% - Accent5 2 4 4 4" xfId="33647" xr:uid="{DF981327-8EE1-4F51-B678-378340B17F17}"/>
    <cellStyle name="20% - Accent5 2 4 5" xfId="8090" xr:uid="{B389B42C-6EB5-4AC1-868B-D355FCC12ACF}"/>
    <cellStyle name="20% - Accent5 2 4 5 2" xfId="23503" xr:uid="{1734FEBD-0712-431F-94EC-48F2577BFAB8}"/>
    <cellStyle name="20% - Accent5 2 4 5 2 2" xfId="33652" xr:uid="{8395194D-5025-422F-BE37-12CFB2D7E97E}"/>
    <cellStyle name="20% - Accent5 2 4 5 3" xfId="33651" xr:uid="{A3D5C4FB-6180-4DC3-A854-E717E31BFA5F}"/>
    <cellStyle name="20% - Accent5 2 4 6" xfId="15798" xr:uid="{EC0F6555-CBC7-4EBC-B4AD-E8596D4965EF}"/>
    <cellStyle name="20% - Accent5 2 4 6 2" xfId="33653" xr:uid="{F2725B0C-93B3-465C-A561-79952F7C363B}"/>
    <cellStyle name="20% - Accent5 2 4 7" xfId="33622" xr:uid="{222F6DEC-45F4-4C66-97E4-6A25477D41AD}"/>
    <cellStyle name="20% - Accent5 2 5" xfId="789" xr:uid="{2EB6909A-6643-4590-82F2-C6E7D32638D7}"/>
    <cellStyle name="20% - Accent5 2 5 2" xfId="2278" xr:uid="{3329FE63-D0FC-47D2-BFF2-38408F7E8D1E}"/>
    <cellStyle name="20% - Accent5 2 5 2 2" xfId="6010" xr:uid="{0F95239D-DAD3-4966-9B89-88D8C2D9FC99}"/>
    <cellStyle name="20% - Accent5 2 5 2 2 2" xfId="13718" xr:uid="{D5C808E0-EA8F-4241-AD62-95F47280FA28}"/>
    <cellStyle name="20% - Accent5 2 5 2 2 2 2" xfId="29130" xr:uid="{8608C47C-43C2-4DB7-AC1A-9D187EFF83B5}"/>
    <cellStyle name="20% - Accent5 2 5 2 2 2 2 2" xfId="33658" xr:uid="{9804E3CA-4BB1-4A0B-BD8B-5652D12A0198}"/>
    <cellStyle name="20% - Accent5 2 5 2 2 2 3" xfId="33657" xr:uid="{D9BAC5B5-829C-4D11-AF12-21201EAC648C}"/>
    <cellStyle name="20% - Accent5 2 5 2 2 3" xfId="21425" xr:uid="{851A885B-94D7-4E2E-9CD4-71327D77845E}"/>
    <cellStyle name="20% - Accent5 2 5 2 2 3 2" xfId="33659" xr:uid="{886DCE25-A342-48D1-8A0F-D9A0869F26C7}"/>
    <cellStyle name="20% - Accent5 2 5 2 2 4" xfId="33656" xr:uid="{0837D8D0-27A8-4D9B-A1F3-328F15E1C18B}"/>
    <cellStyle name="20% - Accent5 2 5 2 3" xfId="9989" xr:uid="{58C78A5C-2C00-4A7E-803C-E83FE08135FD}"/>
    <cellStyle name="20% - Accent5 2 5 2 3 2" xfId="25402" xr:uid="{9A56BD7A-0C4B-4E3B-B004-38263C38BB7F}"/>
    <cellStyle name="20% - Accent5 2 5 2 3 2 2" xfId="33661" xr:uid="{0C49AA58-4FAB-47D6-9746-87A8037D7EC1}"/>
    <cellStyle name="20% - Accent5 2 5 2 3 3" xfId="33660" xr:uid="{A1607B5A-0AF9-4349-ACD1-BA29E71E13E9}"/>
    <cellStyle name="20% - Accent5 2 5 2 4" xfId="17697" xr:uid="{868F064A-626D-4C74-AAFD-C2E5BE4E1798}"/>
    <cellStyle name="20% - Accent5 2 5 2 4 2" xfId="33662" xr:uid="{93AE204F-D155-4395-97F1-781CD75872CB}"/>
    <cellStyle name="20% - Accent5 2 5 2 5" xfId="33655" xr:uid="{E56A0793-2747-4443-BD1A-348C4958DF65}"/>
    <cellStyle name="20% - Accent5 2 5 3" xfId="4533" xr:uid="{782044ED-048C-4B0B-99CB-D0405C7CC419}"/>
    <cellStyle name="20% - Accent5 2 5 3 2" xfId="12241" xr:uid="{26ADC3FF-4ED0-4B40-B4CB-536084AEF9CC}"/>
    <cellStyle name="20% - Accent5 2 5 3 2 2" xfId="27653" xr:uid="{9977E2D4-2E4D-4138-B041-5FF11CAB1BDE}"/>
    <cellStyle name="20% - Accent5 2 5 3 2 2 2" xfId="33665" xr:uid="{3E9F737F-8417-433F-8C94-3D307BEF2516}"/>
    <cellStyle name="20% - Accent5 2 5 3 2 3" xfId="33664" xr:uid="{D0B1D2A7-29F2-4C30-BA2C-6565C8B848EB}"/>
    <cellStyle name="20% - Accent5 2 5 3 3" xfId="19948" xr:uid="{AF59A178-2777-47A1-B170-6BB2F1ADE206}"/>
    <cellStyle name="20% - Accent5 2 5 3 3 2" xfId="33666" xr:uid="{50EDA2A8-08B8-4D96-87E6-6A28A59E0BA0}"/>
    <cellStyle name="20% - Accent5 2 5 3 4" xfId="33663" xr:uid="{B9217C5A-5960-4299-ACED-18767D04C59D}"/>
    <cellStyle name="20% - Accent5 2 5 4" xfId="8530" xr:uid="{7C100877-D3BC-4D59-8E2A-4235961ADAD1}"/>
    <cellStyle name="20% - Accent5 2 5 4 2" xfId="23943" xr:uid="{B7D980E3-906E-4FCE-A1C9-738601D59139}"/>
    <cellStyle name="20% - Accent5 2 5 4 2 2" xfId="33668" xr:uid="{4689383E-A266-44FB-9421-819E54CE32A1}"/>
    <cellStyle name="20% - Accent5 2 5 4 3" xfId="33667" xr:uid="{7FF0592D-4A2D-48EB-91D8-8F918074A953}"/>
    <cellStyle name="20% - Accent5 2 5 5" xfId="16238" xr:uid="{85098456-71F7-4AA4-903E-28B60F9F8883}"/>
    <cellStyle name="20% - Accent5 2 5 5 2" xfId="33669" xr:uid="{2ADEB7CA-EA3E-4C0E-AF37-469EFD972F34}"/>
    <cellStyle name="20% - Accent5 2 5 6" xfId="33654" xr:uid="{C7F35E35-1279-4F14-A2EF-E55C8A9C25E1}"/>
    <cellStyle name="20% - Accent5 2 6" xfId="1636" xr:uid="{1EAC171B-F604-4393-B5E8-CB6CCC3C8D4C}"/>
    <cellStyle name="20% - Accent5 2 6 2" xfId="5370" xr:uid="{F6080074-77B5-4DA0-9B8F-350277FF2E80}"/>
    <cellStyle name="20% - Accent5 2 6 2 2" xfId="13078" xr:uid="{E5DE11DC-8C9E-44E5-BD00-1DE1AE1E5792}"/>
    <cellStyle name="20% - Accent5 2 6 2 2 2" xfId="28490" xr:uid="{2E3F1D86-6712-409D-8114-DFA06207B525}"/>
    <cellStyle name="20% - Accent5 2 6 2 2 2 2" xfId="33673" xr:uid="{681040F6-58B9-4378-A2A9-1153B1B2334A}"/>
    <cellStyle name="20% - Accent5 2 6 2 2 3" xfId="33672" xr:uid="{19D4F279-AF1D-4351-B286-9D32683DFD1A}"/>
    <cellStyle name="20% - Accent5 2 6 2 3" xfId="20785" xr:uid="{055A3474-900E-4941-B7CC-55D69631AEDA}"/>
    <cellStyle name="20% - Accent5 2 6 2 3 2" xfId="33674" xr:uid="{FCC7B875-AF4C-4417-9888-151236389395}"/>
    <cellStyle name="20% - Accent5 2 6 2 4" xfId="33671" xr:uid="{72701177-568B-4324-9B91-C36B265A195C}"/>
    <cellStyle name="20% - Accent5 2 6 3" xfId="9351" xr:uid="{649E74D9-6CCC-4456-AA74-9369F52073F0}"/>
    <cellStyle name="20% - Accent5 2 6 3 2" xfId="24764" xr:uid="{FED3AD5B-6FF7-4F26-BACA-289948CF91CD}"/>
    <cellStyle name="20% - Accent5 2 6 3 2 2" xfId="33676" xr:uid="{33B25D69-247E-40EC-8111-DDD07A0D1F10}"/>
    <cellStyle name="20% - Accent5 2 6 3 3" xfId="33675" xr:uid="{EAEE3182-781B-4B73-8116-B82493D2631A}"/>
    <cellStyle name="20% - Accent5 2 6 4" xfId="17059" xr:uid="{F0ADB714-D65A-48D5-8A39-2CEDCCA5F45D}"/>
    <cellStyle name="20% - Accent5 2 6 4 2" xfId="33677" xr:uid="{E21B4AFD-3811-469C-909B-D57CEE78D27B}"/>
    <cellStyle name="20% - Accent5 2 6 5" xfId="33670" xr:uid="{57F442D6-E30E-4D4A-A138-C2CA043B3DEB}"/>
    <cellStyle name="20% - Accent5 2 7" xfId="3880" xr:uid="{D18E230C-D838-4FAE-BB3E-1CD7C92FEC5E}"/>
    <cellStyle name="20% - Accent5 2 7 2" xfId="11589" xr:uid="{F8147E14-C8E6-4E79-A4A9-47C4AD9FCAAC}"/>
    <cellStyle name="20% - Accent5 2 7 2 2" xfId="27001" xr:uid="{5803A3FF-4316-447A-AF05-3E43B4D88D5A}"/>
    <cellStyle name="20% - Accent5 2 7 2 2 2" xfId="33680" xr:uid="{0141BF14-AA3A-4C94-902B-196632482A21}"/>
    <cellStyle name="20% - Accent5 2 7 2 3" xfId="33679" xr:uid="{8CBECB52-0D24-440F-859E-8B7E5658806E}"/>
    <cellStyle name="20% - Accent5 2 7 3" xfId="19296" xr:uid="{1B10850F-57FC-4482-8A93-C28EE5C137F3}"/>
    <cellStyle name="20% - Accent5 2 7 3 2" xfId="33681" xr:uid="{39F7B36C-6D67-4202-B37C-01A0255E05B2}"/>
    <cellStyle name="20% - Accent5 2 7 4" xfId="33678" xr:uid="{5B8665F8-7B6C-4627-BB93-59D692DB3CBD}"/>
    <cellStyle name="20% - Accent5 2 8" xfId="7874" xr:uid="{81B89A44-55BD-457F-8405-46E7EAF2A5E8}"/>
    <cellStyle name="20% - Accent5 2 8 2" xfId="23287" xr:uid="{2D204B9D-BAA2-47C2-ACA7-2F3A4A1F6082}"/>
    <cellStyle name="20% - Accent5 2 8 2 2" xfId="33683" xr:uid="{D5AA7DF8-7A13-4696-9354-F3A2DD86312E}"/>
    <cellStyle name="20% - Accent5 2 8 3" xfId="33682" xr:uid="{849FCDEA-9627-471D-8ACE-D1A84AB135B3}"/>
    <cellStyle name="20% - Accent5 2 9" xfId="15582" xr:uid="{704610D8-8C2A-4807-9253-A777D215FE28}"/>
    <cellStyle name="20% - Accent5 2 9 2" xfId="33684" xr:uid="{BE9F1942-51C9-4966-817E-843FDB101D11}"/>
    <cellStyle name="20% - Accent5 20" xfId="3609" xr:uid="{71630820-61A8-4C5A-8D82-595FC8C6A9BC}"/>
    <cellStyle name="20% - Accent5 20 2" xfId="7340" xr:uid="{56CDBABD-5E4D-4F8A-8A81-FD46D1301F79}"/>
    <cellStyle name="20% - Accent5 20 2 2" xfId="15048" xr:uid="{5E3868F9-4DBF-4DE4-A2D5-5DF8760E0F74}"/>
    <cellStyle name="20% - Accent5 20 2 2 2" xfId="30460" xr:uid="{2F4494C9-7D53-467D-9CBA-43D48B66AD18}"/>
    <cellStyle name="20% - Accent5 20 2 2 2 2" xfId="33688" xr:uid="{FA6982EF-CC22-4CAD-9687-EE71139C1359}"/>
    <cellStyle name="20% - Accent5 20 2 2 3" xfId="33687" xr:uid="{92881031-2EC4-4C6D-9CB2-A455424CD1EB}"/>
    <cellStyle name="20% - Accent5 20 2 3" xfId="22755" xr:uid="{4A824891-9CDD-4D37-9F0D-A93F1D53876A}"/>
    <cellStyle name="20% - Accent5 20 2 3 2" xfId="33689" xr:uid="{EC6B808B-9C13-4A05-8666-E5A3BE4B1B4E}"/>
    <cellStyle name="20% - Accent5 20 2 4" xfId="33686" xr:uid="{B7070B13-5384-48D6-A38B-6E5457A29430}"/>
    <cellStyle name="20% - Accent5 20 3" xfId="11319" xr:uid="{56F6A4A4-E00A-42D3-9C37-6E20B127192D}"/>
    <cellStyle name="20% - Accent5 20 3 2" xfId="26732" xr:uid="{F3E7BECD-4389-4328-A14D-1CEB691606D4}"/>
    <cellStyle name="20% - Accent5 20 3 2 2" xfId="33691" xr:uid="{1F822CE6-B702-4B1F-993C-D88A31D12DDC}"/>
    <cellStyle name="20% - Accent5 20 3 3" xfId="33690" xr:uid="{AD84C96C-D7C8-4046-BE7E-698FEC72D4BF}"/>
    <cellStyle name="20% - Accent5 20 4" xfId="19027" xr:uid="{B6EB0D4A-F3AD-4F3C-B538-C373191BD302}"/>
    <cellStyle name="20% - Accent5 20 4 2" xfId="33692" xr:uid="{04615030-E682-4D44-9EF9-B4ACFFF3C5CE}"/>
    <cellStyle name="20% - Accent5 20 5" xfId="33685" xr:uid="{7126D750-491B-4814-9AB9-4D89361EB5B0}"/>
    <cellStyle name="20% - Accent5 21" xfId="3629" xr:uid="{C4A293DE-FA9E-4901-9944-4C1C73593C22}"/>
    <cellStyle name="20% - Accent5 21 2" xfId="7360" xr:uid="{C480AAC3-FF3C-4B7B-B909-54E9085B8991}"/>
    <cellStyle name="20% - Accent5 21 2 2" xfId="15068" xr:uid="{4567B09E-6758-4830-B201-1A3869B24EB4}"/>
    <cellStyle name="20% - Accent5 21 2 2 2" xfId="30480" xr:uid="{DC487CAB-3BAD-463F-8930-A3E14573176E}"/>
    <cellStyle name="20% - Accent5 21 2 2 2 2" xfId="33696" xr:uid="{8B707D58-3B5A-4D10-BB3A-E56104F7D9E4}"/>
    <cellStyle name="20% - Accent5 21 2 2 3" xfId="33695" xr:uid="{335CACC2-E0B4-474B-B595-6A601EEA77D4}"/>
    <cellStyle name="20% - Accent5 21 2 3" xfId="22775" xr:uid="{481BB5EF-C9FB-43F2-9C4F-15E6B847F637}"/>
    <cellStyle name="20% - Accent5 21 2 3 2" xfId="33697" xr:uid="{5CC5C97C-F739-4111-9891-D78ABF92153E}"/>
    <cellStyle name="20% - Accent5 21 2 4" xfId="33694" xr:uid="{E6AA340A-4C18-4F9B-A2FE-86A9D9849DF3}"/>
    <cellStyle name="20% - Accent5 21 3" xfId="11339" xr:uid="{FBC1D98E-56EB-4C0B-854E-AFD19EE301B8}"/>
    <cellStyle name="20% - Accent5 21 3 2" xfId="26752" xr:uid="{E7C4F1E5-7BAB-4916-992F-0417CCBAEE01}"/>
    <cellStyle name="20% - Accent5 21 3 2 2" xfId="33699" xr:uid="{FEC33E4C-084C-4BA0-B3F9-40577D0465EB}"/>
    <cellStyle name="20% - Accent5 21 3 3" xfId="33698" xr:uid="{73D0D5C3-61BA-438E-86FC-218D5F1B64BF}"/>
    <cellStyle name="20% - Accent5 21 4" xfId="19047" xr:uid="{0ACB0D0B-3CE2-497E-984B-172AF5AE05D6}"/>
    <cellStyle name="20% - Accent5 21 4 2" xfId="33700" xr:uid="{397EBCCF-C251-462A-904D-73984EE19DEC}"/>
    <cellStyle name="20% - Accent5 21 5" xfId="33693" xr:uid="{A5E75E0E-FC56-4DAC-87F1-1785259F38B9}"/>
    <cellStyle name="20% - Accent5 22" xfId="3649" xr:uid="{AAF090AB-256D-488E-B15F-DBF478D65CEC}"/>
    <cellStyle name="20% - Accent5 22 2" xfId="7380" xr:uid="{3D1C3A67-A74F-4D24-BB9C-8B9BD549962F}"/>
    <cellStyle name="20% - Accent5 22 2 2" xfId="15088" xr:uid="{11C88535-0A9C-465F-9CAD-2E8E91908CBF}"/>
    <cellStyle name="20% - Accent5 22 2 2 2" xfId="30500" xr:uid="{6DA1372C-0F2F-49A3-978D-DA6B57590F06}"/>
    <cellStyle name="20% - Accent5 22 2 2 2 2" xfId="33704" xr:uid="{B1869E4B-8282-425A-8F08-8F9F471CB971}"/>
    <cellStyle name="20% - Accent5 22 2 2 3" xfId="33703" xr:uid="{A6F07187-9E6F-4B68-8B48-525CD8ECFA6C}"/>
    <cellStyle name="20% - Accent5 22 2 3" xfId="22795" xr:uid="{E4AD6473-CD0B-407B-8636-314FC6DA8998}"/>
    <cellStyle name="20% - Accent5 22 2 3 2" xfId="33705" xr:uid="{B3199635-2EBF-4AA9-9343-5E01725D1B77}"/>
    <cellStyle name="20% - Accent5 22 2 4" xfId="33702" xr:uid="{EA03123C-6D47-4019-A230-96DC5F99613C}"/>
    <cellStyle name="20% - Accent5 22 3" xfId="11359" xr:uid="{1F4ED870-F0A4-4A34-9A45-51DF1D4C0FD1}"/>
    <cellStyle name="20% - Accent5 22 3 2" xfId="26772" xr:uid="{F4B928F5-21B0-4961-AE42-C6A31674CA1C}"/>
    <cellStyle name="20% - Accent5 22 3 2 2" xfId="33707" xr:uid="{079A350F-EDDA-4944-9980-0EF64B7AB048}"/>
    <cellStyle name="20% - Accent5 22 3 3" xfId="33706" xr:uid="{479854FA-25F3-41BB-9798-AE1BA879E758}"/>
    <cellStyle name="20% - Accent5 22 4" xfId="19067" xr:uid="{084CB037-DFE3-41AD-BDCE-7C3B817CEEC0}"/>
    <cellStyle name="20% - Accent5 22 4 2" xfId="33708" xr:uid="{C6451DBB-493A-4BD1-9727-E9A7E1130398}"/>
    <cellStyle name="20% - Accent5 22 5" xfId="33701" xr:uid="{1B9DD146-5FCF-4522-91BC-109EE5542978}"/>
    <cellStyle name="20% - Accent5 23" xfId="3669" xr:uid="{83715C4B-A2FE-44A9-9211-7BFD0DA8F3CD}"/>
    <cellStyle name="20% - Accent5 23 2" xfId="7400" xr:uid="{7F68B588-EE8E-418F-81E5-539AA1E567CF}"/>
    <cellStyle name="20% - Accent5 23 2 2" xfId="15108" xr:uid="{A07FB0FC-8BD0-4C55-A2CD-36C62DF02E0F}"/>
    <cellStyle name="20% - Accent5 23 2 2 2" xfId="30520" xr:uid="{F0FEAA6C-9A2B-4D8C-A91A-545FD80E8D31}"/>
    <cellStyle name="20% - Accent5 23 2 2 2 2" xfId="33712" xr:uid="{85361973-1C22-4FFE-9D33-6FC5B580E5D9}"/>
    <cellStyle name="20% - Accent5 23 2 2 3" xfId="33711" xr:uid="{2F72E904-2A43-4649-9E70-E7926EFA5B34}"/>
    <cellStyle name="20% - Accent5 23 2 3" xfId="22815" xr:uid="{AC452C02-9976-46DF-9E00-CC61637479FB}"/>
    <cellStyle name="20% - Accent5 23 2 3 2" xfId="33713" xr:uid="{1986A579-790D-4FAF-ABDD-53B56164549E}"/>
    <cellStyle name="20% - Accent5 23 2 4" xfId="33710" xr:uid="{9EF08A90-8150-49A5-8E10-50434BC770E5}"/>
    <cellStyle name="20% - Accent5 23 3" xfId="11379" xr:uid="{E7A555DE-26C2-4743-A111-FEA253EBC24C}"/>
    <cellStyle name="20% - Accent5 23 3 2" xfId="26792" xr:uid="{1A9B8448-9CC5-4577-855D-A6554201235E}"/>
    <cellStyle name="20% - Accent5 23 3 2 2" xfId="33715" xr:uid="{3C60FA59-9C21-4429-B7EF-6EA57B96C5E4}"/>
    <cellStyle name="20% - Accent5 23 3 3" xfId="33714" xr:uid="{9DEE0C51-993F-4C8A-97FF-816BB368FB46}"/>
    <cellStyle name="20% - Accent5 23 4" xfId="19087" xr:uid="{C83618E7-DCD9-46FE-A40B-C96D412495F0}"/>
    <cellStyle name="20% - Accent5 23 4 2" xfId="33716" xr:uid="{07FAE143-1088-442E-860B-47CD572FEB33}"/>
    <cellStyle name="20% - Accent5 23 5" xfId="33709" xr:uid="{F1CAF074-DE5B-4870-8543-866D0EEBF58B}"/>
    <cellStyle name="20% - Accent5 24" xfId="3689" xr:uid="{E2C7020E-5400-4623-9AC7-9ED4416B40F9}"/>
    <cellStyle name="20% - Accent5 24 2" xfId="7420" xr:uid="{745F1067-9116-4BD5-8795-312FBC8219BC}"/>
    <cellStyle name="20% - Accent5 24 2 2" xfId="15128" xr:uid="{A7AE24D4-2067-4DE7-8AD1-A7B3ABDA11F2}"/>
    <cellStyle name="20% - Accent5 24 2 2 2" xfId="30540" xr:uid="{BF9B90B8-13C7-41F5-8A06-6AB30BE838AF}"/>
    <cellStyle name="20% - Accent5 24 2 2 2 2" xfId="33720" xr:uid="{8FA42A41-D1B1-412E-ACAB-E0152DEFDBA8}"/>
    <cellStyle name="20% - Accent5 24 2 2 3" xfId="33719" xr:uid="{14C3E805-00D8-4E11-A4DF-8466852C21FD}"/>
    <cellStyle name="20% - Accent5 24 2 3" xfId="22835" xr:uid="{2337DC44-A286-4A2F-A4D6-6C170AC3710E}"/>
    <cellStyle name="20% - Accent5 24 2 3 2" xfId="33721" xr:uid="{BDB12D1C-063C-4036-9BD4-B0316F06DC57}"/>
    <cellStyle name="20% - Accent5 24 2 4" xfId="33718" xr:uid="{8B3C0797-346C-4681-96E2-4D2E56C4B998}"/>
    <cellStyle name="20% - Accent5 24 3" xfId="11399" xr:uid="{7100E4D0-7231-4F36-B0C3-5FCB649280B2}"/>
    <cellStyle name="20% - Accent5 24 3 2" xfId="26812" xr:uid="{0DB86190-4A31-481E-B16F-2563E348B683}"/>
    <cellStyle name="20% - Accent5 24 3 2 2" xfId="33723" xr:uid="{5A9BB9E1-A307-40E1-8308-0792FB8399CF}"/>
    <cellStyle name="20% - Accent5 24 3 3" xfId="33722" xr:uid="{7EDB990C-6789-489D-B9F4-94F7F3B53C7E}"/>
    <cellStyle name="20% - Accent5 24 4" xfId="19107" xr:uid="{7550395C-04D6-4CBD-98E3-BE688DECB60B}"/>
    <cellStyle name="20% - Accent5 24 4 2" xfId="33724" xr:uid="{F553F27B-7E8D-4D68-9B34-05DC05C4AE33}"/>
    <cellStyle name="20% - Accent5 24 5" xfId="33717" xr:uid="{98CA3835-AEA0-449C-B0CB-672D481232EA}"/>
    <cellStyle name="20% - Accent5 25" xfId="3709" xr:uid="{F59E6287-2778-47B4-B36A-86DDA25859CE}"/>
    <cellStyle name="20% - Accent5 25 2" xfId="7440" xr:uid="{451ECEB9-B0F8-4045-8D93-5FC6C99DA2B5}"/>
    <cellStyle name="20% - Accent5 25 2 2" xfId="15148" xr:uid="{C799BB6B-AB00-4AE0-BE33-336FBE298935}"/>
    <cellStyle name="20% - Accent5 25 2 2 2" xfId="30560" xr:uid="{2A43BA4A-FC8D-45C4-8A97-BC193FBC4E37}"/>
    <cellStyle name="20% - Accent5 25 2 2 2 2" xfId="33728" xr:uid="{942FB18C-624B-4993-9B76-575D5A4FD333}"/>
    <cellStyle name="20% - Accent5 25 2 2 3" xfId="33727" xr:uid="{3A4F7F97-62CE-4356-A36F-BA5411F1D0AD}"/>
    <cellStyle name="20% - Accent5 25 2 3" xfId="22855" xr:uid="{0504A0F9-D058-4B4C-9CA0-7FA0726539AC}"/>
    <cellStyle name="20% - Accent5 25 2 3 2" xfId="33729" xr:uid="{9D084E2A-6FC6-4C64-AF4A-3C183AF23D84}"/>
    <cellStyle name="20% - Accent5 25 2 4" xfId="33726" xr:uid="{FFB66159-8E94-414C-9CBC-DD278F2BC003}"/>
    <cellStyle name="20% - Accent5 25 3" xfId="11419" xr:uid="{5A2EECD6-4EDC-45FE-9ED9-8D6AA041FC6B}"/>
    <cellStyle name="20% - Accent5 25 3 2" xfId="26832" xr:uid="{AFD0CCCE-20EB-4F23-9BCD-09CA1FC05ED7}"/>
    <cellStyle name="20% - Accent5 25 3 2 2" xfId="33731" xr:uid="{34589620-616F-4525-BBFB-A42802F3B9A0}"/>
    <cellStyle name="20% - Accent5 25 3 3" xfId="33730" xr:uid="{368FC48C-E090-442E-9E28-524367CF8EE7}"/>
    <cellStyle name="20% - Accent5 25 4" xfId="19127" xr:uid="{714C821C-1926-4A06-AC05-E19D8BDF58F1}"/>
    <cellStyle name="20% - Accent5 25 4 2" xfId="33732" xr:uid="{CE392ACC-9DEB-4FF2-8F8D-E46316D8F2E1}"/>
    <cellStyle name="20% - Accent5 25 5" xfId="33725" xr:uid="{33F4C564-1C16-41FC-BDD7-1C764AE302FC}"/>
    <cellStyle name="20% - Accent5 26" xfId="3729" xr:uid="{6783D9EC-7F35-4D12-8E4C-7FE215E4E7C3}"/>
    <cellStyle name="20% - Accent5 26 2" xfId="7460" xr:uid="{EBC2249F-90F4-4CA4-B918-874071F1E305}"/>
    <cellStyle name="20% - Accent5 26 2 2" xfId="15168" xr:uid="{E4AC6D11-5581-4C95-A81F-0CD13BAC21B5}"/>
    <cellStyle name="20% - Accent5 26 2 2 2" xfId="30580" xr:uid="{586DFC37-911E-451A-BA5F-638863AE8427}"/>
    <cellStyle name="20% - Accent5 26 2 2 2 2" xfId="33736" xr:uid="{E97450DF-08F3-448C-82DC-4D5167DDE856}"/>
    <cellStyle name="20% - Accent5 26 2 2 3" xfId="33735" xr:uid="{F4CA08B9-D54E-4F2F-98CB-D602E1DC9755}"/>
    <cellStyle name="20% - Accent5 26 2 3" xfId="22875" xr:uid="{72209DFF-A4FC-467A-83BB-6055F866B7B0}"/>
    <cellStyle name="20% - Accent5 26 2 3 2" xfId="33737" xr:uid="{8D86CE92-D76F-441E-A948-E55CE53B76BF}"/>
    <cellStyle name="20% - Accent5 26 2 4" xfId="33734" xr:uid="{60DA3580-D519-4F92-8FB6-3EB9F3A9AEB7}"/>
    <cellStyle name="20% - Accent5 26 3" xfId="11439" xr:uid="{530BE5A5-7071-46C2-8FE1-DA5CD403FB86}"/>
    <cellStyle name="20% - Accent5 26 3 2" xfId="26852" xr:uid="{BCEB7E81-497E-4F4E-86B5-37607C1E00C1}"/>
    <cellStyle name="20% - Accent5 26 3 2 2" xfId="33739" xr:uid="{7E686242-25A6-4B4C-A523-6CFEB4ACD577}"/>
    <cellStyle name="20% - Accent5 26 3 3" xfId="33738" xr:uid="{2625399B-F01F-4EB5-90A3-54D1FDED1958}"/>
    <cellStyle name="20% - Accent5 26 4" xfId="19147" xr:uid="{B86B49B2-AF62-47BD-A603-271E61DDE07C}"/>
    <cellStyle name="20% - Accent5 26 4 2" xfId="33740" xr:uid="{C056C926-F3AB-4CF5-910B-1391CA58E91C}"/>
    <cellStyle name="20% - Accent5 26 5" xfId="33733" xr:uid="{F3D3F7E6-B066-4C3A-BB76-613B76634103}"/>
    <cellStyle name="20% - Accent5 27" xfId="3749" xr:uid="{49BE99D7-493A-4412-84CB-34B9215F7808}"/>
    <cellStyle name="20% - Accent5 27 2" xfId="7480" xr:uid="{3BA06BD3-CCB1-467E-B481-7E4F8C168381}"/>
    <cellStyle name="20% - Accent5 27 2 2" xfId="15188" xr:uid="{7F813DCB-7B97-430F-B69A-C26F0C0799C6}"/>
    <cellStyle name="20% - Accent5 27 2 2 2" xfId="30600" xr:uid="{3030A3E6-58FB-419C-A694-1952CD8FBB4C}"/>
    <cellStyle name="20% - Accent5 27 2 2 2 2" xfId="33744" xr:uid="{97E4620B-1B77-41CA-B2A7-959F66B40E19}"/>
    <cellStyle name="20% - Accent5 27 2 2 3" xfId="33743" xr:uid="{7B4DEA2B-2077-47FB-9FA4-DC7A2192115C}"/>
    <cellStyle name="20% - Accent5 27 2 3" xfId="22895" xr:uid="{E23D1AE1-7356-429A-9E6A-5F3ED9C4B555}"/>
    <cellStyle name="20% - Accent5 27 2 3 2" xfId="33745" xr:uid="{890A368D-A727-471E-9C34-30BF092D158D}"/>
    <cellStyle name="20% - Accent5 27 2 4" xfId="33742" xr:uid="{50006334-081B-4D6F-9E7F-200EDC1BFC65}"/>
    <cellStyle name="20% - Accent5 27 3" xfId="11459" xr:uid="{A39451EA-077A-477F-85B4-918722456E51}"/>
    <cellStyle name="20% - Accent5 27 3 2" xfId="26872" xr:uid="{662AD69F-2211-44ED-AE26-90C1C86484B6}"/>
    <cellStyle name="20% - Accent5 27 3 2 2" xfId="33747" xr:uid="{57C24248-8864-4C39-889D-8B70136BE38F}"/>
    <cellStyle name="20% - Accent5 27 3 3" xfId="33746" xr:uid="{D8FF5751-0000-4BE6-8458-E43C0C83D95B}"/>
    <cellStyle name="20% - Accent5 27 4" xfId="19167" xr:uid="{53D35CC4-75E1-42D1-AF14-477618717ACC}"/>
    <cellStyle name="20% - Accent5 27 4 2" xfId="33748" xr:uid="{E162A057-613C-41F1-9B0B-F257EEF6211C}"/>
    <cellStyle name="20% - Accent5 27 5" xfId="33741" xr:uid="{39C4B490-56ED-46C9-A28D-B398525960C3}"/>
    <cellStyle name="20% - Accent5 28" xfId="3769" xr:uid="{1E11530E-93A2-41D4-9DF7-925A413B3D7F}"/>
    <cellStyle name="20% - Accent5 28 2" xfId="7500" xr:uid="{70BD4E92-0697-4247-B48E-04DAEFC43897}"/>
    <cellStyle name="20% - Accent5 28 2 2" xfId="15208" xr:uid="{215F7A42-196A-430F-A88D-2744141A05A6}"/>
    <cellStyle name="20% - Accent5 28 2 2 2" xfId="30620" xr:uid="{482FA089-B198-4282-9A30-37A66A899883}"/>
    <cellStyle name="20% - Accent5 28 2 2 2 2" xfId="33752" xr:uid="{122C7B3F-6F0F-4EA6-89C8-9071320EBCE0}"/>
    <cellStyle name="20% - Accent5 28 2 2 3" xfId="33751" xr:uid="{4E11C33D-2374-43F8-B93D-9162D12F043F}"/>
    <cellStyle name="20% - Accent5 28 2 3" xfId="22915" xr:uid="{53B0D0BA-B976-4275-B469-371143CBD6D3}"/>
    <cellStyle name="20% - Accent5 28 2 3 2" xfId="33753" xr:uid="{2EA11CAE-96E7-4D54-B394-AF7BB7F3137E}"/>
    <cellStyle name="20% - Accent5 28 2 4" xfId="33750" xr:uid="{A933E5D0-1698-47EF-89C3-5EDA810D0CB0}"/>
    <cellStyle name="20% - Accent5 28 3" xfId="11479" xr:uid="{BECADFF4-DA2A-4470-8520-FC1355CC0F3C}"/>
    <cellStyle name="20% - Accent5 28 3 2" xfId="26892" xr:uid="{959EDF76-ECD3-4782-945E-3B89FDB705C8}"/>
    <cellStyle name="20% - Accent5 28 3 2 2" xfId="33755" xr:uid="{E9D56F7D-6D65-479E-BDC7-A50B4C7CB263}"/>
    <cellStyle name="20% - Accent5 28 3 3" xfId="33754" xr:uid="{F317DC4B-C807-4A5C-B53C-148A59CF5583}"/>
    <cellStyle name="20% - Accent5 28 4" xfId="19187" xr:uid="{EC56DFEF-090A-45DC-B2B9-900980E6A8E9}"/>
    <cellStyle name="20% - Accent5 28 4 2" xfId="33756" xr:uid="{36A93B7E-2196-40EC-A31F-C8D6F9338AC7}"/>
    <cellStyle name="20% - Accent5 28 5" xfId="33749" xr:uid="{986E530D-FA88-44F8-8278-41DAFE445000}"/>
    <cellStyle name="20% - Accent5 29" xfId="3789" xr:uid="{849ED669-9A7B-4FDC-8F71-360DDBFBB0EF}"/>
    <cellStyle name="20% - Accent5 29 2" xfId="7520" xr:uid="{169C44D7-5B9D-4595-8BC4-5DED9157F720}"/>
    <cellStyle name="20% - Accent5 29 2 2" xfId="15228" xr:uid="{6697E6CA-F0B1-4C75-91A8-4C8063C31065}"/>
    <cellStyle name="20% - Accent5 29 2 2 2" xfId="30640" xr:uid="{C0E37A61-3517-49C4-B24A-F125EEC51DC3}"/>
    <cellStyle name="20% - Accent5 29 2 2 2 2" xfId="33760" xr:uid="{398F3D9B-E45C-4FC9-97AD-15C476C6F10A}"/>
    <cellStyle name="20% - Accent5 29 2 2 3" xfId="33759" xr:uid="{916DA5F8-E40D-4DC9-A93A-11DD3160929A}"/>
    <cellStyle name="20% - Accent5 29 2 3" xfId="22935" xr:uid="{BFBEEA85-4BCF-49CA-9060-1AEC75AE760F}"/>
    <cellStyle name="20% - Accent5 29 2 3 2" xfId="33761" xr:uid="{2A019BCD-6878-4702-83C4-6E1EC065F9D1}"/>
    <cellStyle name="20% - Accent5 29 2 4" xfId="33758" xr:uid="{A6E74CC5-B50C-4004-8008-A532EC22E712}"/>
    <cellStyle name="20% - Accent5 29 3" xfId="11499" xr:uid="{6A0B70A4-3FA4-4B8B-91FB-5B7352B57EEC}"/>
    <cellStyle name="20% - Accent5 29 3 2" xfId="26912" xr:uid="{64431E00-94B6-47EA-BDA7-C797749010BF}"/>
    <cellStyle name="20% - Accent5 29 3 2 2" xfId="33763" xr:uid="{D8AE291B-9FE8-4134-8C23-BE70C65B4B42}"/>
    <cellStyle name="20% - Accent5 29 3 3" xfId="33762" xr:uid="{CDF3CF40-FFD7-4CED-AFC1-D4CDB71DC740}"/>
    <cellStyle name="20% - Accent5 29 4" xfId="19207" xr:uid="{44B9199E-CFCF-4DBD-9BF6-CD4020878C36}"/>
    <cellStyle name="20% - Accent5 29 4 2" xfId="33764" xr:uid="{497701C2-2FD0-4875-948D-D2A54AD12FB1}"/>
    <cellStyle name="20% - Accent5 29 5" xfId="33757" xr:uid="{D3839DBF-D65C-4277-8E85-9FA7D5F350AE}"/>
    <cellStyle name="20% - Accent5 3" xfId="332" xr:uid="{B16D068D-251A-4807-8013-8813CA3BFC7C}"/>
    <cellStyle name="20% - Accent5 3 2" xfId="996" xr:uid="{FAFCCF1E-D0DE-40FB-ACB2-7C3309C2CA18}"/>
    <cellStyle name="20% - Accent5 3 2 2" xfId="2466" xr:uid="{0090062D-FBD9-4029-BD41-2DF23003CB67}"/>
    <cellStyle name="20% - Accent5 3 2 2 2" xfId="6198" xr:uid="{7FE8FF66-4A07-4883-AA78-3B507889E956}"/>
    <cellStyle name="20% - Accent5 3 2 2 2 2" xfId="13906" xr:uid="{A7E83BC1-FA1F-45F9-87EE-94F5F6C6F79F}"/>
    <cellStyle name="20% - Accent5 3 2 2 2 2 2" xfId="29318" xr:uid="{919F0E07-E5BC-4741-9E00-5D84B4E9C25D}"/>
    <cellStyle name="20% - Accent5 3 2 2 2 2 2 2" xfId="33770" xr:uid="{5F9FF9A3-24A8-4B13-BF77-83204D758F97}"/>
    <cellStyle name="20% - Accent5 3 2 2 2 2 3" xfId="33769" xr:uid="{CA2CB731-A6A0-479E-AA81-2C8BC15EBBD4}"/>
    <cellStyle name="20% - Accent5 3 2 2 2 3" xfId="21613" xr:uid="{1F943A21-5C97-4D02-AA38-7070E8C4399C}"/>
    <cellStyle name="20% - Accent5 3 2 2 2 3 2" xfId="33771" xr:uid="{C67445DE-B8C6-42E2-BFF5-16A0BA261741}"/>
    <cellStyle name="20% - Accent5 3 2 2 2 4" xfId="33768" xr:uid="{8AA0C382-FDF4-4131-AFA9-EDDEC6091C4D}"/>
    <cellStyle name="20% - Accent5 3 2 2 3" xfId="10177" xr:uid="{52FC4CFE-3B73-4C80-A13D-5CE3C5937232}"/>
    <cellStyle name="20% - Accent5 3 2 2 3 2" xfId="25590" xr:uid="{EEC1309B-3727-47E2-821C-2FE16B0C92E1}"/>
    <cellStyle name="20% - Accent5 3 2 2 3 2 2" xfId="33773" xr:uid="{1E87DE8F-87FC-4822-AB10-2F9DEA0A843C}"/>
    <cellStyle name="20% - Accent5 3 2 2 3 3" xfId="33772" xr:uid="{01E39046-1E88-41F8-B2EB-15F8C712F068}"/>
    <cellStyle name="20% - Accent5 3 2 2 4" xfId="17885" xr:uid="{DCD1F6E9-DF0A-4BA8-99CF-80506EAB9AF8}"/>
    <cellStyle name="20% - Accent5 3 2 2 4 2" xfId="33774" xr:uid="{5AB5A442-99CA-4CA9-B67E-1DF5828014FC}"/>
    <cellStyle name="20% - Accent5 3 2 2 5" xfId="33767" xr:uid="{558E9EDE-0A82-4407-80EB-ECFAC28DBD42}"/>
    <cellStyle name="20% - Accent5 3 2 3" xfId="4733" xr:uid="{8E24007D-9E43-4E43-8232-A8F823958576}"/>
    <cellStyle name="20% - Accent5 3 2 3 2" xfId="12441" xr:uid="{14026714-0A3A-4C8E-B125-A96D2EAD64F9}"/>
    <cellStyle name="20% - Accent5 3 2 3 2 2" xfId="27853" xr:uid="{DDF3B8D5-41C5-4FEC-9E85-37743045E027}"/>
    <cellStyle name="20% - Accent5 3 2 3 2 2 2" xfId="33777" xr:uid="{CEA6FCD6-5706-4987-941C-01470B1074B7}"/>
    <cellStyle name="20% - Accent5 3 2 3 2 3" xfId="33776" xr:uid="{FB101C4C-BC99-4162-AC1D-3BE6479C7C47}"/>
    <cellStyle name="20% - Accent5 3 2 3 3" xfId="20148" xr:uid="{51BE4C6A-F79C-4232-BF52-49270E235A54}"/>
    <cellStyle name="20% - Accent5 3 2 3 3 2" xfId="33778" xr:uid="{F72829C0-7835-45BB-9FC1-C8C4EDE668E9}"/>
    <cellStyle name="20% - Accent5 3 2 3 4" xfId="33775" xr:uid="{669E7C3C-3630-45F1-AC4D-B242F2A5F130}"/>
    <cellStyle name="20% - Accent5 3 2 4" xfId="8718" xr:uid="{99091F69-F95C-4B60-9D33-7D3B4117B5FA}"/>
    <cellStyle name="20% - Accent5 3 2 4 2" xfId="24131" xr:uid="{115CB6FB-0476-4780-987C-E1BE3DBA86A3}"/>
    <cellStyle name="20% - Accent5 3 2 4 2 2" xfId="33780" xr:uid="{D4F1F3A6-C61B-473D-8454-E1C27F5F3DDC}"/>
    <cellStyle name="20% - Accent5 3 2 4 3" xfId="33779" xr:uid="{8EFA0813-658D-49D6-9249-E1B0F3AFD595}"/>
    <cellStyle name="20% - Accent5 3 2 5" xfId="16426" xr:uid="{734AE943-111C-475E-A743-CDB5110AA350}"/>
    <cellStyle name="20% - Accent5 3 2 5 2" xfId="33781" xr:uid="{672EB72A-A13B-41A4-A8A1-ADD63BC0A58A}"/>
    <cellStyle name="20% - Accent5 3 2 6" xfId="33766" xr:uid="{D531A32A-5C83-4F7B-B191-F5ECC489D286}"/>
    <cellStyle name="20% - Accent5 3 3" xfId="1828" xr:uid="{95F73F5A-E6B5-4467-88C9-01F325E215DD}"/>
    <cellStyle name="20% - Accent5 3 3 2" xfId="5560" xr:uid="{CD5D8C11-61E1-49DC-8C25-FEEF42039D63}"/>
    <cellStyle name="20% - Accent5 3 3 2 2" xfId="13268" xr:uid="{21976BBD-0913-48F0-AF71-C520D30210B0}"/>
    <cellStyle name="20% - Accent5 3 3 2 2 2" xfId="28680" xr:uid="{596C4EE8-EC62-4A54-BC4E-2E8CA767E233}"/>
    <cellStyle name="20% - Accent5 3 3 2 2 2 2" xfId="33785" xr:uid="{4BF6A926-350A-470B-9046-88B3CEEB7444}"/>
    <cellStyle name="20% - Accent5 3 3 2 2 3" xfId="33784" xr:uid="{DF57F1EF-AAB5-49B4-977C-20682C26B3A5}"/>
    <cellStyle name="20% - Accent5 3 3 2 3" xfId="20975" xr:uid="{7FADAF20-460A-472E-BCEC-7A96D2170219}"/>
    <cellStyle name="20% - Accent5 3 3 2 3 2" xfId="33786" xr:uid="{C6652856-0B0E-4EDB-9A5E-5117499ECC26}"/>
    <cellStyle name="20% - Accent5 3 3 2 4" xfId="33783" xr:uid="{1DD95891-AC89-41BB-82E3-6C8C06851CCF}"/>
    <cellStyle name="20% - Accent5 3 3 3" xfId="9539" xr:uid="{5FC73067-1C1D-454C-B530-48B6BC120840}"/>
    <cellStyle name="20% - Accent5 3 3 3 2" xfId="24952" xr:uid="{12F1552A-7CE5-4711-9A63-C731407E5DC6}"/>
    <cellStyle name="20% - Accent5 3 3 3 2 2" xfId="33788" xr:uid="{C74A7DF0-6C65-443C-98D9-201FD0B87A7F}"/>
    <cellStyle name="20% - Accent5 3 3 3 3" xfId="33787" xr:uid="{F08781E6-28CA-4F42-83A9-689BA8304852}"/>
    <cellStyle name="20% - Accent5 3 3 4" xfId="17247" xr:uid="{BAF05D05-E588-43FE-AC30-92BF7F15D200}"/>
    <cellStyle name="20% - Accent5 3 3 4 2" xfId="33789" xr:uid="{C73B5EDA-9B16-4A7D-9A20-1A5430138187}"/>
    <cellStyle name="20% - Accent5 3 3 5" xfId="33782" xr:uid="{7CE4D0D3-AC15-4F98-BE7E-AC4DC89A22AB}"/>
    <cellStyle name="20% - Accent5 3 4" xfId="4081" xr:uid="{A5724BB6-590A-4AD5-81E5-5F51644E3AC2}"/>
    <cellStyle name="20% - Accent5 3 4 2" xfId="11789" xr:uid="{8CF6E81A-644E-4931-AEC4-912DF74512F2}"/>
    <cellStyle name="20% - Accent5 3 4 2 2" xfId="27201" xr:uid="{ACDA962B-0575-4B5B-8DC5-F8153A649268}"/>
    <cellStyle name="20% - Accent5 3 4 2 2 2" xfId="33792" xr:uid="{D9776474-03A1-454B-9A97-7C6EC5B4351F}"/>
    <cellStyle name="20% - Accent5 3 4 2 3" xfId="33791" xr:uid="{E9C69887-AFB6-4FE9-8C35-D398DF953EF3}"/>
    <cellStyle name="20% - Accent5 3 4 3" xfId="19496" xr:uid="{973B982E-6791-4ADC-81D5-1E535283E120}"/>
    <cellStyle name="20% - Accent5 3 4 3 2" xfId="33793" xr:uid="{5113C1EE-A54A-492F-9161-6FE9ECE33874}"/>
    <cellStyle name="20% - Accent5 3 4 4" xfId="33790" xr:uid="{1C85FD50-6E7B-4132-B8F1-A2713866AC51}"/>
    <cellStyle name="20% - Accent5 3 5" xfId="8080" xr:uid="{3BD4604D-0D11-4965-9A55-EF539173EC27}"/>
    <cellStyle name="20% - Accent5 3 5 2" xfId="23493" xr:uid="{E225867B-E447-4959-9575-4EBE6A53F5EC}"/>
    <cellStyle name="20% - Accent5 3 5 2 2" xfId="33795" xr:uid="{7EC04CB2-665A-4B52-A5CC-FD20458148A0}"/>
    <cellStyle name="20% - Accent5 3 5 3" xfId="33794" xr:uid="{0BD7A5F7-A4BE-4B88-85D0-65E1852C400B}"/>
    <cellStyle name="20% - Accent5 3 6" xfId="15788" xr:uid="{1630D4F2-1C2A-4713-8982-1C408234CD1F}"/>
    <cellStyle name="20% - Accent5 3 6 2" xfId="33796" xr:uid="{BCB20F9D-0EC2-4DF6-9507-DC2581E9DEA7}"/>
    <cellStyle name="20% - Accent5 3 7" xfId="33765" xr:uid="{3B0A0A58-4B9F-4C07-9FB1-7E7AE759F64A}"/>
    <cellStyle name="20% - Accent5 30" xfId="3809" xr:uid="{E98106B5-0DFA-4A6B-B653-514D98AAD5B1}"/>
    <cellStyle name="20% - Accent5 30 2" xfId="7540" xr:uid="{3D7189E3-B99D-43E6-9792-74DEEA8BCCCA}"/>
    <cellStyle name="20% - Accent5 30 2 2" xfId="15248" xr:uid="{C0EC9C99-CB1C-47DA-B212-4ACFC4029AEF}"/>
    <cellStyle name="20% - Accent5 30 2 2 2" xfId="30660" xr:uid="{798EA24A-7EE4-419A-9738-5A2CF43902CA}"/>
    <cellStyle name="20% - Accent5 30 2 2 2 2" xfId="33800" xr:uid="{A3B72D7B-CC49-473B-8702-5C673E3DA86A}"/>
    <cellStyle name="20% - Accent5 30 2 2 3" xfId="33799" xr:uid="{B1F31D68-22B3-45A6-9CFF-CB8A41077E0D}"/>
    <cellStyle name="20% - Accent5 30 2 3" xfId="22955" xr:uid="{FB1EA83A-EEA4-461D-9758-5ACC49DBA8B4}"/>
    <cellStyle name="20% - Accent5 30 2 3 2" xfId="33801" xr:uid="{8ED3D04A-E11F-4624-A730-B2E2163ADFAD}"/>
    <cellStyle name="20% - Accent5 30 2 4" xfId="33798" xr:uid="{E5ED575F-85D9-41CF-8F4C-B3C47A61A5E1}"/>
    <cellStyle name="20% - Accent5 30 3" xfId="11519" xr:uid="{361E4D92-FBD7-4D90-8866-1FE401FE4158}"/>
    <cellStyle name="20% - Accent5 30 3 2" xfId="26932" xr:uid="{91FF4694-B6B5-45B7-A27F-278016306E38}"/>
    <cellStyle name="20% - Accent5 30 3 2 2" xfId="33803" xr:uid="{2CB7E38F-26AD-4501-AF57-0579788289C8}"/>
    <cellStyle name="20% - Accent5 30 3 3" xfId="33802" xr:uid="{04994629-B1F0-4E67-B239-C9AB179DAC58}"/>
    <cellStyle name="20% - Accent5 30 4" xfId="19227" xr:uid="{39294568-8E1D-41F9-8021-AC0583D11A39}"/>
    <cellStyle name="20% - Accent5 30 4 2" xfId="33804" xr:uid="{5301BC2B-B197-4EA8-958B-BF0F00970433}"/>
    <cellStyle name="20% - Accent5 30 5" xfId="33797" xr:uid="{E9F443E7-D1F3-4059-8B08-2F09DA4BD747}"/>
    <cellStyle name="20% - Accent5 31" xfId="3829" xr:uid="{E5F12D6C-DB5E-49DF-853F-8416EF8645E6}"/>
    <cellStyle name="20% - Accent5 31 2" xfId="7560" xr:uid="{D01ABF1D-15B4-415B-B815-7F119411E755}"/>
    <cellStyle name="20% - Accent5 31 2 2" xfId="15268" xr:uid="{853301B0-A4C4-402D-B84E-0282B9AA51AA}"/>
    <cellStyle name="20% - Accent5 31 2 2 2" xfId="30680" xr:uid="{ED4CCAC5-B5C5-4738-AB91-402CA27B815A}"/>
    <cellStyle name="20% - Accent5 31 2 2 2 2" xfId="33808" xr:uid="{5EC51520-5393-4E29-9F4B-1424B7C7E08C}"/>
    <cellStyle name="20% - Accent5 31 2 2 3" xfId="33807" xr:uid="{329A0D73-9935-40E3-9C41-338E85B1838A}"/>
    <cellStyle name="20% - Accent5 31 2 3" xfId="22975" xr:uid="{E2937601-8FCC-4A67-B1D6-1E6BFA10ABFE}"/>
    <cellStyle name="20% - Accent5 31 2 3 2" xfId="33809" xr:uid="{13FF2573-7009-45A9-AC41-919E6B6ADD26}"/>
    <cellStyle name="20% - Accent5 31 2 4" xfId="33806" xr:uid="{D3190DF6-6AD0-411F-B069-5BFED5EBCAD8}"/>
    <cellStyle name="20% - Accent5 31 3" xfId="11539" xr:uid="{DAA10390-3FD5-47C3-BEB3-5CB7B92A14F6}"/>
    <cellStyle name="20% - Accent5 31 3 2" xfId="26952" xr:uid="{A3EEC1F2-F341-4CFF-99ED-CC6AB26EF486}"/>
    <cellStyle name="20% - Accent5 31 3 2 2" xfId="33811" xr:uid="{C29B9852-536C-4611-9FC7-08E653800674}"/>
    <cellStyle name="20% - Accent5 31 3 3" xfId="33810" xr:uid="{4D7C67A4-02C6-4948-924B-69170B22051D}"/>
    <cellStyle name="20% - Accent5 31 4" xfId="19247" xr:uid="{8B3B5624-7B6E-46CF-8CEC-1F8B7628168C}"/>
    <cellStyle name="20% - Accent5 31 4 2" xfId="33812" xr:uid="{D9B00C69-2925-49EB-BA38-DC5DA666DE94}"/>
    <cellStyle name="20% - Accent5 31 5" xfId="33805" xr:uid="{B15D9059-49B5-4437-8AE7-35EA08226C40}"/>
    <cellStyle name="20% - Accent5 32" xfId="3850" xr:uid="{61344213-1398-4C9A-9E9C-F6694E2E8819}"/>
    <cellStyle name="20% - Accent5 32 2" xfId="7580" xr:uid="{7DFE12EC-BB52-489E-9372-5F927AE5743A}"/>
    <cellStyle name="20% - Accent5 32 2 2" xfId="15288" xr:uid="{18BE6CA2-B0E9-482C-A0F0-946B32E3BC0E}"/>
    <cellStyle name="20% - Accent5 32 2 2 2" xfId="30700" xr:uid="{0B8CEB4F-535D-436C-AC11-103D27463346}"/>
    <cellStyle name="20% - Accent5 32 2 2 2 2" xfId="33816" xr:uid="{0BD8BAB6-F91A-4387-AE66-49FE64F1ACBA}"/>
    <cellStyle name="20% - Accent5 32 2 2 3" xfId="33815" xr:uid="{BEF14F40-1EB4-4423-88F3-B85E3867677A}"/>
    <cellStyle name="20% - Accent5 32 2 3" xfId="22995" xr:uid="{92AA80B0-2048-4D1E-AF68-60B6A3C5A74F}"/>
    <cellStyle name="20% - Accent5 32 2 3 2" xfId="33817" xr:uid="{3FBDEEE1-E786-4C65-A77C-5BF66F669EC3}"/>
    <cellStyle name="20% - Accent5 32 2 4" xfId="33814" xr:uid="{B59C0516-C01A-4F8A-A7D1-950A1E6DD300}"/>
    <cellStyle name="20% - Accent5 32 3" xfId="11560" xr:uid="{AFC26778-F20C-4E10-9244-D7C5C28558BB}"/>
    <cellStyle name="20% - Accent5 32 3 2" xfId="26972" xr:uid="{BD101DD7-84EC-4381-9027-7D074A4899BC}"/>
    <cellStyle name="20% - Accent5 32 3 2 2" xfId="33819" xr:uid="{A8D1256A-8B55-47A8-98F1-C092A23F7A2C}"/>
    <cellStyle name="20% - Accent5 32 3 3" xfId="33818" xr:uid="{2B88EC2B-3AE2-4150-B5A8-E24EB5315953}"/>
    <cellStyle name="20% - Accent5 32 4" xfId="19267" xr:uid="{64BAE16E-C862-4D82-860B-5FF1C989C14B}"/>
    <cellStyle name="20% - Accent5 32 4 2" xfId="33820" xr:uid="{FBECD1BA-7EFA-4EE5-A08F-2124E7FCE7DA}"/>
    <cellStyle name="20% - Accent5 32 5" xfId="33813" xr:uid="{26668DA8-B69D-4382-8287-3B9A0E1F6C1A}"/>
    <cellStyle name="20% - Accent5 33" xfId="3869" xr:uid="{9A2A3335-191C-40D3-ACBD-9D5E30066743}"/>
    <cellStyle name="20% - Accent5 33 2" xfId="11579" xr:uid="{6AC3EE4A-6E32-40CF-ACE1-0330396A7087}"/>
    <cellStyle name="20% - Accent5 33 2 2" xfId="26991" xr:uid="{1547CCB1-EAC1-4E63-B6A8-5622F8313D79}"/>
    <cellStyle name="20% - Accent5 33 2 2 2" xfId="33823" xr:uid="{AFD14D22-A986-4D1D-9429-FA36E3DFA41B}"/>
    <cellStyle name="20% - Accent5 33 2 3" xfId="33822" xr:uid="{29FAAFF4-5DE2-4EB2-A8E6-2DD9B28D6F2A}"/>
    <cellStyle name="20% - Accent5 33 3" xfId="19286" xr:uid="{7AF37AA0-8F86-4596-85BA-5944ED27245C}"/>
    <cellStyle name="20% - Accent5 33 3 2" xfId="33824" xr:uid="{0FB76CCE-4784-41B7-BB76-F12AE7549CF7}"/>
    <cellStyle name="20% - Accent5 33 4" xfId="33821" xr:uid="{F53613AB-5DF3-40F0-A69E-92C7EAA3924F}"/>
    <cellStyle name="20% - Accent5 34" xfId="7600" xr:uid="{0E03B3DE-1575-49A1-A364-B181118838C5}"/>
    <cellStyle name="20% - Accent5 34 2" xfId="15308" xr:uid="{D13B8273-D1BA-471B-BDD9-2D10D08F318F}"/>
    <cellStyle name="20% - Accent5 34 2 2" xfId="30720" xr:uid="{D55553DE-E10D-4CDC-8D1C-FA39CFD9105F}"/>
    <cellStyle name="20% - Accent5 34 2 2 2" xfId="33827" xr:uid="{1711D5AB-62C2-4B0D-8CC8-20DC05F35A6C}"/>
    <cellStyle name="20% - Accent5 34 2 3" xfId="33826" xr:uid="{189C68DD-F240-4A23-A546-170B4F0E5F15}"/>
    <cellStyle name="20% - Accent5 34 3" xfId="23015" xr:uid="{410E5A15-EC5F-4CBB-836D-7D24E1B861EE}"/>
    <cellStyle name="20% - Accent5 34 3 2" xfId="33828" xr:uid="{73CD2377-ECF5-44F2-A963-0C4779ED1D49}"/>
    <cellStyle name="20% - Accent5 34 4" xfId="33825" xr:uid="{4B16B708-0E1D-40FC-831D-CD40573A1ABF}"/>
    <cellStyle name="20% - Accent5 35" xfId="7620" xr:uid="{60EFC2F0-0E4D-42D4-BF19-411D7BECCEDB}"/>
    <cellStyle name="20% - Accent5 35 2" xfId="15328" xr:uid="{4C6C3BCB-3E91-4649-A651-7F193DF4FBB5}"/>
    <cellStyle name="20% - Accent5 35 2 2" xfId="30740" xr:uid="{8564BFA4-D292-4521-84B2-0A68AD765388}"/>
    <cellStyle name="20% - Accent5 35 2 2 2" xfId="33831" xr:uid="{59A12BEA-A503-4160-A2DD-C78722758AC8}"/>
    <cellStyle name="20% - Accent5 35 2 3" xfId="33830" xr:uid="{E339DC2A-3766-4C20-B92D-B85304AD85F5}"/>
    <cellStyle name="20% - Accent5 35 3" xfId="23035" xr:uid="{0465BEAF-F074-4BB1-9801-E020F50DB58E}"/>
    <cellStyle name="20% - Accent5 35 3 2" xfId="33832" xr:uid="{1724A619-92ED-460B-8519-912DCDB0CCA0}"/>
    <cellStyle name="20% - Accent5 35 4" xfId="33829" xr:uid="{BEC585D4-DD7F-43CB-A005-03797E08EFAC}"/>
    <cellStyle name="20% - Accent5 36" xfId="7640" xr:uid="{4F82E49B-E43A-440C-A536-4885DACD1295}"/>
    <cellStyle name="20% - Accent5 36 2" xfId="15348" xr:uid="{DFBD3C66-C7F5-483B-9249-5D48B12B90F9}"/>
    <cellStyle name="20% - Accent5 36 2 2" xfId="30760" xr:uid="{BC5AAA1D-E6EA-4B72-87BF-59492598F706}"/>
    <cellStyle name="20% - Accent5 36 2 2 2" xfId="33835" xr:uid="{36249E92-FADA-4A72-B350-7E78691686F7}"/>
    <cellStyle name="20% - Accent5 36 2 3" xfId="33834" xr:uid="{79D4047E-9AFB-4942-868A-D713DB2011BE}"/>
    <cellStyle name="20% - Accent5 36 3" xfId="23055" xr:uid="{4D60C3C1-9862-4DAD-9046-22BF6333F3C9}"/>
    <cellStyle name="20% - Accent5 36 3 2" xfId="33836" xr:uid="{4F4D2730-F1E4-4806-8850-625EFF0B76BE}"/>
    <cellStyle name="20% - Accent5 36 4" xfId="33833" xr:uid="{3A26E55F-D978-4642-AEE2-4E06C5F8D67F}"/>
    <cellStyle name="20% - Accent5 37" xfId="7660" xr:uid="{ED137060-5697-4039-95C1-5CACFED624D3}"/>
    <cellStyle name="20% - Accent5 37 2" xfId="15368" xr:uid="{C3144280-0745-40ED-BC06-DC65A975B9BD}"/>
    <cellStyle name="20% - Accent5 37 2 2" xfId="30780" xr:uid="{1E3A0FC1-5951-4282-A7D4-56C4E26CF36E}"/>
    <cellStyle name="20% - Accent5 37 2 2 2" xfId="33839" xr:uid="{883DC2F5-2059-402A-B727-6B7F68E34DAB}"/>
    <cellStyle name="20% - Accent5 37 2 3" xfId="33838" xr:uid="{39F13343-A8DE-4A52-9FF0-940DB3D4E60D}"/>
    <cellStyle name="20% - Accent5 37 3" xfId="23075" xr:uid="{A96ED269-7AD3-447B-AF9E-2D89DB5D27CD}"/>
    <cellStyle name="20% - Accent5 37 3 2" xfId="33840" xr:uid="{DB38AEDA-BA42-45EB-93ED-A8465141B13C}"/>
    <cellStyle name="20% - Accent5 37 4" xfId="33837" xr:uid="{7CD277F6-949E-4EE4-9F02-52DDF0B12653}"/>
    <cellStyle name="20% - Accent5 38" xfId="7680" xr:uid="{D1E2413B-599E-4416-982F-EC5F3D689AD5}"/>
    <cellStyle name="20% - Accent5 38 2" xfId="15388" xr:uid="{0F46620C-15B6-495E-A674-D2427CFCB127}"/>
    <cellStyle name="20% - Accent5 38 2 2" xfId="30800" xr:uid="{CD16FA79-D22A-4DEC-A040-95DCA6B014A8}"/>
    <cellStyle name="20% - Accent5 38 2 2 2" xfId="33843" xr:uid="{A7DE27B4-B734-46CD-92DC-B0F122BD122F}"/>
    <cellStyle name="20% - Accent5 38 2 3" xfId="33842" xr:uid="{FAA4F715-81F2-4EFD-854B-F6D151932699}"/>
    <cellStyle name="20% - Accent5 38 3" xfId="23095" xr:uid="{43F0556D-9A35-4892-8745-8E2920550306}"/>
    <cellStyle name="20% - Accent5 38 3 2" xfId="33844" xr:uid="{0006D4FC-8FCF-4038-82E5-3745B0C5B321}"/>
    <cellStyle name="20% - Accent5 38 4" xfId="33841" xr:uid="{6EDD1DDC-315D-4DE8-B4B6-54DAE2490AF7}"/>
    <cellStyle name="20% - Accent5 39" xfId="7700" xr:uid="{67DFFB61-47C8-469B-AE75-DF20E0833F37}"/>
    <cellStyle name="20% - Accent5 39 2" xfId="15408" xr:uid="{1F13C533-8E96-4E9C-9D64-1F59AE58779E}"/>
    <cellStyle name="20% - Accent5 39 2 2" xfId="30820" xr:uid="{DFBA4D64-0687-4638-BE8E-B0449956476A}"/>
    <cellStyle name="20% - Accent5 39 2 2 2" xfId="33847" xr:uid="{44FC5330-1D04-45F7-98CE-634214EAFFC5}"/>
    <cellStyle name="20% - Accent5 39 2 3" xfId="33846" xr:uid="{E1377C5F-EC5B-4993-81E7-8CC1F448F55D}"/>
    <cellStyle name="20% - Accent5 39 3" xfId="23115" xr:uid="{0F00D82E-7EC4-4D01-BEAB-81FEAE2A0D09}"/>
    <cellStyle name="20% - Accent5 39 3 2" xfId="33848" xr:uid="{7FDA5DDC-EF7A-458F-993A-6A4FCFB70045}"/>
    <cellStyle name="20% - Accent5 39 4" xfId="33845" xr:uid="{8C8A9158-2B2C-439C-96F0-E8BF065B462E}"/>
    <cellStyle name="20% - Accent5 4" xfId="1625" xr:uid="{CE4C06DD-83D7-4AC0-8E69-ECD1444F6F44}"/>
    <cellStyle name="20% - Accent5 4 2" xfId="5360" xr:uid="{7E223BD1-D1AE-49BD-9ED7-DC3F0256F71D}"/>
    <cellStyle name="20% - Accent5 4 2 2" xfId="13068" xr:uid="{BC4E4F16-2462-44F0-B6E9-E4E8A85255D3}"/>
    <cellStyle name="20% - Accent5 4 2 2 2" xfId="28480" xr:uid="{059CC691-6190-4E61-9FDB-8DEABC0C0E78}"/>
    <cellStyle name="20% - Accent5 4 2 2 2 2" xfId="33852" xr:uid="{9274920A-262F-41A4-80B3-74AA80AC04DE}"/>
    <cellStyle name="20% - Accent5 4 2 2 3" xfId="33851" xr:uid="{8FC581B2-A53D-44D1-A376-FD1F4695B12D}"/>
    <cellStyle name="20% - Accent5 4 2 3" xfId="20775" xr:uid="{FDDEA0F1-B2A8-4ECC-85FE-578EC97AA783}"/>
    <cellStyle name="20% - Accent5 4 2 3 2" xfId="33853" xr:uid="{504B9B70-FD21-4171-8DC6-93FA9CF3ACC7}"/>
    <cellStyle name="20% - Accent5 4 2 4" xfId="33850" xr:uid="{8ED1C2DC-931D-4000-A0BF-46ADA3A25785}"/>
    <cellStyle name="20% - Accent5 4 3" xfId="9341" xr:uid="{EDD99B09-BD3C-4A8B-9062-A95EDF79D28D}"/>
    <cellStyle name="20% - Accent5 4 3 2" xfId="24754" xr:uid="{09D30B3B-2A67-41FB-9824-5ADEF1DE383D}"/>
    <cellStyle name="20% - Accent5 4 3 2 2" xfId="33855" xr:uid="{80338B62-DBDA-4F2A-A245-022BF673828E}"/>
    <cellStyle name="20% - Accent5 4 3 3" xfId="33854" xr:uid="{AC7BE18E-59CB-4096-8354-328B387FC99E}"/>
    <cellStyle name="20% - Accent5 4 4" xfId="17049" xr:uid="{168E483A-22AF-4486-BAFE-9035FD5A8F90}"/>
    <cellStyle name="20% - Accent5 4 4 2" xfId="33856" xr:uid="{76B93E4B-C4D2-4F7A-B002-DDA7016626B7}"/>
    <cellStyle name="20% - Accent5 4 5" xfId="33849" xr:uid="{AE5613E2-4D0E-4814-AA23-AFDB0089A924}"/>
    <cellStyle name="20% - Accent5 40" xfId="7720" xr:uid="{E68D252C-96CB-4EA7-9503-0CC10EE892A5}"/>
    <cellStyle name="20% - Accent5 40 2" xfId="15428" xr:uid="{63DE309A-3077-4EEF-AC25-B7BF5979D3EA}"/>
    <cellStyle name="20% - Accent5 40 2 2" xfId="30840" xr:uid="{0E63DDE4-9C76-431A-82DC-F43339577545}"/>
    <cellStyle name="20% - Accent5 40 2 2 2" xfId="33859" xr:uid="{2E6F699D-602A-4BA7-96ED-A9E2922AEE2D}"/>
    <cellStyle name="20% - Accent5 40 2 3" xfId="33858" xr:uid="{729C0807-E41C-4954-81BE-7C9E1094AC8A}"/>
    <cellStyle name="20% - Accent5 40 3" xfId="23135" xr:uid="{12809839-2DE2-4A24-BA3A-6E9065D50A5E}"/>
    <cellStyle name="20% - Accent5 40 3 2" xfId="33860" xr:uid="{35F80EE3-0550-4538-B844-5E2F2D6368AC}"/>
    <cellStyle name="20% - Accent5 40 4" xfId="33857" xr:uid="{30DFEDA9-6A8B-4B99-923D-0FCD18AB3E90}"/>
    <cellStyle name="20% - Accent5 41" xfId="7740" xr:uid="{4A0BBA13-2DAE-4A2D-A802-76A8DD59605F}"/>
    <cellStyle name="20% - Accent5 41 2" xfId="15448" xr:uid="{5BE018CB-379A-4AD7-8257-536775836FB5}"/>
    <cellStyle name="20% - Accent5 41 2 2" xfId="30860" xr:uid="{C33E0C5C-7172-4A07-923C-0DE08F30392E}"/>
    <cellStyle name="20% - Accent5 41 2 2 2" xfId="33863" xr:uid="{5C91EAB7-5D59-45A6-AC83-03F6948C53F5}"/>
    <cellStyle name="20% - Accent5 41 2 3" xfId="33862" xr:uid="{90049B29-ECA0-41F1-8B70-935781C5C922}"/>
    <cellStyle name="20% - Accent5 41 3" xfId="23155" xr:uid="{614D9AD6-7719-4AA7-B8DD-7AE600DD4A93}"/>
    <cellStyle name="20% - Accent5 41 3 2" xfId="33864" xr:uid="{A92423B2-9C96-4B80-B599-0032BE3C81D4}"/>
    <cellStyle name="20% - Accent5 41 4" xfId="33861" xr:uid="{E7EEEC5F-8E97-4CB4-9470-30B2DC2139FA}"/>
    <cellStyle name="20% - Accent5 42" xfId="7760" xr:uid="{83206C62-A62A-40DD-92DB-F3CDFE4C167D}"/>
    <cellStyle name="20% - Accent5 42 2" xfId="15468" xr:uid="{B76F76FC-966A-47FB-926C-9081EE11819F}"/>
    <cellStyle name="20% - Accent5 42 2 2" xfId="30880" xr:uid="{49DB1294-D546-4C3B-A157-3E1922F42CF2}"/>
    <cellStyle name="20% - Accent5 42 2 2 2" xfId="33867" xr:uid="{8716F935-B511-4CBC-83EE-C8FC68D6994F}"/>
    <cellStyle name="20% - Accent5 42 2 3" xfId="33866" xr:uid="{3B626FC2-B398-429D-8D67-62D753455D31}"/>
    <cellStyle name="20% - Accent5 42 3" xfId="23175" xr:uid="{4E2702D4-9490-480D-9175-313D05939A83}"/>
    <cellStyle name="20% - Accent5 42 3 2" xfId="33868" xr:uid="{8239569A-5631-4784-9B40-3BEDCEA19685}"/>
    <cellStyle name="20% - Accent5 42 4" xfId="33865" xr:uid="{A455CA07-896F-44AD-B3F4-D6C4422578DD}"/>
    <cellStyle name="20% - Accent5 43" xfId="7780" xr:uid="{E7ADD829-4046-43E1-9CBE-43D4A89744C2}"/>
    <cellStyle name="20% - Accent5 43 2" xfId="15488" xr:uid="{003456D0-5520-4612-88FE-755539171AB5}"/>
    <cellStyle name="20% - Accent5 43 2 2" xfId="30900" xr:uid="{C0B7392F-F8DC-4829-B5C4-EDEC2D7BD304}"/>
    <cellStyle name="20% - Accent5 43 2 2 2" xfId="33871" xr:uid="{75AEECC0-5A20-4CBD-9CEF-45EAB79B1284}"/>
    <cellStyle name="20% - Accent5 43 2 3" xfId="33870" xr:uid="{CF44A32D-322E-4DA6-9824-299FFCCC9973}"/>
    <cellStyle name="20% - Accent5 43 3" xfId="23195" xr:uid="{209EB5D9-5707-4EBC-8196-BFD1A55FD060}"/>
    <cellStyle name="20% - Accent5 43 3 2" xfId="33872" xr:uid="{8BEA1051-B046-43FB-84F8-E54F7DDC1308}"/>
    <cellStyle name="20% - Accent5 43 4" xfId="33869" xr:uid="{A1CF119D-7BA6-4063-BF58-E7124666B37E}"/>
    <cellStyle name="20% - Accent5 44" xfId="7800" xr:uid="{49F785F2-3BBF-48F0-A997-D7607A06557E}"/>
    <cellStyle name="20% - Accent5 44 2" xfId="15508" xr:uid="{4D3A1A36-6956-4B35-90C0-9607C1DE256F}"/>
    <cellStyle name="20% - Accent5 44 2 2" xfId="30920" xr:uid="{0F20A069-5E50-4631-AE9D-A00161DB1197}"/>
    <cellStyle name="20% - Accent5 44 2 2 2" xfId="33875" xr:uid="{9700E9A8-3CDD-4D61-9F6F-B1C57535DA5E}"/>
    <cellStyle name="20% - Accent5 44 2 3" xfId="33874" xr:uid="{1339CBFC-C783-4A8E-8107-DE2023071986}"/>
    <cellStyle name="20% - Accent5 44 3" xfId="23215" xr:uid="{8DC7DCCD-A8EC-4AC9-87BC-724FE6CF4446}"/>
    <cellStyle name="20% - Accent5 44 3 2" xfId="33876" xr:uid="{61D951D9-D194-4580-B2D3-496FE31949CD}"/>
    <cellStyle name="20% - Accent5 44 4" xfId="33873" xr:uid="{E35208C2-1A48-4844-B827-B2E336DD4FB9}"/>
    <cellStyle name="20% - Accent5 45" xfId="7822" xr:uid="{92DF72D8-239D-4A9D-B571-D8D8A0B50943}"/>
    <cellStyle name="20% - Accent5 45 2" xfId="15530" xr:uid="{BBA85362-45D6-42BD-A1C8-2D68F4C0A8D8}"/>
    <cellStyle name="20% - Accent5 45 2 2" xfId="30942" xr:uid="{30AA840C-A7E1-4A08-B94E-88286C6602F0}"/>
    <cellStyle name="20% - Accent5 45 2 2 2" xfId="33879" xr:uid="{C8100858-488B-4B66-8063-71813EE0F8E0}"/>
    <cellStyle name="20% - Accent5 45 2 3" xfId="33878" xr:uid="{84B1F87B-7BD7-4798-BC16-60642F489DD6}"/>
    <cellStyle name="20% - Accent5 45 3" xfId="23237" xr:uid="{F7AC34DF-051C-4C3F-B8F2-76B9769433FA}"/>
    <cellStyle name="20% - Accent5 45 3 2" xfId="33880" xr:uid="{F848A762-D79F-4044-B85F-BD80DCF5C52D}"/>
    <cellStyle name="20% - Accent5 45 4" xfId="33877" xr:uid="{63981648-6986-4FBA-AF72-3E3A7B5AEF6C}"/>
    <cellStyle name="20% - Accent5 46" xfId="7843" xr:uid="{D8853F63-D980-485B-A6EB-ACED8B0F868E}"/>
    <cellStyle name="20% - Accent5 46 2" xfId="15551" xr:uid="{9A7EBD56-EF81-4F5F-97C5-E1D89DB1B374}"/>
    <cellStyle name="20% - Accent5 46 2 2" xfId="30962" xr:uid="{9619C00F-2437-4527-BAF5-28804EC4958D}"/>
    <cellStyle name="20% - Accent5 46 2 2 2" xfId="33883" xr:uid="{4D73D9E9-83DC-4262-A047-719ED22AEDE8}"/>
    <cellStyle name="20% - Accent5 46 2 3" xfId="33882" xr:uid="{7489248D-9538-4CE3-A3D6-D67F93266A76}"/>
    <cellStyle name="20% - Accent5 46 3" xfId="23257" xr:uid="{015B89A2-8A3F-4263-8A66-32D10381B563}"/>
    <cellStyle name="20% - Accent5 46 3 2" xfId="33884" xr:uid="{90858B48-A3F6-477B-825B-DB87D4298120}"/>
    <cellStyle name="20% - Accent5 46 4" xfId="33881" xr:uid="{A31FEB01-851C-4E20-BF2E-65E2E8FF7924}"/>
    <cellStyle name="20% - Accent5 47" xfId="7863" xr:uid="{E219BEAC-E873-42DB-BF5D-5197A75CC378}"/>
    <cellStyle name="20% - Accent5 47 2" xfId="15571" xr:uid="{03CC5F14-4271-49DF-B306-563A91B47BE3}"/>
    <cellStyle name="20% - Accent5 47 2 2" xfId="30982" xr:uid="{9741E9D6-E05B-462E-8D1B-5022A6C4BFDA}"/>
    <cellStyle name="20% - Accent5 47 2 2 2" xfId="33887" xr:uid="{2AC9C117-87C8-487B-B654-ED1C4722A530}"/>
    <cellStyle name="20% - Accent5 47 2 3" xfId="33886" xr:uid="{DB5A8545-3289-4045-B12E-FB2EA1A7EAD4}"/>
    <cellStyle name="20% - Accent5 47 3" xfId="23277" xr:uid="{D44430FB-AD7B-46D1-93F7-511C7C1312C6}"/>
    <cellStyle name="20% - Accent5 47 3 2" xfId="33888" xr:uid="{1B285840-C5EC-4845-A3DB-A2EC917D10FE}"/>
    <cellStyle name="20% - Accent5 47 4" xfId="33885" xr:uid="{95B10B35-E0A3-42CF-80CB-EB8E9C360B19}"/>
    <cellStyle name="20% - Accent5 48" xfId="7916" xr:uid="{207683F9-751E-486C-A4AA-6FB0C33DA45D}"/>
    <cellStyle name="20% - Accent5 48 2" xfId="23329" xr:uid="{C43C1966-C7B2-444B-AE5C-00316E6F4341}"/>
    <cellStyle name="20% - Accent5 48 2 2" xfId="33890" xr:uid="{9F4DA3D1-EAD6-46AC-869D-66751DD8249C}"/>
    <cellStyle name="20% - Accent5 48 3" xfId="33889" xr:uid="{8B502924-EF7A-4B5F-88EC-D7DE7E8ADC9C}"/>
    <cellStyle name="20% - Accent5 49" xfId="15624" xr:uid="{9B25307C-0632-4C8C-8452-FCB33533E67F}"/>
    <cellStyle name="20% - Accent5 49 2" xfId="33891" xr:uid="{15557E70-9D7F-4C45-A3DD-2F2DCBA8AF6E}"/>
    <cellStyle name="20% - Accent5 5" xfId="3308" xr:uid="{23FD9E9C-12AD-499C-B940-E28C26AAAC36}"/>
    <cellStyle name="20% - Accent5 5 2" xfId="7040" xr:uid="{A33C6514-BC95-4A30-A1CB-44203F57612D}"/>
    <cellStyle name="20% - Accent5 5 2 2" xfId="14748" xr:uid="{9676CA79-3A5C-4D87-97F1-C1961C408C31}"/>
    <cellStyle name="20% - Accent5 5 2 2 2" xfId="30160" xr:uid="{B8BF7155-B6F3-4E0D-BF01-C2CD389362D3}"/>
    <cellStyle name="20% - Accent5 5 2 2 2 2" xfId="33895" xr:uid="{EE43A239-C887-4156-906E-90F40A1B69FB}"/>
    <cellStyle name="20% - Accent5 5 2 2 3" xfId="33894" xr:uid="{D2243395-A09B-469F-9EE9-AADBB6A433CF}"/>
    <cellStyle name="20% - Accent5 5 2 3" xfId="22455" xr:uid="{F79AF347-AC01-407C-AB6E-D453855743EE}"/>
    <cellStyle name="20% - Accent5 5 2 3 2" xfId="33896" xr:uid="{DD7F110F-CAFD-49C6-A9E0-D60A1DFA3922}"/>
    <cellStyle name="20% - Accent5 5 2 4" xfId="33893" xr:uid="{B3A986C3-50E2-43DC-BD5D-DD1121AFDF5C}"/>
    <cellStyle name="20% - Accent5 5 3" xfId="11019" xr:uid="{81C3A523-02B8-4F19-8DE6-79E6846D9179}"/>
    <cellStyle name="20% - Accent5 5 3 2" xfId="26432" xr:uid="{0F257488-27F5-4BDC-9546-38EF178226AA}"/>
    <cellStyle name="20% - Accent5 5 3 2 2" xfId="33898" xr:uid="{127D79DA-85AE-4D4A-B2CF-150B9031E8B1}"/>
    <cellStyle name="20% - Accent5 5 3 3" xfId="33897" xr:uid="{DDD2FA87-A55C-4726-BB5F-DEA5FD7A125F}"/>
    <cellStyle name="20% - Accent5 5 4" xfId="18727" xr:uid="{7E4235D5-FF7E-4E2F-A8B7-3677EDC19C97}"/>
    <cellStyle name="20% - Accent5 5 4 2" xfId="33899" xr:uid="{90AF5995-C8B4-4AB2-B8D6-DD06C9449EC7}"/>
    <cellStyle name="20% - Accent5 5 5" xfId="33892" xr:uid="{D64DF7B0-E558-4DD2-863C-01F36214B50B}"/>
    <cellStyle name="20% - Accent5 50" xfId="31002" xr:uid="{BA5642F9-75DC-45D5-8D76-565E9B2B3E34}"/>
    <cellStyle name="20% - Accent5 50 2" xfId="33900" xr:uid="{1F939875-5D03-433E-9CA2-3176C2FAF898}"/>
    <cellStyle name="20% - Accent5 51" xfId="33348" xr:uid="{1702A624-14C5-4D1F-8E9D-10183237557A}"/>
    <cellStyle name="20% - Accent5 52" xfId="61982" xr:uid="{F3E3CAB7-C5DC-4317-BC75-82CB90E5848C}"/>
    <cellStyle name="20% - Accent5 53" xfId="62002" xr:uid="{3E5E24E0-AAF7-4EF3-8577-B13DE57FF0EE}"/>
    <cellStyle name="20% - Accent5 54" xfId="62022" xr:uid="{F9055A78-4670-4910-97F6-361BF033B983}"/>
    <cellStyle name="20% - Accent5 55" xfId="62033" xr:uid="{59FB0707-0863-4A79-B0E4-E300B6D42490}"/>
    <cellStyle name="20% - Accent5 56" xfId="62056" xr:uid="{B518A5E9-93BB-418D-8426-B8E13D78000C}"/>
    <cellStyle name="20% - Accent5 57" xfId="62091" xr:uid="{B73C17C2-4903-479B-9BF7-F79226ABAE98}"/>
    <cellStyle name="20% - Accent5 6" xfId="3328" xr:uid="{B90A6DE2-B628-47AE-A4A3-B206BE87B67A}"/>
    <cellStyle name="20% - Accent5 6 2" xfId="7060" xr:uid="{3101ECB5-9B8B-4587-9949-512B36F3E95E}"/>
    <cellStyle name="20% - Accent5 6 2 2" xfId="14768" xr:uid="{B1300A97-4C8E-4B96-AD58-A326057669E3}"/>
    <cellStyle name="20% - Accent5 6 2 2 2" xfId="30180" xr:uid="{85ACB38E-3CD7-44DB-861D-E405B654109D}"/>
    <cellStyle name="20% - Accent5 6 2 2 2 2" xfId="33904" xr:uid="{DB77A7CE-6458-4D90-A769-14728E21D8B6}"/>
    <cellStyle name="20% - Accent5 6 2 2 3" xfId="33903" xr:uid="{387CAF5D-30C4-4981-A183-05BDAC76B03C}"/>
    <cellStyle name="20% - Accent5 6 2 3" xfId="22475" xr:uid="{08A1A523-6AFA-488B-AC9D-C88ECD5DD1A2}"/>
    <cellStyle name="20% - Accent5 6 2 3 2" xfId="33905" xr:uid="{18E4EAB7-031B-413C-A215-4DA322EF36AC}"/>
    <cellStyle name="20% - Accent5 6 2 4" xfId="33902" xr:uid="{D7A640C8-8DD3-497D-A105-4DC5C4B83E8B}"/>
    <cellStyle name="20% - Accent5 6 3" xfId="11039" xr:uid="{676D3EDE-A9C5-481D-8CC9-8B42D293F961}"/>
    <cellStyle name="20% - Accent5 6 3 2" xfId="26452" xr:uid="{E2005962-14B5-4689-8358-FAA3BCA68987}"/>
    <cellStyle name="20% - Accent5 6 3 2 2" xfId="33907" xr:uid="{08552D51-742E-45B1-AF6A-931B1AB82EAD}"/>
    <cellStyle name="20% - Accent5 6 3 3" xfId="33906" xr:uid="{D530BA16-AEE4-482F-B839-D55A3BB74CA7}"/>
    <cellStyle name="20% - Accent5 6 4" xfId="18747" xr:uid="{9DD43C9D-AE69-44EC-B2B2-FE4366141547}"/>
    <cellStyle name="20% - Accent5 6 4 2" xfId="33908" xr:uid="{5332C62A-5B33-4AB8-BAE8-B8CCFD17BC47}"/>
    <cellStyle name="20% - Accent5 6 5" xfId="33901" xr:uid="{3DAA55DE-9A6A-4B9A-96A1-CFA0DEA82964}"/>
    <cellStyle name="20% - Accent5 7" xfId="3348" xr:uid="{F7AE11AD-361F-4EE0-8810-73FD6A5B2B2F}"/>
    <cellStyle name="20% - Accent5 7 2" xfId="7080" xr:uid="{9FE9E4B0-B03D-4BE9-9C6E-DCAAA6C0B5A6}"/>
    <cellStyle name="20% - Accent5 7 2 2" xfId="14788" xr:uid="{941FC6CD-2928-468B-8A50-6F683B26771B}"/>
    <cellStyle name="20% - Accent5 7 2 2 2" xfId="30200" xr:uid="{26B25E72-1D2D-45DD-9258-AD2AFD78B739}"/>
    <cellStyle name="20% - Accent5 7 2 2 2 2" xfId="33912" xr:uid="{14942100-A62E-4349-95A7-27765C29DB85}"/>
    <cellStyle name="20% - Accent5 7 2 2 3" xfId="33911" xr:uid="{7A6EA076-ECA8-4B1F-8C8F-B31D0449DDA4}"/>
    <cellStyle name="20% - Accent5 7 2 3" xfId="22495" xr:uid="{99644407-2DD7-42C7-84D4-48EDDDBD8CD1}"/>
    <cellStyle name="20% - Accent5 7 2 3 2" xfId="33913" xr:uid="{927BA13D-FB1A-4B5B-ADDE-404473B1CB22}"/>
    <cellStyle name="20% - Accent5 7 2 4" xfId="33910" xr:uid="{ED4FD0B0-A470-4E57-8F24-1EF5CA774D59}"/>
    <cellStyle name="20% - Accent5 7 3" xfId="11059" xr:uid="{C0D4BD2B-5C4B-46CE-9C0B-7BF09DDDBE19}"/>
    <cellStyle name="20% - Accent5 7 3 2" xfId="26472" xr:uid="{D884122D-71F2-4847-88A0-8B52BE80A166}"/>
    <cellStyle name="20% - Accent5 7 3 2 2" xfId="33915" xr:uid="{9CD27F72-0279-45A7-805A-08B0DC464533}"/>
    <cellStyle name="20% - Accent5 7 3 3" xfId="33914" xr:uid="{FA3F1A5F-9FBF-46E0-AB7B-BBE946E3B5C9}"/>
    <cellStyle name="20% - Accent5 7 4" xfId="18767" xr:uid="{A96B2983-6CDB-4CC4-A66E-F5D0EFFC153D}"/>
    <cellStyle name="20% - Accent5 7 4 2" xfId="33916" xr:uid="{CAB02C32-ADC0-468A-AB43-A5C602E73F88}"/>
    <cellStyle name="20% - Accent5 7 5" xfId="33909" xr:uid="{66411B4F-E221-4041-9712-7360F2CD080B}"/>
    <cellStyle name="20% - Accent5 8" xfId="3368" xr:uid="{65DCD8E4-7D27-4EDB-B0EE-570B8DA1B635}"/>
    <cellStyle name="20% - Accent5 8 2" xfId="7100" xr:uid="{5F190316-3B2E-4FBF-8AE6-9AB3BE7898B5}"/>
    <cellStyle name="20% - Accent5 8 2 2" xfId="14808" xr:uid="{9A4CE7D6-5101-4BBC-B6D2-D8FCDBD7AD65}"/>
    <cellStyle name="20% - Accent5 8 2 2 2" xfId="30220" xr:uid="{8FC396C8-8040-42A6-8E19-B3B86F46C875}"/>
    <cellStyle name="20% - Accent5 8 2 2 2 2" xfId="33920" xr:uid="{578BEF50-AB1C-4073-B0B0-B9EAAAA8630E}"/>
    <cellStyle name="20% - Accent5 8 2 2 3" xfId="33919" xr:uid="{57DFDFCC-D5C4-440F-9569-DFE77A1665D3}"/>
    <cellStyle name="20% - Accent5 8 2 3" xfId="22515" xr:uid="{185DB12A-1F98-463C-ABE8-810F463FE4BD}"/>
    <cellStyle name="20% - Accent5 8 2 3 2" xfId="33921" xr:uid="{83D97FBC-0D5F-49AE-BCF2-5ECD941E0A12}"/>
    <cellStyle name="20% - Accent5 8 2 4" xfId="33918" xr:uid="{E77EA9E9-1FA2-4C69-8988-AF8C44B55B82}"/>
    <cellStyle name="20% - Accent5 8 3" xfId="11079" xr:uid="{C48CF6DC-37A1-42EE-B6A3-176B73E85243}"/>
    <cellStyle name="20% - Accent5 8 3 2" xfId="26492" xr:uid="{95885AF7-BE6C-493F-B01C-5BA3732D4A26}"/>
    <cellStyle name="20% - Accent5 8 3 2 2" xfId="33923" xr:uid="{CD96E19D-3BEB-49BA-8601-F53D5920515B}"/>
    <cellStyle name="20% - Accent5 8 3 3" xfId="33922" xr:uid="{7125FF44-71B5-4B82-9697-8820A1F30AD4}"/>
    <cellStyle name="20% - Accent5 8 4" xfId="18787" xr:uid="{B668CBE7-96F2-4A72-850D-213D63BE651B}"/>
    <cellStyle name="20% - Accent5 8 4 2" xfId="33924" xr:uid="{3659E3F8-F1C8-473B-BF13-8FBA5E96C6CF}"/>
    <cellStyle name="20% - Accent5 8 5" xfId="33917" xr:uid="{0874137B-4A98-4B58-869A-8E6B85843225}"/>
    <cellStyle name="20% - Accent5 9" xfId="3388" xr:uid="{B7AA01C0-E092-4756-82D3-B0B5B1E99D4C}"/>
    <cellStyle name="20% - Accent5 9 2" xfId="7120" xr:uid="{49377DA1-5A64-411C-ADD1-80CAC3657B86}"/>
    <cellStyle name="20% - Accent5 9 2 2" xfId="14828" xr:uid="{5933B35E-6209-42CE-9CBE-A85BBBB7D5EA}"/>
    <cellStyle name="20% - Accent5 9 2 2 2" xfId="30240" xr:uid="{745A2440-38DD-43ED-8E86-B4F29C4AE0E6}"/>
    <cellStyle name="20% - Accent5 9 2 2 2 2" xfId="33928" xr:uid="{9C6026E8-8EF3-4C05-B62C-FC14A530040A}"/>
    <cellStyle name="20% - Accent5 9 2 2 3" xfId="33927" xr:uid="{406EE07E-4E20-437D-8D66-C37A712A215A}"/>
    <cellStyle name="20% - Accent5 9 2 3" xfId="22535" xr:uid="{D6A804FD-15F0-48A6-BB58-BFABE25B7E31}"/>
    <cellStyle name="20% - Accent5 9 2 3 2" xfId="33929" xr:uid="{5250EEFA-7554-4725-AB1C-B7C51DB420C0}"/>
    <cellStyle name="20% - Accent5 9 2 4" xfId="33926" xr:uid="{22D70EF1-1A28-4102-ADC3-73BDC9D8776B}"/>
    <cellStyle name="20% - Accent5 9 3" xfId="11099" xr:uid="{D4168162-CE07-41CC-AC10-FFCF455D3FC1}"/>
    <cellStyle name="20% - Accent5 9 3 2" xfId="26512" xr:uid="{C9FDC0F6-53B5-485B-ADD9-F822F5A5C556}"/>
    <cellStyle name="20% - Accent5 9 3 2 2" xfId="33931" xr:uid="{3814872C-585B-46DC-BF1A-0E0074A2466A}"/>
    <cellStyle name="20% - Accent5 9 3 3" xfId="33930" xr:uid="{87F2F335-44E1-4B21-9CD1-63EEE595817F}"/>
    <cellStyle name="20% - Accent5 9 4" xfId="18807" xr:uid="{EC884A71-75CB-4BCF-B8F1-80F44CF25DBF}"/>
    <cellStyle name="20% - Accent5 9 4 2" xfId="33932" xr:uid="{BEBCA561-965A-4E75-B3D3-38A3EF711CCB}"/>
    <cellStyle name="20% - Accent5 9 5" xfId="33925" xr:uid="{F2CF530B-CDE5-41FC-8F09-D27DBE47ADC0}"/>
    <cellStyle name="20% - Accent6 10" xfId="3411" xr:uid="{BC3802F1-FF12-4501-97DC-D52487D3516D}"/>
    <cellStyle name="20% - Accent6 10 2" xfId="7143" xr:uid="{B10A54BB-549F-4FC8-86FC-E1361DABE9C4}"/>
    <cellStyle name="20% - Accent6 10 2 2" xfId="14851" xr:uid="{A1648C1C-6F4B-4A7A-A958-7E1B5F68927B}"/>
    <cellStyle name="20% - Accent6 10 2 2 2" xfId="30263" xr:uid="{8C182D4C-BBDC-40CB-A22E-DA59A465D00F}"/>
    <cellStyle name="20% - Accent6 10 2 2 2 2" xfId="33937" xr:uid="{5C1858DB-004A-4E86-BAEB-AB0BB8E4FAAC}"/>
    <cellStyle name="20% - Accent6 10 2 2 3" xfId="33936" xr:uid="{8573ACE9-170B-413D-B08D-5A3EC4C40F62}"/>
    <cellStyle name="20% - Accent6 10 2 3" xfId="22558" xr:uid="{0B36B1D6-190F-4EDF-AE3A-073F623D8E4D}"/>
    <cellStyle name="20% - Accent6 10 2 3 2" xfId="33938" xr:uid="{CF003C54-A750-428F-A0BF-D3DD8C1B7DAE}"/>
    <cellStyle name="20% - Accent6 10 2 4" xfId="33935" xr:uid="{5ADB5BAA-0D27-4B66-B536-48793C14467B}"/>
    <cellStyle name="20% - Accent6 10 3" xfId="11122" xr:uid="{C4990671-D76A-446B-9F5C-5070E7975865}"/>
    <cellStyle name="20% - Accent6 10 3 2" xfId="26535" xr:uid="{464CE4AE-BA84-4D35-8DD2-474677B46AFA}"/>
    <cellStyle name="20% - Accent6 10 3 2 2" xfId="33940" xr:uid="{40FB3489-F80B-412D-B193-C1011BD75CF1}"/>
    <cellStyle name="20% - Accent6 10 3 3" xfId="33939" xr:uid="{A8E61397-5ECC-4021-A5AB-189A11CE9FA3}"/>
    <cellStyle name="20% - Accent6 10 4" xfId="18830" xr:uid="{FEFC7C2D-FBB2-4994-8EDA-8DC3D6325EBB}"/>
    <cellStyle name="20% - Accent6 10 4 2" xfId="33941" xr:uid="{F64B07E8-FEF8-4258-A6BD-4B0AEA251ED7}"/>
    <cellStyle name="20% - Accent6 10 5" xfId="33934" xr:uid="{D5DC57EF-FE25-4903-81E8-377ABEDE5525}"/>
    <cellStyle name="20% - Accent6 11" xfId="3431" xr:uid="{02CD456E-1B44-48D6-A3DC-C5643BA592F7}"/>
    <cellStyle name="20% - Accent6 11 2" xfId="7163" xr:uid="{DD80FA24-C85E-4F04-B735-0411C986325B}"/>
    <cellStyle name="20% - Accent6 11 2 2" xfId="14871" xr:uid="{DDD29C5B-55AF-460E-949D-ABDB6A85F4EA}"/>
    <cellStyle name="20% - Accent6 11 2 2 2" xfId="30283" xr:uid="{7CC26C74-BB6C-4AA0-9842-3BC4B3CFD1F3}"/>
    <cellStyle name="20% - Accent6 11 2 2 2 2" xfId="33945" xr:uid="{B3538953-2FCB-4326-8441-D15838B19BC8}"/>
    <cellStyle name="20% - Accent6 11 2 2 3" xfId="33944" xr:uid="{79656EC9-1E63-4BFA-AC1B-EFEE240F9AC2}"/>
    <cellStyle name="20% - Accent6 11 2 3" xfId="22578" xr:uid="{01AC50CF-3589-4AEB-9C8E-6D635B3F5849}"/>
    <cellStyle name="20% - Accent6 11 2 3 2" xfId="33946" xr:uid="{B3660C43-54F4-47A7-AA18-4CAC4727C4A0}"/>
    <cellStyle name="20% - Accent6 11 2 4" xfId="33943" xr:uid="{4823772C-4CCC-48A1-82A7-FAA644095496}"/>
    <cellStyle name="20% - Accent6 11 3" xfId="11142" xr:uid="{7EE8062D-D53A-4CA9-B72A-D78140B68A6A}"/>
    <cellStyle name="20% - Accent6 11 3 2" xfId="26555" xr:uid="{C37DA55B-F716-4941-AC30-4E4695B76D66}"/>
    <cellStyle name="20% - Accent6 11 3 2 2" xfId="33948" xr:uid="{60B953BE-6178-4675-BC88-4EDB2F475B7B}"/>
    <cellStyle name="20% - Accent6 11 3 3" xfId="33947" xr:uid="{CA52D5A1-E752-4293-B3DE-2F46A0AA073B}"/>
    <cellStyle name="20% - Accent6 11 4" xfId="18850" xr:uid="{AA3B04B3-21FE-428F-933B-07B6783EC12E}"/>
    <cellStyle name="20% - Accent6 11 4 2" xfId="33949" xr:uid="{BFB4F349-8F36-4D85-97F5-AFEF7F311058}"/>
    <cellStyle name="20% - Accent6 11 5" xfId="33942" xr:uid="{58DB2D2D-5DD9-48D0-90BC-695C8580B894}"/>
    <cellStyle name="20% - Accent6 12" xfId="3451" xr:uid="{96FDCE5B-C941-489A-9F8B-9B42F0DFDB48}"/>
    <cellStyle name="20% - Accent6 12 2" xfId="7183" xr:uid="{5E85041F-F638-4B08-96D0-CD1AD977F689}"/>
    <cellStyle name="20% - Accent6 12 2 2" xfId="14891" xr:uid="{3093C4EA-8A0B-47CA-9B5B-E086A274FF41}"/>
    <cellStyle name="20% - Accent6 12 2 2 2" xfId="30303" xr:uid="{9F7BC841-0CC1-4E6C-84C4-0386EE24F698}"/>
    <cellStyle name="20% - Accent6 12 2 2 2 2" xfId="33953" xr:uid="{61CFD1E3-2175-4CCA-8BF9-50ED29275066}"/>
    <cellStyle name="20% - Accent6 12 2 2 3" xfId="33952" xr:uid="{BEF37732-9FA2-4327-92A6-99E821A51CD1}"/>
    <cellStyle name="20% - Accent6 12 2 3" xfId="22598" xr:uid="{5B7332EA-D42A-4E9A-ADF7-FCBEA6D618E5}"/>
    <cellStyle name="20% - Accent6 12 2 3 2" xfId="33954" xr:uid="{034B2EA4-5E1F-4823-AB7A-0E5D906B1EA7}"/>
    <cellStyle name="20% - Accent6 12 2 4" xfId="33951" xr:uid="{B70201CB-F494-4FBA-A963-3B7BF49E965C}"/>
    <cellStyle name="20% - Accent6 12 3" xfId="11162" xr:uid="{9B60F75E-B14B-4094-91AE-A9CBFE2B5491}"/>
    <cellStyle name="20% - Accent6 12 3 2" xfId="26575" xr:uid="{24748E6C-662A-4C7B-ACA1-F8D671CB9057}"/>
    <cellStyle name="20% - Accent6 12 3 2 2" xfId="33956" xr:uid="{92CF78FB-A037-49E0-807D-1F59CB4CF16C}"/>
    <cellStyle name="20% - Accent6 12 3 3" xfId="33955" xr:uid="{789A308A-C198-4406-8FEB-1FE2333BF10B}"/>
    <cellStyle name="20% - Accent6 12 4" xfId="18870" xr:uid="{3824BDBD-BD80-4720-AD0A-D182C03F49C0}"/>
    <cellStyle name="20% - Accent6 12 4 2" xfId="33957" xr:uid="{7137D0A0-6621-4575-8147-C23D1DC7518B}"/>
    <cellStyle name="20% - Accent6 12 5" xfId="33950" xr:uid="{76662257-DB4F-443D-A0E2-D2E9BEBB4DA0}"/>
    <cellStyle name="20% - Accent6 13" xfId="3471" xr:uid="{06BAEE22-7E4C-4281-9AA3-1C31BB5C5F25}"/>
    <cellStyle name="20% - Accent6 13 2" xfId="7203" xr:uid="{D2C99D57-C2CB-434E-814B-441290740A74}"/>
    <cellStyle name="20% - Accent6 13 2 2" xfId="14911" xr:uid="{7232216A-530B-4A06-A44F-18E89ACC14EA}"/>
    <cellStyle name="20% - Accent6 13 2 2 2" xfId="30323" xr:uid="{97BD92C3-A950-4673-8DF1-3E0A598DBBCD}"/>
    <cellStyle name="20% - Accent6 13 2 2 2 2" xfId="33961" xr:uid="{BB8FCD74-D48E-4BFC-992F-98A1F75D29D9}"/>
    <cellStyle name="20% - Accent6 13 2 2 3" xfId="33960" xr:uid="{B1CC8A2C-7C80-4B24-B098-05DF7214A829}"/>
    <cellStyle name="20% - Accent6 13 2 3" xfId="22618" xr:uid="{13C4BA83-F8D6-489C-A313-3043FFC51CB8}"/>
    <cellStyle name="20% - Accent6 13 2 3 2" xfId="33962" xr:uid="{1CD4F0F3-19D2-4924-AF23-8CC4EF9BD153}"/>
    <cellStyle name="20% - Accent6 13 2 4" xfId="33959" xr:uid="{5538F4B6-4863-4889-8086-BF5E41BF2E65}"/>
    <cellStyle name="20% - Accent6 13 3" xfId="11182" xr:uid="{567B3E8F-957E-4E4A-A344-93649A3E37DB}"/>
    <cellStyle name="20% - Accent6 13 3 2" xfId="26595" xr:uid="{60C9E631-89D8-4F50-A42E-C5BFB8A4D828}"/>
    <cellStyle name="20% - Accent6 13 3 2 2" xfId="33964" xr:uid="{E03A4E5B-E7A1-48AA-8FF9-F75989096F3C}"/>
    <cellStyle name="20% - Accent6 13 3 3" xfId="33963" xr:uid="{9AFEB7E5-176F-40B5-AC70-18E83B547AA6}"/>
    <cellStyle name="20% - Accent6 13 4" xfId="18890" xr:uid="{8526DB74-BA08-4213-8D4B-34B2695FA917}"/>
    <cellStyle name="20% - Accent6 13 4 2" xfId="33965" xr:uid="{F32A0263-651D-452C-8A7D-0FC691253D4B}"/>
    <cellStyle name="20% - Accent6 13 5" xfId="33958" xr:uid="{C779FDCB-9919-4F9D-8F9A-671B77C10B70}"/>
    <cellStyle name="20% - Accent6 14" xfId="3491" xr:uid="{EDA33DCB-D188-4D56-AFAA-2127D871C561}"/>
    <cellStyle name="20% - Accent6 14 2" xfId="7223" xr:uid="{31D7C77A-8FEF-48C4-A3E6-F210BB1DC0C2}"/>
    <cellStyle name="20% - Accent6 14 2 2" xfId="14931" xr:uid="{93921300-780A-4DDC-B7A7-98D3938113FA}"/>
    <cellStyle name="20% - Accent6 14 2 2 2" xfId="30343" xr:uid="{07F13388-C7F5-4640-8F77-918F34BC8BAE}"/>
    <cellStyle name="20% - Accent6 14 2 2 2 2" xfId="33969" xr:uid="{0F7A4285-BD85-447A-9439-CC8E04AEE044}"/>
    <cellStyle name="20% - Accent6 14 2 2 3" xfId="33968" xr:uid="{9349DC08-73F6-43C2-8FDE-5AEE3E9CC4DA}"/>
    <cellStyle name="20% - Accent6 14 2 3" xfId="22638" xr:uid="{F4DE9E5C-31B5-4F0C-B829-4B0FF0E1578E}"/>
    <cellStyle name="20% - Accent6 14 2 3 2" xfId="33970" xr:uid="{770A839A-D5C3-4DD4-B412-E494666EC5FA}"/>
    <cellStyle name="20% - Accent6 14 2 4" xfId="33967" xr:uid="{A05DAF78-CA21-4E6E-86B0-636CB2425C02}"/>
    <cellStyle name="20% - Accent6 14 3" xfId="11202" xr:uid="{522ECBE6-CF0F-4A50-BBDA-48319F481843}"/>
    <cellStyle name="20% - Accent6 14 3 2" xfId="26615" xr:uid="{97D25C1B-D604-4216-AFA6-1B9CAE180F1A}"/>
    <cellStyle name="20% - Accent6 14 3 2 2" xfId="33972" xr:uid="{874C5066-7DA1-42DD-B474-CE6EEAA5C06B}"/>
    <cellStyle name="20% - Accent6 14 3 3" xfId="33971" xr:uid="{11AE1096-3C23-4F1C-ADCC-8752AFBEE3CC}"/>
    <cellStyle name="20% - Accent6 14 4" xfId="18910" xr:uid="{CA0DC6D3-FAC9-4D1C-AC39-D70BAF6D947C}"/>
    <cellStyle name="20% - Accent6 14 4 2" xfId="33973" xr:uid="{C2D9D50F-8F58-4543-ACD7-CE85F3668F3B}"/>
    <cellStyle name="20% - Accent6 14 5" xfId="33966" xr:uid="{666287F3-DDCB-4074-967B-AA360262400D}"/>
    <cellStyle name="20% - Accent6 15" xfId="3511" xr:uid="{88BC9D93-14A5-4D07-AEEB-79CA2A0AF741}"/>
    <cellStyle name="20% - Accent6 15 2" xfId="7243" xr:uid="{9F7DD17D-1F26-4C73-B853-AC66D6C00366}"/>
    <cellStyle name="20% - Accent6 15 2 2" xfId="14951" xr:uid="{49486866-9C74-43BD-8A8B-0C268EDDE9D2}"/>
    <cellStyle name="20% - Accent6 15 2 2 2" xfId="30363" xr:uid="{E4DA0EAA-A353-4639-81BE-8491B675E686}"/>
    <cellStyle name="20% - Accent6 15 2 2 2 2" xfId="33977" xr:uid="{34375790-6879-4F1F-A32D-67910EBEA9D1}"/>
    <cellStyle name="20% - Accent6 15 2 2 3" xfId="33976" xr:uid="{4AB8D5A2-B385-441B-92FB-21AFF534F574}"/>
    <cellStyle name="20% - Accent6 15 2 3" xfId="22658" xr:uid="{1F741C6C-3606-451A-83BF-CA2D724C944D}"/>
    <cellStyle name="20% - Accent6 15 2 3 2" xfId="33978" xr:uid="{DACFB983-F6CD-49F9-8722-6EAADDE8B180}"/>
    <cellStyle name="20% - Accent6 15 2 4" xfId="33975" xr:uid="{F377EA0E-6E63-4E10-A2C8-8A3A8F425BFB}"/>
    <cellStyle name="20% - Accent6 15 3" xfId="11222" xr:uid="{B19217E1-EDB6-4599-8387-BF5BAA2C6560}"/>
    <cellStyle name="20% - Accent6 15 3 2" xfId="26635" xr:uid="{F99EAC00-92E7-4D31-9B53-FC8A53528E49}"/>
    <cellStyle name="20% - Accent6 15 3 2 2" xfId="33980" xr:uid="{A69CF4ED-5E9E-4B8D-B25B-8D1107D7D092}"/>
    <cellStyle name="20% - Accent6 15 3 3" xfId="33979" xr:uid="{04552163-EE74-4DAF-9DFF-1AC66675F12A}"/>
    <cellStyle name="20% - Accent6 15 4" xfId="18930" xr:uid="{1DCE69DC-39F3-4F49-B578-A45846F40F6F}"/>
    <cellStyle name="20% - Accent6 15 4 2" xfId="33981" xr:uid="{B1F65F97-B698-413C-8CDA-60E5BB1AA694}"/>
    <cellStyle name="20% - Accent6 15 5" xfId="33974" xr:uid="{DEC3281B-BF13-49FB-81B7-B265E79F2134}"/>
    <cellStyle name="20% - Accent6 16" xfId="3531" xr:uid="{449B2833-E8F9-4EED-96A0-86B735E8E4D4}"/>
    <cellStyle name="20% - Accent6 16 2" xfId="7263" xr:uid="{C407B428-709E-463B-8619-A3F472F13EFB}"/>
    <cellStyle name="20% - Accent6 16 2 2" xfId="14971" xr:uid="{21DDF024-8FB8-47BB-8C44-EAA3D7F2D789}"/>
    <cellStyle name="20% - Accent6 16 2 2 2" xfId="30383" xr:uid="{D254A41D-1539-45E6-8490-2C36E84B6210}"/>
    <cellStyle name="20% - Accent6 16 2 2 2 2" xfId="33985" xr:uid="{310BCE7D-9A64-4F82-8537-1D9DCD11D312}"/>
    <cellStyle name="20% - Accent6 16 2 2 3" xfId="33984" xr:uid="{B581BE51-FE32-4399-87BC-A0D7263CE485}"/>
    <cellStyle name="20% - Accent6 16 2 3" xfId="22678" xr:uid="{EA8DCE8E-FBCC-40A0-A6FF-7DF0EADEE989}"/>
    <cellStyle name="20% - Accent6 16 2 3 2" xfId="33986" xr:uid="{63D5179C-1FE4-4E49-B38B-8FB3D730E674}"/>
    <cellStyle name="20% - Accent6 16 2 4" xfId="33983" xr:uid="{589B067C-D8A6-4581-BFE0-ECAA272A1C1E}"/>
    <cellStyle name="20% - Accent6 16 3" xfId="11242" xr:uid="{6F29B33E-2A9B-4CEC-BDD2-7987E40676F6}"/>
    <cellStyle name="20% - Accent6 16 3 2" xfId="26655" xr:uid="{6F986723-0E4D-4566-911D-085C8DC0BC4F}"/>
    <cellStyle name="20% - Accent6 16 3 2 2" xfId="33988" xr:uid="{862C0C65-1AA2-424F-BA50-06B0B43FEDE4}"/>
    <cellStyle name="20% - Accent6 16 3 3" xfId="33987" xr:uid="{6FF5A186-7A78-4EE5-9B4D-9623DD24FCF7}"/>
    <cellStyle name="20% - Accent6 16 4" xfId="18950" xr:uid="{07EEC8FE-0004-42C1-8C3F-9993EC971C16}"/>
    <cellStyle name="20% - Accent6 16 4 2" xfId="33989" xr:uid="{F3E86253-ECE9-49C1-9ABD-8E0877AF8816}"/>
    <cellStyle name="20% - Accent6 16 5" xfId="33982" xr:uid="{EFC712AA-CBFB-4521-B91D-2501EBD66C26}"/>
    <cellStyle name="20% - Accent6 17" xfId="3551" xr:uid="{65A17C7B-D629-48CF-AD95-54F1776CD659}"/>
    <cellStyle name="20% - Accent6 17 2" xfId="7283" xr:uid="{810EF99E-73E1-4207-8124-D6E4B52655C2}"/>
    <cellStyle name="20% - Accent6 17 2 2" xfId="14991" xr:uid="{9CA3C024-F344-406E-A0C8-0CF328E73828}"/>
    <cellStyle name="20% - Accent6 17 2 2 2" xfId="30403" xr:uid="{0822DE2E-62D9-45C7-9BB7-CEDCFA1CBC59}"/>
    <cellStyle name="20% - Accent6 17 2 2 2 2" xfId="33993" xr:uid="{728D858B-C242-4808-A98F-F00B293C7E4F}"/>
    <cellStyle name="20% - Accent6 17 2 2 3" xfId="33992" xr:uid="{1D6C9602-DA64-4513-89BC-B012C4F05DD3}"/>
    <cellStyle name="20% - Accent6 17 2 3" xfId="22698" xr:uid="{49E38595-4124-4638-9E16-A374B93F3C7E}"/>
    <cellStyle name="20% - Accent6 17 2 3 2" xfId="33994" xr:uid="{E8C937FB-11DC-41CA-BD39-B10A62B61788}"/>
    <cellStyle name="20% - Accent6 17 2 4" xfId="33991" xr:uid="{6E177557-23D3-4740-BC69-FCEFDD1794C0}"/>
    <cellStyle name="20% - Accent6 17 3" xfId="11262" xr:uid="{F62DE64B-1942-493C-AA33-386630C126A7}"/>
    <cellStyle name="20% - Accent6 17 3 2" xfId="26675" xr:uid="{A7E3B2B5-9CF4-4CCB-BBA6-3BB6DD3BDD0A}"/>
    <cellStyle name="20% - Accent6 17 3 2 2" xfId="33996" xr:uid="{18C1F524-26B3-4A7E-94B8-EF198D40965B}"/>
    <cellStyle name="20% - Accent6 17 3 3" xfId="33995" xr:uid="{E848F483-65CA-4342-979D-5A1939EE079E}"/>
    <cellStyle name="20% - Accent6 17 4" xfId="18970" xr:uid="{F40CF639-2230-4BF5-8548-1ECE14579E41}"/>
    <cellStyle name="20% - Accent6 17 4 2" xfId="33997" xr:uid="{2A5210AC-75E4-4244-9EB5-A7D362762E92}"/>
    <cellStyle name="20% - Accent6 17 5" xfId="33990" xr:uid="{F9B6CF7C-53B0-4D42-B422-870B998C5965}"/>
    <cellStyle name="20% - Accent6 18" xfId="3571" xr:uid="{C1A42A2C-E124-4D54-9E79-1FEF51E059E6}"/>
    <cellStyle name="20% - Accent6 18 2" xfId="7303" xr:uid="{E5334A9F-B7DE-4A30-8D82-ABFC7A2A89B0}"/>
    <cellStyle name="20% - Accent6 18 2 2" xfId="15011" xr:uid="{23A8BC7E-C9DE-431F-A4CA-D03910A2A9C7}"/>
    <cellStyle name="20% - Accent6 18 2 2 2" xfId="30423" xr:uid="{2BFED203-A332-4B0D-A554-A84596AD5AF2}"/>
    <cellStyle name="20% - Accent6 18 2 2 2 2" xfId="34001" xr:uid="{7A833E95-9089-4F85-8A53-C2B9C4C0828D}"/>
    <cellStyle name="20% - Accent6 18 2 2 3" xfId="34000" xr:uid="{2B5559B6-7151-4611-91B6-6EA563533293}"/>
    <cellStyle name="20% - Accent6 18 2 3" xfId="22718" xr:uid="{0139401B-E3CC-41CF-9A2E-8D37FBD910B6}"/>
    <cellStyle name="20% - Accent6 18 2 3 2" xfId="34002" xr:uid="{6BC76256-D887-4047-A88F-E6FEC9AB376E}"/>
    <cellStyle name="20% - Accent6 18 2 4" xfId="33999" xr:uid="{AD12D5DD-9847-4A16-9D31-7CF2B3885568}"/>
    <cellStyle name="20% - Accent6 18 3" xfId="11282" xr:uid="{A9E18D54-2099-41B4-A651-7B3858CBAD88}"/>
    <cellStyle name="20% - Accent6 18 3 2" xfId="26695" xr:uid="{D7B8014B-39E5-4B03-8C27-D0B1D2F11B27}"/>
    <cellStyle name="20% - Accent6 18 3 2 2" xfId="34004" xr:uid="{A3F0B654-6729-4A3E-ABFC-501D9C7EB3CF}"/>
    <cellStyle name="20% - Accent6 18 3 3" xfId="34003" xr:uid="{417D6F60-54A7-447C-932B-791558D1416C}"/>
    <cellStyle name="20% - Accent6 18 4" xfId="18990" xr:uid="{222921DC-13FF-47BB-9063-BBBBD1FAB849}"/>
    <cellStyle name="20% - Accent6 18 4 2" xfId="34005" xr:uid="{0129228F-67E0-4A3D-B321-4CE5A08F7667}"/>
    <cellStyle name="20% - Accent6 18 5" xfId="33998" xr:uid="{C8765FC3-5B93-4660-B06D-F8F71A0A49F2}"/>
    <cellStyle name="20% - Accent6 19" xfId="3592" xr:uid="{69D70084-4BF4-4716-82EF-16E7A65AA292}"/>
    <cellStyle name="20% - Accent6 19 2" xfId="7323" xr:uid="{03FC982E-CF70-4E72-9025-9727E7908D9D}"/>
    <cellStyle name="20% - Accent6 19 2 2" xfId="15031" xr:uid="{CD5C574E-1E48-4373-817E-3D8C9F1FE378}"/>
    <cellStyle name="20% - Accent6 19 2 2 2" xfId="30443" xr:uid="{859B0D63-6CBC-4CBC-A56D-00932B221156}"/>
    <cellStyle name="20% - Accent6 19 2 2 2 2" xfId="34009" xr:uid="{BFE008ED-4C65-4659-83C4-FF34C67FF4DA}"/>
    <cellStyle name="20% - Accent6 19 2 2 3" xfId="34008" xr:uid="{BF30B24B-6E69-4245-A245-B0E310F9BF84}"/>
    <cellStyle name="20% - Accent6 19 2 3" xfId="22738" xr:uid="{FB7ED240-4487-4A60-8329-D25F3BA1EF3B}"/>
    <cellStyle name="20% - Accent6 19 2 3 2" xfId="34010" xr:uid="{9BBF9348-86F4-42EE-9286-FE534810251A}"/>
    <cellStyle name="20% - Accent6 19 2 4" xfId="34007" xr:uid="{3593E1DB-AE46-45C2-8F7F-61633BF467F4}"/>
    <cellStyle name="20% - Accent6 19 3" xfId="11302" xr:uid="{43CFCBC8-0B10-49BA-9986-AC273DB03438}"/>
    <cellStyle name="20% - Accent6 19 3 2" xfId="26715" xr:uid="{44A2DDB6-FF2E-48BB-AEE9-1DFE031460E6}"/>
    <cellStyle name="20% - Accent6 19 3 2 2" xfId="34012" xr:uid="{AD2342D9-BE86-4A0A-B822-06835468A53B}"/>
    <cellStyle name="20% - Accent6 19 3 3" xfId="34011" xr:uid="{687F4374-5A3A-4E8C-90C7-098FDE824EF2}"/>
    <cellStyle name="20% - Accent6 19 4" xfId="19010" xr:uid="{98FE627C-FAB1-4C44-A8A8-FFB4F19E6F83}"/>
    <cellStyle name="20% - Accent6 19 4 2" xfId="34013" xr:uid="{F12EABA5-B794-4726-8EE8-11E994CD9FB2}"/>
    <cellStyle name="20% - Accent6 19 5" xfId="34006" xr:uid="{C1D141F1-C8E4-41B0-902F-A72C80D18D25}"/>
    <cellStyle name="20% - Accent6 2" xfId="80" xr:uid="{1A601DA7-5514-4C3D-82DC-12D5DDD693ED}"/>
    <cellStyle name="20% - Accent6 2 10" xfId="34014" xr:uid="{34729355-CBB0-40E6-A790-ECA921318071}"/>
    <cellStyle name="20% - Accent6 2 2" xfId="144" xr:uid="{0B52FF30-10A4-4A9D-A663-72C4E503F509}"/>
    <cellStyle name="20% - Accent6 2 2 2" xfId="207" xr:uid="{CCBC5E42-60FB-4AD5-9D26-B2AF41473C0A}"/>
    <cellStyle name="20% - Accent6 2 2 2 2" xfId="412" xr:uid="{12BE3849-81E0-4AEF-9326-18676883E6FB}"/>
    <cellStyle name="20% - Accent6 2 2 2 2 2" xfId="1074" xr:uid="{521B2DCA-7E12-4804-BE8A-A9CE21AA479C}"/>
    <cellStyle name="20% - Accent6 2 2 2 2 2 2" xfId="2542" xr:uid="{F714156E-7FC8-44D8-BF00-491CD522ADA6}"/>
    <cellStyle name="20% - Accent6 2 2 2 2 2 2 2" xfId="6274" xr:uid="{2D823839-5543-4EA8-940A-31D271DBAA88}"/>
    <cellStyle name="20% - Accent6 2 2 2 2 2 2 2 2" xfId="13982" xr:uid="{EF097602-89F1-4A64-96B7-46BBE6E21C69}"/>
    <cellStyle name="20% - Accent6 2 2 2 2 2 2 2 2 2" xfId="29394" xr:uid="{8F8EA5F7-87EE-4C45-8D1C-22BEAB1F0222}"/>
    <cellStyle name="20% - Accent6 2 2 2 2 2 2 2 2 2 2" xfId="34022" xr:uid="{C07E8BFB-0243-472E-85E6-6E7D5EB79274}"/>
    <cellStyle name="20% - Accent6 2 2 2 2 2 2 2 2 3" xfId="34021" xr:uid="{51F3A80F-D229-4AC6-BA8E-4609EE0AB259}"/>
    <cellStyle name="20% - Accent6 2 2 2 2 2 2 2 3" xfId="21689" xr:uid="{5428BBC5-2166-4545-AA1D-4B1D70C7529F}"/>
    <cellStyle name="20% - Accent6 2 2 2 2 2 2 2 3 2" xfId="34023" xr:uid="{A8B0AA3E-5368-4165-BE39-BD2106E03459}"/>
    <cellStyle name="20% - Accent6 2 2 2 2 2 2 2 4" xfId="34020" xr:uid="{2A818E59-83EA-441E-8867-DEB5E133B6D7}"/>
    <cellStyle name="20% - Accent6 2 2 2 2 2 2 3" xfId="10253" xr:uid="{26252E4F-96BA-48BF-B2B1-94C510F734A6}"/>
    <cellStyle name="20% - Accent6 2 2 2 2 2 2 3 2" xfId="25666" xr:uid="{9837CAF6-AB2A-4746-B44C-C15F9E964B06}"/>
    <cellStyle name="20% - Accent6 2 2 2 2 2 2 3 2 2" xfId="34025" xr:uid="{7FD1924F-DFFC-41CC-844E-C63A2E584F42}"/>
    <cellStyle name="20% - Accent6 2 2 2 2 2 2 3 3" xfId="34024" xr:uid="{BE96AE32-4858-41BB-A79A-A4BC3A11C519}"/>
    <cellStyle name="20% - Accent6 2 2 2 2 2 2 4" xfId="17961" xr:uid="{57A8AC48-82A4-4413-9021-091407CFE750}"/>
    <cellStyle name="20% - Accent6 2 2 2 2 2 2 4 2" xfId="34026" xr:uid="{8E9D3EBE-AF49-412F-A4D7-9ABFF38080F5}"/>
    <cellStyle name="20% - Accent6 2 2 2 2 2 2 5" xfId="34019" xr:uid="{E19D5705-49C3-4417-B6B6-DDB09CC8BC65}"/>
    <cellStyle name="20% - Accent6 2 2 2 2 2 3" xfId="4811" xr:uid="{CC5683A5-265F-4F9A-B91F-A0FC9454E35A}"/>
    <cellStyle name="20% - Accent6 2 2 2 2 2 3 2" xfId="12519" xr:uid="{E2CBB9B5-D4C0-4899-8227-C8AD34044B35}"/>
    <cellStyle name="20% - Accent6 2 2 2 2 2 3 2 2" xfId="27931" xr:uid="{CE03C059-CFA0-44C8-AC84-D46A322D260C}"/>
    <cellStyle name="20% - Accent6 2 2 2 2 2 3 2 2 2" xfId="34029" xr:uid="{F9B6799B-6B56-4290-A8B1-F6680BCB86E2}"/>
    <cellStyle name="20% - Accent6 2 2 2 2 2 3 2 3" xfId="34028" xr:uid="{CB465435-2603-49FA-B603-E573DF81A277}"/>
    <cellStyle name="20% - Accent6 2 2 2 2 2 3 3" xfId="20226" xr:uid="{8838248C-6DDD-4946-820A-90E965977A54}"/>
    <cellStyle name="20% - Accent6 2 2 2 2 2 3 3 2" xfId="34030" xr:uid="{4103F0F4-C7D9-4427-91C2-61762A06545F}"/>
    <cellStyle name="20% - Accent6 2 2 2 2 2 3 4" xfId="34027" xr:uid="{D6729647-1193-488C-AB18-9A45923E7319}"/>
    <cellStyle name="20% - Accent6 2 2 2 2 2 4" xfId="8794" xr:uid="{9E04466F-0A60-49E4-84B4-8B2E5824A1E9}"/>
    <cellStyle name="20% - Accent6 2 2 2 2 2 4 2" xfId="24207" xr:uid="{AA973C7C-8F40-4890-B906-5944754E3712}"/>
    <cellStyle name="20% - Accent6 2 2 2 2 2 4 2 2" xfId="34032" xr:uid="{3184A8BF-A417-4E73-8958-5DBCA6A64ACB}"/>
    <cellStyle name="20% - Accent6 2 2 2 2 2 4 3" xfId="34031" xr:uid="{84F166E8-386A-40E5-AB57-6A37EA8470CB}"/>
    <cellStyle name="20% - Accent6 2 2 2 2 2 5" xfId="16502" xr:uid="{24899E9A-EF9A-4FEF-9B96-7A015EF140A6}"/>
    <cellStyle name="20% - Accent6 2 2 2 2 2 5 2" xfId="34033" xr:uid="{87D23B3D-6791-4ED0-86CB-29FE553D42A9}"/>
    <cellStyle name="20% - Accent6 2 2 2 2 2 6" xfId="34018" xr:uid="{2C481353-3498-47D4-98C3-7691009CC55D}"/>
    <cellStyle name="20% - Accent6 2 2 2 2 3" xfId="1904" xr:uid="{9506DBEB-19CB-4EDF-9383-CDAAF7CF952D}"/>
    <cellStyle name="20% - Accent6 2 2 2 2 3 2" xfId="5636" xr:uid="{5E3EF1F8-7F66-4492-92E1-98DA6187F382}"/>
    <cellStyle name="20% - Accent6 2 2 2 2 3 2 2" xfId="13344" xr:uid="{635DB71D-F513-4495-B1F6-092CAB4350A6}"/>
    <cellStyle name="20% - Accent6 2 2 2 2 3 2 2 2" xfId="28756" xr:uid="{AE141E4D-02DB-4A35-A17C-E801231F3EAC}"/>
    <cellStyle name="20% - Accent6 2 2 2 2 3 2 2 2 2" xfId="34037" xr:uid="{02A83440-70B0-438B-B5A1-EB7918C097FA}"/>
    <cellStyle name="20% - Accent6 2 2 2 2 3 2 2 3" xfId="34036" xr:uid="{B51CD398-3CB5-48A2-B787-4FC15AB7328A}"/>
    <cellStyle name="20% - Accent6 2 2 2 2 3 2 3" xfId="21051" xr:uid="{691C152F-33CB-40C6-868E-3243E91E6767}"/>
    <cellStyle name="20% - Accent6 2 2 2 2 3 2 3 2" xfId="34038" xr:uid="{5B0579CE-2D1C-4423-B2BE-30913A0FD4C2}"/>
    <cellStyle name="20% - Accent6 2 2 2 2 3 2 4" xfId="34035" xr:uid="{5931E625-1D77-4492-8FA1-F03D9598BC4F}"/>
    <cellStyle name="20% - Accent6 2 2 2 2 3 3" xfId="9615" xr:uid="{97E2BAF0-AC0E-4F7F-A110-4F7FBFD6748A}"/>
    <cellStyle name="20% - Accent6 2 2 2 2 3 3 2" xfId="25028" xr:uid="{82765A2C-762A-480C-AB95-8330028C6D44}"/>
    <cellStyle name="20% - Accent6 2 2 2 2 3 3 2 2" xfId="34040" xr:uid="{716B1A04-85A5-49FA-A05E-2E03EAF2DFF9}"/>
    <cellStyle name="20% - Accent6 2 2 2 2 3 3 3" xfId="34039" xr:uid="{5EB2A3D6-F4F2-488C-A202-499CE9F0FA5A}"/>
    <cellStyle name="20% - Accent6 2 2 2 2 3 4" xfId="17323" xr:uid="{4376045E-50BD-4524-AD20-9A838B1E40CC}"/>
    <cellStyle name="20% - Accent6 2 2 2 2 3 4 2" xfId="34041" xr:uid="{B9183755-6159-4E59-94DF-FC0CA990A416}"/>
    <cellStyle name="20% - Accent6 2 2 2 2 3 5" xfId="34034" xr:uid="{01FCB3C1-3AB6-4568-A7CC-D31445E2FCAA}"/>
    <cellStyle name="20% - Accent6 2 2 2 2 4" xfId="4159" xr:uid="{F1FD43A7-738E-4BA7-AC2B-4C0964FFFDFD}"/>
    <cellStyle name="20% - Accent6 2 2 2 2 4 2" xfId="11867" xr:uid="{4762C969-78A7-42CE-85CC-D454C989254D}"/>
    <cellStyle name="20% - Accent6 2 2 2 2 4 2 2" xfId="27279" xr:uid="{5E7B8CE7-AD5F-4CCE-9DAA-4B1B88173E88}"/>
    <cellStyle name="20% - Accent6 2 2 2 2 4 2 2 2" xfId="34044" xr:uid="{2A542A9A-4BB2-4C5C-ACB7-09F07CBE4D8C}"/>
    <cellStyle name="20% - Accent6 2 2 2 2 4 2 3" xfId="34043" xr:uid="{848969A1-615A-4A2A-BE4D-7685431A264B}"/>
    <cellStyle name="20% - Accent6 2 2 2 2 4 3" xfId="19574" xr:uid="{20600D51-2D67-4688-9E30-5C02BAF489D6}"/>
    <cellStyle name="20% - Accent6 2 2 2 2 4 3 2" xfId="34045" xr:uid="{C20FB43C-743A-43C2-9C51-FE59C4BEDFDF}"/>
    <cellStyle name="20% - Accent6 2 2 2 2 4 4" xfId="34042" xr:uid="{57D97EC9-AB24-49DE-8EB8-1AAA7FB25771}"/>
    <cellStyle name="20% - Accent6 2 2 2 2 5" xfId="8156" xr:uid="{934B63BE-326F-4D64-808E-9B6FED190E34}"/>
    <cellStyle name="20% - Accent6 2 2 2 2 5 2" xfId="23569" xr:uid="{21CD0C55-122C-4AB9-B39D-5A371B089A40}"/>
    <cellStyle name="20% - Accent6 2 2 2 2 5 2 2" xfId="34047" xr:uid="{8B73907B-0B53-486B-8225-0A5E8553C7DD}"/>
    <cellStyle name="20% - Accent6 2 2 2 2 5 3" xfId="34046" xr:uid="{49146A50-2572-4F69-805F-4823FB7E7D45}"/>
    <cellStyle name="20% - Accent6 2 2 2 2 6" xfId="15864" xr:uid="{ED3F239E-0206-4D30-8BF1-BF5BCA7DE083}"/>
    <cellStyle name="20% - Accent6 2 2 2 2 6 2" xfId="34048" xr:uid="{AA39705A-2411-4CB2-9A3F-D3513DE8C6A3}"/>
    <cellStyle name="20% - Accent6 2 2 2 2 7" xfId="34017" xr:uid="{F67F804D-BFC3-4F12-A98E-9FF5A2F95337}"/>
    <cellStyle name="20% - Accent6 2 2 2 3" xfId="873" xr:uid="{47728DE2-2414-4F82-AF4C-4455ED8742F0}"/>
    <cellStyle name="20% - Accent6 2 2 2 3 2" xfId="2344" xr:uid="{566B879B-D418-4D37-B47C-98D77340079D}"/>
    <cellStyle name="20% - Accent6 2 2 2 3 2 2" xfId="6076" xr:uid="{C083DCBE-C169-4F2D-8CFF-CBB7C6B2AA38}"/>
    <cellStyle name="20% - Accent6 2 2 2 3 2 2 2" xfId="13784" xr:uid="{705B34D4-741E-4A3A-B485-6B2809BB5862}"/>
    <cellStyle name="20% - Accent6 2 2 2 3 2 2 2 2" xfId="29196" xr:uid="{142CF50F-C766-44F9-8117-80119C47C57C}"/>
    <cellStyle name="20% - Accent6 2 2 2 3 2 2 2 2 2" xfId="34053" xr:uid="{AA24D202-B4F8-4E61-B079-65EA88E74AD5}"/>
    <cellStyle name="20% - Accent6 2 2 2 3 2 2 2 3" xfId="34052" xr:uid="{7A907347-CB48-472F-B98F-7A8AD6C31E67}"/>
    <cellStyle name="20% - Accent6 2 2 2 3 2 2 3" xfId="21491" xr:uid="{05DB4974-0151-42CC-9B52-D66A36F0AF63}"/>
    <cellStyle name="20% - Accent6 2 2 2 3 2 2 3 2" xfId="34054" xr:uid="{8CBFEE2B-8854-492E-A7A6-8807CD98DDDB}"/>
    <cellStyle name="20% - Accent6 2 2 2 3 2 2 4" xfId="34051" xr:uid="{F7C65BC7-FA84-42D6-BF1D-39D980F57264}"/>
    <cellStyle name="20% - Accent6 2 2 2 3 2 3" xfId="10055" xr:uid="{0EFF2F42-127D-48CD-8EAF-96439815C645}"/>
    <cellStyle name="20% - Accent6 2 2 2 3 2 3 2" xfId="25468" xr:uid="{C8E9CEDC-2DDC-40D4-99BE-BFAD67B1AD38}"/>
    <cellStyle name="20% - Accent6 2 2 2 3 2 3 2 2" xfId="34056" xr:uid="{C36775AD-9726-47B9-9CEB-031B9C7BBBB7}"/>
    <cellStyle name="20% - Accent6 2 2 2 3 2 3 3" xfId="34055" xr:uid="{8DD50B8F-2DD4-46F5-A604-BC76A0A23001}"/>
    <cellStyle name="20% - Accent6 2 2 2 3 2 4" xfId="17763" xr:uid="{29D6BEA0-B709-4BB0-AE68-BD5250CE3EB7}"/>
    <cellStyle name="20% - Accent6 2 2 2 3 2 4 2" xfId="34057" xr:uid="{EBF0AD5C-BF59-43FF-9F9D-9B32F30411D6}"/>
    <cellStyle name="20% - Accent6 2 2 2 3 2 5" xfId="34050" xr:uid="{ED5077CB-FDAD-42E9-A2D4-2FBA0E413281}"/>
    <cellStyle name="20% - Accent6 2 2 2 3 3" xfId="4610" xr:uid="{BD65F552-3A40-4A34-946F-BE1E41E67F07}"/>
    <cellStyle name="20% - Accent6 2 2 2 3 3 2" xfId="12318" xr:uid="{177635BC-5C7B-4642-9F9A-FF5B010FCD04}"/>
    <cellStyle name="20% - Accent6 2 2 2 3 3 2 2" xfId="27730" xr:uid="{6734F043-8243-4C4F-8FC3-E85FF5EDB956}"/>
    <cellStyle name="20% - Accent6 2 2 2 3 3 2 2 2" xfId="34060" xr:uid="{10DEF9D9-DACB-49F9-B9A5-C8000261E832}"/>
    <cellStyle name="20% - Accent6 2 2 2 3 3 2 3" xfId="34059" xr:uid="{276AE87E-28BF-4A2D-AF0F-634EC04CE913}"/>
    <cellStyle name="20% - Accent6 2 2 2 3 3 3" xfId="20025" xr:uid="{69E44744-3D7C-40A1-B237-8E128C580EFF}"/>
    <cellStyle name="20% - Accent6 2 2 2 3 3 3 2" xfId="34061" xr:uid="{E50CD5FC-3972-4A6C-A8D2-D0F1B0C8EECC}"/>
    <cellStyle name="20% - Accent6 2 2 2 3 3 4" xfId="34058" xr:uid="{493AFB67-37ED-4932-BACD-CC2F5435E912}"/>
    <cellStyle name="20% - Accent6 2 2 2 3 4" xfId="8596" xr:uid="{3DE18EF5-DE1E-4C29-8939-FE93E2BD766B}"/>
    <cellStyle name="20% - Accent6 2 2 2 3 4 2" xfId="24009" xr:uid="{3E94B899-5750-4972-8CAB-70370174829C}"/>
    <cellStyle name="20% - Accent6 2 2 2 3 4 2 2" xfId="34063" xr:uid="{57294D41-6AA7-4408-A297-503B9ACFC97A}"/>
    <cellStyle name="20% - Accent6 2 2 2 3 4 3" xfId="34062" xr:uid="{3F59951A-353C-42D8-8B43-6BE933FF03BD}"/>
    <cellStyle name="20% - Accent6 2 2 2 3 5" xfId="16304" xr:uid="{C6CAA016-2632-4295-9B96-3E4F29E431DC}"/>
    <cellStyle name="20% - Accent6 2 2 2 3 5 2" xfId="34064" xr:uid="{C71E0436-FE03-4C45-B8BC-25D64471469F}"/>
    <cellStyle name="20% - Accent6 2 2 2 3 6" xfId="34049" xr:uid="{3B0A52D6-5E20-4C4F-A5B5-88C366791CC2}"/>
    <cellStyle name="20% - Accent6 2 2 2 4" xfId="1706" xr:uid="{1D02371D-A1DF-4F72-87F2-20B905F7F0D7}"/>
    <cellStyle name="20% - Accent6 2 2 2 4 2" xfId="5438" xr:uid="{E3BE30A6-F0CB-45F0-8B52-61EF2C77443B}"/>
    <cellStyle name="20% - Accent6 2 2 2 4 2 2" xfId="13146" xr:uid="{7841B54F-1884-43BC-A21A-5296DBEC2C80}"/>
    <cellStyle name="20% - Accent6 2 2 2 4 2 2 2" xfId="28558" xr:uid="{91A968BB-57C4-488A-AC15-5E99DEDF1918}"/>
    <cellStyle name="20% - Accent6 2 2 2 4 2 2 2 2" xfId="34068" xr:uid="{69E68DA6-4E3B-40E2-A863-025EF81EEB93}"/>
    <cellStyle name="20% - Accent6 2 2 2 4 2 2 3" xfId="34067" xr:uid="{3A173590-1EE8-4040-9239-51DA4378022C}"/>
    <cellStyle name="20% - Accent6 2 2 2 4 2 3" xfId="20853" xr:uid="{00DC90CC-0A9D-430C-B032-17467B864A93}"/>
    <cellStyle name="20% - Accent6 2 2 2 4 2 3 2" xfId="34069" xr:uid="{082BD43E-B639-45A8-86D4-4FFAF66FE44A}"/>
    <cellStyle name="20% - Accent6 2 2 2 4 2 4" xfId="34066" xr:uid="{2645EA73-FDF8-4E4C-8038-21932115C6D7}"/>
    <cellStyle name="20% - Accent6 2 2 2 4 3" xfId="9417" xr:uid="{739B7304-A389-4713-8D25-F7949A2A6CC8}"/>
    <cellStyle name="20% - Accent6 2 2 2 4 3 2" xfId="24830" xr:uid="{892C332C-8889-45C3-B0F7-672DE8D08DB8}"/>
    <cellStyle name="20% - Accent6 2 2 2 4 3 2 2" xfId="34071" xr:uid="{866989E3-8E08-4940-A459-1ED25D775319}"/>
    <cellStyle name="20% - Accent6 2 2 2 4 3 3" xfId="34070" xr:uid="{69A7C9C0-3A99-415D-A261-A0E33877B5B6}"/>
    <cellStyle name="20% - Accent6 2 2 2 4 4" xfId="17125" xr:uid="{66560785-641A-462F-A9C9-E02877A0A702}"/>
    <cellStyle name="20% - Accent6 2 2 2 4 4 2" xfId="34072" xr:uid="{1CF14759-C31C-4EE8-9F7A-6BBEC58E1D80}"/>
    <cellStyle name="20% - Accent6 2 2 2 4 5" xfId="34065" xr:uid="{7AE85AEE-D9B9-4C82-B60C-27331691CEA9}"/>
    <cellStyle name="20% - Accent6 2 2 2 5" xfId="3958" xr:uid="{9C53094C-0227-487E-A108-EA97CC5432D2}"/>
    <cellStyle name="20% - Accent6 2 2 2 5 2" xfId="11666" xr:uid="{41089B2B-81A9-464F-AFD0-134B3490F4C5}"/>
    <cellStyle name="20% - Accent6 2 2 2 5 2 2" xfId="27078" xr:uid="{A8DAEDF8-B74F-4425-BC05-1E760A1D9A5D}"/>
    <cellStyle name="20% - Accent6 2 2 2 5 2 2 2" xfId="34075" xr:uid="{FBD60F26-0345-483A-B2F9-4E3294AE9561}"/>
    <cellStyle name="20% - Accent6 2 2 2 5 2 3" xfId="34074" xr:uid="{A6D3392A-7D3B-441F-B853-DB44D7C07B17}"/>
    <cellStyle name="20% - Accent6 2 2 2 5 3" xfId="19373" xr:uid="{2A6ADB15-B975-4744-9ACF-C16E9DA7517B}"/>
    <cellStyle name="20% - Accent6 2 2 2 5 3 2" xfId="34076" xr:uid="{BDE299EA-0D90-4EC5-A9FB-391B907A3091}"/>
    <cellStyle name="20% - Accent6 2 2 2 5 4" xfId="34073" xr:uid="{B025D37E-F51E-40C9-995A-3803EF4EF11B}"/>
    <cellStyle name="20% - Accent6 2 2 2 6" xfId="7958" xr:uid="{72912702-B538-498B-AF81-EDCE320FD887}"/>
    <cellStyle name="20% - Accent6 2 2 2 6 2" xfId="23371" xr:uid="{6357D19D-3D9F-4DF4-B539-F37394C27BEE}"/>
    <cellStyle name="20% - Accent6 2 2 2 6 2 2" xfId="34078" xr:uid="{FDCA06FA-3503-4E32-A2F7-CD790298C4B4}"/>
    <cellStyle name="20% - Accent6 2 2 2 6 3" xfId="34077" xr:uid="{F32D68CE-2689-429A-AC24-C1D0D64279CE}"/>
    <cellStyle name="20% - Accent6 2 2 2 7" xfId="15666" xr:uid="{16EA27A3-2198-4FA3-82C0-7D55535F36F5}"/>
    <cellStyle name="20% - Accent6 2 2 2 7 2" xfId="34079" xr:uid="{F5E33748-1000-4BB3-9340-0499E61965A7}"/>
    <cellStyle name="20% - Accent6 2 2 2 8" xfId="34016" xr:uid="{3D6E9456-1458-418C-B821-BBEC1670EFA9}"/>
    <cellStyle name="20% - Accent6 2 2 3" xfId="361" xr:uid="{E7480A2E-A3CD-4149-8D98-323EC722C9B5}"/>
    <cellStyle name="20% - Accent6 2 2 3 2" xfId="1023" xr:uid="{F3915930-F512-464A-9005-6C9AD691A388}"/>
    <cellStyle name="20% - Accent6 2 2 3 2 2" xfId="2492" xr:uid="{1D5B9751-8F37-4566-AE14-E8BCEEDDDFD2}"/>
    <cellStyle name="20% - Accent6 2 2 3 2 2 2" xfId="6224" xr:uid="{43E6770F-E986-4C72-A31D-473E9F5B197A}"/>
    <cellStyle name="20% - Accent6 2 2 3 2 2 2 2" xfId="13932" xr:uid="{73C0670A-4FB3-46D8-8AD2-22FCB1478EF3}"/>
    <cellStyle name="20% - Accent6 2 2 3 2 2 2 2 2" xfId="29344" xr:uid="{F50E699F-EA4D-4E06-9839-EBC995D44F9F}"/>
    <cellStyle name="20% - Accent6 2 2 3 2 2 2 2 2 2" xfId="34085" xr:uid="{785EA03C-5E20-4691-8F9B-BECFD49457CC}"/>
    <cellStyle name="20% - Accent6 2 2 3 2 2 2 2 3" xfId="34084" xr:uid="{860243FE-6729-415D-A112-668B78FD0D54}"/>
    <cellStyle name="20% - Accent6 2 2 3 2 2 2 3" xfId="21639" xr:uid="{14B0EE1D-6857-487F-B893-4015A80656A6}"/>
    <cellStyle name="20% - Accent6 2 2 3 2 2 2 3 2" xfId="34086" xr:uid="{833AE51F-1878-4DF5-B0F7-A22A50C3BE57}"/>
    <cellStyle name="20% - Accent6 2 2 3 2 2 2 4" xfId="34083" xr:uid="{7BB8257D-6CE2-4407-AA41-AB459D94BB3D}"/>
    <cellStyle name="20% - Accent6 2 2 3 2 2 3" xfId="10203" xr:uid="{679C5F28-1245-4CBE-BF64-2A0676B47FC7}"/>
    <cellStyle name="20% - Accent6 2 2 3 2 2 3 2" xfId="25616" xr:uid="{AC8C4AB4-784D-48FE-901B-A951BFDBF32B}"/>
    <cellStyle name="20% - Accent6 2 2 3 2 2 3 2 2" xfId="34088" xr:uid="{2A56D4CD-231E-404C-99F7-EDF8DECDB1DB}"/>
    <cellStyle name="20% - Accent6 2 2 3 2 2 3 3" xfId="34087" xr:uid="{A2814BFB-FF4D-42DF-84AF-5EA2B0924687}"/>
    <cellStyle name="20% - Accent6 2 2 3 2 2 4" xfId="17911" xr:uid="{13F2A2B3-427A-4537-ABFD-4F393C8EEAEE}"/>
    <cellStyle name="20% - Accent6 2 2 3 2 2 4 2" xfId="34089" xr:uid="{DEA8A39B-DE0A-4596-B0D3-A531ECF0C2DA}"/>
    <cellStyle name="20% - Accent6 2 2 3 2 2 5" xfId="34082" xr:uid="{DF81B8D4-CB9C-4D36-933B-74F079AF92BB}"/>
    <cellStyle name="20% - Accent6 2 2 3 2 3" xfId="4760" xr:uid="{8BDA4D05-491A-4CDA-AFC8-697EC90FD966}"/>
    <cellStyle name="20% - Accent6 2 2 3 2 3 2" xfId="12468" xr:uid="{96662F2D-E5BE-4C55-828B-F0013FA537DC}"/>
    <cellStyle name="20% - Accent6 2 2 3 2 3 2 2" xfId="27880" xr:uid="{22A8AEBF-CB5A-489B-8036-AE7AE3AC41C0}"/>
    <cellStyle name="20% - Accent6 2 2 3 2 3 2 2 2" xfId="34092" xr:uid="{AEA1C78A-2DA7-4A25-AA2D-F61F375A5A9A}"/>
    <cellStyle name="20% - Accent6 2 2 3 2 3 2 3" xfId="34091" xr:uid="{8D34500B-DC21-4E77-A5C2-FFEF2EDD97E4}"/>
    <cellStyle name="20% - Accent6 2 2 3 2 3 3" xfId="20175" xr:uid="{76918478-71FF-4C43-9039-0DABD11DAFD4}"/>
    <cellStyle name="20% - Accent6 2 2 3 2 3 3 2" xfId="34093" xr:uid="{B7E4F25B-506C-4033-BAC2-4F59952342C5}"/>
    <cellStyle name="20% - Accent6 2 2 3 2 3 4" xfId="34090" xr:uid="{C0B35E58-2C3B-4986-8D84-9C2913AF56D0}"/>
    <cellStyle name="20% - Accent6 2 2 3 2 4" xfId="8744" xr:uid="{B1164830-F283-458A-9F85-2FFB969380D9}"/>
    <cellStyle name="20% - Accent6 2 2 3 2 4 2" xfId="24157" xr:uid="{740DE2E8-3897-4C39-90CB-407CD9D62980}"/>
    <cellStyle name="20% - Accent6 2 2 3 2 4 2 2" xfId="34095" xr:uid="{6C3CC420-C7A4-4174-8AB4-63C2259EE622}"/>
    <cellStyle name="20% - Accent6 2 2 3 2 4 3" xfId="34094" xr:uid="{720E440A-B01F-43C8-9923-5AA7B3530875}"/>
    <cellStyle name="20% - Accent6 2 2 3 2 5" xfId="16452" xr:uid="{8679DC54-94BB-4DA4-8920-7894A190A998}"/>
    <cellStyle name="20% - Accent6 2 2 3 2 5 2" xfId="34096" xr:uid="{DCCBB670-52B1-493A-B56C-D3CA223FC999}"/>
    <cellStyle name="20% - Accent6 2 2 3 2 6" xfId="34081" xr:uid="{7DCC2997-49AC-415B-AAFA-D84013DAE210}"/>
    <cellStyle name="20% - Accent6 2 2 3 3" xfId="1854" xr:uid="{D19B3A96-142E-43C6-9CE7-429D04B86220}"/>
    <cellStyle name="20% - Accent6 2 2 3 3 2" xfId="5586" xr:uid="{EBDBEA5C-9DEB-4F8E-939E-D3433D8192F6}"/>
    <cellStyle name="20% - Accent6 2 2 3 3 2 2" xfId="13294" xr:uid="{10B2037A-2DCE-4F31-B9F9-074ACEEAE6FC}"/>
    <cellStyle name="20% - Accent6 2 2 3 3 2 2 2" xfId="28706" xr:uid="{ECB25B3D-B92B-4EAC-90A9-69C8A05D058E}"/>
    <cellStyle name="20% - Accent6 2 2 3 3 2 2 2 2" xfId="34100" xr:uid="{C55CAE0A-3483-4D2B-99E2-C1344C162531}"/>
    <cellStyle name="20% - Accent6 2 2 3 3 2 2 3" xfId="34099" xr:uid="{641F730A-82AE-4095-9D77-E25A0ABCD501}"/>
    <cellStyle name="20% - Accent6 2 2 3 3 2 3" xfId="21001" xr:uid="{B7688EA8-6E77-4421-AB05-49BA382CE533}"/>
    <cellStyle name="20% - Accent6 2 2 3 3 2 3 2" xfId="34101" xr:uid="{1F13FF7D-26A6-4783-9AF3-2284D6519020}"/>
    <cellStyle name="20% - Accent6 2 2 3 3 2 4" xfId="34098" xr:uid="{FF8368B7-2E98-4D2F-8574-F6798BC71A89}"/>
    <cellStyle name="20% - Accent6 2 2 3 3 3" xfId="9565" xr:uid="{4617CD2B-9F3F-414D-92D6-51F364DF327B}"/>
    <cellStyle name="20% - Accent6 2 2 3 3 3 2" xfId="24978" xr:uid="{B3FE3733-888B-4F25-8C79-BA17474C8FA5}"/>
    <cellStyle name="20% - Accent6 2 2 3 3 3 2 2" xfId="34103" xr:uid="{6731D326-3C3D-44AC-BBAD-9D0850BB46F5}"/>
    <cellStyle name="20% - Accent6 2 2 3 3 3 3" xfId="34102" xr:uid="{62905FF4-BB83-46CF-A71D-6778E46ADC42}"/>
    <cellStyle name="20% - Accent6 2 2 3 3 4" xfId="17273" xr:uid="{3576E6F2-F6E9-488A-9342-5C7F95041B80}"/>
    <cellStyle name="20% - Accent6 2 2 3 3 4 2" xfId="34104" xr:uid="{CFAEF686-AB9C-4D80-BDC1-39C1EB76F2B8}"/>
    <cellStyle name="20% - Accent6 2 2 3 3 5" xfId="34097" xr:uid="{9E1C173C-FC95-4B6D-93D3-B81EF02AF4E0}"/>
    <cellStyle name="20% - Accent6 2 2 3 4" xfId="4108" xr:uid="{D946C5DB-D6C0-4945-BD1A-7C6A1414C9ED}"/>
    <cellStyle name="20% - Accent6 2 2 3 4 2" xfId="11816" xr:uid="{5AF94C9F-BA5B-4021-81F4-BC1D1371AAF3}"/>
    <cellStyle name="20% - Accent6 2 2 3 4 2 2" xfId="27228" xr:uid="{3B72BE8E-2221-47C3-B257-AD083FCAC9BD}"/>
    <cellStyle name="20% - Accent6 2 2 3 4 2 2 2" xfId="34107" xr:uid="{CEB5DA09-962E-414B-AAD9-2EBC5B22A18D}"/>
    <cellStyle name="20% - Accent6 2 2 3 4 2 3" xfId="34106" xr:uid="{574D6E50-917C-4116-AAAF-3A71C5921464}"/>
    <cellStyle name="20% - Accent6 2 2 3 4 3" xfId="19523" xr:uid="{FC15FA41-3D56-47A9-9C77-5A43C615B1F1}"/>
    <cellStyle name="20% - Accent6 2 2 3 4 3 2" xfId="34108" xr:uid="{99B3451A-AB07-41BE-BA87-54484B35B72B}"/>
    <cellStyle name="20% - Accent6 2 2 3 4 4" xfId="34105" xr:uid="{F61C0C5B-C3D2-4A0E-97F6-3B02AF45ACE9}"/>
    <cellStyle name="20% - Accent6 2 2 3 5" xfId="8106" xr:uid="{64C30001-66BC-412D-A6C6-0A3915870D53}"/>
    <cellStyle name="20% - Accent6 2 2 3 5 2" xfId="23519" xr:uid="{B21239DA-669D-481B-9FD7-E324BDF684E1}"/>
    <cellStyle name="20% - Accent6 2 2 3 5 2 2" xfId="34110" xr:uid="{A9C1B8B7-FFB1-49AA-A204-3E88741C0D77}"/>
    <cellStyle name="20% - Accent6 2 2 3 5 3" xfId="34109" xr:uid="{F9982F85-8C6D-4758-9AE1-BAA8BCEC077C}"/>
    <cellStyle name="20% - Accent6 2 2 3 6" xfId="15814" xr:uid="{C235C62B-12CE-41E0-8686-A69DF6453663}"/>
    <cellStyle name="20% - Accent6 2 2 3 6 2" xfId="34111" xr:uid="{0095E7A9-F054-4A64-B13B-8C0958DA7404}"/>
    <cellStyle name="20% - Accent6 2 2 3 7" xfId="34080" xr:uid="{CF1B6F23-802B-49B9-87EE-8835307DE16A}"/>
    <cellStyle name="20% - Accent6 2 2 4" xfId="817" xr:uid="{4ABB31EF-64BB-4CA6-9A4D-E6B109607A98}"/>
    <cellStyle name="20% - Accent6 2 2 4 2" xfId="2294" xr:uid="{7F49A6F4-00FD-4F59-9936-590C883E0269}"/>
    <cellStyle name="20% - Accent6 2 2 4 2 2" xfId="6026" xr:uid="{23FFA10E-5149-4AEC-9FE2-DBDE3730ADD6}"/>
    <cellStyle name="20% - Accent6 2 2 4 2 2 2" xfId="13734" xr:uid="{B0A752F8-91B9-4E5E-890F-ACD01C94E117}"/>
    <cellStyle name="20% - Accent6 2 2 4 2 2 2 2" xfId="29146" xr:uid="{B77B7D02-4779-412A-83DE-CBDACA3E9896}"/>
    <cellStyle name="20% - Accent6 2 2 4 2 2 2 2 2" xfId="34116" xr:uid="{D94631AB-8CDA-4281-8B53-D045ABF222BC}"/>
    <cellStyle name="20% - Accent6 2 2 4 2 2 2 3" xfId="34115" xr:uid="{286A3479-21C2-4F33-83C1-CA55AEEDEDBC}"/>
    <cellStyle name="20% - Accent6 2 2 4 2 2 3" xfId="21441" xr:uid="{C4C11949-C6C5-4138-8D56-4373A767DCD5}"/>
    <cellStyle name="20% - Accent6 2 2 4 2 2 3 2" xfId="34117" xr:uid="{E5FA33E2-700C-41E6-932D-DC2DDCFC5964}"/>
    <cellStyle name="20% - Accent6 2 2 4 2 2 4" xfId="34114" xr:uid="{B1778C5D-4AE9-4533-A63F-76BF48EA751A}"/>
    <cellStyle name="20% - Accent6 2 2 4 2 3" xfId="10005" xr:uid="{E9EEB462-9EC1-4055-945A-B01AB2173A61}"/>
    <cellStyle name="20% - Accent6 2 2 4 2 3 2" xfId="25418" xr:uid="{5B9F9729-6E67-4939-B04A-F30EE09958C9}"/>
    <cellStyle name="20% - Accent6 2 2 4 2 3 2 2" xfId="34119" xr:uid="{CF436DA2-D484-4143-91FC-3720C8067BFB}"/>
    <cellStyle name="20% - Accent6 2 2 4 2 3 3" xfId="34118" xr:uid="{931AD646-A90F-40B5-AAF8-55A2AF89E8D8}"/>
    <cellStyle name="20% - Accent6 2 2 4 2 4" xfId="17713" xr:uid="{CECFABA8-A029-42E5-BB2E-FA48FFB09B35}"/>
    <cellStyle name="20% - Accent6 2 2 4 2 4 2" xfId="34120" xr:uid="{8796EA8C-45A6-46E5-AE02-177BF1278A8E}"/>
    <cellStyle name="20% - Accent6 2 2 4 2 5" xfId="34113" xr:uid="{38EA51D8-4B47-4F1A-ADD7-18450265DB09}"/>
    <cellStyle name="20% - Accent6 2 2 4 3" xfId="4554" xr:uid="{2025ED12-2B24-4986-8E36-99F9FDC89FD4}"/>
    <cellStyle name="20% - Accent6 2 2 4 3 2" xfId="12262" xr:uid="{B7541528-C2F7-4E0B-9905-8647408DF1C1}"/>
    <cellStyle name="20% - Accent6 2 2 4 3 2 2" xfId="27674" xr:uid="{E0D7818A-E4B1-4281-A951-79908682A69A}"/>
    <cellStyle name="20% - Accent6 2 2 4 3 2 2 2" xfId="34123" xr:uid="{08B51165-4594-492F-9FCD-71038DB33563}"/>
    <cellStyle name="20% - Accent6 2 2 4 3 2 3" xfId="34122" xr:uid="{2ECCDF44-0D94-4873-A8D4-7A998C9DDBA2}"/>
    <cellStyle name="20% - Accent6 2 2 4 3 3" xfId="19969" xr:uid="{073357FB-3DB0-4CB5-80A7-F5D112D48DF2}"/>
    <cellStyle name="20% - Accent6 2 2 4 3 3 2" xfId="34124" xr:uid="{5E69DEF9-1431-4CA7-A79C-358AB4B6D609}"/>
    <cellStyle name="20% - Accent6 2 2 4 3 4" xfId="34121" xr:uid="{84F2CF9F-7861-4EDB-9CB9-0BEF2940D13B}"/>
    <cellStyle name="20% - Accent6 2 2 4 4" xfId="8546" xr:uid="{4338FFAE-82C4-416B-9C31-EFC7BB9AFD8F}"/>
    <cellStyle name="20% - Accent6 2 2 4 4 2" xfId="23959" xr:uid="{3EE6D5F4-E148-41F6-AE35-47E418118C5D}"/>
    <cellStyle name="20% - Accent6 2 2 4 4 2 2" xfId="34126" xr:uid="{A2AAFD49-539D-48F3-BEBC-148C2DED2CF0}"/>
    <cellStyle name="20% - Accent6 2 2 4 4 3" xfId="34125" xr:uid="{E94B5AFF-6572-415C-824F-12C7A88B2895}"/>
    <cellStyle name="20% - Accent6 2 2 4 5" xfId="16254" xr:uid="{E481D9FC-DE8F-4E5E-BC5F-57083D20A3E7}"/>
    <cellStyle name="20% - Accent6 2 2 4 5 2" xfId="34127" xr:uid="{C686045E-0413-4EDE-9DE4-4989C193922E}"/>
    <cellStyle name="20% - Accent6 2 2 4 6" xfId="34112" xr:uid="{384D9F07-75F4-40F7-A179-9FFB8597270E}"/>
    <cellStyle name="20% - Accent6 2 2 5" xfId="1655" xr:uid="{1C7C7A17-77D4-4221-885F-493F6E3F8220}"/>
    <cellStyle name="20% - Accent6 2 2 5 2" xfId="5387" xr:uid="{3D783C01-F9D9-4AFE-8553-81EDCABD5EE1}"/>
    <cellStyle name="20% - Accent6 2 2 5 2 2" xfId="13095" xr:uid="{342FCD20-924D-4F62-AE66-EE1F1001D1BE}"/>
    <cellStyle name="20% - Accent6 2 2 5 2 2 2" xfId="28507" xr:uid="{B243EA6A-6743-46F6-AB50-E1FFABDBA614}"/>
    <cellStyle name="20% - Accent6 2 2 5 2 2 2 2" xfId="34131" xr:uid="{A455E3F8-FCDC-43D6-A2EB-65AC81A5C8C6}"/>
    <cellStyle name="20% - Accent6 2 2 5 2 2 3" xfId="34130" xr:uid="{B682B040-9D61-4292-A307-1F9545083823}"/>
    <cellStyle name="20% - Accent6 2 2 5 2 3" xfId="20802" xr:uid="{B4F481F4-0F0A-4071-992C-C68682FCBA07}"/>
    <cellStyle name="20% - Accent6 2 2 5 2 3 2" xfId="34132" xr:uid="{E61C375B-E2A4-4B75-9923-EF16B9A327B4}"/>
    <cellStyle name="20% - Accent6 2 2 5 2 4" xfId="34129" xr:uid="{1FBF93B8-0EE7-44DA-BB1B-377F2E50A230}"/>
    <cellStyle name="20% - Accent6 2 2 5 3" xfId="9367" xr:uid="{FED9FE6F-D336-4F0A-BC3C-6AD35191DAB0}"/>
    <cellStyle name="20% - Accent6 2 2 5 3 2" xfId="24780" xr:uid="{415F05A0-54BE-4C0E-B665-C94A92E9A323}"/>
    <cellStyle name="20% - Accent6 2 2 5 3 2 2" xfId="34134" xr:uid="{6E6C4D6E-CB04-440D-8BA7-591CD69EC3E1}"/>
    <cellStyle name="20% - Accent6 2 2 5 3 3" xfId="34133" xr:uid="{E95EE6CB-DBC9-45E6-9A92-34B967814B0A}"/>
    <cellStyle name="20% - Accent6 2 2 5 4" xfId="17075" xr:uid="{BDB5B5B8-AFC8-47AF-BB1D-26E215448A56}"/>
    <cellStyle name="20% - Accent6 2 2 5 4 2" xfId="34135" xr:uid="{98DD9219-E62E-486B-8228-2A9EC76FD6D8}"/>
    <cellStyle name="20% - Accent6 2 2 5 5" xfId="34128" xr:uid="{611FF054-6208-4EA6-8F84-16EF26B89FD3}"/>
    <cellStyle name="20% - Accent6 2 2 6" xfId="3902" xr:uid="{0119B1AB-5E1E-4704-A2F2-85C6823F6705}"/>
    <cellStyle name="20% - Accent6 2 2 6 2" xfId="11610" xr:uid="{599F2A6F-D980-477A-90D2-7CC59D57813A}"/>
    <cellStyle name="20% - Accent6 2 2 6 2 2" xfId="27022" xr:uid="{00ACD378-CD20-4BE6-B15E-C462BAC052B3}"/>
    <cellStyle name="20% - Accent6 2 2 6 2 2 2" xfId="34138" xr:uid="{AB3D5B9B-5CBC-4EA5-BD5D-F6E247866DB4}"/>
    <cellStyle name="20% - Accent6 2 2 6 2 3" xfId="34137" xr:uid="{0188B0B8-5C1D-4AAA-A933-D0535889EDA5}"/>
    <cellStyle name="20% - Accent6 2 2 6 3" xfId="19317" xr:uid="{E224E7D5-BE09-4AD7-AC53-A4A293169474}"/>
    <cellStyle name="20% - Accent6 2 2 6 3 2" xfId="34139" xr:uid="{20CB69C9-71D2-4DEE-ABD6-7C0FFFB22E5F}"/>
    <cellStyle name="20% - Accent6 2 2 6 4" xfId="34136" xr:uid="{54694072-1084-417F-BB63-AE7720C36736}"/>
    <cellStyle name="20% - Accent6 2 2 7" xfId="7890" xr:uid="{D495D778-9239-4F3B-B9FD-FFA7F07E70B2}"/>
    <cellStyle name="20% - Accent6 2 2 7 2" xfId="23303" xr:uid="{DB5D43EE-37D6-46C7-90AF-3D56E88AF7D1}"/>
    <cellStyle name="20% - Accent6 2 2 7 2 2" xfId="34141" xr:uid="{059F00C9-972F-43B3-B8F3-0185B2BE02D7}"/>
    <cellStyle name="20% - Accent6 2 2 7 3" xfId="34140" xr:uid="{8BB495D7-402D-4962-AB3D-DBC6D6B46C46}"/>
    <cellStyle name="20% - Accent6 2 2 8" xfId="15598" xr:uid="{71397D7B-DDE5-417C-BD0E-39C50C277B88}"/>
    <cellStyle name="20% - Accent6 2 2 8 2" xfId="34142" xr:uid="{C3760070-0AB6-487B-97F4-52D53602B50D}"/>
    <cellStyle name="20% - Accent6 2 2 9" xfId="34015" xr:uid="{0E68F481-F386-4FBC-9CA8-5B36742E7805}"/>
    <cellStyle name="20% - Accent6 2 3" xfId="188" xr:uid="{382FC09A-A8CE-45DC-96F1-AB1383431C27}"/>
    <cellStyle name="20% - Accent6 2 3 2" xfId="397" xr:uid="{F68E4754-A6EB-4181-96D9-7F478EE5F652}"/>
    <cellStyle name="20% - Accent6 2 3 2 2" xfId="1059" xr:uid="{01797BCB-A765-44BB-A7B9-0FEFEAA2189E}"/>
    <cellStyle name="20% - Accent6 2 3 2 2 2" xfId="2527" xr:uid="{EF402940-56FC-4EEC-8E28-9841816EDC25}"/>
    <cellStyle name="20% - Accent6 2 3 2 2 2 2" xfId="6259" xr:uid="{51FA7661-3A72-48D1-857E-D19E2A541F1F}"/>
    <cellStyle name="20% - Accent6 2 3 2 2 2 2 2" xfId="13967" xr:uid="{BF7772FB-81D1-4F9C-9456-435C7A7CBD1C}"/>
    <cellStyle name="20% - Accent6 2 3 2 2 2 2 2 2" xfId="29379" xr:uid="{521430F4-A438-408B-9090-8F5E3BCAE040}"/>
    <cellStyle name="20% - Accent6 2 3 2 2 2 2 2 2 2" xfId="34149" xr:uid="{36DD26F3-857F-4B42-AFCD-D2DE5EC668C4}"/>
    <cellStyle name="20% - Accent6 2 3 2 2 2 2 2 3" xfId="34148" xr:uid="{5BD5F0BF-FFF9-4FAE-B95C-D9E9C3EB77F9}"/>
    <cellStyle name="20% - Accent6 2 3 2 2 2 2 3" xfId="21674" xr:uid="{9E978FC6-0764-4B34-9007-918D802060DD}"/>
    <cellStyle name="20% - Accent6 2 3 2 2 2 2 3 2" xfId="34150" xr:uid="{20D79215-805F-45DE-A0FB-6A4DDB0F8923}"/>
    <cellStyle name="20% - Accent6 2 3 2 2 2 2 4" xfId="34147" xr:uid="{7E9FF55B-0158-4108-AA10-60409E4600F7}"/>
    <cellStyle name="20% - Accent6 2 3 2 2 2 3" xfId="10238" xr:uid="{5B2D600F-3090-4398-8456-1C8DA86AE866}"/>
    <cellStyle name="20% - Accent6 2 3 2 2 2 3 2" xfId="25651" xr:uid="{C87EB878-D15C-482F-9117-2CB1A5559C35}"/>
    <cellStyle name="20% - Accent6 2 3 2 2 2 3 2 2" xfId="34152" xr:uid="{8C5DD1AE-1994-4542-9CCE-22BB164EC5C5}"/>
    <cellStyle name="20% - Accent6 2 3 2 2 2 3 3" xfId="34151" xr:uid="{D3A1617B-1FAE-46AE-82C3-4086D2CC8F16}"/>
    <cellStyle name="20% - Accent6 2 3 2 2 2 4" xfId="17946" xr:uid="{214A8327-132D-41DF-B156-3412D73ECB56}"/>
    <cellStyle name="20% - Accent6 2 3 2 2 2 4 2" xfId="34153" xr:uid="{21E2C810-0AE7-4157-9205-77F05BC54C63}"/>
    <cellStyle name="20% - Accent6 2 3 2 2 2 5" xfId="34146" xr:uid="{F6C49A19-3BDF-43F5-A9F7-716DD9CD0747}"/>
    <cellStyle name="20% - Accent6 2 3 2 2 3" xfId="4796" xr:uid="{5395ED28-6E95-4A85-B79F-21A04190B5AC}"/>
    <cellStyle name="20% - Accent6 2 3 2 2 3 2" xfId="12504" xr:uid="{7F4D3241-3EFD-418E-A970-BAE6DF2AD060}"/>
    <cellStyle name="20% - Accent6 2 3 2 2 3 2 2" xfId="27916" xr:uid="{BE6D6264-E355-4D1C-899F-D974913F955D}"/>
    <cellStyle name="20% - Accent6 2 3 2 2 3 2 2 2" xfId="34156" xr:uid="{E62FD5CC-0488-4A9F-89A5-CE35C850093F}"/>
    <cellStyle name="20% - Accent6 2 3 2 2 3 2 3" xfId="34155" xr:uid="{509F2084-F253-447A-A880-C75A645BE032}"/>
    <cellStyle name="20% - Accent6 2 3 2 2 3 3" xfId="20211" xr:uid="{42930188-3B9F-4FA6-B79D-FB53B4065A16}"/>
    <cellStyle name="20% - Accent6 2 3 2 2 3 3 2" xfId="34157" xr:uid="{4DEE2511-5085-4443-8550-09D7B19BADC7}"/>
    <cellStyle name="20% - Accent6 2 3 2 2 3 4" xfId="34154" xr:uid="{030E8539-5D07-48A5-89BA-23907357DC71}"/>
    <cellStyle name="20% - Accent6 2 3 2 2 4" xfId="8779" xr:uid="{7275AE6E-7B48-4E50-808F-79704557AD06}"/>
    <cellStyle name="20% - Accent6 2 3 2 2 4 2" xfId="24192" xr:uid="{9F174E63-3956-40B3-A6D8-87315BB031EB}"/>
    <cellStyle name="20% - Accent6 2 3 2 2 4 2 2" xfId="34159" xr:uid="{7D47DBA3-F58C-4A69-AE1B-92501545D555}"/>
    <cellStyle name="20% - Accent6 2 3 2 2 4 3" xfId="34158" xr:uid="{F43E46FA-E4FA-41BA-BE4B-76DD27680CF1}"/>
    <cellStyle name="20% - Accent6 2 3 2 2 5" xfId="16487" xr:uid="{DC6EECBA-B766-4D74-BE23-28181D752DAE}"/>
    <cellStyle name="20% - Accent6 2 3 2 2 5 2" xfId="34160" xr:uid="{F4DC18A5-A496-4494-A1F2-37700C710D75}"/>
    <cellStyle name="20% - Accent6 2 3 2 2 6" xfId="34145" xr:uid="{E9D0D1CC-8D0D-4FF6-B0BC-A499A54FF06D}"/>
    <cellStyle name="20% - Accent6 2 3 2 3" xfId="1889" xr:uid="{8E7507B8-5130-4673-AD5F-F478EE0D42DA}"/>
    <cellStyle name="20% - Accent6 2 3 2 3 2" xfId="5621" xr:uid="{5D42BBB9-2C9C-4DCD-ADFE-081D36348A0F}"/>
    <cellStyle name="20% - Accent6 2 3 2 3 2 2" xfId="13329" xr:uid="{7F5267CE-8C17-43FA-8DA1-C66C274A774E}"/>
    <cellStyle name="20% - Accent6 2 3 2 3 2 2 2" xfId="28741" xr:uid="{AA787B8F-33E4-4821-B0CD-3FABE517D51A}"/>
    <cellStyle name="20% - Accent6 2 3 2 3 2 2 2 2" xfId="34164" xr:uid="{7532A5FD-157A-43EB-843C-2E75FF38A7F5}"/>
    <cellStyle name="20% - Accent6 2 3 2 3 2 2 3" xfId="34163" xr:uid="{F30C3F39-3FDE-4015-A66F-3F5BD3D0040F}"/>
    <cellStyle name="20% - Accent6 2 3 2 3 2 3" xfId="21036" xr:uid="{1B6B92E2-A8D6-4CDE-BD2D-E09D70F16E8A}"/>
    <cellStyle name="20% - Accent6 2 3 2 3 2 3 2" xfId="34165" xr:uid="{9556B97D-94DD-4D7F-A12B-261773B140B4}"/>
    <cellStyle name="20% - Accent6 2 3 2 3 2 4" xfId="34162" xr:uid="{C0D21F89-487F-4718-BDF2-5AC00112F3AF}"/>
    <cellStyle name="20% - Accent6 2 3 2 3 3" xfId="9600" xr:uid="{4266C503-B434-4EF2-B2D4-6056A0AD1143}"/>
    <cellStyle name="20% - Accent6 2 3 2 3 3 2" xfId="25013" xr:uid="{7A253AAD-A750-4E7E-AC0A-6A9937A10DA9}"/>
    <cellStyle name="20% - Accent6 2 3 2 3 3 2 2" xfId="34167" xr:uid="{84112CE3-5F43-4206-9DB7-97B7F21F36C9}"/>
    <cellStyle name="20% - Accent6 2 3 2 3 3 3" xfId="34166" xr:uid="{46A96835-DC62-4B83-9B5F-C9D460126EE4}"/>
    <cellStyle name="20% - Accent6 2 3 2 3 4" xfId="17308" xr:uid="{9ED112B5-2A5A-48D1-A357-CB0979D8A172}"/>
    <cellStyle name="20% - Accent6 2 3 2 3 4 2" xfId="34168" xr:uid="{BCBC86DB-C0BE-4358-BF18-3EEBCAFE3A52}"/>
    <cellStyle name="20% - Accent6 2 3 2 3 5" xfId="34161" xr:uid="{84C093BF-1D98-4C0F-858B-592980573B01}"/>
    <cellStyle name="20% - Accent6 2 3 2 4" xfId="4144" xr:uid="{4CFFAFEA-0702-4FF4-82BE-6553D9EA060B}"/>
    <cellStyle name="20% - Accent6 2 3 2 4 2" xfId="11852" xr:uid="{35D5E2F5-EC06-4D96-B55D-6BCA617D1DAE}"/>
    <cellStyle name="20% - Accent6 2 3 2 4 2 2" xfId="27264" xr:uid="{4CA081F4-6139-4843-9761-673BB40500B0}"/>
    <cellStyle name="20% - Accent6 2 3 2 4 2 2 2" xfId="34171" xr:uid="{6F88970E-C7B6-46EC-890F-50B8571144A6}"/>
    <cellStyle name="20% - Accent6 2 3 2 4 2 3" xfId="34170" xr:uid="{3B820185-2039-4E66-A52A-61EAA2967924}"/>
    <cellStyle name="20% - Accent6 2 3 2 4 3" xfId="19559" xr:uid="{D70BC525-E986-47E1-A174-4212632C5357}"/>
    <cellStyle name="20% - Accent6 2 3 2 4 3 2" xfId="34172" xr:uid="{1C421640-4232-42F2-85D6-C515AC816574}"/>
    <cellStyle name="20% - Accent6 2 3 2 4 4" xfId="34169" xr:uid="{A35D38A0-2EE9-4F73-A891-BB9FA69A9219}"/>
    <cellStyle name="20% - Accent6 2 3 2 5" xfId="8141" xr:uid="{D570A774-2B92-4DE4-ACF3-5D0645BCFA7D}"/>
    <cellStyle name="20% - Accent6 2 3 2 5 2" xfId="23554" xr:uid="{BC09E0EE-DCA9-4B16-8684-33D06F56D0C3}"/>
    <cellStyle name="20% - Accent6 2 3 2 5 2 2" xfId="34174" xr:uid="{C353E989-44CA-475E-8C65-DF8ACBD8008E}"/>
    <cellStyle name="20% - Accent6 2 3 2 5 3" xfId="34173" xr:uid="{AA36C5F8-CFC1-427E-836B-91258EA37176}"/>
    <cellStyle name="20% - Accent6 2 3 2 6" xfId="15849" xr:uid="{B08D1435-7C7B-43EC-A17A-AC8B949D6D6E}"/>
    <cellStyle name="20% - Accent6 2 3 2 6 2" xfId="34175" xr:uid="{B5F3950C-9FE1-4D6B-BD65-2D583EB1478D}"/>
    <cellStyle name="20% - Accent6 2 3 2 7" xfId="34144" xr:uid="{D315FF50-5CFD-4754-8F4A-50616A232AE3}"/>
    <cellStyle name="20% - Accent6 2 3 3" xfId="854" xr:uid="{529EF988-B920-4AD4-BA4D-2B5FAE32CF3C}"/>
    <cellStyle name="20% - Accent6 2 3 3 2" xfId="2329" xr:uid="{6A9B4072-68D5-4B36-B703-3D36822A6D19}"/>
    <cellStyle name="20% - Accent6 2 3 3 2 2" xfId="6061" xr:uid="{68ED2746-4386-453B-8BE8-E8FC97106B26}"/>
    <cellStyle name="20% - Accent6 2 3 3 2 2 2" xfId="13769" xr:uid="{C141D644-4A71-4CF3-96B2-8D56D9D8866D}"/>
    <cellStyle name="20% - Accent6 2 3 3 2 2 2 2" xfId="29181" xr:uid="{C7996204-48BC-4060-AC2C-25726BA67820}"/>
    <cellStyle name="20% - Accent6 2 3 3 2 2 2 2 2" xfId="34180" xr:uid="{ADAE76CB-565C-41A8-9A9E-7B09ED8D11E3}"/>
    <cellStyle name="20% - Accent6 2 3 3 2 2 2 3" xfId="34179" xr:uid="{47930227-E049-43B4-9E01-AB9B249D1511}"/>
    <cellStyle name="20% - Accent6 2 3 3 2 2 3" xfId="21476" xr:uid="{26599C87-2415-4B7D-B83A-D6B94D016F01}"/>
    <cellStyle name="20% - Accent6 2 3 3 2 2 3 2" xfId="34181" xr:uid="{CF1E5050-0450-4E26-AD0A-5DC6DE36E012}"/>
    <cellStyle name="20% - Accent6 2 3 3 2 2 4" xfId="34178" xr:uid="{AE2DE619-228F-4284-9D7C-A3F239ECC271}"/>
    <cellStyle name="20% - Accent6 2 3 3 2 3" xfId="10040" xr:uid="{106819F2-340C-4DEA-9919-CF32AE43D562}"/>
    <cellStyle name="20% - Accent6 2 3 3 2 3 2" xfId="25453" xr:uid="{B33FB6A3-EE95-4033-AF24-A5E012295F3E}"/>
    <cellStyle name="20% - Accent6 2 3 3 2 3 2 2" xfId="34183" xr:uid="{DA7F5A6D-5DD6-484F-BF82-75C0F9D2DC0D}"/>
    <cellStyle name="20% - Accent6 2 3 3 2 3 3" xfId="34182" xr:uid="{BBEF2092-71CB-439B-83D2-ACA642C32473}"/>
    <cellStyle name="20% - Accent6 2 3 3 2 4" xfId="17748" xr:uid="{D921DA04-F526-412B-84C9-55613E1317F3}"/>
    <cellStyle name="20% - Accent6 2 3 3 2 4 2" xfId="34184" xr:uid="{4AE2E5D2-3E0B-4F7E-B168-DD15C9A3BF76}"/>
    <cellStyle name="20% - Accent6 2 3 3 2 5" xfId="34177" xr:uid="{74F2804F-DFAF-41E7-9544-8A0FA5172ACC}"/>
    <cellStyle name="20% - Accent6 2 3 3 3" xfId="4591" xr:uid="{C2B8B204-8B96-430A-9522-09A9301BE68D}"/>
    <cellStyle name="20% - Accent6 2 3 3 3 2" xfId="12299" xr:uid="{01DC6D7E-1D77-4FAA-ADC3-290586E06F0B}"/>
    <cellStyle name="20% - Accent6 2 3 3 3 2 2" xfId="27711" xr:uid="{AD1C7C81-C711-4108-A86C-22508BC27C56}"/>
    <cellStyle name="20% - Accent6 2 3 3 3 2 2 2" xfId="34187" xr:uid="{E7C6AADE-6CB8-4E7B-956E-BCB8FED38EDE}"/>
    <cellStyle name="20% - Accent6 2 3 3 3 2 3" xfId="34186" xr:uid="{38BB2CD5-31F8-4FE2-8BEA-12E288BCA7F0}"/>
    <cellStyle name="20% - Accent6 2 3 3 3 3" xfId="20006" xr:uid="{6A03A8FE-7D11-47EE-9A4C-7707DD848B70}"/>
    <cellStyle name="20% - Accent6 2 3 3 3 3 2" xfId="34188" xr:uid="{10F76D3F-DDCB-4D31-9D36-041F78A197C8}"/>
    <cellStyle name="20% - Accent6 2 3 3 3 4" xfId="34185" xr:uid="{CD5BBBA5-0757-4DFF-AF87-520352B958FC}"/>
    <cellStyle name="20% - Accent6 2 3 3 4" xfId="8581" xr:uid="{9C9A1FC2-6B83-4711-A6EB-62EC7B18DC70}"/>
    <cellStyle name="20% - Accent6 2 3 3 4 2" xfId="23994" xr:uid="{27C4C2AA-2D01-40C6-A65A-B6930F2D2E59}"/>
    <cellStyle name="20% - Accent6 2 3 3 4 2 2" xfId="34190" xr:uid="{B9E405A3-42FE-4C68-AF44-4A076C43D182}"/>
    <cellStyle name="20% - Accent6 2 3 3 4 3" xfId="34189" xr:uid="{27CA61D5-92D1-4D30-9FFC-65C787F1846E}"/>
    <cellStyle name="20% - Accent6 2 3 3 5" xfId="16289" xr:uid="{86C53C5A-B6FB-4C78-AE78-F0CD85DE5B87}"/>
    <cellStyle name="20% - Accent6 2 3 3 5 2" xfId="34191" xr:uid="{70A222DA-E96A-49F1-8918-87816C86B5C3}"/>
    <cellStyle name="20% - Accent6 2 3 3 6" xfId="34176" xr:uid="{65EA1AA1-43F7-4A2E-A894-24DCCA164CA2}"/>
    <cellStyle name="20% - Accent6 2 3 4" xfId="1691" xr:uid="{C3E5F63A-A303-4B99-BA22-6EE2A02E3FAE}"/>
    <cellStyle name="20% - Accent6 2 3 4 2" xfId="5423" xr:uid="{8B5F1339-47A7-431D-BE87-0DF14316C979}"/>
    <cellStyle name="20% - Accent6 2 3 4 2 2" xfId="13131" xr:uid="{A341E0E1-3167-4E86-B611-5FBD7B911CB3}"/>
    <cellStyle name="20% - Accent6 2 3 4 2 2 2" xfId="28543" xr:uid="{6AB061A4-93E3-4C9F-833F-BCC75B68A8D3}"/>
    <cellStyle name="20% - Accent6 2 3 4 2 2 2 2" xfId="34195" xr:uid="{E9058D32-DC4D-42AC-B5F5-A5C5762FD09C}"/>
    <cellStyle name="20% - Accent6 2 3 4 2 2 3" xfId="34194" xr:uid="{A5FDA3F0-DB2D-4950-BE7B-E7764AC120E1}"/>
    <cellStyle name="20% - Accent6 2 3 4 2 3" xfId="20838" xr:uid="{5CDF0BF3-69E4-4033-BDA8-E954C467C6E8}"/>
    <cellStyle name="20% - Accent6 2 3 4 2 3 2" xfId="34196" xr:uid="{25D23074-900A-42C7-B0A8-BD7D7349B794}"/>
    <cellStyle name="20% - Accent6 2 3 4 2 4" xfId="34193" xr:uid="{E7620138-279C-4BFD-9B99-DC4CA5A741FD}"/>
    <cellStyle name="20% - Accent6 2 3 4 3" xfId="9402" xr:uid="{624B0CD6-B0D7-4886-9A62-E692CA5848FC}"/>
    <cellStyle name="20% - Accent6 2 3 4 3 2" xfId="24815" xr:uid="{72E7F6DD-65BD-4E0A-94F2-3B403185B1E5}"/>
    <cellStyle name="20% - Accent6 2 3 4 3 2 2" xfId="34198" xr:uid="{49A1D302-D818-4CC0-8FFA-CA4D873A1058}"/>
    <cellStyle name="20% - Accent6 2 3 4 3 3" xfId="34197" xr:uid="{CE93CF09-59F9-4AC1-87A2-C1A8C714CA58}"/>
    <cellStyle name="20% - Accent6 2 3 4 4" xfId="17110" xr:uid="{15B811F9-03E7-49D5-AF11-8349240E6A7B}"/>
    <cellStyle name="20% - Accent6 2 3 4 4 2" xfId="34199" xr:uid="{D8D4592D-A3FB-49C5-88B3-31D2B4B05666}"/>
    <cellStyle name="20% - Accent6 2 3 4 5" xfId="34192" xr:uid="{3E99165E-2D0F-4039-AE2A-227196658E88}"/>
    <cellStyle name="20% - Accent6 2 3 5" xfId="3939" xr:uid="{74B72927-D7A0-4BFC-A517-3D9E62599A3C}"/>
    <cellStyle name="20% - Accent6 2 3 5 2" xfId="11647" xr:uid="{777ADE20-7DCE-439B-8AD9-DBDDC927EA1F}"/>
    <cellStyle name="20% - Accent6 2 3 5 2 2" xfId="27059" xr:uid="{B0236B07-6240-4084-81C5-F00283478225}"/>
    <cellStyle name="20% - Accent6 2 3 5 2 2 2" xfId="34202" xr:uid="{9FA010BC-86F4-476D-BAA0-207E2948D988}"/>
    <cellStyle name="20% - Accent6 2 3 5 2 3" xfId="34201" xr:uid="{4AF34741-ECA7-4F43-96F0-4C27DD870E4F}"/>
    <cellStyle name="20% - Accent6 2 3 5 3" xfId="19354" xr:uid="{E84E876D-53D4-4709-A2B7-D25E33D61B6F}"/>
    <cellStyle name="20% - Accent6 2 3 5 3 2" xfId="34203" xr:uid="{C4DE5090-B375-474F-B15C-809D4B557884}"/>
    <cellStyle name="20% - Accent6 2 3 5 4" xfId="34200" xr:uid="{17AF148A-E06A-44A5-925D-F9DE12F90DB7}"/>
    <cellStyle name="20% - Accent6 2 3 6" xfId="7943" xr:uid="{44964484-B7B1-4EC9-8B17-DDC6E3209E71}"/>
    <cellStyle name="20% - Accent6 2 3 6 2" xfId="23356" xr:uid="{315F95DE-178E-4F38-B6AD-2760A6EBDED3}"/>
    <cellStyle name="20% - Accent6 2 3 6 2 2" xfId="34205" xr:uid="{8C150387-D6E2-4D78-8434-21F4F4431688}"/>
    <cellStyle name="20% - Accent6 2 3 6 3" xfId="34204" xr:uid="{91BB5DB4-7673-426B-9C00-672096D795D8}"/>
    <cellStyle name="20% - Accent6 2 3 7" xfId="15651" xr:uid="{8F5D1C8E-AC0A-44B9-BCBF-6099559DA138}"/>
    <cellStyle name="20% - Accent6 2 3 7 2" xfId="34206" xr:uid="{62E72BF3-15D3-405F-8535-B137CF33D90F}"/>
    <cellStyle name="20% - Accent6 2 3 8" xfId="34143" xr:uid="{D20D469E-BCF1-493F-A5E7-5D14B37F37AF}"/>
    <cellStyle name="20% - Accent6 2 4" xfId="344" xr:uid="{D92CCF50-2478-4D47-8013-42CC63091A43}"/>
    <cellStyle name="20% - Accent6 2 4 2" xfId="1007" xr:uid="{D7FDB0EF-CF47-4B2F-BB0C-D92D9A80537C}"/>
    <cellStyle name="20% - Accent6 2 4 2 2" xfId="2477" xr:uid="{450556E5-20EE-42D4-BDEF-FC475C9D5DBE}"/>
    <cellStyle name="20% - Accent6 2 4 2 2 2" xfId="6209" xr:uid="{AB2D8308-F74F-4FBF-AA6F-AA3C621452F8}"/>
    <cellStyle name="20% - Accent6 2 4 2 2 2 2" xfId="13917" xr:uid="{16EBE537-9A3E-4B26-9362-BC0DE5639C0F}"/>
    <cellStyle name="20% - Accent6 2 4 2 2 2 2 2" xfId="29329" xr:uid="{CBF2576B-7DFD-49A1-9E03-E6A002995C75}"/>
    <cellStyle name="20% - Accent6 2 4 2 2 2 2 2 2" xfId="34212" xr:uid="{437807C2-6D2A-43AE-B52E-FE7583069356}"/>
    <cellStyle name="20% - Accent6 2 4 2 2 2 2 3" xfId="34211" xr:uid="{B156748B-F56D-4A05-93AF-CAF6D39C038C}"/>
    <cellStyle name="20% - Accent6 2 4 2 2 2 3" xfId="21624" xr:uid="{35AABEB4-1615-4FA3-AA8C-BD2E68055BC3}"/>
    <cellStyle name="20% - Accent6 2 4 2 2 2 3 2" xfId="34213" xr:uid="{DBAF7D06-A5E3-4EFF-81A6-170CE8FD0B47}"/>
    <cellStyle name="20% - Accent6 2 4 2 2 2 4" xfId="34210" xr:uid="{CBF47514-4330-4DA7-AFF9-0D250A40F6D6}"/>
    <cellStyle name="20% - Accent6 2 4 2 2 3" xfId="10188" xr:uid="{1C20D2CD-9235-47B4-9C7E-82B735EF466C}"/>
    <cellStyle name="20% - Accent6 2 4 2 2 3 2" xfId="25601" xr:uid="{1AA25483-68EA-4E6E-A6A4-A72EAEC0AF43}"/>
    <cellStyle name="20% - Accent6 2 4 2 2 3 2 2" xfId="34215" xr:uid="{1EF8ED58-3986-4ECC-8A76-5793D5D9A3A6}"/>
    <cellStyle name="20% - Accent6 2 4 2 2 3 3" xfId="34214" xr:uid="{8F319079-3694-47F8-A9F6-949C01AA6426}"/>
    <cellStyle name="20% - Accent6 2 4 2 2 4" xfId="17896" xr:uid="{5E871190-D141-49E6-AA9A-D544EB32928A}"/>
    <cellStyle name="20% - Accent6 2 4 2 2 4 2" xfId="34216" xr:uid="{B94D8C92-E4D3-426C-8C6C-BDD3286AAAE5}"/>
    <cellStyle name="20% - Accent6 2 4 2 2 5" xfId="34209" xr:uid="{07E3A086-02C8-4609-895E-5961FAAA0BAB}"/>
    <cellStyle name="20% - Accent6 2 4 2 3" xfId="4744" xr:uid="{6F5B960A-5165-4FEE-B72B-11AD79C9896A}"/>
    <cellStyle name="20% - Accent6 2 4 2 3 2" xfId="12452" xr:uid="{2A996D57-930D-49A9-8476-97EF04892830}"/>
    <cellStyle name="20% - Accent6 2 4 2 3 2 2" xfId="27864" xr:uid="{F912FB1F-A2BF-4AB2-957B-AB7D68780E14}"/>
    <cellStyle name="20% - Accent6 2 4 2 3 2 2 2" xfId="34219" xr:uid="{F3570092-3079-4065-A740-F8E0DF69EEA3}"/>
    <cellStyle name="20% - Accent6 2 4 2 3 2 3" xfId="34218" xr:uid="{18ED5461-3466-48D3-8AF1-A91ACF59B516}"/>
    <cellStyle name="20% - Accent6 2 4 2 3 3" xfId="20159" xr:uid="{2136BF5E-114D-454B-85FE-180C6EF37DAC}"/>
    <cellStyle name="20% - Accent6 2 4 2 3 3 2" xfId="34220" xr:uid="{6FACC28D-D732-4D66-962E-B0C4AD55ABD0}"/>
    <cellStyle name="20% - Accent6 2 4 2 3 4" xfId="34217" xr:uid="{C300C7B4-E4BB-42D3-99B1-5AF8B4A0E1F2}"/>
    <cellStyle name="20% - Accent6 2 4 2 4" xfId="8729" xr:uid="{FF47E9C2-7148-4BEC-B761-10884DB2B1C5}"/>
    <cellStyle name="20% - Accent6 2 4 2 4 2" xfId="24142" xr:uid="{8B3F6D9B-6A2F-4C94-AEA9-6257FADFA971}"/>
    <cellStyle name="20% - Accent6 2 4 2 4 2 2" xfId="34222" xr:uid="{F2606406-0FFB-4AF8-AD27-4C2F99B1F616}"/>
    <cellStyle name="20% - Accent6 2 4 2 4 3" xfId="34221" xr:uid="{C80B6733-E9E3-425D-8647-F35F44E02992}"/>
    <cellStyle name="20% - Accent6 2 4 2 5" xfId="16437" xr:uid="{25208810-E70E-46B0-ABF7-E9660C4352D1}"/>
    <cellStyle name="20% - Accent6 2 4 2 5 2" xfId="34223" xr:uid="{95E787A8-3BBB-4093-A302-FF387FA9BF27}"/>
    <cellStyle name="20% - Accent6 2 4 2 6" xfId="34208" xr:uid="{E42379AE-9C8E-4FF2-A4F2-FA0CA5CC158C}"/>
    <cellStyle name="20% - Accent6 2 4 3" xfId="1839" xr:uid="{39238029-7DD2-4070-BC39-C5CA8D5BB63C}"/>
    <cellStyle name="20% - Accent6 2 4 3 2" xfId="5571" xr:uid="{B69F4158-3B57-4FBC-84BF-362071869AA4}"/>
    <cellStyle name="20% - Accent6 2 4 3 2 2" xfId="13279" xr:uid="{332F5055-9F13-4153-97A5-77848DB20741}"/>
    <cellStyle name="20% - Accent6 2 4 3 2 2 2" xfId="28691" xr:uid="{031D99D5-27D5-4E35-9361-4051F200DC5C}"/>
    <cellStyle name="20% - Accent6 2 4 3 2 2 2 2" xfId="34227" xr:uid="{FCE24E79-1A43-45F8-B07A-746D7D3A42ED}"/>
    <cellStyle name="20% - Accent6 2 4 3 2 2 3" xfId="34226" xr:uid="{85EABB47-3C03-4982-AE44-45203478F1FC}"/>
    <cellStyle name="20% - Accent6 2 4 3 2 3" xfId="20986" xr:uid="{42B79475-82D3-4854-A341-C024DD96084A}"/>
    <cellStyle name="20% - Accent6 2 4 3 2 3 2" xfId="34228" xr:uid="{2E46365A-0A4A-417C-910E-5E896AC83527}"/>
    <cellStyle name="20% - Accent6 2 4 3 2 4" xfId="34225" xr:uid="{B934057A-3F8C-4DFC-B4BD-47FC919C6759}"/>
    <cellStyle name="20% - Accent6 2 4 3 3" xfId="9550" xr:uid="{995B3C9D-1808-480F-838B-6DC295712DEC}"/>
    <cellStyle name="20% - Accent6 2 4 3 3 2" xfId="24963" xr:uid="{C53B68D7-2063-4FAD-B0FD-8002F0AB0066}"/>
    <cellStyle name="20% - Accent6 2 4 3 3 2 2" xfId="34230" xr:uid="{89B736FE-B1E8-4820-B2FE-ED0A9CE2FE5E}"/>
    <cellStyle name="20% - Accent6 2 4 3 3 3" xfId="34229" xr:uid="{3A7C309D-8C9E-419A-9781-57A6D94C40C9}"/>
    <cellStyle name="20% - Accent6 2 4 3 4" xfId="17258" xr:uid="{89554068-3B34-4310-9D53-F18703D8C135}"/>
    <cellStyle name="20% - Accent6 2 4 3 4 2" xfId="34231" xr:uid="{4ECA682D-A097-4157-94B2-CE40677960B1}"/>
    <cellStyle name="20% - Accent6 2 4 3 5" xfId="34224" xr:uid="{ACD9E6CE-5FA4-4199-8564-B5A26D3A8958}"/>
    <cellStyle name="20% - Accent6 2 4 4" xfId="4092" xr:uid="{CF8F7E3D-AAED-413F-B359-CADF410A5D92}"/>
    <cellStyle name="20% - Accent6 2 4 4 2" xfId="11800" xr:uid="{66D31B03-14A7-4322-9CC2-7EC90B8A799C}"/>
    <cellStyle name="20% - Accent6 2 4 4 2 2" xfId="27212" xr:uid="{621A15E6-5E2B-410D-9CEE-EC44402A8E1B}"/>
    <cellStyle name="20% - Accent6 2 4 4 2 2 2" xfId="34234" xr:uid="{0FC0257C-3135-4E04-A55A-E16BA9FB32C3}"/>
    <cellStyle name="20% - Accent6 2 4 4 2 3" xfId="34233" xr:uid="{9111F2CA-5444-4751-9583-0BAF49677765}"/>
    <cellStyle name="20% - Accent6 2 4 4 3" xfId="19507" xr:uid="{31CFBA37-BF55-484A-A7C5-E4DEBCDFB61F}"/>
    <cellStyle name="20% - Accent6 2 4 4 3 2" xfId="34235" xr:uid="{A1FC03D7-78DC-4775-89CC-6FBB7009D8FD}"/>
    <cellStyle name="20% - Accent6 2 4 4 4" xfId="34232" xr:uid="{348BAB55-B1B1-41FB-875B-118F42B9788B}"/>
    <cellStyle name="20% - Accent6 2 4 5" xfId="8091" xr:uid="{1B166A07-0C16-4947-89CC-30F3234A4E04}"/>
    <cellStyle name="20% - Accent6 2 4 5 2" xfId="23504" xr:uid="{06E5105F-337F-4B0C-9048-CE588596CC15}"/>
    <cellStyle name="20% - Accent6 2 4 5 2 2" xfId="34237" xr:uid="{DD6E5041-9912-4347-80D3-936A62FDC89A}"/>
    <cellStyle name="20% - Accent6 2 4 5 3" xfId="34236" xr:uid="{4FCE9379-9A03-40EE-8C24-AE4EA312326A}"/>
    <cellStyle name="20% - Accent6 2 4 6" xfId="15799" xr:uid="{3B632FF1-191B-4383-B6F2-EC5551B808C1}"/>
    <cellStyle name="20% - Accent6 2 4 6 2" xfId="34238" xr:uid="{07FE3686-9C77-401F-80F6-01B691230520}"/>
    <cellStyle name="20% - Accent6 2 4 7" xfId="34207" xr:uid="{BA3755DE-64A2-47B0-AF1C-4F5A8A37C7C2}"/>
    <cellStyle name="20% - Accent6 2 5" xfId="790" xr:uid="{68C5FED5-800B-4F77-A7DE-0F31F2CF599E}"/>
    <cellStyle name="20% - Accent6 2 5 2" xfId="2279" xr:uid="{67CCD8EA-22A0-423A-A335-1AFE6C3612B4}"/>
    <cellStyle name="20% - Accent6 2 5 2 2" xfId="6011" xr:uid="{39FD54F6-BB0E-4B33-8CC2-2A26EDAA278F}"/>
    <cellStyle name="20% - Accent6 2 5 2 2 2" xfId="13719" xr:uid="{2B25853B-0622-4E41-B362-41F34B2477B8}"/>
    <cellStyle name="20% - Accent6 2 5 2 2 2 2" xfId="29131" xr:uid="{D0CD7D36-3C9E-4F04-B145-96E15F895B7F}"/>
    <cellStyle name="20% - Accent6 2 5 2 2 2 2 2" xfId="34243" xr:uid="{41DA4850-2874-4C9A-B0E4-26AC63E2E3E4}"/>
    <cellStyle name="20% - Accent6 2 5 2 2 2 3" xfId="34242" xr:uid="{0D5313A5-D140-4234-9D32-AB24F2CF60B8}"/>
    <cellStyle name="20% - Accent6 2 5 2 2 3" xfId="21426" xr:uid="{7A986770-79F8-4ABF-B807-460651B37002}"/>
    <cellStyle name="20% - Accent6 2 5 2 2 3 2" xfId="34244" xr:uid="{B9E9A02F-D1CE-4662-8A8A-B3F97FA6A845}"/>
    <cellStyle name="20% - Accent6 2 5 2 2 4" xfId="34241" xr:uid="{EC0755B5-41C8-4091-94BF-2C63205AC3A6}"/>
    <cellStyle name="20% - Accent6 2 5 2 3" xfId="9990" xr:uid="{F35970D4-6756-4BEF-A822-B2A19305CC3A}"/>
    <cellStyle name="20% - Accent6 2 5 2 3 2" xfId="25403" xr:uid="{2E66D963-CE49-4096-BCA0-7B9B08EB2DAD}"/>
    <cellStyle name="20% - Accent6 2 5 2 3 2 2" xfId="34246" xr:uid="{7A5F9067-1487-48F3-AE26-5D94288195C8}"/>
    <cellStyle name="20% - Accent6 2 5 2 3 3" xfId="34245" xr:uid="{2ECCB2D3-44E8-404F-ACD9-23CD34652697}"/>
    <cellStyle name="20% - Accent6 2 5 2 4" xfId="17698" xr:uid="{23EF4A4C-1923-4A27-BCD9-C60829DAB9FF}"/>
    <cellStyle name="20% - Accent6 2 5 2 4 2" xfId="34247" xr:uid="{F97824A9-3DB7-48C3-9F02-F971E6A84770}"/>
    <cellStyle name="20% - Accent6 2 5 2 5" xfId="34240" xr:uid="{E535B545-BB11-4796-BC6E-1CB518334EA9}"/>
    <cellStyle name="20% - Accent6 2 5 3" xfId="4534" xr:uid="{44023202-FE1A-4205-AE08-83DD78B51863}"/>
    <cellStyle name="20% - Accent6 2 5 3 2" xfId="12242" xr:uid="{7405DCCB-8BC0-4A16-AB51-AF4C84E32D02}"/>
    <cellStyle name="20% - Accent6 2 5 3 2 2" xfId="27654" xr:uid="{7DA2320B-3BD0-40C7-9A14-9652D952B1E2}"/>
    <cellStyle name="20% - Accent6 2 5 3 2 2 2" xfId="34250" xr:uid="{619AA831-133D-4D94-B5D8-D505715524D0}"/>
    <cellStyle name="20% - Accent6 2 5 3 2 3" xfId="34249" xr:uid="{E6992CD4-F10E-4DC3-9E3A-6DBB8A0581E6}"/>
    <cellStyle name="20% - Accent6 2 5 3 3" xfId="19949" xr:uid="{1E8D0EDD-A2AB-4D9A-A899-A7A9DD591BC3}"/>
    <cellStyle name="20% - Accent6 2 5 3 3 2" xfId="34251" xr:uid="{EDDABAA2-CE64-4BAE-A92E-89F1F0AD90AB}"/>
    <cellStyle name="20% - Accent6 2 5 3 4" xfId="34248" xr:uid="{CB6BD31A-73D5-4CEA-8F7D-008818FB5FAB}"/>
    <cellStyle name="20% - Accent6 2 5 4" xfId="8531" xr:uid="{9B383B8D-B42C-4EE8-A4F3-2CE8D516E243}"/>
    <cellStyle name="20% - Accent6 2 5 4 2" xfId="23944" xr:uid="{078ED6DB-DE32-4735-9775-6D5A90FCEFDF}"/>
    <cellStyle name="20% - Accent6 2 5 4 2 2" xfId="34253" xr:uid="{5B078371-6D93-47A3-8023-D58AF6C2A422}"/>
    <cellStyle name="20% - Accent6 2 5 4 3" xfId="34252" xr:uid="{2DDDD34F-6C93-45D0-8778-B8AA4A168B56}"/>
    <cellStyle name="20% - Accent6 2 5 5" xfId="16239" xr:uid="{17E21ECB-87F5-4C7F-90CD-876AE72E8E3B}"/>
    <cellStyle name="20% - Accent6 2 5 5 2" xfId="34254" xr:uid="{57874761-00F1-42ED-A7CC-FD45E36F8EEA}"/>
    <cellStyle name="20% - Accent6 2 5 6" xfId="34239" xr:uid="{BA66B9AD-6FE4-4449-82CC-8567C27F5344}"/>
    <cellStyle name="20% - Accent6 2 6" xfId="1637" xr:uid="{97BCC25C-1255-45A1-8CA9-DCC1F24AD20B}"/>
    <cellStyle name="20% - Accent6 2 6 2" xfId="5371" xr:uid="{8D1E0B95-DC31-4F5B-9DE3-46A4CE4A2A14}"/>
    <cellStyle name="20% - Accent6 2 6 2 2" xfId="13079" xr:uid="{21283EF1-FB24-4C78-96A5-06554F3021A0}"/>
    <cellStyle name="20% - Accent6 2 6 2 2 2" xfId="28491" xr:uid="{70E13CD1-8EDD-4D5C-8682-84234631153C}"/>
    <cellStyle name="20% - Accent6 2 6 2 2 2 2" xfId="34258" xr:uid="{5AF8BB93-EE72-4FB0-8FE9-D13691EDD2D1}"/>
    <cellStyle name="20% - Accent6 2 6 2 2 3" xfId="34257" xr:uid="{0E2C0908-5EE8-4BE7-A187-B9D7D97F4037}"/>
    <cellStyle name="20% - Accent6 2 6 2 3" xfId="20786" xr:uid="{AE6D9B41-32C3-443B-A4BB-0ED58BF29E2D}"/>
    <cellStyle name="20% - Accent6 2 6 2 3 2" xfId="34259" xr:uid="{B81BF5CC-8EFA-47C3-8F09-F0FA7205B6CB}"/>
    <cellStyle name="20% - Accent6 2 6 2 4" xfId="34256" xr:uid="{DBEA17F9-58BF-4623-B2D2-BC3DD7F34BAD}"/>
    <cellStyle name="20% - Accent6 2 6 3" xfId="9352" xr:uid="{A0CAA49B-2817-4B0B-99EE-C57164777EC5}"/>
    <cellStyle name="20% - Accent6 2 6 3 2" xfId="24765" xr:uid="{1195EC36-B03A-466E-95BA-EE14AB0D243A}"/>
    <cellStyle name="20% - Accent6 2 6 3 2 2" xfId="34261" xr:uid="{1479C6FA-6631-41A3-B542-6AC879D5AA7F}"/>
    <cellStyle name="20% - Accent6 2 6 3 3" xfId="34260" xr:uid="{13AA3F3D-7DC2-452A-9542-6765F4572F3F}"/>
    <cellStyle name="20% - Accent6 2 6 4" xfId="17060" xr:uid="{DFB4C55F-C3A8-4ECD-B689-62476EDC75C4}"/>
    <cellStyle name="20% - Accent6 2 6 4 2" xfId="34262" xr:uid="{843EE8BF-BE30-4A05-8D96-75E938AA920F}"/>
    <cellStyle name="20% - Accent6 2 6 5" xfId="34255" xr:uid="{F4203B96-FE3F-4C26-9687-75CE7F4D3D95}"/>
    <cellStyle name="20% - Accent6 2 7" xfId="3881" xr:uid="{DF1E910D-627F-425F-AA32-270C74B2AED7}"/>
    <cellStyle name="20% - Accent6 2 7 2" xfId="11590" xr:uid="{1C913506-E2D7-438E-AA72-2127A2AE9F70}"/>
    <cellStyle name="20% - Accent6 2 7 2 2" xfId="27002" xr:uid="{EA958594-1536-4273-9E5A-E8BB09EBB2B4}"/>
    <cellStyle name="20% - Accent6 2 7 2 2 2" xfId="34265" xr:uid="{744BD35C-C78E-413B-9700-EC17C8A8BBBB}"/>
    <cellStyle name="20% - Accent6 2 7 2 3" xfId="34264" xr:uid="{B8222975-FD69-4248-B941-C634A36647A2}"/>
    <cellStyle name="20% - Accent6 2 7 3" xfId="19297" xr:uid="{D9C38A5A-FEE9-4E5C-82BE-7B6EA406C3AB}"/>
    <cellStyle name="20% - Accent6 2 7 3 2" xfId="34266" xr:uid="{F76FB8BB-03B4-4EE3-86CD-93C5EDD41241}"/>
    <cellStyle name="20% - Accent6 2 7 4" xfId="34263" xr:uid="{5D757836-B96C-4A05-B46F-E1A35ADC36FC}"/>
    <cellStyle name="20% - Accent6 2 8" xfId="7875" xr:uid="{1D88D5CD-3A45-4F97-839D-195BD8F05AA4}"/>
    <cellStyle name="20% - Accent6 2 8 2" xfId="23288" xr:uid="{25E2C8F6-D503-4F30-897C-65ECA00C3314}"/>
    <cellStyle name="20% - Accent6 2 8 2 2" xfId="34268" xr:uid="{6D692658-45AA-48EB-8F69-A4725EC70B99}"/>
    <cellStyle name="20% - Accent6 2 8 3" xfId="34267" xr:uid="{FAD78B69-B3FA-4D46-AE83-8C8877B4C1E3}"/>
    <cellStyle name="20% - Accent6 2 9" xfId="15583" xr:uid="{26E0137D-CE15-4723-BD13-54713B83C018}"/>
    <cellStyle name="20% - Accent6 2 9 2" xfId="34269" xr:uid="{7F7955CA-1BAD-4B57-84D1-B3963A7DFBC5}"/>
    <cellStyle name="20% - Accent6 20" xfId="3612" xr:uid="{DB419A3D-39EF-4048-8275-4693A27DE93D}"/>
    <cellStyle name="20% - Accent6 20 2" xfId="7343" xr:uid="{36593603-FA00-49BC-9B8E-016B6ED6ABB4}"/>
    <cellStyle name="20% - Accent6 20 2 2" xfId="15051" xr:uid="{BB4AC5CC-EF9C-4504-B5EB-A86B7733E488}"/>
    <cellStyle name="20% - Accent6 20 2 2 2" xfId="30463" xr:uid="{1456B87F-70FB-4D85-BAA6-F11B71681A09}"/>
    <cellStyle name="20% - Accent6 20 2 2 2 2" xfId="34273" xr:uid="{AC615435-8825-42B5-B4A2-1310F1B7AD3E}"/>
    <cellStyle name="20% - Accent6 20 2 2 3" xfId="34272" xr:uid="{0C439C4F-2106-4984-8BA8-60931FAE864F}"/>
    <cellStyle name="20% - Accent6 20 2 3" xfId="22758" xr:uid="{B97DFB45-58D0-4BD1-83E9-D6FCA78AB650}"/>
    <cellStyle name="20% - Accent6 20 2 3 2" xfId="34274" xr:uid="{37B40B27-6BB8-42C6-B83D-00D73477297B}"/>
    <cellStyle name="20% - Accent6 20 2 4" xfId="34271" xr:uid="{673CB616-FDE2-4E38-8DDF-575886CC9390}"/>
    <cellStyle name="20% - Accent6 20 3" xfId="11322" xr:uid="{B324CD6C-3A2B-4991-A9CC-4244CBD11B5A}"/>
    <cellStyle name="20% - Accent6 20 3 2" xfId="26735" xr:uid="{9309AAF9-EF6E-4761-BAA7-0AC53325C8CA}"/>
    <cellStyle name="20% - Accent6 20 3 2 2" xfId="34276" xr:uid="{779D3655-21B9-4BB1-9A8C-AAAF23131C11}"/>
    <cellStyle name="20% - Accent6 20 3 3" xfId="34275" xr:uid="{45CE78F6-AFAF-480A-B0AC-A5C977D95292}"/>
    <cellStyle name="20% - Accent6 20 4" xfId="19030" xr:uid="{14EEB7D6-2FF2-46A1-BC8C-A18383E62184}"/>
    <cellStyle name="20% - Accent6 20 4 2" xfId="34277" xr:uid="{59F24C71-CCE8-4427-9917-C074DAA8A089}"/>
    <cellStyle name="20% - Accent6 20 5" xfId="34270" xr:uid="{BD287893-BEA6-4687-8E6A-84B1C1394FA9}"/>
    <cellStyle name="20% - Accent6 21" xfId="3632" xr:uid="{C1096D62-CB88-4616-AB53-ACB29EC03C8A}"/>
    <cellStyle name="20% - Accent6 21 2" xfId="7363" xr:uid="{7C7779F3-93AC-42DA-953E-817B97AA9971}"/>
    <cellStyle name="20% - Accent6 21 2 2" xfId="15071" xr:uid="{F97E160C-6F03-4826-AEE6-DBB53DE29AF9}"/>
    <cellStyle name="20% - Accent6 21 2 2 2" xfId="30483" xr:uid="{A07AE0F5-78D1-4686-B2B0-B2AA104208DA}"/>
    <cellStyle name="20% - Accent6 21 2 2 2 2" xfId="34281" xr:uid="{53B636FE-0A9B-4FB9-BA34-5AED794405B2}"/>
    <cellStyle name="20% - Accent6 21 2 2 3" xfId="34280" xr:uid="{CFCE0F20-CAEF-43AB-AE41-F645BEBBABD4}"/>
    <cellStyle name="20% - Accent6 21 2 3" xfId="22778" xr:uid="{4F009456-C7B3-46AB-93D9-63950E093ED2}"/>
    <cellStyle name="20% - Accent6 21 2 3 2" xfId="34282" xr:uid="{131AB835-3B25-485D-AFCC-D0FCA09BA2BF}"/>
    <cellStyle name="20% - Accent6 21 2 4" xfId="34279" xr:uid="{5D922576-1673-49D9-8AE7-978870AB8124}"/>
    <cellStyle name="20% - Accent6 21 3" xfId="11342" xr:uid="{E5DFD835-B373-4040-BEE4-63AC2B7C6543}"/>
    <cellStyle name="20% - Accent6 21 3 2" xfId="26755" xr:uid="{6C9C6ABD-0EB8-4586-92C9-5CB9A37DCD74}"/>
    <cellStyle name="20% - Accent6 21 3 2 2" xfId="34284" xr:uid="{3C9A94FA-94DC-49DD-9EC6-ACE6AA0E5D11}"/>
    <cellStyle name="20% - Accent6 21 3 3" xfId="34283" xr:uid="{F6818F4A-B17A-4D9D-9B45-40D21B518E34}"/>
    <cellStyle name="20% - Accent6 21 4" xfId="19050" xr:uid="{6F6B8C8D-B7BC-4C00-8A55-8B9C20F43A97}"/>
    <cellStyle name="20% - Accent6 21 4 2" xfId="34285" xr:uid="{07A0D8F8-7F76-444E-BDA8-7AF18F9973BE}"/>
    <cellStyle name="20% - Accent6 21 5" xfId="34278" xr:uid="{1E4C8F5E-E419-4038-A832-632389FF6B95}"/>
    <cellStyle name="20% - Accent6 22" xfId="3652" xr:uid="{3A1F93D7-EBA6-49C5-A8DE-64B19BF98B71}"/>
    <cellStyle name="20% - Accent6 22 2" xfId="7383" xr:uid="{2CF8F38A-5E21-41C8-AF53-762F9A8B5397}"/>
    <cellStyle name="20% - Accent6 22 2 2" xfId="15091" xr:uid="{01EE41C5-0054-4FF0-8F72-621346969510}"/>
    <cellStyle name="20% - Accent6 22 2 2 2" xfId="30503" xr:uid="{561D7FA0-D88B-4C8C-BC82-EAB4287F6562}"/>
    <cellStyle name="20% - Accent6 22 2 2 2 2" xfId="34289" xr:uid="{046C6DE8-B15C-4DB4-A88E-EA56FAB6669D}"/>
    <cellStyle name="20% - Accent6 22 2 2 3" xfId="34288" xr:uid="{B26497BE-FDC3-4AB0-ABD4-7E6FAD4EF0E5}"/>
    <cellStyle name="20% - Accent6 22 2 3" xfId="22798" xr:uid="{E41D78C3-795F-4E60-B778-4D5D4A1BAF7F}"/>
    <cellStyle name="20% - Accent6 22 2 3 2" xfId="34290" xr:uid="{90CE0A98-7B33-4E67-BA27-75928352E2BE}"/>
    <cellStyle name="20% - Accent6 22 2 4" xfId="34287" xr:uid="{94850E92-6434-4686-BBBE-5369E02B1F62}"/>
    <cellStyle name="20% - Accent6 22 3" xfId="11362" xr:uid="{6E256530-7508-46AB-83FF-A6E7427F9FD0}"/>
    <cellStyle name="20% - Accent6 22 3 2" xfId="26775" xr:uid="{D04B85A9-1FDA-4BEF-A6E9-8A2351A7E211}"/>
    <cellStyle name="20% - Accent6 22 3 2 2" xfId="34292" xr:uid="{23ACEDEB-17F6-4F29-A68C-4FC7CB4A2A21}"/>
    <cellStyle name="20% - Accent6 22 3 3" xfId="34291" xr:uid="{30220759-D05E-4059-B9E4-8FD1268816FD}"/>
    <cellStyle name="20% - Accent6 22 4" xfId="19070" xr:uid="{F88823EE-0BC2-48BD-9877-100FC9A88BB5}"/>
    <cellStyle name="20% - Accent6 22 4 2" xfId="34293" xr:uid="{1C3C0BDE-93FF-42E6-8140-1209CAF1A1A7}"/>
    <cellStyle name="20% - Accent6 22 5" xfId="34286" xr:uid="{AFBEA4B3-21DE-4F30-A016-10313BF6BA10}"/>
    <cellStyle name="20% - Accent6 23" xfId="3672" xr:uid="{64587E12-2A55-4503-8928-5DDBCC5FB794}"/>
    <cellStyle name="20% - Accent6 23 2" xfId="7403" xr:uid="{ABC99FA9-EF4F-41E5-B511-30A509B1C9F5}"/>
    <cellStyle name="20% - Accent6 23 2 2" xfId="15111" xr:uid="{05E985E4-9AE1-46F4-842A-7D99A48B7C1F}"/>
    <cellStyle name="20% - Accent6 23 2 2 2" xfId="30523" xr:uid="{371A68BE-78A0-415D-BD8E-7A8C99ACDF8A}"/>
    <cellStyle name="20% - Accent6 23 2 2 2 2" xfId="34297" xr:uid="{2DDFC7EC-5000-4516-9F43-826E409F421A}"/>
    <cellStyle name="20% - Accent6 23 2 2 3" xfId="34296" xr:uid="{B26AFCC7-520C-40B5-AEB9-EEA6DCD4046C}"/>
    <cellStyle name="20% - Accent6 23 2 3" xfId="22818" xr:uid="{9FDA4DE1-4AA0-4BB0-8FDA-8133D07CE7DC}"/>
    <cellStyle name="20% - Accent6 23 2 3 2" xfId="34298" xr:uid="{47D29A56-7F21-4292-8AA9-35BAE30A1551}"/>
    <cellStyle name="20% - Accent6 23 2 4" xfId="34295" xr:uid="{248B8297-6485-4154-9FAC-C29D62AE7086}"/>
    <cellStyle name="20% - Accent6 23 3" xfId="11382" xr:uid="{9DA6C051-E22B-4F9C-A722-3159517E46C1}"/>
    <cellStyle name="20% - Accent6 23 3 2" xfId="26795" xr:uid="{FAFA99CB-2A24-49B8-A415-F63E81EFBCCB}"/>
    <cellStyle name="20% - Accent6 23 3 2 2" xfId="34300" xr:uid="{C046757B-B2BE-4901-86FE-284E664EB5F0}"/>
    <cellStyle name="20% - Accent6 23 3 3" xfId="34299" xr:uid="{EFFD32EC-A021-4911-9773-8881FBA5C38E}"/>
    <cellStyle name="20% - Accent6 23 4" xfId="19090" xr:uid="{42F17592-2158-4C5F-97ED-1483408B456E}"/>
    <cellStyle name="20% - Accent6 23 4 2" xfId="34301" xr:uid="{DD4BADDF-243F-41FA-AC68-6BF2AC8ABB2C}"/>
    <cellStyle name="20% - Accent6 23 5" xfId="34294" xr:uid="{393CD92D-91A2-4642-8F29-F36F06817CE8}"/>
    <cellStyle name="20% - Accent6 24" xfId="3692" xr:uid="{2599DFE2-3853-411E-AC91-FDE470B03E90}"/>
    <cellStyle name="20% - Accent6 24 2" xfId="7423" xr:uid="{03A9A3B7-6560-440A-9F6D-06E597864B6A}"/>
    <cellStyle name="20% - Accent6 24 2 2" xfId="15131" xr:uid="{BFB29149-1914-4CE6-8461-0C998DA5E707}"/>
    <cellStyle name="20% - Accent6 24 2 2 2" xfId="30543" xr:uid="{7656AFBB-C8E4-47CA-99E9-487F8EDADFB4}"/>
    <cellStyle name="20% - Accent6 24 2 2 2 2" xfId="34305" xr:uid="{5CD95E87-1FDF-4F34-B22E-6E1E3A8A6436}"/>
    <cellStyle name="20% - Accent6 24 2 2 3" xfId="34304" xr:uid="{EB47EDB5-C941-45F7-978D-31E7D1F86368}"/>
    <cellStyle name="20% - Accent6 24 2 3" xfId="22838" xr:uid="{ED6D54CB-5D4B-4694-AC08-0B1D04FA22DD}"/>
    <cellStyle name="20% - Accent6 24 2 3 2" xfId="34306" xr:uid="{42279203-67D3-44A9-988C-91253185DCAE}"/>
    <cellStyle name="20% - Accent6 24 2 4" xfId="34303" xr:uid="{42C4BE48-9CB6-46B3-9BED-DB6957AE1740}"/>
    <cellStyle name="20% - Accent6 24 3" xfId="11402" xr:uid="{FDB4769F-E6C4-44E8-9924-BC57FBAC9C42}"/>
    <cellStyle name="20% - Accent6 24 3 2" xfId="26815" xr:uid="{3C4DB7A2-F964-4D94-9877-09E7ABB5C265}"/>
    <cellStyle name="20% - Accent6 24 3 2 2" xfId="34308" xr:uid="{5521AB73-5CD9-43F8-92BE-9E04C3EEF254}"/>
    <cellStyle name="20% - Accent6 24 3 3" xfId="34307" xr:uid="{6A325225-9B89-498E-B690-0E16E853A999}"/>
    <cellStyle name="20% - Accent6 24 4" xfId="19110" xr:uid="{31E85557-90EA-4494-A0B1-C3E5AEDA4C86}"/>
    <cellStyle name="20% - Accent6 24 4 2" xfId="34309" xr:uid="{02E073D7-88D9-471D-98BA-6ED7E4E2395D}"/>
    <cellStyle name="20% - Accent6 24 5" xfId="34302" xr:uid="{429B6307-8E10-46D3-A1C6-EC89F4F4E31A}"/>
    <cellStyle name="20% - Accent6 25" xfId="3712" xr:uid="{14277E03-CA2E-448D-9DB7-31CA312DF503}"/>
    <cellStyle name="20% - Accent6 25 2" xfId="7443" xr:uid="{FCB5968D-4460-4D7C-836C-664C6381F379}"/>
    <cellStyle name="20% - Accent6 25 2 2" xfId="15151" xr:uid="{F8FFE350-6053-4731-8660-397708777DFB}"/>
    <cellStyle name="20% - Accent6 25 2 2 2" xfId="30563" xr:uid="{0C7DF875-0B98-4B1B-99B1-43858DA43667}"/>
    <cellStyle name="20% - Accent6 25 2 2 2 2" xfId="34313" xr:uid="{90599808-351B-47F6-9A4F-459535B794F8}"/>
    <cellStyle name="20% - Accent6 25 2 2 3" xfId="34312" xr:uid="{E6EC14F1-6B5E-4F36-9BA4-0B590CC1D273}"/>
    <cellStyle name="20% - Accent6 25 2 3" xfId="22858" xr:uid="{5E526AD2-DBB0-4346-89A3-485C5859114F}"/>
    <cellStyle name="20% - Accent6 25 2 3 2" xfId="34314" xr:uid="{8D822C2A-4ED0-4365-99DB-DFE4FFB1794B}"/>
    <cellStyle name="20% - Accent6 25 2 4" xfId="34311" xr:uid="{424FEF5B-38A4-47A6-ACCC-FA89A10BF5DE}"/>
    <cellStyle name="20% - Accent6 25 3" xfId="11422" xr:uid="{C73F5FD3-C3C4-46EF-891C-7B47F2833425}"/>
    <cellStyle name="20% - Accent6 25 3 2" xfId="26835" xr:uid="{545598FC-CE8D-4C55-9120-BDA5ACDD155B}"/>
    <cellStyle name="20% - Accent6 25 3 2 2" xfId="34316" xr:uid="{B2726AE0-C72D-43B7-9BC0-0B556435B082}"/>
    <cellStyle name="20% - Accent6 25 3 3" xfId="34315" xr:uid="{3C5D6E24-4F29-497A-BD7E-BC620CA987C6}"/>
    <cellStyle name="20% - Accent6 25 4" xfId="19130" xr:uid="{64955B75-3F64-4834-A52D-837011C191EE}"/>
    <cellStyle name="20% - Accent6 25 4 2" xfId="34317" xr:uid="{25F6590B-1EF1-455C-AC01-71150716E7CE}"/>
    <cellStyle name="20% - Accent6 25 5" xfId="34310" xr:uid="{3C016F41-76B4-4132-A1B0-44EC93E5F0EC}"/>
    <cellStyle name="20% - Accent6 26" xfId="3732" xr:uid="{A595DC67-9C2D-4367-91B3-A7250AB952D3}"/>
    <cellStyle name="20% - Accent6 26 2" xfId="7463" xr:uid="{DF10CC5B-4DDB-4D61-90CA-DE9B86BED39D}"/>
    <cellStyle name="20% - Accent6 26 2 2" xfId="15171" xr:uid="{1156FB9B-FCEB-4D85-93A2-33A8F83B1ABF}"/>
    <cellStyle name="20% - Accent6 26 2 2 2" xfId="30583" xr:uid="{03BE0518-6747-403B-8ACF-23532A082C18}"/>
    <cellStyle name="20% - Accent6 26 2 2 2 2" xfId="34321" xr:uid="{82C9D916-A47D-46E1-873C-43E6146571F3}"/>
    <cellStyle name="20% - Accent6 26 2 2 3" xfId="34320" xr:uid="{7280CB76-9E55-4D52-8901-8754C0978911}"/>
    <cellStyle name="20% - Accent6 26 2 3" xfId="22878" xr:uid="{6AF824C1-0A72-45EA-B67E-F2510FA7870D}"/>
    <cellStyle name="20% - Accent6 26 2 3 2" xfId="34322" xr:uid="{AA6E577C-E0FE-4D05-B78A-D11616B7C0E9}"/>
    <cellStyle name="20% - Accent6 26 2 4" xfId="34319" xr:uid="{6735EFAC-D8C9-48DD-BDB3-E60164CA1B43}"/>
    <cellStyle name="20% - Accent6 26 3" xfId="11442" xr:uid="{6C1BC430-B70D-457A-A725-16767392579E}"/>
    <cellStyle name="20% - Accent6 26 3 2" xfId="26855" xr:uid="{658C2524-DE58-47DB-8C63-593718B800BB}"/>
    <cellStyle name="20% - Accent6 26 3 2 2" xfId="34324" xr:uid="{483D4B59-82B4-45E7-8F3C-61003248325C}"/>
    <cellStyle name="20% - Accent6 26 3 3" xfId="34323" xr:uid="{63CE4B94-C82E-4DA2-A4D2-A9C09C0BACA5}"/>
    <cellStyle name="20% - Accent6 26 4" xfId="19150" xr:uid="{2C68BBC2-D53F-454F-B9E2-91E6C329830F}"/>
    <cellStyle name="20% - Accent6 26 4 2" xfId="34325" xr:uid="{0BB14B28-121D-4EC5-8B11-76EEA2B558FC}"/>
    <cellStyle name="20% - Accent6 26 5" xfId="34318" xr:uid="{AE1F1DA9-F240-46A1-AC1A-B4493973D475}"/>
    <cellStyle name="20% - Accent6 27" xfId="3752" xr:uid="{09F6BE65-1AC3-4A55-8218-217E1B456194}"/>
    <cellStyle name="20% - Accent6 27 2" xfId="7483" xr:uid="{786B54B8-CA24-4AF4-92B1-596E91091E4C}"/>
    <cellStyle name="20% - Accent6 27 2 2" xfId="15191" xr:uid="{59E80F91-B617-4452-8F9B-6DE722BD546C}"/>
    <cellStyle name="20% - Accent6 27 2 2 2" xfId="30603" xr:uid="{61A1A393-C010-4E94-9B48-8E69562008F8}"/>
    <cellStyle name="20% - Accent6 27 2 2 2 2" xfId="34329" xr:uid="{E62E3AFF-5103-4F1C-9654-01B70F557230}"/>
    <cellStyle name="20% - Accent6 27 2 2 3" xfId="34328" xr:uid="{19FF406A-7E2B-4711-A7F0-7A7B682B609C}"/>
    <cellStyle name="20% - Accent6 27 2 3" xfId="22898" xr:uid="{448F86EC-9A27-431E-B00C-2262B17ECDB4}"/>
    <cellStyle name="20% - Accent6 27 2 3 2" xfId="34330" xr:uid="{22509264-33EB-43ED-9037-1E5B7537882E}"/>
    <cellStyle name="20% - Accent6 27 2 4" xfId="34327" xr:uid="{F1AFF8D0-642F-450F-BCAC-1D1C531ED605}"/>
    <cellStyle name="20% - Accent6 27 3" xfId="11462" xr:uid="{CCEB351E-BBFC-44B6-95D2-9F6E4CD104B2}"/>
    <cellStyle name="20% - Accent6 27 3 2" xfId="26875" xr:uid="{AC4A1AF3-9B51-4088-A87F-6F62E30F7ADC}"/>
    <cellStyle name="20% - Accent6 27 3 2 2" xfId="34332" xr:uid="{82BD742B-9DF8-4304-90CD-2A058FF7C925}"/>
    <cellStyle name="20% - Accent6 27 3 3" xfId="34331" xr:uid="{A8A42A33-EB80-4542-A51F-5D6951B6AE3E}"/>
    <cellStyle name="20% - Accent6 27 4" xfId="19170" xr:uid="{79C6565C-B65A-4C47-8E30-587F1DC9E017}"/>
    <cellStyle name="20% - Accent6 27 4 2" xfId="34333" xr:uid="{AF047036-4D4C-4398-ACAC-6464A881AB1D}"/>
    <cellStyle name="20% - Accent6 27 5" xfId="34326" xr:uid="{535830A0-275A-48D1-A100-9256A3A95959}"/>
    <cellStyle name="20% - Accent6 28" xfId="3772" xr:uid="{9A44FBC7-A3D0-4C92-8289-1DD4A45576F0}"/>
    <cellStyle name="20% - Accent6 28 2" xfId="7503" xr:uid="{2B2CC1A9-6AD9-409C-B765-655FB1FBC39F}"/>
    <cellStyle name="20% - Accent6 28 2 2" xfId="15211" xr:uid="{E680586F-4F6A-4149-9903-C1A2F32A1764}"/>
    <cellStyle name="20% - Accent6 28 2 2 2" xfId="30623" xr:uid="{A15F4D13-CF68-4AEB-99ED-226B8D8F893A}"/>
    <cellStyle name="20% - Accent6 28 2 2 2 2" xfId="34337" xr:uid="{5EBA0137-97AB-4759-B427-E31260EFA610}"/>
    <cellStyle name="20% - Accent6 28 2 2 3" xfId="34336" xr:uid="{01A69558-04C8-4A1B-AC9C-87B75D920539}"/>
    <cellStyle name="20% - Accent6 28 2 3" xfId="22918" xr:uid="{A60F2D39-E62A-4532-80A9-132735E0410E}"/>
    <cellStyle name="20% - Accent6 28 2 3 2" xfId="34338" xr:uid="{B3979A5D-A0A3-439E-9503-D0C5C6D60A12}"/>
    <cellStyle name="20% - Accent6 28 2 4" xfId="34335" xr:uid="{3AE281BB-2EC2-4766-8D9F-CB73CD364D55}"/>
    <cellStyle name="20% - Accent6 28 3" xfId="11482" xr:uid="{FAF6A8A8-7CE2-4FB7-9734-F41CF1AFB6B5}"/>
    <cellStyle name="20% - Accent6 28 3 2" xfId="26895" xr:uid="{ED41F72A-CF3B-4CDA-923D-5B5CE7582200}"/>
    <cellStyle name="20% - Accent6 28 3 2 2" xfId="34340" xr:uid="{9F984492-B0D6-443E-8EFC-6E02F4ABEF8C}"/>
    <cellStyle name="20% - Accent6 28 3 3" xfId="34339" xr:uid="{E63A2968-3181-4334-AFA1-A93A160A9F3D}"/>
    <cellStyle name="20% - Accent6 28 4" xfId="19190" xr:uid="{0B3466B5-CB8B-4C4D-9B5A-0F1C7D9C8546}"/>
    <cellStyle name="20% - Accent6 28 4 2" xfId="34341" xr:uid="{DAF7B0C9-4D06-45C8-8ABC-EAE5152F1CB0}"/>
    <cellStyle name="20% - Accent6 28 5" xfId="34334" xr:uid="{EE93AAA7-2AEA-4E6A-AEAC-E2ABB15C80D7}"/>
    <cellStyle name="20% - Accent6 29" xfId="3792" xr:uid="{62F4F3DA-5921-4CD7-AE50-57D4943DE2C2}"/>
    <cellStyle name="20% - Accent6 29 2" xfId="7523" xr:uid="{E17067EE-CCAE-4F37-9B3B-D1E9556E3197}"/>
    <cellStyle name="20% - Accent6 29 2 2" xfId="15231" xr:uid="{ABF11016-6A30-4916-AAEC-4BEA950D72BD}"/>
    <cellStyle name="20% - Accent6 29 2 2 2" xfId="30643" xr:uid="{37D72489-74F2-4FF7-B028-48C8A26FCD4B}"/>
    <cellStyle name="20% - Accent6 29 2 2 2 2" xfId="34345" xr:uid="{33796246-9118-4F47-9E29-5BCA0C561249}"/>
    <cellStyle name="20% - Accent6 29 2 2 3" xfId="34344" xr:uid="{520DBE63-98F5-4327-93F9-AAB70D781AE0}"/>
    <cellStyle name="20% - Accent6 29 2 3" xfId="22938" xr:uid="{9CB6BD1E-9746-432D-B4D1-CAC75EB1C9DF}"/>
    <cellStyle name="20% - Accent6 29 2 3 2" xfId="34346" xr:uid="{14E6A18E-ACE3-400D-8579-1CC62C2F757F}"/>
    <cellStyle name="20% - Accent6 29 2 4" xfId="34343" xr:uid="{DE2D9208-2977-4070-B11D-82F076652AF0}"/>
    <cellStyle name="20% - Accent6 29 3" xfId="11502" xr:uid="{1A531EC3-9413-45CE-8D45-821C14C98259}"/>
    <cellStyle name="20% - Accent6 29 3 2" xfId="26915" xr:uid="{9FF3895B-8F75-419F-A612-62E79CC3DC4F}"/>
    <cellStyle name="20% - Accent6 29 3 2 2" xfId="34348" xr:uid="{D5371397-00A0-4984-BB8C-993FD96B1AF6}"/>
    <cellStyle name="20% - Accent6 29 3 3" xfId="34347" xr:uid="{F62B5FC2-7440-4D67-A37E-95580F4BAE86}"/>
    <cellStyle name="20% - Accent6 29 4" xfId="19210" xr:uid="{97A48EE7-1C67-4ACB-9D8D-94E5E3A3776D}"/>
    <cellStyle name="20% - Accent6 29 4 2" xfId="34349" xr:uid="{E8BCD255-4B1C-41D8-B44A-97BA2609B3E5}"/>
    <cellStyle name="20% - Accent6 29 5" xfId="34342" xr:uid="{DEC5D206-765D-4313-8356-2816854215E1}"/>
    <cellStyle name="20% - Accent6 3" xfId="335" xr:uid="{5BEA7965-7736-45ED-9CB2-959F9A92AAEC}"/>
    <cellStyle name="20% - Accent6 3 2" xfId="999" xr:uid="{C8C7CB38-C5C5-4B02-B061-8B27700B1B72}"/>
    <cellStyle name="20% - Accent6 3 2 2" xfId="2469" xr:uid="{8F8AD34F-CA0C-4FC5-8644-9DE07469E75D}"/>
    <cellStyle name="20% - Accent6 3 2 2 2" xfId="6201" xr:uid="{0CBAA224-3445-44CF-9930-DF957050CD81}"/>
    <cellStyle name="20% - Accent6 3 2 2 2 2" xfId="13909" xr:uid="{D0E45F2A-D7AD-4475-972F-D88BE1C5A6B2}"/>
    <cellStyle name="20% - Accent6 3 2 2 2 2 2" xfId="29321" xr:uid="{005C688C-8EB9-4B31-8117-CB5A78048B2F}"/>
    <cellStyle name="20% - Accent6 3 2 2 2 2 2 2" xfId="34355" xr:uid="{5A911E63-2F87-4538-9C99-CB676C845359}"/>
    <cellStyle name="20% - Accent6 3 2 2 2 2 3" xfId="34354" xr:uid="{871584DE-FD87-4ED8-989C-204F817FA61A}"/>
    <cellStyle name="20% - Accent6 3 2 2 2 3" xfId="21616" xr:uid="{DFB63F16-885D-4781-A5E8-C4352E3EBA64}"/>
    <cellStyle name="20% - Accent6 3 2 2 2 3 2" xfId="34356" xr:uid="{CED657AF-DC65-432B-9F33-63A707C80D84}"/>
    <cellStyle name="20% - Accent6 3 2 2 2 4" xfId="34353" xr:uid="{31A38ECE-0CBF-42A8-A37D-16C8503D6407}"/>
    <cellStyle name="20% - Accent6 3 2 2 3" xfId="10180" xr:uid="{63B6B9A6-9C3E-427A-9858-F7BDF03F95A2}"/>
    <cellStyle name="20% - Accent6 3 2 2 3 2" xfId="25593" xr:uid="{E8958832-A80A-4D64-A5C0-48309A5475F2}"/>
    <cellStyle name="20% - Accent6 3 2 2 3 2 2" xfId="34358" xr:uid="{6E26314F-8AE2-46A8-8F79-6D8805046469}"/>
    <cellStyle name="20% - Accent6 3 2 2 3 3" xfId="34357" xr:uid="{A219CA33-2F0A-43FC-AF64-D565D4FDBC76}"/>
    <cellStyle name="20% - Accent6 3 2 2 4" xfId="17888" xr:uid="{84EE63B1-84F2-48B7-B85B-CADD928D5B1E}"/>
    <cellStyle name="20% - Accent6 3 2 2 4 2" xfId="34359" xr:uid="{C68D3DCD-405C-4EF9-85CE-42E113173E09}"/>
    <cellStyle name="20% - Accent6 3 2 2 5" xfId="34352" xr:uid="{5B05DCD6-A561-435F-AA00-FC5113FA2629}"/>
    <cellStyle name="20% - Accent6 3 2 3" xfId="4736" xr:uid="{08224735-7C1E-46CF-A5D2-94D232086581}"/>
    <cellStyle name="20% - Accent6 3 2 3 2" xfId="12444" xr:uid="{A8F866F6-16DB-401E-93C3-A5E3C0832F61}"/>
    <cellStyle name="20% - Accent6 3 2 3 2 2" xfId="27856" xr:uid="{B16139B9-0003-435C-9650-6E818F1D6038}"/>
    <cellStyle name="20% - Accent6 3 2 3 2 2 2" xfId="34362" xr:uid="{EFA8BEE1-A339-40BE-9F65-D6AA65677F43}"/>
    <cellStyle name="20% - Accent6 3 2 3 2 3" xfId="34361" xr:uid="{A669EC61-A03F-4E8F-8D29-491368234367}"/>
    <cellStyle name="20% - Accent6 3 2 3 3" xfId="20151" xr:uid="{08DBC780-D48B-4B23-9CD3-B5AB3305CCE7}"/>
    <cellStyle name="20% - Accent6 3 2 3 3 2" xfId="34363" xr:uid="{BE13F849-5A19-4A5C-B573-08B5B49F84E5}"/>
    <cellStyle name="20% - Accent6 3 2 3 4" xfId="34360" xr:uid="{A0853372-8B7F-4F06-B294-B62581EDCF41}"/>
    <cellStyle name="20% - Accent6 3 2 4" xfId="8721" xr:uid="{C07D9DDA-EA48-4569-B1DA-4A21D653487D}"/>
    <cellStyle name="20% - Accent6 3 2 4 2" xfId="24134" xr:uid="{F7A8D09F-7742-44DE-A79F-ED8DE2DC9809}"/>
    <cellStyle name="20% - Accent6 3 2 4 2 2" xfId="34365" xr:uid="{5317EBD5-9466-4530-AEC3-A71CBE083CAD}"/>
    <cellStyle name="20% - Accent6 3 2 4 3" xfId="34364" xr:uid="{E7A0E1D0-FA1F-44D5-AA53-4F8EB8EA3435}"/>
    <cellStyle name="20% - Accent6 3 2 5" xfId="16429" xr:uid="{FC24274F-2482-4D13-82B0-3BD6AA65E529}"/>
    <cellStyle name="20% - Accent6 3 2 5 2" xfId="34366" xr:uid="{ACB96D4D-4EF4-4DF1-B349-008B59EF9989}"/>
    <cellStyle name="20% - Accent6 3 2 6" xfId="34351" xr:uid="{6A66B67C-D130-4AC8-8B0B-93CD57B151C5}"/>
    <cellStyle name="20% - Accent6 3 3" xfId="1831" xr:uid="{4621417E-BE42-4A2C-918F-EA02C616016F}"/>
    <cellStyle name="20% - Accent6 3 3 2" xfId="5563" xr:uid="{839BCB19-F09E-4744-A343-CEA48921605A}"/>
    <cellStyle name="20% - Accent6 3 3 2 2" xfId="13271" xr:uid="{E51B463A-6245-4472-9C8D-C9905B571695}"/>
    <cellStyle name="20% - Accent6 3 3 2 2 2" xfId="28683" xr:uid="{080A7BB2-F0F2-4612-9590-EE3EF7C41BB0}"/>
    <cellStyle name="20% - Accent6 3 3 2 2 2 2" xfId="34370" xr:uid="{EAB25B1E-A142-4BE3-BA3D-087F3999019A}"/>
    <cellStyle name="20% - Accent6 3 3 2 2 3" xfId="34369" xr:uid="{077C3048-CB5C-40AD-99E1-82CFA43600A8}"/>
    <cellStyle name="20% - Accent6 3 3 2 3" xfId="20978" xr:uid="{238D7A7B-57AA-4F19-AA96-6BB402510DE5}"/>
    <cellStyle name="20% - Accent6 3 3 2 3 2" xfId="34371" xr:uid="{6500405E-0300-4C9A-B5E7-2F63F8E72625}"/>
    <cellStyle name="20% - Accent6 3 3 2 4" xfId="34368" xr:uid="{091D7AC4-14A7-4499-8BFF-228D9F5041C3}"/>
    <cellStyle name="20% - Accent6 3 3 3" xfId="9542" xr:uid="{9136E569-C58D-4678-87FB-D6403DC91772}"/>
    <cellStyle name="20% - Accent6 3 3 3 2" xfId="24955" xr:uid="{6F421F72-C024-4539-990F-3BB4D2C72952}"/>
    <cellStyle name="20% - Accent6 3 3 3 2 2" xfId="34373" xr:uid="{514645C8-6D16-4DBF-BB7F-C582008E96F6}"/>
    <cellStyle name="20% - Accent6 3 3 3 3" xfId="34372" xr:uid="{1573C574-59A7-4F34-94A1-DC4BF2AD1D16}"/>
    <cellStyle name="20% - Accent6 3 3 4" xfId="17250" xr:uid="{98E2372A-0491-4F57-88D7-11714CB0F506}"/>
    <cellStyle name="20% - Accent6 3 3 4 2" xfId="34374" xr:uid="{158381DF-B121-4D78-B6A6-1379C90CB73C}"/>
    <cellStyle name="20% - Accent6 3 3 5" xfId="34367" xr:uid="{33373F88-6940-42FE-885B-29DF51A00E50}"/>
    <cellStyle name="20% - Accent6 3 4" xfId="4084" xr:uid="{A46BA5E9-35E4-4F4E-B430-F4B3C4E5FD99}"/>
    <cellStyle name="20% - Accent6 3 4 2" xfId="11792" xr:uid="{E54FCD2B-017E-434D-B5D6-DC396B3F1907}"/>
    <cellStyle name="20% - Accent6 3 4 2 2" xfId="27204" xr:uid="{3C5C5D75-2F4F-4F23-AC52-F79BA6C86BC4}"/>
    <cellStyle name="20% - Accent6 3 4 2 2 2" xfId="34377" xr:uid="{BC169971-F752-4CD6-84F3-BA953AC79D63}"/>
    <cellStyle name="20% - Accent6 3 4 2 3" xfId="34376" xr:uid="{EFF77CEC-4F9B-43A0-8B9F-BE062F04E1AA}"/>
    <cellStyle name="20% - Accent6 3 4 3" xfId="19499" xr:uid="{55F9808A-5DA0-4B8C-98A9-9A5EFA18CC71}"/>
    <cellStyle name="20% - Accent6 3 4 3 2" xfId="34378" xr:uid="{01680730-4123-4E31-AB01-82414E12B4C8}"/>
    <cellStyle name="20% - Accent6 3 4 4" xfId="34375" xr:uid="{FA6D4B13-4EC0-4C35-A25F-948712001E72}"/>
    <cellStyle name="20% - Accent6 3 5" xfId="8083" xr:uid="{194B635C-6B3A-4586-939E-B2E9459854E4}"/>
    <cellStyle name="20% - Accent6 3 5 2" xfId="23496" xr:uid="{1B4048CC-7597-461B-9B5A-248A1FA4F6A6}"/>
    <cellStyle name="20% - Accent6 3 5 2 2" xfId="34380" xr:uid="{C144210D-CE96-4620-A003-DA3C0A27C6A7}"/>
    <cellStyle name="20% - Accent6 3 5 3" xfId="34379" xr:uid="{B6E00B34-30E3-4D6B-BAC8-C4B3F230E36E}"/>
    <cellStyle name="20% - Accent6 3 6" xfId="15791" xr:uid="{4202ECB4-8BDD-4D3B-B9D5-B3B23DA71A68}"/>
    <cellStyle name="20% - Accent6 3 6 2" xfId="34381" xr:uid="{02F61F0B-FE07-4DB4-937F-D1404DD82B9A}"/>
    <cellStyle name="20% - Accent6 3 7" xfId="34350" xr:uid="{EBDC2292-9A92-4C18-94DB-51091B1CDDFB}"/>
    <cellStyle name="20% - Accent6 30" xfId="3812" xr:uid="{BC696E30-BE81-41C0-A4DA-6F4FA0F2A57C}"/>
    <cellStyle name="20% - Accent6 30 2" xfId="7543" xr:uid="{F44702D7-92B2-4D26-8904-C7730CD07223}"/>
    <cellStyle name="20% - Accent6 30 2 2" xfId="15251" xr:uid="{A2D0DDC2-E9F8-419B-A4DA-F7DAD542B56A}"/>
    <cellStyle name="20% - Accent6 30 2 2 2" xfId="30663" xr:uid="{09FE79E8-5173-43E7-891F-6C8D1B5BEA48}"/>
    <cellStyle name="20% - Accent6 30 2 2 2 2" xfId="34385" xr:uid="{CF60DA4B-D444-47A9-9025-521A3815FADE}"/>
    <cellStyle name="20% - Accent6 30 2 2 3" xfId="34384" xr:uid="{9EF74303-EC35-4B22-BFEE-DDFFB9B45110}"/>
    <cellStyle name="20% - Accent6 30 2 3" xfId="22958" xr:uid="{4C413635-F4D8-4EFD-B60D-E24B13191648}"/>
    <cellStyle name="20% - Accent6 30 2 3 2" xfId="34386" xr:uid="{1BF102DC-F3B0-407F-AAA0-09B16E106D86}"/>
    <cellStyle name="20% - Accent6 30 2 4" xfId="34383" xr:uid="{7E644A50-B2BF-476E-8BD5-9C0D4A1A8E22}"/>
    <cellStyle name="20% - Accent6 30 3" xfId="11522" xr:uid="{8136E311-C524-4653-95C5-B1DF80C764AC}"/>
    <cellStyle name="20% - Accent6 30 3 2" xfId="26935" xr:uid="{D7BA6CB4-6B88-41CF-A750-DF3056A1B313}"/>
    <cellStyle name="20% - Accent6 30 3 2 2" xfId="34388" xr:uid="{BAE9CB8C-CF99-4799-9C74-0D0338C14CC1}"/>
    <cellStyle name="20% - Accent6 30 3 3" xfId="34387" xr:uid="{31FF1F6F-FC92-41A0-B55C-8B22C0674762}"/>
    <cellStyle name="20% - Accent6 30 4" xfId="19230" xr:uid="{BC20CD7E-93A0-4040-8826-56B6760C239B}"/>
    <cellStyle name="20% - Accent6 30 4 2" xfId="34389" xr:uid="{F7CC637F-4A6A-41D8-AAA4-F6746115736D}"/>
    <cellStyle name="20% - Accent6 30 5" xfId="34382" xr:uid="{7003B79B-6790-459D-AD43-C8C2EEB492C0}"/>
    <cellStyle name="20% - Accent6 31" xfId="3832" xr:uid="{14CDC7E7-CA44-4C05-AE43-46FA5265BC98}"/>
    <cellStyle name="20% - Accent6 31 2" xfId="7563" xr:uid="{A9EB2097-0CE5-4A84-8017-0E2B0B8034AB}"/>
    <cellStyle name="20% - Accent6 31 2 2" xfId="15271" xr:uid="{9BE65269-9DF4-4873-B2D2-35D8F565522B}"/>
    <cellStyle name="20% - Accent6 31 2 2 2" xfId="30683" xr:uid="{0B3B11AF-1AE4-4205-A53A-8EC9D9481269}"/>
    <cellStyle name="20% - Accent6 31 2 2 2 2" xfId="34393" xr:uid="{D0539477-099A-4E83-AB64-25A0FD6237C9}"/>
    <cellStyle name="20% - Accent6 31 2 2 3" xfId="34392" xr:uid="{9436466B-173E-4FA5-8ED3-2F5A11CDB885}"/>
    <cellStyle name="20% - Accent6 31 2 3" xfId="22978" xr:uid="{9F84F441-9BC3-4E15-B556-213CB49AF9D3}"/>
    <cellStyle name="20% - Accent6 31 2 3 2" xfId="34394" xr:uid="{1C60A96A-5968-4699-8E3B-BF5ECAA2F81C}"/>
    <cellStyle name="20% - Accent6 31 2 4" xfId="34391" xr:uid="{3CDC2A70-B44E-4BB6-8E6D-4D034B8D92E6}"/>
    <cellStyle name="20% - Accent6 31 3" xfId="11542" xr:uid="{D9526E67-7200-408D-A84D-15E51CF94C24}"/>
    <cellStyle name="20% - Accent6 31 3 2" xfId="26955" xr:uid="{39DA8CAB-6F5C-4AED-A524-9C9FFBB7B69B}"/>
    <cellStyle name="20% - Accent6 31 3 2 2" xfId="34396" xr:uid="{E60D96C0-6161-4161-AF49-22B6C64EBE4B}"/>
    <cellStyle name="20% - Accent6 31 3 3" xfId="34395" xr:uid="{183D2FAE-EBE5-4D24-9BA8-2654A1240A48}"/>
    <cellStyle name="20% - Accent6 31 4" xfId="19250" xr:uid="{DF29692C-4BB9-43BA-8A18-B5781AB265CA}"/>
    <cellStyle name="20% - Accent6 31 4 2" xfId="34397" xr:uid="{57E8718D-FA90-4817-A67F-CFD1AE63EE0B}"/>
    <cellStyle name="20% - Accent6 31 5" xfId="34390" xr:uid="{23761017-A7D6-4364-8D1B-B0DED5869FBB}"/>
    <cellStyle name="20% - Accent6 32" xfId="3853" xr:uid="{EEE551F4-5F87-452E-AFBB-4B0B4ED16473}"/>
    <cellStyle name="20% - Accent6 32 2" xfId="7583" xr:uid="{3297392F-DEAE-407E-B605-39C3334D99F6}"/>
    <cellStyle name="20% - Accent6 32 2 2" xfId="15291" xr:uid="{283F2430-0D1D-4A76-AC50-6E35CDEA6E10}"/>
    <cellStyle name="20% - Accent6 32 2 2 2" xfId="30703" xr:uid="{73A6DDF0-CD90-446D-A1AD-4E48A7303780}"/>
    <cellStyle name="20% - Accent6 32 2 2 2 2" xfId="34401" xr:uid="{E23984D6-EA18-4F69-BA90-3B80EAD65DE7}"/>
    <cellStyle name="20% - Accent6 32 2 2 3" xfId="34400" xr:uid="{8B947352-2BA9-47CD-84D2-7CC53D3F8DEF}"/>
    <cellStyle name="20% - Accent6 32 2 3" xfId="22998" xr:uid="{58D31082-27E5-48E9-9C6B-DB2ED941F014}"/>
    <cellStyle name="20% - Accent6 32 2 3 2" xfId="34402" xr:uid="{8C2AA3E7-4854-4634-8C0B-65F54E5E8D0E}"/>
    <cellStyle name="20% - Accent6 32 2 4" xfId="34399" xr:uid="{FFA6ACC8-7232-41DE-95B6-0FBC28F69E05}"/>
    <cellStyle name="20% - Accent6 32 3" xfId="11563" xr:uid="{17E0E9D0-E2AB-44BE-BC79-47D1D778CD0A}"/>
    <cellStyle name="20% - Accent6 32 3 2" xfId="26975" xr:uid="{F3F077B9-3275-4057-BA87-453C1CE6A20B}"/>
    <cellStyle name="20% - Accent6 32 3 2 2" xfId="34404" xr:uid="{280DEEDF-E7ED-4883-ADD8-44A6C1BAAD36}"/>
    <cellStyle name="20% - Accent6 32 3 3" xfId="34403" xr:uid="{F63F072B-7D5A-435A-A62D-6A90060D0F9E}"/>
    <cellStyle name="20% - Accent6 32 4" xfId="19270" xr:uid="{141FF4B6-D267-4C32-960C-5A200114B90E}"/>
    <cellStyle name="20% - Accent6 32 4 2" xfId="34405" xr:uid="{0E2CD456-E038-4C49-A2E7-C726D8901EB3}"/>
    <cellStyle name="20% - Accent6 32 5" xfId="34398" xr:uid="{BDCA9FD0-F16D-45BF-9D85-1AA814DFEC1F}"/>
    <cellStyle name="20% - Accent6 33" xfId="3872" xr:uid="{8F807188-C5D5-486B-B9F0-1748465EDC2E}"/>
    <cellStyle name="20% - Accent6 33 2" xfId="11582" xr:uid="{99CC5F94-6194-417F-8709-6B7E56AF5739}"/>
    <cellStyle name="20% - Accent6 33 2 2" xfId="26994" xr:uid="{20890CF8-FC54-4C13-8B23-FE1D99180A8B}"/>
    <cellStyle name="20% - Accent6 33 2 2 2" xfId="34408" xr:uid="{90A48BFD-1767-4E11-AC95-5D7BA463FE83}"/>
    <cellStyle name="20% - Accent6 33 2 3" xfId="34407" xr:uid="{EA9CFCA1-08F3-4FF8-9C17-A90DAFBDD1A7}"/>
    <cellStyle name="20% - Accent6 33 3" xfId="19289" xr:uid="{A5000EC6-C624-4276-A1C7-8A3B227CB3EC}"/>
    <cellStyle name="20% - Accent6 33 3 2" xfId="34409" xr:uid="{AB2D4A19-0086-4C2A-8293-51863A6FF804}"/>
    <cellStyle name="20% - Accent6 33 4" xfId="34406" xr:uid="{60EE07D5-3DDD-4282-ADF6-82AE660D57FA}"/>
    <cellStyle name="20% - Accent6 34" xfId="7603" xr:uid="{C597354C-3C0E-4355-B855-B6A4F5B0D443}"/>
    <cellStyle name="20% - Accent6 34 2" xfId="15311" xr:uid="{CD0A3723-93FC-4DBE-AD7F-8335F09E727C}"/>
    <cellStyle name="20% - Accent6 34 2 2" xfId="30723" xr:uid="{F3DAFBEB-F391-43A6-9E50-4BD79F797AF5}"/>
    <cellStyle name="20% - Accent6 34 2 2 2" xfId="34412" xr:uid="{77207473-B7BF-487D-B1CC-CAA5E47F58C8}"/>
    <cellStyle name="20% - Accent6 34 2 3" xfId="34411" xr:uid="{FAE37153-AFBB-444E-B4AE-55D6F7DD013C}"/>
    <cellStyle name="20% - Accent6 34 3" xfId="23018" xr:uid="{7ED98C4E-722C-4E7A-B1EA-69E6C6A27200}"/>
    <cellStyle name="20% - Accent6 34 3 2" xfId="34413" xr:uid="{DFDE87CD-F46D-4D27-B4D7-3DB830F05E37}"/>
    <cellStyle name="20% - Accent6 34 4" xfId="34410" xr:uid="{E57FAEA4-5DFE-4C33-8239-EE213CEBFFE1}"/>
    <cellStyle name="20% - Accent6 35" xfId="7623" xr:uid="{F0F0FCD0-DDE7-4EE3-A0FE-D8E9B44DDB85}"/>
    <cellStyle name="20% - Accent6 35 2" xfId="15331" xr:uid="{9E64C372-7049-4F63-A857-A55959911E71}"/>
    <cellStyle name="20% - Accent6 35 2 2" xfId="30743" xr:uid="{F7A5AB55-2886-41AF-ADCB-92BDFB0C1FDC}"/>
    <cellStyle name="20% - Accent6 35 2 2 2" xfId="34416" xr:uid="{8BE7860B-27C0-4FD0-A34A-76E20A13862F}"/>
    <cellStyle name="20% - Accent6 35 2 3" xfId="34415" xr:uid="{BC829F8A-FFFA-4911-A3F8-59DA8694D8E4}"/>
    <cellStyle name="20% - Accent6 35 3" xfId="23038" xr:uid="{664897B9-773F-448F-BD12-C75FA6604289}"/>
    <cellStyle name="20% - Accent6 35 3 2" xfId="34417" xr:uid="{EA9B18B3-40A3-4C9D-B9B1-807A96423264}"/>
    <cellStyle name="20% - Accent6 35 4" xfId="34414" xr:uid="{283B8B26-88C1-42FF-9210-80191AF66B3D}"/>
    <cellStyle name="20% - Accent6 36" xfId="7643" xr:uid="{A8FFED99-E832-4EA7-818B-51D944A5FC9D}"/>
    <cellStyle name="20% - Accent6 36 2" xfId="15351" xr:uid="{95AB01BE-C5A6-4B24-9080-E6856ADCAC67}"/>
    <cellStyle name="20% - Accent6 36 2 2" xfId="30763" xr:uid="{A12049D4-BD58-4851-BAF6-4A7A2E5E4398}"/>
    <cellStyle name="20% - Accent6 36 2 2 2" xfId="34420" xr:uid="{B748E8F7-A579-4A24-8C65-62FABC3B6A32}"/>
    <cellStyle name="20% - Accent6 36 2 3" xfId="34419" xr:uid="{DCA9D02F-9B85-4238-AFA8-7A817EDD6114}"/>
    <cellStyle name="20% - Accent6 36 3" xfId="23058" xr:uid="{F1F069E8-2390-497B-901F-32F5B219F6B9}"/>
    <cellStyle name="20% - Accent6 36 3 2" xfId="34421" xr:uid="{D088EEB3-C66A-4200-812E-94E7A93054AA}"/>
    <cellStyle name="20% - Accent6 36 4" xfId="34418" xr:uid="{A179D2D0-9B9C-4BEE-98EB-F0056FDE4BF5}"/>
    <cellStyle name="20% - Accent6 37" xfId="7663" xr:uid="{C9B86261-2FC5-47AF-8949-559ACC2226E9}"/>
    <cellStyle name="20% - Accent6 37 2" xfId="15371" xr:uid="{B853A14E-E630-4F98-BBE0-FD700290B326}"/>
    <cellStyle name="20% - Accent6 37 2 2" xfId="30783" xr:uid="{FAB952BB-FDA6-4F73-9ED4-C3D2B09493A2}"/>
    <cellStyle name="20% - Accent6 37 2 2 2" xfId="34424" xr:uid="{C0AAA5BD-65FE-4147-B02D-E0C0E6146BA7}"/>
    <cellStyle name="20% - Accent6 37 2 3" xfId="34423" xr:uid="{9845BBBE-B8D3-40DC-963D-9F9AF1030BC0}"/>
    <cellStyle name="20% - Accent6 37 3" xfId="23078" xr:uid="{8A021830-5059-4481-833E-C0AA7FF3B29E}"/>
    <cellStyle name="20% - Accent6 37 3 2" xfId="34425" xr:uid="{9BE64469-3A36-4465-8D4F-E688931483D2}"/>
    <cellStyle name="20% - Accent6 37 4" xfId="34422" xr:uid="{941585BA-DE41-4DCD-A2B8-C4B9FF647D60}"/>
    <cellStyle name="20% - Accent6 38" xfId="7683" xr:uid="{827CD5D6-88F0-443B-A30A-EF1FD16075D1}"/>
    <cellStyle name="20% - Accent6 38 2" xfId="15391" xr:uid="{41CB99F8-75EF-4CA7-9D2B-46732F1FB8BE}"/>
    <cellStyle name="20% - Accent6 38 2 2" xfId="30803" xr:uid="{61C810E7-3533-4EEB-831A-2CC8DB9F1950}"/>
    <cellStyle name="20% - Accent6 38 2 2 2" xfId="34428" xr:uid="{0601CBE9-B17F-4AB7-BD12-C96F30039EC4}"/>
    <cellStyle name="20% - Accent6 38 2 3" xfId="34427" xr:uid="{45C44502-8A73-492B-BB35-D99F40A4B3D9}"/>
    <cellStyle name="20% - Accent6 38 3" xfId="23098" xr:uid="{ABDA6350-6E26-47E5-8665-6B478FD49EFE}"/>
    <cellStyle name="20% - Accent6 38 3 2" xfId="34429" xr:uid="{9311416F-4E8C-4041-B361-464877ED898B}"/>
    <cellStyle name="20% - Accent6 38 4" xfId="34426" xr:uid="{223524DE-A6BD-4C71-B9D4-FF6D889A5386}"/>
    <cellStyle name="20% - Accent6 39" xfId="7703" xr:uid="{A1F634D7-E83E-471C-A9AC-9A058F01757E}"/>
    <cellStyle name="20% - Accent6 39 2" xfId="15411" xr:uid="{51C42BE1-482E-4103-A712-6A9E8CD064BC}"/>
    <cellStyle name="20% - Accent6 39 2 2" xfId="30823" xr:uid="{0D4301AF-CD79-43E5-AB29-031D71522888}"/>
    <cellStyle name="20% - Accent6 39 2 2 2" xfId="34432" xr:uid="{91C21D91-5E2F-4DB1-BB1D-39A6D3B37AA9}"/>
    <cellStyle name="20% - Accent6 39 2 3" xfId="34431" xr:uid="{DE4FA8A4-71F0-4EFD-9B24-21A6F8FBC8D7}"/>
    <cellStyle name="20% - Accent6 39 3" xfId="23118" xr:uid="{F3DF960A-1B65-477A-A995-8ADE08DB57DA}"/>
    <cellStyle name="20% - Accent6 39 3 2" xfId="34433" xr:uid="{31FE9A38-8580-4B0D-97FB-546A328F5C43}"/>
    <cellStyle name="20% - Accent6 39 4" xfId="34430" xr:uid="{9B1B964E-95CE-428F-860F-934DB285D663}"/>
    <cellStyle name="20% - Accent6 4" xfId="1628" xr:uid="{1FB43E30-728A-40DF-BC9F-37682901C4FE}"/>
    <cellStyle name="20% - Accent6 4 2" xfId="5363" xr:uid="{D02EC830-7246-4939-9B3D-F430743B9C55}"/>
    <cellStyle name="20% - Accent6 4 2 2" xfId="13071" xr:uid="{8CBE9BB0-A3D6-47F2-A377-CD9FF288E4EC}"/>
    <cellStyle name="20% - Accent6 4 2 2 2" xfId="28483" xr:uid="{C621639C-F60E-450C-B1FE-8B5A66BEE1D7}"/>
    <cellStyle name="20% - Accent6 4 2 2 2 2" xfId="34437" xr:uid="{04AF8BD4-2A4E-4D43-AEC4-85A4A9C70132}"/>
    <cellStyle name="20% - Accent6 4 2 2 3" xfId="34436" xr:uid="{799CD644-88C4-4A54-BDCE-5C4D8689E694}"/>
    <cellStyle name="20% - Accent6 4 2 3" xfId="20778" xr:uid="{D487CB8D-69A8-42B3-BA26-0B408F6B3E50}"/>
    <cellStyle name="20% - Accent6 4 2 3 2" xfId="34438" xr:uid="{312662E5-582E-46C0-A471-70F41A1F61F3}"/>
    <cellStyle name="20% - Accent6 4 2 4" xfId="34435" xr:uid="{44417473-E066-4194-A033-101244815268}"/>
    <cellStyle name="20% - Accent6 4 3" xfId="9344" xr:uid="{3015D2FF-3CBC-4616-8BF9-CC069577FA19}"/>
    <cellStyle name="20% - Accent6 4 3 2" xfId="24757" xr:uid="{15D407B3-E0E3-4874-A9AA-52F8363FD7A1}"/>
    <cellStyle name="20% - Accent6 4 3 2 2" xfId="34440" xr:uid="{24704DD6-D84F-4474-9855-084074DF1003}"/>
    <cellStyle name="20% - Accent6 4 3 3" xfId="34439" xr:uid="{F7CE5492-43A0-4D09-86FE-596DB715A4E7}"/>
    <cellStyle name="20% - Accent6 4 4" xfId="17052" xr:uid="{71B4A9F9-3FFB-49EE-B8BB-EB72B5772A2C}"/>
    <cellStyle name="20% - Accent6 4 4 2" xfId="34441" xr:uid="{9EE23851-25F7-4806-8628-9CFE68D19145}"/>
    <cellStyle name="20% - Accent6 4 5" xfId="34434" xr:uid="{98F013D4-5614-4034-8F47-99FF807F43DE}"/>
    <cellStyle name="20% - Accent6 40" xfId="7723" xr:uid="{D249B811-248B-495A-90EE-C6BAD93BD905}"/>
    <cellStyle name="20% - Accent6 40 2" xfId="15431" xr:uid="{E2B2F1FF-89B7-425C-8284-E8BEC2C233EB}"/>
    <cellStyle name="20% - Accent6 40 2 2" xfId="30843" xr:uid="{E7A16999-47E6-43D0-AC2B-42BDE49E5F24}"/>
    <cellStyle name="20% - Accent6 40 2 2 2" xfId="34444" xr:uid="{52DA0FC0-8B9E-4E00-A16F-0706DCC9106C}"/>
    <cellStyle name="20% - Accent6 40 2 3" xfId="34443" xr:uid="{85D25DEE-597A-4556-9B32-F84252C6FD73}"/>
    <cellStyle name="20% - Accent6 40 3" xfId="23138" xr:uid="{BE8A53C8-68E9-4DA8-AB96-404E09AD906A}"/>
    <cellStyle name="20% - Accent6 40 3 2" xfId="34445" xr:uid="{C99066BA-989D-4552-9DDD-D075EE6F8993}"/>
    <cellStyle name="20% - Accent6 40 4" xfId="34442" xr:uid="{45564CE6-DF88-4F42-97D8-D629FAE73E48}"/>
    <cellStyle name="20% - Accent6 41" xfId="7743" xr:uid="{45C64599-9D1B-4BDA-B6C5-AA81368AAA84}"/>
    <cellStyle name="20% - Accent6 41 2" xfId="15451" xr:uid="{6FC27CE1-5F2F-44D3-96EE-6920521DB0EC}"/>
    <cellStyle name="20% - Accent6 41 2 2" xfId="30863" xr:uid="{FF5A9707-017A-4F80-865D-A911440A622D}"/>
    <cellStyle name="20% - Accent6 41 2 2 2" xfId="34448" xr:uid="{61747B80-1208-4AC2-8F05-29D61746318F}"/>
    <cellStyle name="20% - Accent6 41 2 3" xfId="34447" xr:uid="{D803FDA8-826C-4D59-9ECB-5B1D4725234A}"/>
    <cellStyle name="20% - Accent6 41 3" xfId="23158" xr:uid="{CE3FEDF2-2B62-4E1E-95AD-89625AED5261}"/>
    <cellStyle name="20% - Accent6 41 3 2" xfId="34449" xr:uid="{C3FD2F65-928E-4B0D-9117-61D5EB9D0138}"/>
    <cellStyle name="20% - Accent6 41 4" xfId="34446" xr:uid="{52AF184D-8EF1-4847-84D3-C3A2CD62B208}"/>
    <cellStyle name="20% - Accent6 42" xfId="7763" xr:uid="{3EBD3C74-CABE-41B2-88B6-A716B687ACE3}"/>
    <cellStyle name="20% - Accent6 42 2" xfId="15471" xr:uid="{4CA601F4-2FBC-4B4D-8401-B1FF4F6F03E2}"/>
    <cellStyle name="20% - Accent6 42 2 2" xfId="30883" xr:uid="{E7217548-026F-47AD-A6E1-914C1A77147F}"/>
    <cellStyle name="20% - Accent6 42 2 2 2" xfId="34452" xr:uid="{7FF2FCFB-2E32-4AC3-A8AF-983D6F98A001}"/>
    <cellStyle name="20% - Accent6 42 2 3" xfId="34451" xr:uid="{01AFC5BC-7D13-4E09-8459-68A17977E6D7}"/>
    <cellStyle name="20% - Accent6 42 3" xfId="23178" xr:uid="{0F70F091-8125-4470-8073-D01394538F78}"/>
    <cellStyle name="20% - Accent6 42 3 2" xfId="34453" xr:uid="{EFB9A634-F7EE-4B0C-9D68-16BB0F7EC3BE}"/>
    <cellStyle name="20% - Accent6 42 4" xfId="34450" xr:uid="{2B121B0C-55BF-4D80-8183-E042528537EB}"/>
    <cellStyle name="20% - Accent6 43" xfId="7783" xr:uid="{029EAE5A-98FF-4732-87EA-7C4448B00153}"/>
    <cellStyle name="20% - Accent6 43 2" xfId="15491" xr:uid="{EFE238D0-F296-422D-BB5E-3C330C561B64}"/>
    <cellStyle name="20% - Accent6 43 2 2" xfId="30903" xr:uid="{86E3D585-F25A-47CD-89E4-1CDFC1341713}"/>
    <cellStyle name="20% - Accent6 43 2 2 2" xfId="34456" xr:uid="{1A18368D-0356-4F94-BCCE-9AE8FF80146B}"/>
    <cellStyle name="20% - Accent6 43 2 3" xfId="34455" xr:uid="{932858B5-8D1C-4024-8D0A-7A4194AAF505}"/>
    <cellStyle name="20% - Accent6 43 3" xfId="23198" xr:uid="{139F5048-1893-414A-95C7-E487334447BE}"/>
    <cellStyle name="20% - Accent6 43 3 2" xfId="34457" xr:uid="{A50D5161-0F2E-49D6-9CEE-C78820DC3FC7}"/>
    <cellStyle name="20% - Accent6 43 4" xfId="34454" xr:uid="{83FFD00A-992D-467D-91C3-B0A7AFFADAEB}"/>
    <cellStyle name="20% - Accent6 44" xfId="7803" xr:uid="{57DC99A2-9A6C-4B3F-A6E3-72A8171F490A}"/>
    <cellStyle name="20% - Accent6 44 2" xfId="15511" xr:uid="{F3256595-4550-4C70-8CFF-BD9F73D659AE}"/>
    <cellStyle name="20% - Accent6 44 2 2" xfId="30923" xr:uid="{A39F321B-ACD1-4DDE-8607-24111770432C}"/>
    <cellStyle name="20% - Accent6 44 2 2 2" xfId="34460" xr:uid="{50A5A492-CD78-44A7-B4C6-4B8C06FDD95F}"/>
    <cellStyle name="20% - Accent6 44 2 3" xfId="34459" xr:uid="{31CAD08B-FF66-4ABE-B669-C991A17EAD9E}"/>
    <cellStyle name="20% - Accent6 44 3" xfId="23218" xr:uid="{A51B0E76-700C-488C-B6CB-CE31A9CA0F4E}"/>
    <cellStyle name="20% - Accent6 44 3 2" xfId="34461" xr:uid="{D434EFE2-A48F-48AF-BF73-55CA7AFCDBC7}"/>
    <cellStyle name="20% - Accent6 44 4" xfId="34458" xr:uid="{BD1BD7F6-B9A7-40A7-8A30-B4C619A435FD}"/>
    <cellStyle name="20% - Accent6 45" xfId="7825" xr:uid="{6E6AD625-E406-446E-B701-A3A3B62E0052}"/>
    <cellStyle name="20% - Accent6 45 2" xfId="15533" xr:uid="{DD2D3E96-A03A-4E94-A662-03EF416A9038}"/>
    <cellStyle name="20% - Accent6 45 2 2" xfId="30945" xr:uid="{7E9ACDB2-C1DB-4D12-9214-5CD1047A5093}"/>
    <cellStyle name="20% - Accent6 45 2 2 2" xfId="34464" xr:uid="{819A9DDB-D734-491C-A4F5-CD7CBADD94E7}"/>
    <cellStyle name="20% - Accent6 45 2 3" xfId="34463" xr:uid="{F8490739-C555-4E1D-88BA-424E48500986}"/>
    <cellStyle name="20% - Accent6 45 3" xfId="23240" xr:uid="{C2CAE21C-A2C5-4B13-995C-C86AF5E29137}"/>
    <cellStyle name="20% - Accent6 45 3 2" xfId="34465" xr:uid="{F803F6A9-7A05-4A37-BCBC-C85B3E2E2F28}"/>
    <cellStyle name="20% - Accent6 45 4" xfId="34462" xr:uid="{48E1DB3A-D0F3-4BDF-84CB-717AB1813793}"/>
    <cellStyle name="20% - Accent6 46" xfId="7846" xr:uid="{B8309261-5680-47BE-9B12-91D8FF0BC91B}"/>
    <cellStyle name="20% - Accent6 46 2" xfId="15554" xr:uid="{C95D5DA0-71A3-4235-952A-1AD81E7EDB75}"/>
    <cellStyle name="20% - Accent6 46 2 2" xfId="30965" xr:uid="{2C870A64-49C5-46D8-88BF-37D0186DE7DB}"/>
    <cellStyle name="20% - Accent6 46 2 2 2" xfId="34468" xr:uid="{EB802734-590A-4E6D-973E-C81DFA226F5B}"/>
    <cellStyle name="20% - Accent6 46 2 3" xfId="34467" xr:uid="{E2EE118F-9962-4802-9675-246AC839DBF8}"/>
    <cellStyle name="20% - Accent6 46 3" xfId="23260" xr:uid="{75DDC9BB-8B84-4A4C-AF09-328DFC52D111}"/>
    <cellStyle name="20% - Accent6 46 3 2" xfId="34469" xr:uid="{5CAB4B39-826D-41B4-888D-0709730C5D1E}"/>
    <cellStyle name="20% - Accent6 46 4" xfId="34466" xr:uid="{319A838B-C44D-4FE5-BD4C-4BE95C3E0E79}"/>
    <cellStyle name="20% - Accent6 47" xfId="7866" xr:uid="{4C3A6265-D117-488F-8CC9-05EB7F3ECBF2}"/>
    <cellStyle name="20% - Accent6 47 2" xfId="15574" xr:uid="{CAB939A1-6AF0-4E4F-8FA7-0FD5C6C41360}"/>
    <cellStyle name="20% - Accent6 47 2 2" xfId="30985" xr:uid="{BE6E1E81-49BF-4D98-A4DF-B446F6BBF0A6}"/>
    <cellStyle name="20% - Accent6 47 2 2 2" xfId="34472" xr:uid="{8F56FF07-09CC-4B34-A123-DE07E25000E7}"/>
    <cellStyle name="20% - Accent6 47 2 3" xfId="34471" xr:uid="{1AA90D16-8EA7-452D-B2CA-9C6F635EA6A0}"/>
    <cellStyle name="20% - Accent6 47 3" xfId="23280" xr:uid="{D7FED4CD-6628-4F9E-9539-61B5474745E6}"/>
    <cellStyle name="20% - Accent6 47 3 2" xfId="34473" xr:uid="{D24D409F-97EF-42A2-AAAE-3E785A96B49D}"/>
    <cellStyle name="20% - Accent6 47 4" xfId="34470" xr:uid="{6CD51335-BCBA-4743-820E-1949634768D4}"/>
    <cellStyle name="20% - Accent6 48" xfId="7919" xr:uid="{6C91817F-38B1-4113-99CC-C7826237D94A}"/>
    <cellStyle name="20% - Accent6 48 2" xfId="23332" xr:uid="{9CCB5724-B322-4DFF-8A81-3AF1A21B081E}"/>
    <cellStyle name="20% - Accent6 48 2 2" xfId="34475" xr:uid="{C79B9077-C210-4175-AB43-A98EE26C83FE}"/>
    <cellStyle name="20% - Accent6 48 3" xfId="34474" xr:uid="{75B9A266-7F0B-4CB8-B379-3F14130AE8EE}"/>
    <cellStyle name="20% - Accent6 49" xfId="15627" xr:uid="{91391A00-13A3-4F59-ACD8-89F1B92F0C8B}"/>
    <cellStyle name="20% - Accent6 49 2" xfId="34476" xr:uid="{A28C9603-2AC9-4942-94EA-6169904444D8}"/>
    <cellStyle name="20% - Accent6 5" xfId="3311" xr:uid="{FC527EF0-3193-4EDB-A448-CFA2505D9D79}"/>
    <cellStyle name="20% - Accent6 5 2" xfId="7043" xr:uid="{B796205E-BAE8-4376-BFEE-951ED47F0842}"/>
    <cellStyle name="20% - Accent6 5 2 2" xfId="14751" xr:uid="{9167E271-FF02-432A-874F-5D73400659AA}"/>
    <cellStyle name="20% - Accent6 5 2 2 2" xfId="30163" xr:uid="{1F286BDB-53AA-4CEE-AAAB-522E3E36DDD2}"/>
    <cellStyle name="20% - Accent6 5 2 2 2 2" xfId="34480" xr:uid="{7757B12D-5281-4C54-A75D-40E76C0968D9}"/>
    <cellStyle name="20% - Accent6 5 2 2 3" xfId="34479" xr:uid="{D40B5AF1-5642-43DD-A7D0-2C73D943AE97}"/>
    <cellStyle name="20% - Accent6 5 2 3" xfId="22458" xr:uid="{566C4F0A-5777-4271-86FC-2B3F24AA3F30}"/>
    <cellStyle name="20% - Accent6 5 2 3 2" xfId="34481" xr:uid="{42F0D322-C192-45B1-ACF2-7096FA09C3F6}"/>
    <cellStyle name="20% - Accent6 5 2 4" xfId="34478" xr:uid="{68F75A7B-8427-461B-8244-713BEF611473}"/>
    <cellStyle name="20% - Accent6 5 3" xfId="11022" xr:uid="{036296C0-F201-4F15-A04B-73323FFE6A4E}"/>
    <cellStyle name="20% - Accent6 5 3 2" xfId="26435" xr:uid="{CD9F5D03-D7F8-4BAD-BB72-10D3828B5436}"/>
    <cellStyle name="20% - Accent6 5 3 2 2" xfId="34483" xr:uid="{9A7D2233-A9C7-4660-B5F1-7139E928C8D3}"/>
    <cellStyle name="20% - Accent6 5 3 3" xfId="34482" xr:uid="{9AA8BAC0-9AC9-4F86-88A6-7950D598C82D}"/>
    <cellStyle name="20% - Accent6 5 4" xfId="18730" xr:uid="{7FF77D11-3BE2-4F68-B295-F6CE11E36B28}"/>
    <cellStyle name="20% - Accent6 5 4 2" xfId="34484" xr:uid="{5D06F8AC-9D6A-48CC-97D5-BD18992BE51A}"/>
    <cellStyle name="20% - Accent6 5 5" xfId="34477" xr:uid="{FDA7554F-0795-41C2-B586-C8939076E233}"/>
    <cellStyle name="20% - Accent6 50" xfId="31005" xr:uid="{300BC14C-9E71-40A6-883C-1B1667C7BA87}"/>
    <cellStyle name="20% - Accent6 50 2" xfId="34485" xr:uid="{A71E6D88-FC09-4763-9078-2A8C5D40AF49}"/>
    <cellStyle name="20% - Accent6 51" xfId="33933" xr:uid="{4633E970-0FD6-4917-B34E-86A7A6DCC4F4}"/>
    <cellStyle name="20% - Accent6 52" xfId="61985" xr:uid="{77803D29-A37A-40AA-BB24-995FAF315405}"/>
    <cellStyle name="20% - Accent6 53" xfId="62005" xr:uid="{3C0E81F2-D8BE-48C7-82C1-0D2B3B4FBF22}"/>
    <cellStyle name="20% - Accent6 54" xfId="62025" xr:uid="{D41D6FAC-AAA2-462E-A187-C4101801FBC4}"/>
    <cellStyle name="20% - Accent6 55" xfId="62034" xr:uid="{EF659EEA-46B1-4534-8CA3-E80D483C118A}"/>
    <cellStyle name="20% - Accent6 56" xfId="62057" xr:uid="{CC07320B-AA1C-42BC-BB2B-0AB9CF9AD781}"/>
    <cellStyle name="20% - Accent6 57" xfId="62094" xr:uid="{CF47B535-E99F-454D-A3FE-8865390C08B7}"/>
    <cellStyle name="20% - Accent6 6" xfId="3331" xr:uid="{B0FD7DB2-AD90-414C-A874-71B03E320C14}"/>
    <cellStyle name="20% - Accent6 6 2" xfId="7063" xr:uid="{CB391EDF-BD41-469C-8D57-3F152421803A}"/>
    <cellStyle name="20% - Accent6 6 2 2" xfId="14771" xr:uid="{24048A75-6FB8-42A0-BE45-C19BAC1C9D09}"/>
    <cellStyle name="20% - Accent6 6 2 2 2" xfId="30183" xr:uid="{959EF095-4165-4A5B-982F-0CCF75CABE23}"/>
    <cellStyle name="20% - Accent6 6 2 2 2 2" xfId="34489" xr:uid="{19C45246-1F80-4A33-B332-278687F138BD}"/>
    <cellStyle name="20% - Accent6 6 2 2 3" xfId="34488" xr:uid="{BBFB5C13-AC50-4862-90DD-2ED92766BD2F}"/>
    <cellStyle name="20% - Accent6 6 2 3" xfId="22478" xr:uid="{2B4113A8-EBBF-4BDE-84A7-A6A3E4AAC75F}"/>
    <cellStyle name="20% - Accent6 6 2 3 2" xfId="34490" xr:uid="{FC1D51A3-D4AF-4CD1-AB8F-072DDD6CC716}"/>
    <cellStyle name="20% - Accent6 6 2 4" xfId="34487" xr:uid="{DADA5AB7-0870-4340-A1D9-80318E10BBCB}"/>
    <cellStyle name="20% - Accent6 6 3" xfId="11042" xr:uid="{D718CDFD-1888-4483-A59F-E5D7FDA878ED}"/>
    <cellStyle name="20% - Accent6 6 3 2" xfId="26455" xr:uid="{BDB61771-4177-44FF-986C-AE3002FEB13F}"/>
    <cellStyle name="20% - Accent6 6 3 2 2" xfId="34492" xr:uid="{9D7D95E5-B6CE-4FB2-8246-928FDE03CE59}"/>
    <cellStyle name="20% - Accent6 6 3 3" xfId="34491" xr:uid="{BEE38F3B-BB27-4CA5-8503-8C305D142D18}"/>
    <cellStyle name="20% - Accent6 6 4" xfId="18750" xr:uid="{EA9FE8D2-664A-47FF-A207-830109BDD541}"/>
    <cellStyle name="20% - Accent6 6 4 2" xfId="34493" xr:uid="{BF96E295-8110-4595-BA26-E9D7D7A0D6F4}"/>
    <cellStyle name="20% - Accent6 6 5" xfId="34486" xr:uid="{AB5263C8-E4F2-46B7-93E0-6FE5A0A9BF7A}"/>
    <cellStyle name="20% - Accent6 7" xfId="3351" xr:uid="{7B98E016-D389-4857-8666-FED21B3CD9E6}"/>
    <cellStyle name="20% - Accent6 7 2" xfId="7083" xr:uid="{DB0D9396-3BDD-4B25-A220-2F112534D251}"/>
    <cellStyle name="20% - Accent6 7 2 2" xfId="14791" xr:uid="{5FDE93FC-6273-41FD-B228-D6A7B810AE08}"/>
    <cellStyle name="20% - Accent6 7 2 2 2" xfId="30203" xr:uid="{3550A405-9454-4E18-AB32-DD6359BC53FE}"/>
    <cellStyle name="20% - Accent6 7 2 2 2 2" xfId="34497" xr:uid="{E30A5AD0-9FD7-4D37-A72D-7473E8AD8F52}"/>
    <cellStyle name="20% - Accent6 7 2 2 3" xfId="34496" xr:uid="{8E7A6685-8EED-4D2C-BD45-1C868E8D1BB9}"/>
    <cellStyle name="20% - Accent6 7 2 3" xfId="22498" xr:uid="{2952E36C-C10F-45EE-9152-BA22D1352C53}"/>
    <cellStyle name="20% - Accent6 7 2 3 2" xfId="34498" xr:uid="{379E8041-9EB3-485E-9735-948EA5B45F2B}"/>
    <cellStyle name="20% - Accent6 7 2 4" xfId="34495" xr:uid="{56BDE76C-7A23-4D16-B4DC-34D4C9B2DF7D}"/>
    <cellStyle name="20% - Accent6 7 3" xfId="11062" xr:uid="{F535AA5D-3A5E-414D-B4D0-3D841FB1C237}"/>
    <cellStyle name="20% - Accent6 7 3 2" xfId="26475" xr:uid="{918ADEC6-AAD9-4540-A342-B9A76342F06F}"/>
    <cellStyle name="20% - Accent6 7 3 2 2" xfId="34500" xr:uid="{4B4983C6-EDD3-4303-8F5A-9E414C389A49}"/>
    <cellStyle name="20% - Accent6 7 3 3" xfId="34499" xr:uid="{05EAAC28-C34C-4D9D-98FC-A700723572F0}"/>
    <cellStyle name="20% - Accent6 7 4" xfId="18770" xr:uid="{DA5BFF4E-971C-42B6-961D-98009E8EA9C1}"/>
    <cellStyle name="20% - Accent6 7 4 2" xfId="34501" xr:uid="{B0EB00DC-DCA0-45CE-84A5-CE1BA31B8D5B}"/>
    <cellStyle name="20% - Accent6 7 5" xfId="34494" xr:uid="{56451461-69B0-4CE1-9927-0372E1331142}"/>
    <cellStyle name="20% - Accent6 8" xfId="3371" xr:uid="{264A5BC1-1090-4196-A88E-3320EE70EB09}"/>
    <cellStyle name="20% - Accent6 8 2" xfId="7103" xr:uid="{4A2ADF9B-828E-4143-A3CD-6F26967CB46D}"/>
    <cellStyle name="20% - Accent6 8 2 2" xfId="14811" xr:uid="{B4FF9E61-A671-4635-9E6B-40C4CC7E7526}"/>
    <cellStyle name="20% - Accent6 8 2 2 2" xfId="30223" xr:uid="{B081B3F1-C69A-4EF0-8D20-DC4F0FF1481B}"/>
    <cellStyle name="20% - Accent6 8 2 2 2 2" xfId="34505" xr:uid="{962EAB0D-F1D0-466C-B9FB-6A2C2DBF44F9}"/>
    <cellStyle name="20% - Accent6 8 2 2 3" xfId="34504" xr:uid="{7FF718E1-3684-4708-8D2C-FC77E9559A71}"/>
    <cellStyle name="20% - Accent6 8 2 3" xfId="22518" xr:uid="{540A4300-DDCE-487C-A045-EC12BABD9F34}"/>
    <cellStyle name="20% - Accent6 8 2 3 2" xfId="34506" xr:uid="{696EFD40-0067-4EC4-AA46-A3605CEC7817}"/>
    <cellStyle name="20% - Accent6 8 2 4" xfId="34503" xr:uid="{AF7AE504-D72D-431E-BE18-108D059A5254}"/>
    <cellStyle name="20% - Accent6 8 3" xfId="11082" xr:uid="{A6FB8ECC-3670-46CB-8BF1-E7E23966CEFD}"/>
    <cellStyle name="20% - Accent6 8 3 2" xfId="26495" xr:uid="{58ED5FAC-1A55-4188-A001-8AC840A8C17E}"/>
    <cellStyle name="20% - Accent6 8 3 2 2" xfId="34508" xr:uid="{B28153D3-BBD8-44B6-8A3C-20634B23E3E1}"/>
    <cellStyle name="20% - Accent6 8 3 3" xfId="34507" xr:uid="{B8EDA5F2-1D0F-4BD0-BA5D-8D1C4BAC2ECF}"/>
    <cellStyle name="20% - Accent6 8 4" xfId="18790" xr:uid="{630AC898-37E8-4AE8-BB56-6960C4CC0D7A}"/>
    <cellStyle name="20% - Accent6 8 4 2" xfId="34509" xr:uid="{E86A629A-581A-4883-AF03-D0480EB5A58B}"/>
    <cellStyle name="20% - Accent6 8 5" xfId="34502" xr:uid="{135CA9CA-E2FE-4FAC-911D-04A5444B31ED}"/>
    <cellStyle name="20% - Accent6 9" xfId="3391" xr:uid="{AEF8A7A6-E15E-4A05-A91A-D3BA48082275}"/>
    <cellStyle name="20% - Accent6 9 2" xfId="7123" xr:uid="{14F1E7B7-323D-4FB3-804D-670E67015037}"/>
    <cellStyle name="20% - Accent6 9 2 2" xfId="14831" xr:uid="{A1947CC8-935F-423D-8080-953C6A71E832}"/>
    <cellStyle name="20% - Accent6 9 2 2 2" xfId="30243" xr:uid="{0094FF4B-520E-433B-9716-E4C347395F84}"/>
    <cellStyle name="20% - Accent6 9 2 2 2 2" xfId="34513" xr:uid="{AA2AFBCE-2044-423E-AFFB-F83D9500A392}"/>
    <cellStyle name="20% - Accent6 9 2 2 3" xfId="34512" xr:uid="{800FC93D-78F7-4AAE-AE2B-334F5C86B7A1}"/>
    <cellStyle name="20% - Accent6 9 2 3" xfId="22538" xr:uid="{052974C0-37C4-4499-8286-2D848E55F1EA}"/>
    <cellStyle name="20% - Accent6 9 2 3 2" xfId="34514" xr:uid="{2D93EFFF-6C7A-4B41-8CC8-03D4837DB33E}"/>
    <cellStyle name="20% - Accent6 9 2 4" xfId="34511" xr:uid="{0AA4A507-2111-41AD-8653-B5B4AF8CA49D}"/>
    <cellStyle name="20% - Accent6 9 3" xfId="11102" xr:uid="{54EB46F1-3010-4A44-9D7D-3DBE6FB90E75}"/>
    <cellStyle name="20% - Accent6 9 3 2" xfId="26515" xr:uid="{708B944F-9FD0-429C-8A57-9B25FF5A6925}"/>
    <cellStyle name="20% - Accent6 9 3 2 2" xfId="34516" xr:uid="{43EFD0DC-AF5A-4111-8E97-5007D2F014BE}"/>
    <cellStyle name="20% - Accent6 9 3 3" xfId="34515" xr:uid="{48C45B8F-D55D-4E42-ACFB-6FAA86F0BB56}"/>
    <cellStyle name="20% - Accent6 9 4" xfId="18810" xr:uid="{15F81FA8-3E11-47BE-8791-8FF1DEF813A8}"/>
    <cellStyle name="20% - Accent6 9 4 2" xfId="34517" xr:uid="{EC8C5483-CE10-424D-BA2E-6D974C4E3423}"/>
    <cellStyle name="20% - Accent6 9 5" xfId="34510" xr:uid="{ED68D81D-9187-445F-ADD8-9C544FBC7AF6}"/>
    <cellStyle name="20% - Énfasis1" xfId="23" builtinId="30" customBuiltin="1"/>
    <cellStyle name="20% - Énfasis1 10" xfId="584" xr:uid="{B9FF65D5-DE52-4137-A0B2-6674481B5E04}"/>
    <cellStyle name="20% - Énfasis1 10 2" xfId="1245" xr:uid="{4DC44A21-4A4D-4265-BE72-39E8E4596F66}"/>
    <cellStyle name="20% - Énfasis1 10 2 2" xfId="2713" xr:uid="{A764682E-9198-4A80-B0CC-5E50C45BE206}"/>
    <cellStyle name="20% - Énfasis1 10 2 2 2" xfId="6445" xr:uid="{73686EA8-41FC-4E30-BEEC-EB2334C72B3E}"/>
    <cellStyle name="20% - Énfasis1 10 2 2 2 2" xfId="14153" xr:uid="{5EB9EFCF-0D12-4C51-B52D-F57F38551BAC}"/>
    <cellStyle name="20% - Énfasis1 10 2 2 2 2 2" xfId="29565" xr:uid="{80017DB1-687A-4E31-B962-9313F357B4CE}"/>
    <cellStyle name="20% - Énfasis1 10 2 2 2 2 2 2" xfId="34523" xr:uid="{CE94BF6C-DEA5-4C0C-85E4-FCD1AF0DBDB8}"/>
    <cellStyle name="20% - Énfasis1 10 2 2 2 2 3" xfId="34522" xr:uid="{FD4222DF-6DEF-4133-B4DB-E72E5E01576F}"/>
    <cellStyle name="20% - Énfasis1 10 2 2 2 3" xfId="21860" xr:uid="{6ADEE96E-3287-40FB-AF72-9A0E688B68C4}"/>
    <cellStyle name="20% - Énfasis1 10 2 2 2 3 2" xfId="34524" xr:uid="{4F87B1F3-D2B9-4CAF-B3A9-D70DD950096D}"/>
    <cellStyle name="20% - Énfasis1 10 2 2 2 4" xfId="34521" xr:uid="{95DA560B-60C3-48AB-B0DE-A50BF44845BA}"/>
    <cellStyle name="20% - Énfasis1 10 2 2 3" xfId="10424" xr:uid="{2A5763E4-36C7-4F61-A652-465C6C5D7C3F}"/>
    <cellStyle name="20% - Énfasis1 10 2 2 3 2" xfId="25837" xr:uid="{18BCC403-E4F7-45F2-B39B-971E1097AF34}"/>
    <cellStyle name="20% - Énfasis1 10 2 2 3 2 2" xfId="34526" xr:uid="{FF4457E7-D0DF-4FAF-A337-6BA419D377C3}"/>
    <cellStyle name="20% - Énfasis1 10 2 2 3 3" xfId="34525" xr:uid="{EEB474EB-B7EF-4354-B9DD-2985D946C04C}"/>
    <cellStyle name="20% - Énfasis1 10 2 2 4" xfId="18132" xr:uid="{89AB62A2-C7F1-4ED9-8044-BE30FAD718BB}"/>
    <cellStyle name="20% - Énfasis1 10 2 2 4 2" xfId="34527" xr:uid="{3853703C-540C-4C0E-B0F6-F42245FC785F}"/>
    <cellStyle name="20% - Énfasis1 10 2 2 5" xfId="34520" xr:uid="{AB1D275B-2C73-4233-B495-8AFCD440BCF0}"/>
    <cellStyle name="20% - Énfasis1 10 2 3" xfId="4982" xr:uid="{D54777D2-3C8D-4682-967D-A00AEC0CFC32}"/>
    <cellStyle name="20% - Énfasis1 10 2 3 2" xfId="12690" xr:uid="{CA643A1F-1B27-4E62-86FE-91EEC4A26156}"/>
    <cellStyle name="20% - Énfasis1 10 2 3 2 2" xfId="28102" xr:uid="{943F464E-F041-4FD6-B5BE-672DAD681463}"/>
    <cellStyle name="20% - Énfasis1 10 2 3 2 2 2" xfId="34530" xr:uid="{16B79C59-2158-4F00-ADF1-28FD68176C8E}"/>
    <cellStyle name="20% - Énfasis1 10 2 3 2 3" xfId="34529" xr:uid="{C46A7879-82E1-4741-A651-DFC135C9F6DD}"/>
    <cellStyle name="20% - Énfasis1 10 2 3 3" xfId="20397" xr:uid="{FF37EA4A-398D-410A-98D3-2C1F286E6CA9}"/>
    <cellStyle name="20% - Énfasis1 10 2 3 3 2" xfId="34531" xr:uid="{0176BF01-10C0-46C8-A3D6-EBC5258FA08A}"/>
    <cellStyle name="20% - Énfasis1 10 2 3 4" xfId="34528" xr:uid="{17C0108F-9592-4B1D-A9AF-A44793D512DA}"/>
    <cellStyle name="20% - Énfasis1 10 2 4" xfId="8965" xr:uid="{E5E51724-C4C4-4B8D-B534-FF623C8216A3}"/>
    <cellStyle name="20% - Énfasis1 10 2 4 2" xfId="24378" xr:uid="{8C71EA91-F7CE-4824-A194-6D5C3CF2E54E}"/>
    <cellStyle name="20% - Énfasis1 10 2 4 2 2" xfId="34533" xr:uid="{E3152937-BF27-4FE5-BB8B-9CA69BDFF36D}"/>
    <cellStyle name="20% - Énfasis1 10 2 4 3" xfId="34532" xr:uid="{EF7D9131-5908-4A7E-B0DD-4C0D484CCAC8}"/>
    <cellStyle name="20% - Énfasis1 10 2 5" xfId="16673" xr:uid="{BD1D539E-F49E-408D-8AD1-16CF3890D8ED}"/>
    <cellStyle name="20% - Énfasis1 10 2 5 2" xfId="34534" xr:uid="{42004231-F5F2-4C0B-A860-5FFB4CCB6E62}"/>
    <cellStyle name="20% - Énfasis1 10 2 6" xfId="34519" xr:uid="{12151F14-88A7-4540-A2B6-87464435A4DE}"/>
    <cellStyle name="20% - Énfasis1 10 3" xfId="2075" xr:uid="{742D30E1-771C-4763-A2CE-6037B96F5A1C}"/>
    <cellStyle name="20% - Énfasis1 10 3 2" xfId="5807" xr:uid="{27A9970A-4858-4635-93D8-1F6832E7956B}"/>
    <cellStyle name="20% - Énfasis1 10 3 2 2" xfId="13515" xr:uid="{24275FD7-617A-4191-866A-08CCB4BC0E7E}"/>
    <cellStyle name="20% - Énfasis1 10 3 2 2 2" xfId="28927" xr:uid="{48F980D0-58BC-4490-A55D-0455C76E7252}"/>
    <cellStyle name="20% - Énfasis1 10 3 2 2 2 2" xfId="34538" xr:uid="{20D2C5ED-5317-4C6E-804F-FA3CE88B10EB}"/>
    <cellStyle name="20% - Énfasis1 10 3 2 2 3" xfId="34537" xr:uid="{DBA833FE-C4CF-4A16-8EE8-147E60780AE8}"/>
    <cellStyle name="20% - Énfasis1 10 3 2 3" xfId="21222" xr:uid="{50266B54-301D-44B5-B518-E4ADFBFE6329}"/>
    <cellStyle name="20% - Énfasis1 10 3 2 3 2" xfId="34539" xr:uid="{A663F595-4B83-4A4A-8297-2CF2A4B79A6B}"/>
    <cellStyle name="20% - Énfasis1 10 3 2 4" xfId="34536" xr:uid="{110338A7-8548-4647-8AB6-67984A53C091}"/>
    <cellStyle name="20% - Énfasis1 10 3 3" xfId="9786" xr:uid="{263AF253-F3A1-4F1C-AC70-DD443590379F}"/>
    <cellStyle name="20% - Énfasis1 10 3 3 2" xfId="25199" xr:uid="{C257C2AB-F813-4FBC-B96D-6112CE0F8A79}"/>
    <cellStyle name="20% - Énfasis1 10 3 3 2 2" xfId="34541" xr:uid="{7EF573EF-B01F-4CC5-91A3-E751AF2AAA8C}"/>
    <cellStyle name="20% - Énfasis1 10 3 3 3" xfId="34540" xr:uid="{DB774006-5C6D-4D2D-933D-7C7C92FFB186}"/>
    <cellStyle name="20% - Énfasis1 10 3 4" xfId="17494" xr:uid="{0ECD02AF-0171-4D59-988D-C3A67E42C6B0}"/>
    <cellStyle name="20% - Énfasis1 10 3 4 2" xfId="34542" xr:uid="{A8665801-C3CB-4BD9-9BDF-916D649151E9}"/>
    <cellStyle name="20% - Énfasis1 10 3 5" xfId="34535" xr:uid="{D1D6C687-59CE-4E52-8B00-B2694CA07785}"/>
    <cellStyle name="20% - Énfasis1 10 4" xfId="4330" xr:uid="{6187A34C-9B5C-4A2C-8832-7D1CC2E703CC}"/>
    <cellStyle name="20% - Énfasis1 10 4 2" xfId="12038" xr:uid="{A172307E-F47F-46F1-8C8B-E96E0A4E78F2}"/>
    <cellStyle name="20% - Énfasis1 10 4 2 2" xfId="27450" xr:uid="{7E193EBB-8CDD-4E91-B786-98197C46D533}"/>
    <cellStyle name="20% - Énfasis1 10 4 2 2 2" xfId="34545" xr:uid="{33DBF616-3F1C-497F-A858-28828FE7D503}"/>
    <cellStyle name="20% - Énfasis1 10 4 2 3" xfId="34544" xr:uid="{31B5DA9A-5CE1-4EBA-B1E4-3EE81337FA12}"/>
    <cellStyle name="20% - Énfasis1 10 4 3" xfId="19745" xr:uid="{B06D7664-8551-4630-A29E-226941700DE7}"/>
    <cellStyle name="20% - Énfasis1 10 4 3 2" xfId="34546" xr:uid="{0A4DE15D-AF23-4AE5-9A7C-1F2AB514B066}"/>
    <cellStyle name="20% - Énfasis1 10 4 4" xfId="34543" xr:uid="{0EE2D382-9E4C-4263-B206-00B70EDECBE3}"/>
    <cellStyle name="20% - Énfasis1 10 5" xfId="8327" xr:uid="{1355C179-3C58-4BDF-A456-D9E359EA7592}"/>
    <cellStyle name="20% - Énfasis1 10 5 2" xfId="23740" xr:uid="{DFAA3577-F2A8-476B-9886-B3E5FED97B49}"/>
    <cellStyle name="20% - Énfasis1 10 5 2 2" xfId="34548" xr:uid="{34732D17-AF1A-4362-AE9D-1B9226470C35}"/>
    <cellStyle name="20% - Énfasis1 10 5 3" xfId="34547" xr:uid="{F42C5260-6710-493A-A53E-B10EA6722527}"/>
    <cellStyle name="20% - Énfasis1 10 6" xfId="16035" xr:uid="{6C6D6ADF-49A6-4676-BF01-A4026151C070}"/>
    <cellStyle name="20% - Énfasis1 10 6 2" xfId="34549" xr:uid="{7892743B-8317-4AE7-A37D-13B97E13A1F5}"/>
    <cellStyle name="20% - Énfasis1 10 7" xfId="34518" xr:uid="{D9B51B09-7BFC-4610-A295-1DEA68AB4793}"/>
    <cellStyle name="20% - Énfasis1 11" xfId="605" xr:uid="{1EC8C371-FD19-4B4D-9169-CA4E34F14545}"/>
    <cellStyle name="20% - Énfasis1 11 2" xfId="1266" xr:uid="{871D83CE-4E5D-4BFA-8594-06CD9FAE540F}"/>
    <cellStyle name="20% - Énfasis1 11 2 2" xfId="2733" xr:uid="{899ED21E-C5E4-4DC9-84F4-8F5DCE382853}"/>
    <cellStyle name="20% - Énfasis1 11 2 2 2" xfId="6465" xr:uid="{ED90DA6A-C71F-4367-AE9D-2B5EBF112CA0}"/>
    <cellStyle name="20% - Énfasis1 11 2 2 2 2" xfId="14173" xr:uid="{46763B1F-355B-4107-8B2C-31E59038FD17}"/>
    <cellStyle name="20% - Énfasis1 11 2 2 2 2 2" xfId="29585" xr:uid="{EECC0AEF-1BBB-4DA3-8129-1FDFB70A73FB}"/>
    <cellStyle name="20% - Énfasis1 11 2 2 2 2 2 2" xfId="34555" xr:uid="{13B12236-54EA-4FFE-AF69-922DB3279AE9}"/>
    <cellStyle name="20% - Énfasis1 11 2 2 2 2 3" xfId="34554" xr:uid="{4A4CAF22-4BEA-46D7-8E0B-5ACE4EF24E5E}"/>
    <cellStyle name="20% - Énfasis1 11 2 2 2 3" xfId="21880" xr:uid="{4D6061BE-FE9F-4452-AA4E-84C47CF8A4D6}"/>
    <cellStyle name="20% - Énfasis1 11 2 2 2 3 2" xfId="34556" xr:uid="{CB588ACD-37F3-43DA-9726-965C0FAF0E57}"/>
    <cellStyle name="20% - Énfasis1 11 2 2 2 4" xfId="34553" xr:uid="{525981F7-B3EC-4559-B877-830CAB84C27C}"/>
    <cellStyle name="20% - Énfasis1 11 2 2 3" xfId="10444" xr:uid="{21ACE319-8CFD-4545-A4DA-907EA1333773}"/>
    <cellStyle name="20% - Énfasis1 11 2 2 3 2" xfId="25857" xr:uid="{4B54C189-6119-42E9-95B5-32DAA23E3147}"/>
    <cellStyle name="20% - Énfasis1 11 2 2 3 2 2" xfId="34558" xr:uid="{3D024A46-3C52-4208-A24A-39ABB70BEF57}"/>
    <cellStyle name="20% - Énfasis1 11 2 2 3 3" xfId="34557" xr:uid="{32A92FA2-0525-49C7-BB93-71B23354910D}"/>
    <cellStyle name="20% - Énfasis1 11 2 2 4" xfId="18152" xr:uid="{FE59FA41-E3FE-4747-A7B6-A05889E9829E}"/>
    <cellStyle name="20% - Énfasis1 11 2 2 4 2" xfId="34559" xr:uid="{EBC68B1C-1424-45A3-8203-4F8011276E86}"/>
    <cellStyle name="20% - Énfasis1 11 2 2 5" xfId="34552" xr:uid="{E02980CE-3319-4FAB-96BB-9E9964FBB549}"/>
    <cellStyle name="20% - Énfasis1 11 2 3" xfId="5002" xr:uid="{1669749E-C13E-4408-9304-E0C572979751}"/>
    <cellStyle name="20% - Énfasis1 11 2 3 2" xfId="12710" xr:uid="{C739B17C-ECBA-401F-A005-8AF245392D27}"/>
    <cellStyle name="20% - Énfasis1 11 2 3 2 2" xfId="28122" xr:uid="{BC4EE32F-CD64-47B7-8CD7-9E1FC008E0EF}"/>
    <cellStyle name="20% - Énfasis1 11 2 3 2 2 2" xfId="34562" xr:uid="{B8DD86EE-8954-4DE2-A6DE-B614ABA4AAC7}"/>
    <cellStyle name="20% - Énfasis1 11 2 3 2 3" xfId="34561" xr:uid="{8EF302FA-C76B-4CDB-AE02-308B477DD0CF}"/>
    <cellStyle name="20% - Énfasis1 11 2 3 3" xfId="20417" xr:uid="{9F64B0A9-1F20-44F8-BDFB-DFCFB8BA1561}"/>
    <cellStyle name="20% - Énfasis1 11 2 3 3 2" xfId="34563" xr:uid="{40F522DD-091F-4168-ACE5-969FFEABE48B}"/>
    <cellStyle name="20% - Énfasis1 11 2 3 4" xfId="34560" xr:uid="{93B4F438-88D6-47F6-9D31-3C85F1537E27}"/>
    <cellStyle name="20% - Énfasis1 11 2 4" xfId="8985" xr:uid="{5EFA1B36-FF3D-4719-A852-740380E2510A}"/>
    <cellStyle name="20% - Énfasis1 11 2 4 2" xfId="24398" xr:uid="{5279C243-735D-40DE-B8AF-E6C52F68A93A}"/>
    <cellStyle name="20% - Énfasis1 11 2 4 2 2" xfId="34565" xr:uid="{A508138B-6FC8-4876-9AEC-2C420361EB8F}"/>
    <cellStyle name="20% - Énfasis1 11 2 4 3" xfId="34564" xr:uid="{F52AB1EE-8978-456C-BD74-67E907BECD02}"/>
    <cellStyle name="20% - Énfasis1 11 2 5" xfId="16693" xr:uid="{D8F24C7C-08E2-4DFC-BBA7-5204CE13BE2B}"/>
    <cellStyle name="20% - Énfasis1 11 2 5 2" xfId="34566" xr:uid="{E2EEFE7A-809F-4B23-8879-D497769E1E11}"/>
    <cellStyle name="20% - Énfasis1 11 2 6" xfId="34551" xr:uid="{23356303-3B51-4BD4-AB3C-5F61D4987929}"/>
    <cellStyle name="20% - Énfasis1 11 3" xfId="2095" xr:uid="{CC22EF8D-2D54-4E7B-BF16-B5E4E5A3085E}"/>
    <cellStyle name="20% - Énfasis1 11 3 2" xfId="5827" xr:uid="{09D1BD93-8BF0-4521-9A68-55B76D1F42BE}"/>
    <cellStyle name="20% - Énfasis1 11 3 2 2" xfId="13535" xr:uid="{929983ED-9D8A-4294-B42E-1AE450CE9EF5}"/>
    <cellStyle name="20% - Énfasis1 11 3 2 2 2" xfId="28947" xr:uid="{B7AAD998-3322-4DFB-AA84-65EFF0526A5E}"/>
    <cellStyle name="20% - Énfasis1 11 3 2 2 2 2" xfId="34570" xr:uid="{907EF424-19BF-474D-B76B-D6B4CBC395BA}"/>
    <cellStyle name="20% - Énfasis1 11 3 2 2 3" xfId="34569" xr:uid="{26280FB3-9A02-4DB0-A162-4B54760C41B4}"/>
    <cellStyle name="20% - Énfasis1 11 3 2 3" xfId="21242" xr:uid="{E7A51510-584C-4319-B50C-455E3D16F50D}"/>
    <cellStyle name="20% - Énfasis1 11 3 2 3 2" xfId="34571" xr:uid="{B0F69530-423D-4B6B-94DD-C9125D2AFDDF}"/>
    <cellStyle name="20% - Énfasis1 11 3 2 4" xfId="34568" xr:uid="{58A53469-93D9-470C-AD52-40B402CD7C7C}"/>
    <cellStyle name="20% - Énfasis1 11 3 3" xfId="9806" xr:uid="{01E58D37-467B-4FB1-9AEE-7CEBD069D1AB}"/>
    <cellStyle name="20% - Énfasis1 11 3 3 2" xfId="25219" xr:uid="{74201698-4DAD-4282-B7E2-24F58F0BC719}"/>
    <cellStyle name="20% - Énfasis1 11 3 3 2 2" xfId="34573" xr:uid="{CB89FB06-4DC3-4A3C-8320-57EA47F44A6E}"/>
    <cellStyle name="20% - Énfasis1 11 3 3 3" xfId="34572" xr:uid="{41C9B031-5FF2-4F62-A3D5-49CBD8D52290}"/>
    <cellStyle name="20% - Énfasis1 11 3 4" xfId="17514" xr:uid="{DB14784C-C832-47D2-942F-1EFD9BB5A5A9}"/>
    <cellStyle name="20% - Énfasis1 11 3 4 2" xfId="34574" xr:uid="{ACF691D1-5630-4627-8523-D710A072439E}"/>
    <cellStyle name="20% - Énfasis1 11 3 5" xfId="34567" xr:uid="{29F3E957-9063-4668-A661-16D61753ED66}"/>
    <cellStyle name="20% - Énfasis1 11 4" xfId="4350" xr:uid="{C472F22A-9162-4BB3-99A1-44E46D417729}"/>
    <cellStyle name="20% - Énfasis1 11 4 2" xfId="12058" xr:uid="{AC458987-1884-4E3D-85F9-CAFEF1226F2C}"/>
    <cellStyle name="20% - Énfasis1 11 4 2 2" xfId="27470" xr:uid="{95847EEE-C0E6-49F9-9FB0-844579600524}"/>
    <cellStyle name="20% - Énfasis1 11 4 2 2 2" xfId="34577" xr:uid="{7388D64B-3B17-457F-B195-20EF2339403E}"/>
    <cellStyle name="20% - Énfasis1 11 4 2 3" xfId="34576" xr:uid="{1AFA4180-6AE2-40A7-B19E-6CDA6755BACA}"/>
    <cellStyle name="20% - Énfasis1 11 4 3" xfId="19765" xr:uid="{B7C52F34-D9C6-4C27-9D32-BBBFBD4FF715}"/>
    <cellStyle name="20% - Énfasis1 11 4 3 2" xfId="34578" xr:uid="{51E52AB5-7EEE-4862-98DF-D4CD711176A1}"/>
    <cellStyle name="20% - Énfasis1 11 4 4" xfId="34575" xr:uid="{8A1EC488-0233-42BE-9A3A-7CC4635D1F7F}"/>
    <cellStyle name="20% - Énfasis1 11 5" xfId="8347" xr:uid="{A6F5FA71-D139-4BE9-A78B-8BE3E3712F52}"/>
    <cellStyle name="20% - Énfasis1 11 5 2" xfId="23760" xr:uid="{5369E891-F87E-4F3E-BB6B-89C6089D6B21}"/>
    <cellStyle name="20% - Énfasis1 11 5 2 2" xfId="34580" xr:uid="{79D7FB7C-865F-4939-A289-D13408BDA7A6}"/>
    <cellStyle name="20% - Énfasis1 11 5 3" xfId="34579" xr:uid="{48238D09-8912-45AA-B3FB-A84408236486}"/>
    <cellStyle name="20% - Énfasis1 11 6" xfId="16055" xr:uid="{6A172B6C-A46B-4455-BD8F-FDD2AE4F7222}"/>
    <cellStyle name="20% - Énfasis1 11 6 2" xfId="34581" xr:uid="{D2740CDA-48BD-444B-B151-4FF8ADEE7FC8}"/>
    <cellStyle name="20% - Énfasis1 11 7" xfId="34550" xr:uid="{86D54CE7-CEA5-4F97-9A89-09F32304501D}"/>
    <cellStyle name="20% - Énfasis1 12" xfId="625" xr:uid="{E3B117A7-4246-4BA2-85A4-53BDA9893B13}"/>
    <cellStyle name="20% - Énfasis1 12 2" xfId="1286" xr:uid="{564EFBBD-F053-4C64-825F-66F0A3CD5E8B}"/>
    <cellStyle name="20% - Énfasis1 12 2 2" xfId="2753" xr:uid="{C3F14970-86D7-45C2-AD7A-5423F723514B}"/>
    <cellStyle name="20% - Énfasis1 12 2 2 2" xfId="6485" xr:uid="{238CA5D0-BBBB-4DEA-BB2B-147540D9DBD7}"/>
    <cellStyle name="20% - Énfasis1 12 2 2 2 2" xfId="14193" xr:uid="{F351F007-40FB-49B4-9806-6E68D953A524}"/>
    <cellStyle name="20% - Énfasis1 12 2 2 2 2 2" xfId="29605" xr:uid="{501BE91A-4A3A-4F90-B4EC-87627067EDF7}"/>
    <cellStyle name="20% - Énfasis1 12 2 2 2 2 2 2" xfId="34587" xr:uid="{B40B8B37-3B4B-47EC-8D4D-3B9C72323398}"/>
    <cellStyle name="20% - Énfasis1 12 2 2 2 2 3" xfId="34586" xr:uid="{5537E624-93D2-4ECD-8FF3-0F2ABEA571F8}"/>
    <cellStyle name="20% - Énfasis1 12 2 2 2 3" xfId="21900" xr:uid="{ABC68552-77BF-4AF7-BBD5-41848FFB6522}"/>
    <cellStyle name="20% - Énfasis1 12 2 2 2 3 2" xfId="34588" xr:uid="{3EBF95E3-F9FA-4F68-AAD7-6F19B2BDA849}"/>
    <cellStyle name="20% - Énfasis1 12 2 2 2 4" xfId="34585" xr:uid="{548E04AE-5163-47D2-B4CA-2843B79BDD35}"/>
    <cellStyle name="20% - Énfasis1 12 2 2 3" xfId="10464" xr:uid="{6BB2CF9D-0414-41E0-BE40-1E1E0CFB1969}"/>
    <cellStyle name="20% - Énfasis1 12 2 2 3 2" xfId="25877" xr:uid="{54A661C2-CFD7-42AD-ABCF-23DB0288F932}"/>
    <cellStyle name="20% - Énfasis1 12 2 2 3 2 2" xfId="34590" xr:uid="{29F3809D-1219-497C-8692-4573F4D87C01}"/>
    <cellStyle name="20% - Énfasis1 12 2 2 3 3" xfId="34589" xr:uid="{C3BB2D09-7D6A-4B6D-857C-4A083B8C1D0A}"/>
    <cellStyle name="20% - Énfasis1 12 2 2 4" xfId="18172" xr:uid="{783DF6EB-C599-479A-B3A0-AEB23EADCAEE}"/>
    <cellStyle name="20% - Énfasis1 12 2 2 4 2" xfId="34591" xr:uid="{47E7E1EA-B436-4570-9CC1-720BAA598BE0}"/>
    <cellStyle name="20% - Énfasis1 12 2 2 5" xfId="34584" xr:uid="{F0463C65-C7AF-4BB6-A083-EE9AD1384500}"/>
    <cellStyle name="20% - Énfasis1 12 2 3" xfId="5022" xr:uid="{364A04E4-B98A-4BBF-8979-642F318243E9}"/>
    <cellStyle name="20% - Énfasis1 12 2 3 2" xfId="12730" xr:uid="{80AAC118-ACD6-44F1-8BCD-0FB4994EA501}"/>
    <cellStyle name="20% - Énfasis1 12 2 3 2 2" xfId="28142" xr:uid="{861A6C73-CD6A-4DD0-90EA-BDDD66247AED}"/>
    <cellStyle name="20% - Énfasis1 12 2 3 2 2 2" xfId="34594" xr:uid="{E7797868-7B49-4DA8-875E-9B3B19F481A1}"/>
    <cellStyle name="20% - Énfasis1 12 2 3 2 3" xfId="34593" xr:uid="{92196790-6F6A-4874-8BF4-A33470109C15}"/>
    <cellStyle name="20% - Énfasis1 12 2 3 3" xfId="20437" xr:uid="{67D84AE8-8D5D-4474-A5B9-9FC0563C3BD3}"/>
    <cellStyle name="20% - Énfasis1 12 2 3 3 2" xfId="34595" xr:uid="{5C98F2CF-10BB-43E2-8535-A65FF8180E88}"/>
    <cellStyle name="20% - Énfasis1 12 2 3 4" xfId="34592" xr:uid="{580A7649-4A33-47E1-AAFB-D42593847CC4}"/>
    <cellStyle name="20% - Énfasis1 12 2 4" xfId="9005" xr:uid="{D035163F-A471-4913-8025-E3F32874D7CC}"/>
    <cellStyle name="20% - Énfasis1 12 2 4 2" xfId="24418" xr:uid="{004FAFC6-97FA-4A9F-803B-CA8326D4F878}"/>
    <cellStyle name="20% - Énfasis1 12 2 4 2 2" xfId="34597" xr:uid="{E0D372CC-703B-4E5E-AFC6-BC92DF046A03}"/>
    <cellStyle name="20% - Énfasis1 12 2 4 3" xfId="34596" xr:uid="{B233A0EF-29A5-4891-9318-F0C0742DFCB9}"/>
    <cellStyle name="20% - Énfasis1 12 2 5" xfId="16713" xr:uid="{21CFDBF2-CA0A-4BD4-9D80-C8C2BB6AF789}"/>
    <cellStyle name="20% - Énfasis1 12 2 5 2" xfId="34598" xr:uid="{39157C10-0CB8-4B0F-8753-9E2ACF639831}"/>
    <cellStyle name="20% - Énfasis1 12 2 6" xfId="34583" xr:uid="{0F4ED52A-E420-4885-9897-BD7FDA7D83FC}"/>
    <cellStyle name="20% - Énfasis1 12 3" xfId="2115" xr:uid="{310FE470-4AC7-452F-92AA-50BC258FC136}"/>
    <cellStyle name="20% - Énfasis1 12 3 2" xfId="5847" xr:uid="{2A2619DE-1A0F-4601-84AB-13FA72C7D7AC}"/>
    <cellStyle name="20% - Énfasis1 12 3 2 2" xfId="13555" xr:uid="{525862A1-51E8-4C23-A9A3-D596DCABE39E}"/>
    <cellStyle name="20% - Énfasis1 12 3 2 2 2" xfId="28967" xr:uid="{74FD840B-244E-4EFE-811B-8BFE7490809C}"/>
    <cellStyle name="20% - Énfasis1 12 3 2 2 2 2" xfId="34602" xr:uid="{4C2259CE-9995-45E4-9A76-96889952DF2E}"/>
    <cellStyle name="20% - Énfasis1 12 3 2 2 3" xfId="34601" xr:uid="{8DD7594C-CA58-43A3-838C-0AB2F97747B2}"/>
    <cellStyle name="20% - Énfasis1 12 3 2 3" xfId="21262" xr:uid="{71DEFBF9-FC66-4FD1-B303-B409FD039C9C}"/>
    <cellStyle name="20% - Énfasis1 12 3 2 3 2" xfId="34603" xr:uid="{AF069E5B-6661-4651-82C8-D6438386986C}"/>
    <cellStyle name="20% - Énfasis1 12 3 2 4" xfId="34600" xr:uid="{08E997CD-A8B0-481A-B5FB-5C9A4E264172}"/>
    <cellStyle name="20% - Énfasis1 12 3 3" xfId="9826" xr:uid="{8442E8A7-E995-4574-9A8F-B164305663FE}"/>
    <cellStyle name="20% - Énfasis1 12 3 3 2" xfId="25239" xr:uid="{9AEFE131-F5A5-4CB2-925B-9C7B7D10DEBC}"/>
    <cellStyle name="20% - Énfasis1 12 3 3 2 2" xfId="34605" xr:uid="{B0BF2A0C-5A2E-4797-A211-A6613E67337C}"/>
    <cellStyle name="20% - Énfasis1 12 3 3 3" xfId="34604" xr:uid="{DF00069D-4F24-4F3A-8CED-E2FCE85A35E7}"/>
    <cellStyle name="20% - Énfasis1 12 3 4" xfId="17534" xr:uid="{7522FC87-1284-4938-BB9B-75F862C809E6}"/>
    <cellStyle name="20% - Énfasis1 12 3 4 2" xfId="34606" xr:uid="{EE0A8489-6E99-477B-B4EE-B26E10A4484B}"/>
    <cellStyle name="20% - Énfasis1 12 3 5" xfId="34599" xr:uid="{5A148B0F-6206-4E48-9231-C742B7FCC98E}"/>
    <cellStyle name="20% - Énfasis1 12 4" xfId="4370" xr:uid="{9B0179EF-7EBE-44AF-B2FD-799E130A93EF}"/>
    <cellStyle name="20% - Énfasis1 12 4 2" xfId="12078" xr:uid="{D39417D5-6051-4D40-876F-CC19B5CD2D05}"/>
    <cellStyle name="20% - Énfasis1 12 4 2 2" xfId="27490" xr:uid="{CFC93E31-C979-4E45-A613-03A0B1DD8E18}"/>
    <cellStyle name="20% - Énfasis1 12 4 2 2 2" xfId="34609" xr:uid="{17C64F7A-9EDC-45D3-810E-C7E578D132F0}"/>
    <cellStyle name="20% - Énfasis1 12 4 2 3" xfId="34608" xr:uid="{22E64180-90BB-4BAA-B7F8-057E56B738E5}"/>
    <cellStyle name="20% - Énfasis1 12 4 3" xfId="19785" xr:uid="{5BC5AF77-6AFD-4EFC-9688-2BADE41B5A15}"/>
    <cellStyle name="20% - Énfasis1 12 4 3 2" xfId="34610" xr:uid="{7CAC0946-248F-4DC3-BBF9-9E89F5BDAA55}"/>
    <cellStyle name="20% - Énfasis1 12 4 4" xfId="34607" xr:uid="{0C4E97E4-E22E-403A-B578-5D9E198F14F3}"/>
    <cellStyle name="20% - Énfasis1 12 5" xfId="8367" xr:uid="{4A7E2042-2334-44FA-A09D-FBA5F2FCE590}"/>
    <cellStyle name="20% - Énfasis1 12 5 2" xfId="23780" xr:uid="{7E0F5AD3-89EA-446A-8936-9EA56E34BA57}"/>
    <cellStyle name="20% - Énfasis1 12 5 2 2" xfId="34612" xr:uid="{9745A678-627B-41E3-8F4F-2F6CBFC0BEDB}"/>
    <cellStyle name="20% - Énfasis1 12 5 3" xfId="34611" xr:uid="{5A356C20-8B41-48D8-986F-E1C670C0E772}"/>
    <cellStyle name="20% - Énfasis1 12 6" xfId="16075" xr:uid="{223A3918-B441-4514-A20A-C0F575447910}"/>
    <cellStyle name="20% - Énfasis1 12 6 2" xfId="34613" xr:uid="{0C099656-366E-4950-A97D-C9D8635E6801}"/>
    <cellStyle name="20% - Énfasis1 12 7" xfId="34582" xr:uid="{543B6A51-82F6-428D-8A0C-BEFBE6CF5727}"/>
    <cellStyle name="20% - Énfasis1 13" xfId="646" xr:uid="{A6F16F18-F821-4FD9-A6D4-F0EB78CD9016}"/>
    <cellStyle name="20% - Énfasis1 13 2" xfId="1307" xr:uid="{99E643E6-F608-4D6C-A979-55CDA6EBB5DF}"/>
    <cellStyle name="20% - Énfasis1 13 2 2" xfId="2774" xr:uid="{C2114AAB-3A78-4C11-AD9A-79CDE47A4A77}"/>
    <cellStyle name="20% - Énfasis1 13 2 2 2" xfId="6506" xr:uid="{501B7C49-51BF-4EEF-BADA-6994F731668D}"/>
    <cellStyle name="20% - Énfasis1 13 2 2 2 2" xfId="14214" xr:uid="{F612BE98-3C4B-4EB2-BC81-33A7DD38385C}"/>
    <cellStyle name="20% - Énfasis1 13 2 2 2 2 2" xfId="29626" xr:uid="{4337B066-099B-425D-8801-EB0803E4D48E}"/>
    <cellStyle name="20% - Énfasis1 13 2 2 2 2 2 2" xfId="34619" xr:uid="{702BFFEA-A5C1-4A10-8830-0DAC3286CFF6}"/>
    <cellStyle name="20% - Énfasis1 13 2 2 2 2 3" xfId="34618" xr:uid="{FA8A1C0A-B4E0-48B4-8519-4B53927A9355}"/>
    <cellStyle name="20% - Énfasis1 13 2 2 2 3" xfId="21921" xr:uid="{6EDE1BD8-E331-4187-9B17-EB66448B94B0}"/>
    <cellStyle name="20% - Énfasis1 13 2 2 2 3 2" xfId="34620" xr:uid="{C6B48376-3286-4079-9071-934226C3C8BC}"/>
    <cellStyle name="20% - Énfasis1 13 2 2 2 4" xfId="34617" xr:uid="{5941A3FA-D544-4973-AB4C-E089B6D3932F}"/>
    <cellStyle name="20% - Énfasis1 13 2 2 3" xfId="10485" xr:uid="{0D91796D-60FD-4B68-904D-4D6C92E4F962}"/>
    <cellStyle name="20% - Énfasis1 13 2 2 3 2" xfId="25898" xr:uid="{DDF15CEB-9F4B-4F32-82B3-333BE7FB84C8}"/>
    <cellStyle name="20% - Énfasis1 13 2 2 3 2 2" xfId="34622" xr:uid="{D8A6E6C5-E799-4756-BD3F-64522D127F11}"/>
    <cellStyle name="20% - Énfasis1 13 2 2 3 3" xfId="34621" xr:uid="{72A38119-A9F0-4F82-A008-E9E21D5B7189}"/>
    <cellStyle name="20% - Énfasis1 13 2 2 4" xfId="18193" xr:uid="{6E7C38D1-D4AD-49E9-BDB9-2C92FF230D48}"/>
    <cellStyle name="20% - Énfasis1 13 2 2 4 2" xfId="34623" xr:uid="{BF78E2E2-FF06-43D4-907C-2800CEE1A7DF}"/>
    <cellStyle name="20% - Énfasis1 13 2 2 5" xfId="34616" xr:uid="{0EEC3FA8-8E4F-462D-A377-6BD1B0B65065}"/>
    <cellStyle name="20% - Énfasis1 13 2 3" xfId="5043" xr:uid="{A32E1B86-3FE9-430B-93FC-CF75EA4D6262}"/>
    <cellStyle name="20% - Énfasis1 13 2 3 2" xfId="12751" xr:uid="{0E165CED-7144-42A9-BB68-59EF3A68A786}"/>
    <cellStyle name="20% - Énfasis1 13 2 3 2 2" xfId="28163" xr:uid="{62A18B4A-CC27-4762-8DAD-ACDBB0B222A2}"/>
    <cellStyle name="20% - Énfasis1 13 2 3 2 2 2" xfId="34626" xr:uid="{0393E29D-82FF-4B56-9FF6-525E3596AA5E}"/>
    <cellStyle name="20% - Énfasis1 13 2 3 2 3" xfId="34625" xr:uid="{666B4121-4891-41BB-976F-9CF958094822}"/>
    <cellStyle name="20% - Énfasis1 13 2 3 3" xfId="20458" xr:uid="{04760A48-BB35-49A7-BF03-AF1A59588269}"/>
    <cellStyle name="20% - Énfasis1 13 2 3 3 2" xfId="34627" xr:uid="{B9F9E6C2-975F-4D86-A0A0-C07B6C8E59AD}"/>
    <cellStyle name="20% - Énfasis1 13 2 3 4" xfId="34624" xr:uid="{B9B88320-015A-4A0D-912D-B6A41662A563}"/>
    <cellStyle name="20% - Énfasis1 13 2 4" xfId="9026" xr:uid="{7856642E-40F5-4066-A17A-D9CDA64C5B3C}"/>
    <cellStyle name="20% - Énfasis1 13 2 4 2" xfId="24439" xr:uid="{B599D401-756F-477E-9B0E-3C10C35C8282}"/>
    <cellStyle name="20% - Énfasis1 13 2 4 2 2" xfId="34629" xr:uid="{56DB1AD8-9CCB-4BD9-A827-6E1D2BB3F8CE}"/>
    <cellStyle name="20% - Énfasis1 13 2 4 3" xfId="34628" xr:uid="{B634D00F-33FE-405E-A0F7-EFDF1943D339}"/>
    <cellStyle name="20% - Énfasis1 13 2 5" xfId="16734" xr:uid="{187DC1FA-9F26-4F52-917B-36AD55C6593E}"/>
    <cellStyle name="20% - Énfasis1 13 2 5 2" xfId="34630" xr:uid="{9A5E86C6-A0FD-4F73-97FE-E56411D2678E}"/>
    <cellStyle name="20% - Énfasis1 13 2 6" xfId="34615" xr:uid="{815A0151-8153-4AC9-83CD-24F273721C75}"/>
    <cellStyle name="20% - Énfasis1 13 3" xfId="2136" xr:uid="{F96BE096-C6FC-4543-99F0-92303B778F16}"/>
    <cellStyle name="20% - Énfasis1 13 3 2" xfId="5868" xr:uid="{846B08FC-A264-4B08-9BC7-C6399B69AD22}"/>
    <cellStyle name="20% - Énfasis1 13 3 2 2" xfId="13576" xr:uid="{5926E3F1-19C0-482A-B23A-D6DEFB51DA44}"/>
    <cellStyle name="20% - Énfasis1 13 3 2 2 2" xfId="28988" xr:uid="{33E08E33-DF3C-4154-85A9-3109901D94A2}"/>
    <cellStyle name="20% - Énfasis1 13 3 2 2 2 2" xfId="34634" xr:uid="{6929BE59-D2C7-479B-BE8A-A8CFF118C47D}"/>
    <cellStyle name="20% - Énfasis1 13 3 2 2 3" xfId="34633" xr:uid="{D0C3CA06-8290-45C6-8038-711002B903A1}"/>
    <cellStyle name="20% - Énfasis1 13 3 2 3" xfId="21283" xr:uid="{C575531F-3D77-48AA-BBB1-9D976BB2C20D}"/>
    <cellStyle name="20% - Énfasis1 13 3 2 3 2" xfId="34635" xr:uid="{B3636143-E494-46B8-9116-6A314C9E536E}"/>
    <cellStyle name="20% - Énfasis1 13 3 2 4" xfId="34632" xr:uid="{781AC59D-012D-470E-8D0E-F0825F1EC2A3}"/>
    <cellStyle name="20% - Énfasis1 13 3 3" xfId="9847" xr:uid="{81A5ED62-72DB-496A-9B70-0CB83BDEFDF2}"/>
    <cellStyle name="20% - Énfasis1 13 3 3 2" xfId="25260" xr:uid="{5E7FCDB2-1EEA-4F72-99A7-E657DCD8BCC2}"/>
    <cellStyle name="20% - Énfasis1 13 3 3 2 2" xfId="34637" xr:uid="{2DD06336-1A91-4C2A-BBF0-66FA3E6CF797}"/>
    <cellStyle name="20% - Énfasis1 13 3 3 3" xfId="34636" xr:uid="{A1D2EEE1-CADF-420D-827A-D06C192BE72F}"/>
    <cellStyle name="20% - Énfasis1 13 3 4" xfId="17555" xr:uid="{387E0839-3D82-43AA-BEDF-77394E72D22B}"/>
    <cellStyle name="20% - Énfasis1 13 3 4 2" xfId="34638" xr:uid="{BB56ADD4-039E-4F10-82E9-950827168FB5}"/>
    <cellStyle name="20% - Énfasis1 13 3 5" xfId="34631" xr:uid="{16563DDD-EF13-4AF6-8C92-9F7392CB9EBE}"/>
    <cellStyle name="20% - Énfasis1 13 4" xfId="4391" xr:uid="{A8B5FD39-2422-4258-9E4C-59F58D83778B}"/>
    <cellStyle name="20% - Énfasis1 13 4 2" xfId="12099" xr:uid="{E6C45002-B026-4FB3-9C58-AD1C97D98BE9}"/>
    <cellStyle name="20% - Énfasis1 13 4 2 2" xfId="27511" xr:uid="{4CC04B91-9CD3-4DA7-97C6-BC7DFDFC452D}"/>
    <cellStyle name="20% - Énfasis1 13 4 2 2 2" xfId="34641" xr:uid="{8696C2EA-FBF9-4FD5-B932-6358B9A14F6D}"/>
    <cellStyle name="20% - Énfasis1 13 4 2 3" xfId="34640" xr:uid="{6D37691D-4AC6-4C5C-A368-7D44DCDC90FD}"/>
    <cellStyle name="20% - Énfasis1 13 4 3" xfId="19806" xr:uid="{8605B38D-9492-49E7-B4D7-2CF3810A527B}"/>
    <cellStyle name="20% - Énfasis1 13 4 3 2" xfId="34642" xr:uid="{589F6749-AF1A-4BC1-8094-2296ECA1D0D8}"/>
    <cellStyle name="20% - Énfasis1 13 4 4" xfId="34639" xr:uid="{D3D76C2F-9E35-4BD3-B760-D8D7E247B9E6}"/>
    <cellStyle name="20% - Énfasis1 13 5" xfId="8388" xr:uid="{499BD98A-D0FC-4BAB-B0F0-F7CBC89F58F4}"/>
    <cellStyle name="20% - Énfasis1 13 5 2" xfId="23801" xr:uid="{6B6B497A-8AB4-4E76-B4D8-00C857CBF854}"/>
    <cellStyle name="20% - Énfasis1 13 5 2 2" xfId="34644" xr:uid="{CC64FC36-CC68-4707-8A6B-331F77F54F02}"/>
    <cellStyle name="20% - Énfasis1 13 5 3" xfId="34643" xr:uid="{43F0680B-7A84-4831-B6AF-B43FD356EA5E}"/>
    <cellStyle name="20% - Énfasis1 13 6" xfId="16096" xr:uid="{2DD75AA7-9070-4719-9C1A-C742CAB36AA9}"/>
    <cellStyle name="20% - Énfasis1 13 6 2" xfId="34645" xr:uid="{58E46818-A36F-4D66-BD80-19D3BF8D8657}"/>
    <cellStyle name="20% - Énfasis1 13 7" xfId="34614" xr:uid="{8E47D1BC-9206-4B7A-BE34-BFD8DCF84570}"/>
    <cellStyle name="20% - Énfasis1 14" xfId="666" xr:uid="{FA5D1FF0-3E2E-49B5-AA27-4E9F5C77EDD3}"/>
    <cellStyle name="20% - Énfasis1 14 2" xfId="1327" xr:uid="{BF0219A6-AC42-4829-9256-89A7342E99C5}"/>
    <cellStyle name="20% - Énfasis1 14 2 2" xfId="2794" xr:uid="{FCFFC2C0-DA7A-4F50-9E53-CD5232DB0B59}"/>
    <cellStyle name="20% - Énfasis1 14 2 2 2" xfId="6526" xr:uid="{EA8BAB08-1A04-4E1A-B11D-AC76C175E596}"/>
    <cellStyle name="20% - Énfasis1 14 2 2 2 2" xfId="14234" xr:uid="{450B3067-8CF4-4259-9B25-D0BE2DA68A16}"/>
    <cellStyle name="20% - Énfasis1 14 2 2 2 2 2" xfId="29646" xr:uid="{293F39CF-B6ED-4435-8AD3-837E4558ECB3}"/>
    <cellStyle name="20% - Énfasis1 14 2 2 2 2 2 2" xfId="34651" xr:uid="{1927B4E4-EFFF-4EBD-A843-AB36EF558B56}"/>
    <cellStyle name="20% - Énfasis1 14 2 2 2 2 3" xfId="34650" xr:uid="{B6D97CAB-6BC6-4D02-A5AC-D0391D19127E}"/>
    <cellStyle name="20% - Énfasis1 14 2 2 2 3" xfId="21941" xr:uid="{E2C6723D-F34D-490E-8F24-1D28A13D72DB}"/>
    <cellStyle name="20% - Énfasis1 14 2 2 2 3 2" xfId="34652" xr:uid="{B67B1DFD-D2A8-4F5B-9882-D5F4C38AD62C}"/>
    <cellStyle name="20% - Énfasis1 14 2 2 2 4" xfId="34649" xr:uid="{20744806-A691-489B-A20D-EC126A3696E0}"/>
    <cellStyle name="20% - Énfasis1 14 2 2 3" xfId="10505" xr:uid="{C0138B1E-1420-49F7-88F1-7DF849EC201E}"/>
    <cellStyle name="20% - Énfasis1 14 2 2 3 2" xfId="25918" xr:uid="{38C108D5-D0D0-4080-B916-A39E341973CF}"/>
    <cellStyle name="20% - Énfasis1 14 2 2 3 2 2" xfId="34654" xr:uid="{F1CC1DB8-2B4B-4F49-A037-436A30A24FB7}"/>
    <cellStyle name="20% - Énfasis1 14 2 2 3 3" xfId="34653" xr:uid="{77B74335-FE59-4413-B637-EC0C89FCA68E}"/>
    <cellStyle name="20% - Énfasis1 14 2 2 4" xfId="18213" xr:uid="{6A96B3FF-8AE5-4807-AFA9-90D2ECECF676}"/>
    <cellStyle name="20% - Énfasis1 14 2 2 4 2" xfId="34655" xr:uid="{58DBB33C-13E3-4E7A-B7C3-872216E34C1F}"/>
    <cellStyle name="20% - Énfasis1 14 2 2 5" xfId="34648" xr:uid="{4EFFDB8F-CC13-46AA-872A-BE0BCBD006AB}"/>
    <cellStyle name="20% - Énfasis1 14 2 3" xfId="5063" xr:uid="{C3C62E83-236D-4052-A929-8E0D55E83CF9}"/>
    <cellStyle name="20% - Énfasis1 14 2 3 2" xfId="12771" xr:uid="{8FFF6FCD-BD56-4814-B103-2B254998B7E8}"/>
    <cellStyle name="20% - Énfasis1 14 2 3 2 2" xfId="28183" xr:uid="{70301509-8CB8-4E76-9B5D-CCE780BAD998}"/>
    <cellStyle name="20% - Énfasis1 14 2 3 2 2 2" xfId="34658" xr:uid="{842918BD-AACB-4696-9A65-DA8D03C0F85D}"/>
    <cellStyle name="20% - Énfasis1 14 2 3 2 3" xfId="34657" xr:uid="{58170A32-9CFD-4873-9E8B-4F5E7A6D5D03}"/>
    <cellStyle name="20% - Énfasis1 14 2 3 3" xfId="20478" xr:uid="{D3DB3386-2057-4872-9AE4-0BE6D250AFB5}"/>
    <cellStyle name="20% - Énfasis1 14 2 3 3 2" xfId="34659" xr:uid="{36AA2564-F6E1-4C87-8B4D-EB7EA864D9AE}"/>
    <cellStyle name="20% - Énfasis1 14 2 3 4" xfId="34656" xr:uid="{8EC3AB6F-D6CA-423A-8283-F7AE9F55B9D3}"/>
    <cellStyle name="20% - Énfasis1 14 2 4" xfId="9046" xr:uid="{3A0E14D8-5450-46F1-A8EF-21794AEBFBE3}"/>
    <cellStyle name="20% - Énfasis1 14 2 4 2" xfId="24459" xr:uid="{B70E3BFC-EE5A-4DD7-8DC8-464C13EAA7D7}"/>
    <cellStyle name="20% - Énfasis1 14 2 4 2 2" xfId="34661" xr:uid="{BED4F29F-05B5-4B79-9B59-818DD1EDA89F}"/>
    <cellStyle name="20% - Énfasis1 14 2 4 3" xfId="34660" xr:uid="{9457431C-8516-4E6B-BDBA-C372DE9DC74B}"/>
    <cellStyle name="20% - Énfasis1 14 2 5" xfId="16754" xr:uid="{967BC5B9-0694-4B3D-8DC1-E437EBE792D1}"/>
    <cellStyle name="20% - Énfasis1 14 2 5 2" xfId="34662" xr:uid="{B59AF1B4-9B10-481E-A16E-6F9C30A150FF}"/>
    <cellStyle name="20% - Énfasis1 14 2 6" xfId="34647" xr:uid="{14A585F7-AFC4-4ACD-9698-D456B8D0764A}"/>
    <cellStyle name="20% - Énfasis1 14 3" xfId="2156" xr:uid="{8EB80B33-D3E9-40E3-970C-31A5248F4412}"/>
    <cellStyle name="20% - Énfasis1 14 3 2" xfId="5888" xr:uid="{E0C766BB-686E-4C3A-A0A8-F262679BE3BD}"/>
    <cellStyle name="20% - Énfasis1 14 3 2 2" xfId="13596" xr:uid="{44D1050D-1D81-4A13-AFCF-6D41E5E0609C}"/>
    <cellStyle name="20% - Énfasis1 14 3 2 2 2" xfId="29008" xr:uid="{0BAC25D5-5EB5-4A39-B3E1-3D6F34C5A798}"/>
    <cellStyle name="20% - Énfasis1 14 3 2 2 2 2" xfId="34666" xr:uid="{C7DD9A8E-138F-4A46-A58C-F36C52B24594}"/>
    <cellStyle name="20% - Énfasis1 14 3 2 2 3" xfId="34665" xr:uid="{2CED2A4D-C044-4287-847A-79A934590F91}"/>
    <cellStyle name="20% - Énfasis1 14 3 2 3" xfId="21303" xr:uid="{B5E5090E-3A58-4E60-853E-19974D425D53}"/>
    <cellStyle name="20% - Énfasis1 14 3 2 3 2" xfId="34667" xr:uid="{CDC4E5D4-A868-43DA-ADE6-EC8E496AF59C}"/>
    <cellStyle name="20% - Énfasis1 14 3 2 4" xfId="34664" xr:uid="{4A5CC421-A123-4E49-AF4A-74B15C901D74}"/>
    <cellStyle name="20% - Énfasis1 14 3 3" xfId="9867" xr:uid="{0B87E232-7115-4AF3-8AFB-A21439FF5CCE}"/>
    <cellStyle name="20% - Énfasis1 14 3 3 2" xfId="25280" xr:uid="{436AF653-A5F0-473B-BCE2-7D7C4D8590CB}"/>
    <cellStyle name="20% - Énfasis1 14 3 3 2 2" xfId="34669" xr:uid="{09EC5926-53CB-4082-859F-95C50ABE0A03}"/>
    <cellStyle name="20% - Énfasis1 14 3 3 3" xfId="34668" xr:uid="{52909989-4BC3-406D-A128-EC73CDE01188}"/>
    <cellStyle name="20% - Énfasis1 14 3 4" xfId="17575" xr:uid="{CD90D7F7-A992-4BAF-B63C-075F430A2521}"/>
    <cellStyle name="20% - Énfasis1 14 3 4 2" xfId="34670" xr:uid="{AF9D0BA2-7C09-4B4A-966B-8FFF8D388AF5}"/>
    <cellStyle name="20% - Énfasis1 14 3 5" xfId="34663" xr:uid="{893B0B8F-6F86-4073-8FAE-544EE165AD43}"/>
    <cellStyle name="20% - Énfasis1 14 4" xfId="4411" xr:uid="{26DCF07A-EEAD-4F26-A0DB-4FA16C9FA4C4}"/>
    <cellStyle name="20% - Énfasis1 14 4 2" xfId="12119" xr:uid="{B15E1D63-EC2A-4D65-94AE-6D62DFECDA18}"/>
    <cellStyle name="20% - Énfasis1 14 4 2 2" xfId="27531" xr:uid="{DDE5B30F-EA14-4465-AC11-ABCFC0746758}"/>
    <cellStyle name="20% - Énfasis1 14 4 2 2 2" xfId="34673" xr:uid="{BFA4DA5E-6CC2-4291-B7A4-72F8BB95D569}"/>
    <cellStyle name="20% - Énfasis1 14 4 2 3" xfId="34672" xr:uid="{79F2A24E-9AAF-43FF-93A3-E5B7428F86FF}"/>
    <cellStyle name="20% - Énfasis1 14 4 3" xfId="19826" xr:uid="{5A160FCA-B0B9-4700-9B63-387D57A18EA8}"/>
    <cellStyle name="20% - Énfasis1 14 4 3 2" xfId="34674" xr:uid="{0AF3111A-2B48-48A6-A2A5-BEE5744B2BF2}"/>
    <cellStyle name="20% - Énfasis1 14 4 4" xfId="34671" xr:uid="{9EA2BE7A-056C-4725-AD06-C2AD59856E40}"/>
    <cellStyle name="20% - Énfasis1 14 5" xfId="8408" xr:uid="{39556881-1917-4921-B422-43E0D8A5647F}"/>
    <cellStyle name="20% - Énfasis1 14 5 2" xfId="23821" xr:uid="{1940DDC8-46D4-4BAB-9938-199053EDEEDD}"/>
    <cellStyle name="20% - Énfasis1 14 5 2 2" xfId="34676" xr:uid="{289BED52-9B57-44A8-9E7E-84FA36787EB6}"/>
    <cellStyle name="20% - Énfasis1 14 5 3" xfId="34675" xr:uid="{105CEF6E-9E95-4D7E-A7FA-F566FB598ED3}"/>
    <cellStyle name="20% - Énfasis1 14 6" xfId="16116" xr:uid="{ACA2C4E2-6393-4EDD-AA12-13D4D150FF69}"/>
    <cellStyle name="20% - Énfasis1 14 6 2" xfId="34677" xr:uid="{A953A06A-F133-4229-820D-A7A81B431713}"/>
    <cellStyle name="20% - Énfasis1 14 7" xfId="34646" xr:uid="{DBF6F66B-D807-46F5-B5CD-4BD26CF257F9}"/>
    <cellStyle name="20% - Énfasis1 15" xfId="686" xr:uid="{8B312875-270C-4103-AB1B-81469D1C8075}"/>
    <cellStyle name="20% - Énfasis1 15 2" xfId="1347" xr:uid="{F7C5B09D-AA77-4A88-81E5-9C883C42CA4F}"/>
    <cellStyle name="20% - Énfasis1 15 2 2" xfId="2814" xr:uid="{A77D9835-4DBE-4688-BF7F-54B84456B12F}"/>
    <cellStyle name="20% - Énfasis1 15 2 2 2" xfId="6546" xr:uid="{F90AF060-639D-489D-B7C5-7F5F68649657}"/>
    <cellStyle name="20% - Énfasis1 15 2 2 2 2" xfId="14254" xr:uid="{42736FFC-8650-4FD1-8ADD-EA2766FAB24B}"/>
    <cellStyle name="20% - Énfasis1 15 2 2 2 2 2" xfId="29666" xr:uid="{A11A00F3-6395-4D85-BEFD-8914CA9656BD}"/>
    <cellStyle name="20% - Énfasis1 15 2 2 2 2 2 2" xfId="34683" xr:uid="{04052DF7-8C2C-4DB2-A27B-87CF8150545A}"/>
    <cellStyle name="20% - Énfasis1 15 2 2 2 2 3" xfId="34682" xr:uid="{5450B2BA-8388-43A3-ADD3-B567703D8E7F}"/>
    <cellStyle name="20% - Énfasis1 15 2 2 2 3" xfId="21961" xr:uid="{3B4F0F99-C123-4441-839C-6639E0AAF8F3}"/>
    <cellStyle name="20% - Énfasis1 15 2 2 2 3 2" xfId="34684" xr:uid="{01C38A0F-4881-41DE-962E-0DC972DACF88}"/>
    <cellStyle name="20% - Énfasis1 15 2 2 2 4" xfId="34681" xr:uid="{63A96257-C00E-4D91-AF26-5160E6479DB0}"/>
    <cellStyle name="20% - Énfasis1 15 2 2 3" xfId="10525" xr:uid="{8450C885-376C-42E3-B4E0-79D08BFF1DAA}"/>
    <cellStyle name="20% - Énfasis1 15 2 2 3 2" xfId="25938" xr:uid="{B71BC496-45E5-4F0F-BCFF-2B03829B786C}"/>
    <cellStyle name="20% - Énfasis1 15 2 2 3 2 2" xfId="34686" xr:uid="{A082F01F-3125-4D69-A450-D90883C18D51}"/>
    <cellStyle name="20% - Énfasis1 15 2 2 3 3" xfId="34685" xr:uid="{5B680E48-3F7F-4B8E-A343-D7D8039F4360}"/>
    <cellStyle name="20% - Énfasis1 15 2 2 4" xfId="18233" xr:uid="{A20094E6-F94F-4EE5-944A-8C638A8C3C1B}"/>
    <cellStyle name="20% - Énfasis1 15 2 2 4 2" xfId="34687" xr:uid="{FE2D3AD5-219E-461F-A4E1-895537C0FC8B}"/>
    <cellStyle name="20% - Énfasis1 15 2 2 5" xfId="34680" xr:uid="{2B7444C5-BB6B-4341-8BD8-B62C70DA7123}"/>
    <cellStyle name="20% - Énfasis1 15 2 3" xfId="5083" xr:uid="{09E901FD-8C20-4D32-8822-D2DFF30C670E}"/>
    <cellStyle name="20% - Énfasis1 15 2 3 2" xfId="12791" xr:uid="{862AFB28-E5DE-489A-A974-77E84362AA56}"/>
    <cellStyle name="20% - Énfasis1 15 2 3 2 2" xfId="28203" xr:uid="{2E5600C4-EA8E-490A-97BC-209F74533126}"/>
    <cellStyle name="20% - Énfasis1 15 2 3 2 2 2" xfId="34690" xr:uid="{3BBB88AF-AA29-4C10-A210-8B37444F7AFB}"/>
    <cellStyle name="20% - Énfasis1 15 2 3 2 3" xfId="34689" xr:uid="{B40DBB72-00AF-4776-B812-E0F54CE319B3}"/>
    <cellStyle name="20% - Énfasis1 15 2 3 3" xfId="20498" xr:uid="{EEB53D2F-0FEC-47E0-ABF6-87B62463AB80}"/>
    <cellStyle name="20% - Énfasis1 15 2 3 3 2" xfId="34691" xr:uid="{081A6367-AABF-42C9-97A0-F383283FCD59}"/>
    <cellStyle name="20% - Énfasis1 15 2 3 4" xfId="34688" xr:uid="{E77CD12F-5F6D-404C-BF7C-9B8DCDFBE108}"/>
    <cellStyle name="20% - Énfasis1 15 2 4" xfId="9066" xr:uid="{66375190-F586-4109-85D3-7F219BB8A3DF}"/>
    <cellStyle name="20% - Énfasis1 15 2 4 2" xfId="24479" xr:uid="{57B448F3-EE48-4309-BCEF-18A53810C03F}"/>
    <cellStyle name="20% - Énfasis1 15 2 4 2 2" xfId="34693" xr:uid="{BC1830BB-3698-49E4-91AF-CB4DEEC7CFE9}"/>
    <cellStyle name="20% - Énfasis1 15 2 4 3" xfId="34692" xr:uid="{E74FD63A-83D1-4A52-A62A-01F22B112E19}"/>
    <cellStyle name="20% - Énfasis1 15 2 5" xfId="16774" xr:uid="{3DEC8C5C-2761-46F8-81A1-99CC161763C2}"/>
    <cellStyle name="20% - Énfasis1 15 2 5 2" xfId="34694" xr:uid="{B55D5842-2AA5-4720-9B26-6315ADA45788}"/>
    <cellStyle name="20% - Énfasis1 15 2 6" xfId="34679" xr:uid="{02B9AC18-0030-447A-8B26-432DD39AC089}"/>
    <cellStyle name="20% - Énfasis1 15 3" xfId="2176" xr:uid="{D6A06C55-DBCB-4F09-B1B6-7B6D8C484069}"/>
    <cellStyle name="20% - Énfasis1 15 3 2" xfId="5908" xr:uid="{9061C98B-9FF6-4427-825E-973427051A0E}"/>
    <cellStyle name="20% - Énfasis1 15 3 2 2" xfId="13616" xr:uid="{B8EAF397-13DD-43A9-ABBB-5BB3416BFCEB}"/>
    <cellStyle name="20% - Énfasis1 15 3 2 2 2" xfId="29028" xr:uid="{10EF40C7-C5E2-4BCA-B772-DCE05D05C5ED}"/>
    <cellStyle name="20% - Énfasis1 15 3 2 2 2 2" xfId="34698" xr:uid="{A8CEE31A-A828-403E-97DB-EC589D019634}"/>
    <cellStyle name="20% - Énfasis1 15 3 2 2 3" xfId="34697" xr:uid="{08192BEB-D7BA-41F4-ACEF-33EA24091BD7}"/>
    <cellStyle name="20% - Énfasis1 15 3 2 3" xfId="21323" xr:uid="{749CDE42-36D8-42D6-AEB6-B872FEAE02CD}"/>
    <cellStyle name="20% - Énfasis1 15 3 2 3 2" xfId="34699" xr:uid="{A77DBCE7-AE41-4B57-8B04-2A815D38E90D}"/>
    <cellStyle name="20% - Énfasis1 15 3 2 4" xfId="34696" xr:uid="{81F90125-0F9F-4138-A463-4900F7E6CB71}"/>
    <cellStyle name="20% - Énfasis1 15 3 3" xfId="9887" xr:uid="{8A568E4E-6668-4928-86A2-5662374FFC3C}"/>
    <cellStyle name="20% - Énfasis1 15 3 3 2" xfId="25300" xr:uid="{A9C21E06-4B70-4DD5-95DF-5478D1DD8F21}"/>
    <cellStyle name="20% - Énfasis1 15 3 3 2 2" xfId="34701" xr:uid="{1424821D-B9B6-4BC2-91DB-758FDDD2CC84}"/>
    <cellStyle name="20% - Énfasis1 15 3 3 3" xfId="34700" xr:uid="{9579060E-DB84-4286-8068-05A8AE47489E}"/>
    <cellStyle name="20% - Énfasis1 15 3 4" xfId="17595" xr:uid="{197DDF99-43D0-4ABB-BF79-D8AE40327F2B}"/>
    <cellStyle name="20% - Énfasis1 15 3 4 2" xfId="34702" xr:uid="{A007F832-E6AA-48A1-A1E0-F681F989D68C}"/>
    <cellStyle name="20% - Énfasis1 15 3 5" xfId="34695" xr:uid="{A54840E8-C97A-403C-AE04-D8D7A5775901}"/>
    <cellStyle name="20% - Énfasis1 15 4" xfId="4431" xr:uid="{4C3BC6FE-F04F-410C-9589-248B532E200B}"/>
    <cellStyle name="20% - Énfasis1 15 4 2" xfId="12139" xr:uid="{24E53873-EEDE-4215-B0F7-EB0C2AB9C8B0}"/>
    <cellStyle name="20% - Énfasis1 15 4 2 2" xfId="27551" xr:uid="{C1A3746F-915B-46AF-B564-A3D2A5C01B52}"/>
    <cellStyle name="20% - Énfasis1 15 4 2 2 2" xfId="34705" xr:uid="{E45085F8-052C-496D-8EBD-6C96EA9D6254}"/>
    <cellStyle name="20% - Énfasis1 15 4 2 3" xfId="34704" xr:uid="{1246763C-FA5F-4B57-9E16-7C97628CFF5E}"/>
    <cellStyle name="20% - Énfasis1 15 4 3" xfId="19846" xr:uid="{034EAD36-75CF-4588-8C42-389FD730209A}"/>
    <cellStyle name="20% - Énfasis1 15 4 3 2" xfId="34706" xr:uid="{761BFC1F-6033-48BD-9ED3-4276BC04E8EE}"/>
    <cellStyle name="20% - Énfasis1 15 4 4" xfId="34703" xr:uid="{11A00D0C-BDFB-494B-BF55-C41108460DC7}"/>
    <cellStyle name="20% - Énfasis1 15 5" xfId="8428" xr:uid="{074ADC05-EEA9-4C3B-96AE-A1562B153ED6}"/>
    <cellStyle name="20% - Énfasis1 15 5 2" xfId="23841" xr:uid="{FD62AB61-66CD-4C89-8A84-22162D4599D8}"/>
    <cellStyle name="20% - Énfasis1 15 5 2 2" xfId="34708" xr:uid="{302E0AA3-D7AB-4477-B122-697491D4154D}"/>
    <cellStyle name="20% - Énfasis1 15 5 3" xfId="34707" xr:uid="{2C569ACD-4830-4B56-8115-191050DEF131}"/>
    <cellStyle name="20% - Énfasis1 15 6" xfId="16136" xr:uid="{68EC65E7-73D1-4D20-B336-A18E316FC6E8}"/>
    <cellStyle name="20% - Énfasis1 15 6 2" xfId="34709" xr:uid="{3E588D75-C013-42D0-AACD-A84665114F0E}"/>
    <cellStyle name="20% - Énfasis1 15 7" xfId="34678" xr:uid="{7CFC5710-90D8-45F6-8D95-19A14E419126}"/>
    <cellStyle name="20% - Énfasis1 16" xfId="707" xr:uid="{A8E37F26-6094-4E31-96AC-22D1168E936C}"/>
    <cellStyle name="20% - Énfasis1 16 2" xfId="1368" xr:uid="{E7C6E8A7-459D-432B-A3B8-3C411EA786C6}"/>
    <cellStyle name="20% - Énfasis1 16 2 2" xfId="2835" xr:uid="{DA11659D-F9A2-4BC0-8A66-D0786C5ABDA1}"/>
    <cellStyle name="20% - Énfasis1 16 2 2 2" xfId="6567" xr:uid="{195DAEE4-86BB-462E-9B99-402F2DF088ED}"/>
    <cellStyle name="20% - Énfasis1 16 2 2 2 2" xfId="14275" xr:uid="{745FE945-87D1-462E-B9CD-05DE49F3DDA2}"/>
    <cellStyle name="20% - Énfasis1 16 2 2 2 2 2" xfId="29687" xr:uid="{7B7004BF-E0E8-40A2-8584-CB3A1B626E0F}"/>
    <cellStyle name="20% - Énfasis1 16 2 2 2 2 2 2" xfId="34715" xr:uid="{7B9CAE8D-68DD-4EF1-83B7-D3C32C943EBE}"/>
    <cellStyle name="20% - Énfasis1 16 2 2 2 2 3" xfId="34714" xr:uid="{A6EDCE98-4BAF-475A-B93A-08616503FC2E}"/>
    <cellStyle name="20% - Énfasis1 16 2 2 2 3" xfId="21982" xr:uid="{BDC3844A-2076-49BA-8D87-76A251CF89EE}"/>
    <cellStyle name="20% - Énfasis1 16 2 2 2 3 2" xfId="34716" xr:uid="{0FED72C6-FB68-4298-B1B4-5A42A15C3DE1}"/>
    <cellStyle name="20% - Énfasis1 16 2 2 2 4" xfId="34713" xr:uid="{9914FD96-446B-4F6C-B9FF-3470D969E7C8}"/>
    <cellStyle name="20% - Énfasis1 16 2 2 3" xfId="10546" xr:uid="{219BEB91-61A1-4FD3-A1E0-FA8801FB8447}"/>
    <cellStyle name="20% - Énfasis1 16 2 2 3 2" xfId="25959" xr:uid="{70AE8E4E-DC7C-4D55-9A69-421CC07FDF96}"/>
    <cellStyle name="20% - Énfasis1 16 2 2 3 2 2" xfId="34718" xr:uid="{87DC4880-AE02-4F8D-9C87-F47A2C07ADAE}"/>
    <cellStyle name="20% - Énfasis1 16 2 2 3 3" xfId="34717" xr:uid="{FD13652B-254B-4BA1-B54A-F37D21D1EC22}"/>
    <cellStyle name="20% - Énfasis1 16 2 2 4" xfId="18254" xr:uid="{94712CD4-CCCD-4EF7-9125-0DA16D5592CD}"/>
    <cellStyle name="20% - Énfasis1 16 2 2 4 2" xfId="34719" xr:uid="{9CD43539-7D3C-48F9-B709-45724D54A39A}"/>
    <cellStyle name="20% - Énfasis1 16 2 2 5" xfId="34712" xr:uid="{38F8C2E9-CD31-451B-9FB1-C304445D0829}"/>
    <cellStyle name="20% - Énfasis1 16 2 3" xfId="5104" xr:uid="{CE832C9E-93E4-4A91-8127-3960FA8B115E}"/>
    <cellStyle name="20% - Énfasis1 16 2 3 2" xfId="12812" xr:uid="{9C64C49D-5796-4174-824A-8AB73E64E711}"/>
    <cellStyle name="20% - Énfasis1 16 2 3 2 2" xfId="28224" xr:uid="{3B5E0B87-BD6B-4C28-8D67-CAF39E79C402}"/>
    <cellStyle name="20% - Énfasis1 16 2 3 2 2 2" xfId="34722" xr:uid="{D26281A9-CC16-408B-AD13-DC7460541795}"/>
    <cellStyle name="20% - Énfasis1 16 2 3 2 3" xfId="34721" xr:uid="{BB29C4B1-B76C-40DE-9AFD-0F4CAFF355DE}"/>
    <cellStyle name="20% - Énfasis1 16 2 3 3" xfId="20519" xr:uid="{BE51000F-0B54-4D8D-AA50-8E1CF6F7DC38}"/>
    <cellStyle name="20% - Énfasis1 16 2 3 3 2" xfId="34723" xr:uid="{A83F97CE-D154-48BF-B86A-43904B790F1D}"/>
    <cellStyle name="20% - Énfasis1 16 2 3 4" xfId="34720" xr:uid="{B2561805-5DAF-4C64-9662-E3CB48A40B8D}"/>
    <cellStyle name="20% - Énfasis1 16 2 4" xfId="9087" xr:uid="{577DCD9A-8B9B-4F83-910D-D071C4778124}"/>
    <cellStyle name="20% - Énfasis1 16 2 4 2" xfId="24500" xr:uid="{3E408334-9746-4DF6-B5D7-0F352762FCA4}"/>
    <cellStyle name="20% - Énfasis1 16 2 4 2 2" xfId="34725" xr:uid="{8AD98FAA-9BEF-4CA4-AEB1-F7FAC9D01FC0}"/>
    <cellStyle name="20% - Énfasis1 16 2 4 3" xfId="34724" xr:uid="{D16FB30E-54A2-4BBC-AE01-443BDF383C6A}"/>
    <cellStyle name="20% - Énfasis1 16 2 5" xfId="16795" xr:uid="{65E5EA72-8964-4F6D-B3C0-0D1BBE15F66D}"/>
    <cellStyle name="20% - Énfasis1 16 2 5 2" xfId="34726" xr:uid="{BF21E391-921C-444A-A3FD-D15BDE65B60A}"/>
    <cellStyle name="20% - Énfasis1 16 2 6" xfId="34711" xr:uid="{6832369A-FECE-4107-BA42-4C83907D1D48}"/>
    <cellStyle name="20% - Énfasis1 16 3" xfId="2197" xr:uid="{EDDBCC26-9536-4C8B-8202-B6CD4F3F2EF7}"/>
    <cellStyle name="20% - Énfasis1 16 3 2" xfId="5929" xr:uid="{C2C4C152-625A-452E-998E-D4FDDEC771D3}"/>
    <cellStyle name="20% - Énfasis1 16 3 2 2" xfId="13637" xr:uid="{6A161A80-7433-4D67-A586-2118E04D7DF4}"/>
    <cellStyle name="20% - Énfasis1 16 3 2 2 2" xfId="29049" xr:uid="{F6413650-7C97-48CD-B5D1-DB1499350BC1}"/>
    <cellStyle name="20% - Énfasis1 16 3 2 2 2 2" xfId="34730" xr:uid="{C879CE19-31AC-4BF4-9632-36EAFF652679}"/>
    <cellStyle name="20% - Énfasis1 16 3 2 2 3" xfId="34729" xr:uid="{41454F64-55BC-49ED-955F-FA382C34FAF6}"/>
    <cellStyle name="20% - Énfasis1 16 3 2 3" xfId="21344" xr:uid="{FA171CD5-F40F-415C-B457-2F4017250407}"/>
    <cellStyle name="20% - Énfasis1 16 3 2 3 2" xfId="34731" xr:uid="{E6560BF1-C2F6-4125-85BD-26058CB9092C}"/>
    <cellStyle name="20% - Énfasis1 16 3 2 4" xfId="34728" xr:uid="{858F47BF-E04C-4D9D-B9C1-9ED0F811D821}"/>
    <cellStyle name="20% - Énfasis1 16 3 3" xfId="9908" xr:uid="{BD4B3136-E68C-402C-9EBF-B216A0495D12}"/>
    <cellStyle name="20% - Énfasis1 16 3 3 2" xfId="25321" xr:uid="{43C1A0E8-AB0D-4FC8-AAD2-9719369AFFD2}"/>
    <cellStyle name="20% - Énfasis1 16 3 3 2 2" xfId="34733" xr:uid="{C90004B0-34C2-4BB7-B502-22AC8C51E51A}"/>
    <cellStyle name="20% - Énfasis1 16 3 3 3" xfId="34732" xr:uid="{14A007C4-78F4-44D8-8D59-C0B834437B84}"/>
    <cellStyle name="20% - Énfasis1 16 3 4" xfId="17616" xr:uid="{40A69000-7F26-4C80-B0F8-D76F70FAA98B}"/>
    <cellStyle name="20% - Énfasis1 16 3 4 2" xfId="34734" xr:uid="{5437913B-92C3-4022-99E3-BDE46647BCB8}"/>
    <cellStyle name="20% - Énfasis1 16 3 5" xfId="34727" xr:uid="{99AB133D-BE96-4414-A81A-A6966211A509}"/>
    <cellStyle name="20% - Énfasis1 16 4" xfId="4452" xr:uid="{13153099-7FE6-4BA5-9B49-0EEB90A25137}"/>
    <cellStyle name="20% - Énfasis1 16 4 2" xfId="12160" xr:uid="{3CD7E90F-2E58-4B55-84AE-240BAFE25C17}"/>
    <cellStyle name="20% - Énfasis1 16 4 2 2" xfId="27572" xr:uid="{A403F577-E4B6-4FD3-9070-C162CFE20C72}"/>
    <cellStyle name="20% - Énfasis1 16 4 2 2 2" xfId="34737" xr:uid="{30CDF4E2-C5D3-4057-AC97-5EAD3AD6B564}"/>
    <cellStyle name="20% - Énfasis1 16 4 2 3" xfId="34736" xr:uid="{32C850DF-4FE4-49A7-B993-0857EBA6938C}"/>
    <cellStyle name="20% - Énfasis1 16 4 3" xfId="19867" xr:uid="{C7F816FE-1941-41D5-B50E-A6A2ADC8A0DC}"/>
    <cellStyle name="20% - Énfasis1 16 4 3 2" xfId="34738" xr:uid="{F9B4E749-1075-45F9-B53F-B35E2872916C}"/>
    <cellStyle name="20% - Énfasis1 16 4 4" xfId="34735" xr:uid="{8F69EB07-42F4-4640-9DC5-55F1ED4DB66D}"/>
    <cellStyle name="20% - Énfasis1 16 5" xfId="8449" xr:uid="{AA9D2FC9-85E9-4F4D-916C-F5F804A9C1D0}"/>
    <cellStyle name="20% - Énfasis1 16 5 2" xfId="23862" xr:uid="{40018B31-86ED-41BC-8E38-51BBB34FB800}"/>
    <cellStyle name="20% - Énfasis1 16 5 2 2" xfId="34740" xr:uid="{07260CFB-FD49-46A1-954A-7662FC3DEEC6}"/>
    <cellStyle name="20% - Énfasis1 16 5 3" xfId="34739" xr:uid="{6359706E-AD84-41DF-9B2F-E2FE83757E64}"/>
    <cellStyle name="20% - Énfasis1 16 6" xfId="16157" xr:uid="{2702DEB6-8F0B-42A2-9415-1F2A17360899}"/>
    <cellStyle name="20% - Énfasis1 16 6 2" xfId="34741" xr:uid="{A6AB84EB-8175-45C5-AE72-CA757164965E}"/>
    <cellStyle name="20% - Énfasis1 16 7" xfId="34710" xr:uid="{65CE0828-0356-4C99-BE1A-066492D3FDA5}"/>
    <cellStyle name="20% - Énfasis1 17" xfId="727" xr:uid="{9711F725-76CB-4FB4-989B-80B10B9608F8}"/>
    <cellStyle name="20% - Énfasis1 17 2" xfId="1388" xr:uid="{20CB78B7-C962-43C8-8667-C26CF817731E}"/>
    <cellStyle name="20% - Énfasis1 17 2 2" xfId="2855" xr:uid="{7AD841EB-B48A-4B01-B2B2-F7712644D763}"/>
    <cellStyle name="20% - Énfasis1 17 2 2 2" xfId="6587" xr:uid="{D96BE925-5642-42CF-8A17-A581E4A060D8}"/>
    <cellStyle name="20% - Énfasis1 17 2 2 2 2" xfId="14295" xr:uid="{5EEFC68F-371E-4837-820F-92B9C20558D1}"/>
    <cellStyle name="20% - Énfasis1 17 2 2 2 2 2" xfId="29707" xr:uid="{EA084C43-24C3-418C-BD1B-CF6240ECD387}"/>
    <cellStyle name="20% - Énfasis1 17 2 2 2 2 2 2" xfId="34747" xr:uid="{A132046D-685E-42D3-A26A-BB235369E801}"/>
    <cellStyle name="20% - Énfasis1 17 2 2 2 2 3" xfId="34746" xr:uid="{709BBEA6-250E-4758-A97C-E29AA176A6B3}"/>
    <cellStyle name="20% - Énfasis1 17 2 2 2 3" xfId="22002" xr:uid="{FCB9104E-A652-4945-8454-72FA7C7E1BBA}"/>
    <cellStyle name="20% - Énfasis1 17 2 2 2 3 2" xfId="34748" xr:uid="{9F9B305C-779E-4278-AF66-51B48555B524}"/>
    <cellStyle name="20% - Énfasis1 17 2 2 2 4" xfId="34745" xr:uid="{E8E27513-943B-4230-84F5-02AF32DC4FCD}"/>
    <cellStyle name="20% - Énfasis1 17 2 2 3" xfId="10566" xr:uid="{FC56B446-7D5B-421B-B294-A6367F13C9D5}"/>
    <cellStyle name="20% - Énfasis1 17 2 2 3 2" xfId="25979" xr:uid="{3DF9A38E-9D1D-4B88-9827-6496EA464F3D}"/>
    <cellStyle name="20% - Énfasis1 17 2 2 3 2 2" xfId="34750" xr:uid="{3186FBE5-EEC2-435D-83EC-56E1E84FE33B}"/>
    <cellStyle name="20% - Énfasis1 17 2 2 3 3" xfId="34749" xr:uid="{CF2FD4F8-8A41-4D97-A992-77EDB383C932}"/>
    <cellStyle name="20% - Énfasis1 17 2 2 4" xfId="18274" xr:uid="{1D5C34CE-5E8B-49D8-9FF6-DEC6CB2F3E01}"/>
    <cellStyle name="20% - Énfasis1 17 2 2 4 2" xfId="34751" xr:uid="{3B470BA8-07E5-44E5-B18C-AEA87CB4B852}"/>
    <cellStyle name="20% - Énfasis1 17 2 2 5" xfId="34744" xr:uid="{CF503785-9D62-4896-A968-D8212BC9792B}"/>
    <cellStyle name="20% - Énfasis1 17 2 3" xfId="5124" xr:uid="{693C8432-951A-40F1-A54E-0FA5CBF0D62C}"/>
    <cellStyle name="20% - Énfasis1 17 2 3 2" xfId="12832" xr:uid="{ED49257D-0F46-4D80-B648-B14BA6C0A273}"/>
    <cellStyle name="20% - Énfasis1 17 2 3 2 2" xfId="28244" xr:uid="{4C3F60F2-2123-41DE-96BB-142BBAAD0E38}"/>
    <cellStyle name="20% - Énfasis1 17 2 3 2 2 2" xfId="34754" xr:uid="{4184076F-8CDD-459E-A4EC-56C7A6BC9BEF}"/>
    <cellStyle name="20% - Énfasis1 17 2 3 2 3" xfId="34753" xr:uid="{BF8C27F8-F569-48D7-9023-548F6D816B09}"/>
    <cellStyle name="20% - Énfasis1 17 2 3 3" xfId="20539" xr:uid="{05CBB777-5EC8-4D3F-8B5C-F5893D9BA413}"/>
    <cellStyle name="20% - Énfasis1 17 2 3 3 2" xfId="34755" xr:uid="{2EAC51C1-4D96-4248-8115-C9E6706E77B3}"/>
    <cellStyle name="20% - Énfasis1 17 2 3 4" xfId="34752" xr:uid="{AD8F5834-22D9-43F7-95D3-175E77CF15DA}"/>
    <cellStyle name="20% - Énfasis1 17 2 4" xfId="9107" xr:uid="{9E1B00D7-B028-4672-AFD3-26BF71BC0B9E}"/>
    <cellStyle name="20% - Énfasis1 17 2 4 2" xfId="24520" xr:uid="{DA9E2FD9-317B-4564-8FDE-09E65DC654D2}"/>
    <cellStyle name="20% - Énfasis1 17 2 4 2 2" xfId="34757" xr:uid="{1695FD98-9749-404A-877A-7F1DD5F28833}"/>
    <cellStyle name="20% - Énfasis1 17 2 4 3" xfId="34756" xr:uid="{AE733783-61AD-4219-BFFC-165F45A7CA59}"/>
    <cellStyle name="20% - Énfasis1 17 2 5" xfId="16815" xr:uid="{5B7B90E0-45F1-40E6-9075-827ED33CABAF}"/>
    <cellStyle name="20% - Énfasis1 17 2 5 2" xfId="34758" xr:uid="{EC42005A-EB7D-4E93-AFF1-9D905F063CAB}"/>
    <cellStyle name="20% - Énfasis1 17 2 6" xfId="34743" xr:uid="{FA5C81F7-156E-472E-BA30-3E4802736751}"/>
    <cellStyle name="20% - Énfasis1 17 3" xfId="2217" xr:uid="{170C04E0-709D-45B3-B016-96BBF7973857}"/>
    <cellStyle name="20% - Énfasis1 17 3 2" xfId="5949" xr:uid="{0B0F1E25-1205-4EC7-9A5E-80A8C85E2D21}"/>
    <cellStyle name="20% - Énfasis1 17 3 2 2" xfId="13657" xr:uid="{941E733C-F1D5-4651-8C11-9335A23BB096}"/>
    <cellStyle name="20% - Énfasis1 17 3 2 2 2" xfId="29069" xr:uid="{B166B117-89C1-41EF-AF8F-024E6275C686}"/>
    <cellStyle name="20% - Énfasis1 17 3 2 2 2 2" xfId="34762" xr:uid="{E3ABFA13-1AA7-41D0-91FE-EB5700B62E8B}"/>
    <cellStyle name="20% - Énfasis1 17 3 2 2 3" xfId="34761" xr:uid="{9F2F4E67-E51D-4441-803C-628CA31ABFA8}"/>
    <cellStyle name="20% - Énfasis1 17 3 2 3" xfId="21364" xr:uid="{B6DA4A52-6AE5-44EA-A03B-206B6FF3B141}"/>
    <cellStyle name="20% - Énfasis1 17 3 2 3 2" xfId="34763" xr:uid="{EDDA5B46-3647-4261-875B-C8D4F6D617B7}"/>
    <cellStyle name="20% - Énfasis1 17 3 2 4" xfId="34760" xr:uid="{CD36B241-E46B-481F-962A-F9A970123A2D}"/>
    <cellStyle name="20% - Énfasis1 17 3 3" xfId="9928" xr:uid="{1FA0D2DB-F0F7-491E-B71D-549E59270A08}"/>
    <cellStyle name="20% - Énfasis1 17 3 3 2" xfId="25341" xr:uid="{482EDA59-6C26-40BB-AD73-AD16A2999670}"/>
    <cellStyle name="20% - Énfasis1 17 3 3 2 2" xfId="34765" xr:uid="{5E453556-7EB6-4251-BB30-10DB35EBCB4A}"/>
    <cellStyle name="20% - Énfasis1 17 3 3 3" xfId="34764" xr:uid="{389F12BE-B52F-4EAC-AA7C-10D10FD743EC}"/>
    <cellStyle name="20% - Énfasis1 17 3 4" xfId="17636" xr:uid="{B50D3AC1-CED8-469F-BE71-29FB44779A5B}"/>
    <cellStyle name="20% - Énfasis1 17 3 4 2" xfId="34766" xr:uid="{E1AC360B-E356-48DF-9EF4-ACD5019BFAB1}"/>
    <cellStyle name="20% - Énfasis1 17 3 5" xfId="34759" xr:uid="{5699F2AC-AE38-43A4-9CF2-13361EF92430}"/>
    <cellStyle name="20% - Énfasis1 17 4" xfId="4472" xr:uid="{E5E69B70-37C2-425D-904F-934AADB570D9}"/>
    <cellStyle name="20% - Énfasis1 17 4 2" xfId="12180" xr:uid="{3A2DDFF8-D621-4194-9337-E6DC9031C10C}"/>
    <cellStyle name="20% - Énfasis1 17 4 2 2" xfId="27592" xr:uid="{8AB567D3-4984-47A7-AFEE-070F1D721E05}"/>
    <cellStyle name="20% - Énfasis1 17 4 2 2 2" xfId="34769" xr:uid="{45D6557F-A607-480C-AE34-026D22AEB3B4}"/>
    <cellStyle name="20% - Énfasis1 17 4 2 3" xfId="34768" xr:uid="{78FE7245-1762-4D1A-81E6-C0CCE83472D0}"/>
    <cellStyle name="20% - Énfasis1 17 4 3" xfId="19887" xr:uid="{BFABA3EC-BE3E-44D2-884F-AD1075AAFF75}"/>
    <cellStyle name="20% - Énfasis1 17 4 3 2" xfId="34770" xr:uid="{B2DF991C-46FF-4E8C-9673-0B500AD60B7F}"/>
    <cellStyle name="20% - Énfasis1 17 4 4" xfId="34767" xr:uid="{95CDC941-D943-41BF-B273-EED63C04B6B4}"/>
    <cellStyle name="20% - Énfasis1 17 5" xfId="8469" xr:uid="{E9A465E2-914C-44A1-B6E2-36640C41C015}"/>
    <cellStyle name="20% - Énfasis1 17 5 2" xfId="23882" xr:uid="{B65DA1EA-96CB-44C0-AA19-B2FC974382B4}"/>
    <cellStyle name="20% - Énfasis1 17 5 2 2" xfId="34772" xr:uid="{21511AF1-D937-4FE0-918F-17B8713E1EBC}"/>
    <cellStyle name="20% - Énfasis1 17 5 3" xfId="34771" xr:uid="{021E2206-3BEC-40F8-8B15-6744F6E54A01}"/>
    <cellStyle name="20% - Énfasis1 17 6" xfId="16177" xr:uid="{9B368853-AA2B-4778-A538-DA3AEB92F902}"/>
    <cellStyle name="20% - Énfasis1 17 6 2" xfId="34773" xr:uid="{43439B27-9053-4DB4-B43E-50C828476D78}"/>
    <cellStyle name="20% - Énfasis1 17 7" xfId="34742" xr:uid="{902A48F4-1FC8-4ED2-8343-70433B4FF7D4}"/>
    <cellStyle name="20% - Énfasis1 18" xfId="747" xr:uid="{6C5CE1B0-C785-4A9E-A3D0-72AC3690EA40}"/>
    <cellStyle name="20% - Énfasis1 18 2" xfId="1408" xr:uid="{46E04BA7-697B-4B5B-95F6-52D1B115E210}"/>
    <cellStyle name="20% - Énfasis1 18 2 2" xfId="2875" xr:uid="{04CD55A5-1AB1-4DB7-BB53-29616D5FE204}"/>
    <cellStyle name="20% - Énfasis1 18 2 2 2" xfId="6607" xr:uid="{FE7A0711-114C-470A-96A2-42BEACA1FEB1}"/>
    <cellStyle name="20% - Énfasis1 18 2 2 2 2" xfId="14315" xr:uid="{9283E427-A763-4604-AA68-0732DF34C973}"/>
    <cellStyle name="20% - Énfasis1 18 2 2 2 2 2" xfId="29727" xr:uid="{EAC4C1AE-EEB5-4DEB-A283-DC1DFDCD945F}"/>
    <cellStyle name="20% - Énfasis1 18 2 2 2 2 2 2" xfId="34779" xr:uid="{CAFD6A2E-6D32-49B2-973B-5ABF26A63930}"/>
    <cellStyle name="20% - Énfasis1 18 2 2 2 2 3" xfId="34778" xr:uid="{A6AE2016-8B68-4D55-B449-9C613D88AD2C}"/>
    <cellStyle name="20% - Énfasis1 18 2 2 2 3" xfId="22022" xr:uid="{8C42B0B2-4C48-4998-B8F9-1E75ACDA6E33}"/>
    <cellStyle name="20% - Énfasis1 18 2 2 2 3 2" xfId="34780" xr:uid="{ED1D39F8-FC9D-4952-9ABF-2E61180657D3}"/>
    <cellStyle name="20% - Énfasis1 18 2 2 2 4" xfId="34777" xr:uid="{5DBE834C-9C6A-415F-A158-5B3AD3685564}"/>
    <cellStyle name="20% - Énfasis1 18 2 2 3" xfId="10586" xr:uid="{1BBD3596-7073-4EB0-8482-0A241CE0A283}"/>
    <cellStyle name="20% - Énfasis1 18 2 2 3 2" xfId="25999" xr:uid="{110BB9BD-844A-4970-A142-30471AD9A85C}"/>
    <cellStyle name="20% - Énfasis1 18 2 2 3 2 2" xfId="34782" xr:uid="{0F4DFF54-62C5-4166-8144-A31D3CB0FCC9}"/>
    <cellStyle name="20% - Énfasis1 18 2 2 3 3" xfId="34781" xr:uid="{6B606EB1-A42A-4871-8168-2B8FE06EFF04}"/>
    <cellStyle name="20% - Énfasis1 18 2 2 4" xfId="18294" xr:uid="{241AE204-083A-4E76-8A85-4F21B7ABAC2D}"/>
    <cellStyle name="20% - Énfasis1 18 2 2 4 2" xfId="34783" xr:uid="{EAA0DF9D-1E94-4BF5-ACA2-1A1116B00A6D}"/>
    <cellStyle name="20% - Énfasis1 18 2 2 5" xfId="34776" xr:uid="{601022B2-F839-4AB6-84D4-FB7A25C8895A}"/>
    <cellStyle name="20% - Énfasis1 18 2 3" xfId="5144" xr:uid="{3949C487-B8BD-4B3D-BB44-3BCB19083740}"/>
    <cellStyle name="20% - Énfasis1 18 2 3 2" xfId="12852" xr:uid="{2C4D09A0-5D50-4532-B489-AA67B31D141C}"/>
    <cellStyle name="20% - Énfasis1 18 2 3 2 2" xfId="28264" xr:uid="{673A4A29-E01A-430A-8D12-56F727DD6A41}"/>
    <cellStyle name="20% - Énfasis1 18 2 3 2 2 2" xfId="34786" xr:uid="{82F45868-0421-4B6A-B70B-E7CE1F0AF5D5}"/>
    <cellStyle name="20% - Énfasis1 18 2 3 2 3" xfId="34785" xr:uid="{EB96EA90-757B-42D3-8D08-415AD746A93D}"/>
    <cellStyle name="20% - Énfasis1 18 2 3 3" xfId="20559" xr:uid="{DA449120-BF4C-4B6D-BFB5-0D8F235241A7}"/>
    <cellStyle name="20% - Énfasis1 18 2 3 3 2" xfId="34787" xr:uid="{539A12E7-13F6-4AD2-8D5D-D3E56DC4A1A6}"/>
    <cellStyle name="20% - Énfasis1 18 2 3 4" xfId="34784" xr:uid="{32A20A72-0885-4481-8158-DC03A429B5B7}"/>
    <cellStyle name="20% - Énfasis1 18 2 4" xfId="9127" xr:uid="{A8A672F4-B924-4F91-871A-B814F7642142}"/>
    <cellStyle name="20% - Énfasis1 18 2 4 2" xfId="24540" xr:uid="{F8294610-5F02-45A6-8AFB-E29D5D2A9465}"/>
    <cellStyle name="20% - Énfasis1 18 2 4 2 2" xfId="34789" xr:uid="{7B9BEA49-122E-42EE-8A25-D86F778E7361}"/>
    <cellStyle name="20% - Énfasis1 18 2 4 3" xfId="34788" xr:uid="{9D7E0D9C-C3B1-4AE5-B9EE-E173DBCAF8DA}"/>
    <cellStyle name="20% - Énfasis1 18 2 5" xfId="16835" xr:uid="{9AA05C88-D4B6-46C2-861D-61C7AF987913}"/>
    <cellStyle name="20% - Énfasis1 18 2 5 2" xfId="34790" xr:uid="{A7F6FEBE-19F9-4F42-A2D6-6AD00C5605CE}"/>
    <cellStyle name="20% - Énfasis1 18 2 6" xfId="34775" xr:uid="{4A0EBC35-DD04-413A-991F-4C968D365D8F}"/>
    <cellStyle name="20% - Énfasis1 18 3" xfId="2237" xr:uid="{C544B60B-33B5-47D9-B1A4-ED3B74F5188C}"/>
    <cellStyle name="20% - Énfasis1 18 3 2" xfId="5969" xr:uid="{0085BC2D-9DC1-48C0-9F25-D4DDA20F84BA}"/>
    <cellStyle name="20% - Énfasis1 18 3 2 2" xfId="13677" xr:uid="{7BD04C85-5C3A-4E6B-87FF-201E148FC9C1}"/>
    <cellStyle name="20% - Énfasis1 18 3 2 2 2" xfId="29089" xr:uid="{33B714A7-E808-4D8F-8935-ADD6BDFDF0CF}"/>
    <cellStyle name="20% - Énfasis1 18 3 2 2 2 2" xfId="34794" xr:uid="{67B926E5-0A54-4045-907E-70EC489EA0BA}"/>
    <cellStyle name="20% - Énfasis1 18 3 2 2 3" xfId="34793" xr:uid="{76C72677-6081-46E0-ACE5-1DEF56BCEBF8}"/>
    <cellStyle name="20% - Énfasis1 18 3 2 3" xfId="21384" xr:uid="{97648607-D6F0-49CB-9460-A9F53F5ABA0B}"/>
    <cellStyle name="20% - Énfasis1 18 3 2 3 2" xfId="34795" xr:uid="{E6455299-6438-4C5F-B452-54408AEDD859}"/>
    <cellStyle name="20% - Énfasis1 18 3 2 4" xfId="34792" xr:uid="{242F0106-F132-4CDD-9ABC-9A48E87DAAC5}"/>
    <cellStyle name="20% - Énfasis1 18 3 3" xfId="9948" xr:uid="{327918BC-58FB-4186-A637-1C368CFAE6C8}"/>
    <cellStyle name="20% - Énfasis1 18 3 3 2" xfId="25361" xr:uid="{F9F2AA44-843C-49DE-861A-733216B2BCB9}"/>
    <cellStyle name="20% - Énfasis1 18 3 3 2 2" xfId="34797" xr:uid="{2B8F9FC1-76A9-433C-84C3-011382ABE88E}"/>
    <cellStyle name="20% - Énfasis1 18 3 3 3" xfId="34796" xr:uid="{61665CE8-EB62-46C8-B8C9-8CBF9CC3B1F0}"/>
    <cellStyle name="20% - Énfasis1 18 3 4" xfId="17656" xr:uid="{38B9D30E-3A1E-4E76-9067-08CEECDE5382}"/>
    <cellStyle name="20% - Énfasis1 18 3 4 2" xfId="34798" xr:uid="{904E619D-E036-4686-8362-625A74DAC5B5}"/>
    <cellStyle name="20% - Énfasis1 18 3 5" xfId="34791" xr:uid="{95A36227-3796-44A8-A66B-5A62670728D0}"/>
    <cellStyle name="20% - Énfasis1 18 4" xfId="4492" xr:uid="{8556C048-7B73-495C-9EF0-BAC836E927CA}"/>
    <cellStyle name="20% - Énfasis1 18 4 2" xfId="12200" xr:uid="{B333B2C5-E15F-420B-833D-CEE9CDE641AC}"/>
    <cellStyle name="20% - Énfasis1 18 4 2 2" xfId="27612" xr:uid="{A3A97975-A167-4151-B5AB-0E91FFAC723D}"/>
    <cellStyle name="20% - Énfasis1 18 4 2 2 2" xfId="34801" xr:uid="{06FF7BCD-FF10-422E-BF4B-3BED19FE0E64}"/>
    <cellStyle name="20% - Énfasis1 18 4 2 3" xfId="34800" xr:uid="{9110DED9-109E-47EF-9E9F-7685A985671B}"/>
    <cellStyle name="20% - Énfasis1 18 4 3" xfId="19907" xr:uid="{0730C0E4-660B-4011-BCE6-271D86DA5C28}"/>
    <cellStyle name="20% - Énfasis1 18 4 3 2" xfId="34802" xr:uid="{D108C2BD-E635-403E-B57F-3B430A88449F}"/>
    <cellStyle name="20% - Énfasis1 18 4 4" xfId="34799" xr:uid="{A507125B-6E3D-4645-9EEF-2A97DC1947DC}"/>
    <cellStyle name="20% - Énfasis1 18 5" xfId="8489" xr:uid="{5312097A-FA66-4E24-8B40-30A60913600C}"/>
    <cellStyle name="20% - Énfasis1 18 5 2" xfId="23902" xr:uid="{59D9B565-A4FA-4DB6-8C11-7A6716167AF1}"/>
    <cellStyle name="20% - Énfasis1 18 5 2 2" xfId="34804" xr:uid="{CF55FAEC-B615-414C-B6C4-D7973DA6FBDB}"/>
    <cellStyle name="20% - Énfasis1 18 5 3" xfId="34803" xr:uid="{54086CF9-0716-4C93-8B6E-876D2CAA8459}"/>
    <cellStyle name="20% - Énfasis1 18 6" xfId="16197" xr:uid="{911823C8-CBA4-463F-87D2-0249A3C44C32}"/>
    <cellStyle name="20% - Énfasis1 18 6 2" xfId="34805" xr:uid="{114E8553-9347-4AC1-89EA-181BA69344AD}"/>
    <cellStyle name="20% - Énfasis1 18 7" xfId="34774" xr:uid="{25E93283-5287-470A-B269-8E2C19BDABC6}"/>
    <cellStyle name="20% - Énfasis1 19" xfId="766" xr:uid="{BC029CA1-8444-44CF-A4E9-92F7875F9E50}"/>
    <cellStyle name="20% - Énfasis1 19 2" xfId="2256" xr:uid="{965610C9-3CBD-4A86-8850-427C1EB256A6}"/>
    <cellStyle name="20% - Énfasis1 19 2 2" xfId="5988" xr:uid="{288B892C-0C1B-4859-831E-E6DEBFC6A6EF}"/>
    <cellStyle name="20% - Énfasis1 19 2 2 2" xfId="13696" xr:uid="{209E625F-1355-4EF5-8CD2-82B7E9005779}"/>
    <cellStyle name="20% - Énfasis1 19 2 2 2 2" xfId="29108" xr:uid="{90E63AB1-F96F-4B26-9736-2FD66D41C510}"/>
    <cellStyle name="20% - Énfasis1 19 2 2 2 2 2" xfId="34810" xr:uid="{21157B30-179B-4C1B-B7AF-8EE4D1F60B41}"/>
    <cellStyle name="20% - Énfasis1 19 2 2 2 3" xfId="34809" xr:uid="{0A83E922-9CF8-4A94-8EBD-6CB25E8A7D19}"/>
    <cellStyle name="20% - Énfasis1 19 2 2 3" xfId="21403" xr:uid="{82850D30-1893-4377-B1AC-56E6B1145582}"/>
    <cellStyle name="20% - Énfasis1 19 2 2 3 2" xfId="34811" xr:uid="{66E8FD44-6505-4A84-867F-79FC5D070571}"/>
    <cellStyle name="20% - Énfasis1 19 2 2 4" xfId="34808" xr:uid="{0D222C4F-6A5E-451D-B00B-31F8BBA310C9}"/>
    <cellStyle name="20% - Énfasis1 19 2 3" xfId="9967" xr:uid="{583943D2-1752-495D-A7A1-08A0E19E93EA}"/>
    <cellStyle name="20% - Énfasis1 19 2 3 2" xfId="25380" xr:uid="{EDE0E89B-F4B4-4D2D-851A-EE1C9A7F46B2}"/>
    <cellStyle name="20% - Énfasis1 19 2 3 2 2" xfId="34813" xr:uid="{4B0266E5-9082-4537-A57B-84EEABC3F504}"/>
    <cellStyle name="20% - Énfasis1 19 2 3 3" xfId="34812" xr:uid="{0DA90989-1C55-44FD-8CE9-038CD1129E74}"/>
    <cellStyle name="20% - Énfasis1 19 2 4" xfId="17675" xr:uid="{B3B7A71D-92F6-4C1D-8AA6-5083DE6B4AF7}"/>
    <cellStyle name="20% - Énfasis1 19 2 4 2" xfId="34814" xr:uid="{E7FE6B6E-AA4C-430C-A83B-3E4E869BB4EC}"/>
    <cellStyle name="20% - Énfasis1 19 2 5" xfId="34807" xr:uid="{5E087284-A4CA-4F6B-A77C-87091FBFE9EA}"/>
    <cellStyle name="20% - Énfasis1 19 3" xfId="4511" xr:uid="{5C5006A0-97A7-4B16-AD28-12ECDDE503D6}"/>
    <cellStyle name="20% - Énfasis1 19 3 2" xfId="12219" xr:uid="{BE7E26A2-F629-4B0D-92AD-4C1B8C94C64A}"/>
    <cellStyle name="20% - Énfasis1 19 3 2 2" xfId="27631" xr:uid="{E3914E0F-5250-468E-986D-CA533BA53BDF}"/>
    <cellStyle name="20% - Énfasis1 19 3 2 2 2" xfId="34817" xr:uid="{DFD3F2FF-CA10-44C4-A7CF-0E952C4E6E0E}"/>
    <cellStyle name="20% - Énfasis1 19 3 2 3" xfId="34816" xr:uid="{E9B8DF1E-0AC6-4B93-8997-1DE9E7943695}"/>
    <cellStyle name="20% - Énfasis1 19 3 3" xfId="19926" xr:uid="{3159205F-F7BD-4606-B674-8AC992199666}"/>
    <cellStyle name="20% - Énfasis1 19 3 3 2" xfId="34818" xr:uid="{89FB5A6B-F4BC-4D26-8F0E-C50291911978}"/>
    <cellStyle name="20% - Énfasis1 19 3 4" xfId="34815" xr:uid="{D8C36DCE-DFB2-4FCE-B127-550F0767BADE}"/>
    <cellStyle name="20% - Énfasis1 19 4" xfId="8508" xr:uid="{3CC9B9A6-49F8-42FC-B779-84AD8EAF7F98}"/>
    <cellStyle name="20% - Énfasis1 19 4 2" xfId="23921" xr:uid="{4D9BE8C8-BC86-44F4-A642-92AEDB304AA5}"/>
    <cellStyle name="20% - Énfasis1 19 4 2 2" xfId="34820" xr:uid="{6DD147B3-25BE-4FA4-A73D-BAB4FBD1369D}"/>
    <cellStyle name="20% - Énfasis1 19 4 3" xfId="34819" xr:uid="{2333B033-CE8A-4B15-9338-16CA84DA249B}"/>
    <cellStyle name="20% - Énfasis1 19 5" xfId="16216" xr:uid="{4E61104D-4C0A-4E1B-BA6C-63E4DCB06017}"/>
    <cellStyle name="20% - Énfasis1 19 5 2" xfId="34821" xr:uid="{36E875F9-C026-4BFB-9574-03821A49C69B}"/>
    <cellStyle name="20% - Énfasis1 19 6" xfId="34806" xr:uid="{7EE1BBB0-9648-4D1B-998C-0B56CB2ED87C}"/>
    <cellStyle name="20% - Énfasis1 2" xfId="170" xr:uid="{D852D29A-B886-4A1F-85A4-8B0BB7BAA605}"/>
    <cellStyle name="20% - Énfasis1 2 2" xfId="380" xr:uid="{EEA58D70-BE65-43EB-8D80-2591AB601986}"/>
    <cellStyle name="20% - Énfasis1 2 2 2" xfId="1042" xr:uid="{4DF5AAA3-6608-435F-9724-53594ABAD267}"/>
    <cellStyle name="20% - Énfasis1 2 2 2 2" xfId="2510" xr:uid="{289B89D5-CAE9-4EE1-85E7-EC5E633B1AC2}"/>
    <cellStyle name="20% - Énfasis1 2 2 2 2 2" xfId="6242" xr:uid="{318215A9-22E9-4B6B-95BD-B93C90930A5C}"/>
    <cellStyle name="20% - Énfasis1 2 2 2 2 2 2" xfId="13950" xr:uid="{2AD98F10-2835-43D2-98A8-EB79303B1F88}"/>
    <cellStyle name="20% - Énfasis1 2 2 2 2 2 2 2" xfId="29362" xr:uid="{1C603D8A-49BD-48D4-AA99-823CD31BDC45}"/>
    <cellStyle name="20% - Énfasis1 2 2 2 2 2 2 2 2" xfId="34828" xr:uid="{761DF29C-6BB7-47D9-BA22-9DA8167D1335}"/>
    <cellStyle name="20% - Énfasis1 2 2 2 2 2 2 3" xfId="34827" xr:uid="{EA334FD9-65F2-4964-B20C-D909E6C9795B}"/>
    <cellStyle name="20% - Énfasis1 2 2 2 2 2 3" xfId="21657" xr:uid="{D61E7B10-D156-4CF9-81D1-052BD215D90A}"/>
    <cellStyle name="20% - Énfasis1 2 2 2 2 2 3 2" xfId="34829" xr:uid="{CF34AA65-F366-47E5-87C1-CAD232415E79}"/>
    <cellStyle name="20% - Énfasis1 2 2 2 2 2 4" xfId="34826" xr:uid="{2ECD24CD-25AE-45B0-B2EF-C578372A527E}"/>
    <cellStyle name="20% - Énfasis1 2 2 2 2 3" xfId="10221" xr:uid="{CA425CF0-350D-43D4-9DE7-1D3B24359FC9}"/>
    <cellStyle name="20% - Énfasis1 2 2 2 2 3 2" xfId="25634" xr:uid="{1F0C7AAD-9182-42C5-9DEC-B5392FD67DB4}"/>
    <cellStyle name="20% - Énfasis1 2 2 2 2 3 2 2" xfId="34831" xr:uid="{F99879DB-EE2E-4180-9E16-E08C4B4CC815}"/>
    <cellStyle name="20% - Énfasis1 2 2 2 2 3 3" xfId="34830" xr:uid="{A7FF7D37-E465-4E4A-B8E8-B2804D566228}"/>
    <cellStyle name="20% - Énfasis1 2 2 2 2 4" xfId="17929" xr:uid="{C5FF1CF4-FAE9-4F68-BC8C-922C751F67A3}"/>
    <cellStyle name="20% - Énfasis1 2 2 2 2 4 2" xfId="34832" xr:uid="{578E7D79-93F9-4DA2-8161-31E0E5E62754}"/>
    <cellStyle name="20% - Énfasis1 2 2 2 2 5" xfId="34825" xr:uid="{A2E54769-3AF7-4E4A-8840-66BEBCE5FE29}"/>
    <cellStyle name="20% - Énfasis1 2 2 2 3" xfId="4779" xr:uid="{9AA70CEB-A095-4A69-A862-0528F148AEF4}"/>
    <cellStyle name="20% - Énfasis1 2 2 2 3 2" xfId="12487" xr:uid="{102CBE62-D720-4C84-81BC-5A4EBCCB9AFA}"/>
    <cellStyle name="20% - Énfasis1 2 2 2 3 2 2" xfId="27899" xr:uid="{B51D5BA6-5477-43FF-8B7D-76179ABF7010}"/>
    <cellStyle name="20% - Énfasis1 2 2 2 3 2 2 2" xfId="34835" xr:uid="{608AAF69-49BC-4A70-A118-48F490F68D7F}"/>
    <cellStyle name="20% - Énfasis1 2 2 2 3 2 3" xfId="34834" xr:uid="{F9435E83-6787-4EE2-A606-1FBA5D46E05B}"/>
    <cellStyle name="20% - Énfasis1 2 2 2 3 3" xfId="20194" xr:uid="{7E9949F5-0BDF-48F3-864B-965C5375BA79}"/>
    <cellStyle name="20% - Énfasis1 2 2 2 3 3 2" xfId="34836" xr:uid="{AC2016EF-E525-4681-914A-51BA56B1E46A}"/>
    <cellStyle name="20% - Énfasis1 2 2 2 3 4" xfId="34833" xr:uid="{60A04FA3-A903-493D-96F8-FD7BA9192835}"/>
    <cellStyle name="20% - Énfasis1 2 2 2 4" xfId="8762" xr:uid="{FBA23BE8-7112-4C24-8129-7E3BA4A7F250}"/>
    <cellStyle name="20% - Énfasis1 2 2 2 4 2" xfId="24175" xr:uid="{12780434-CCA1-4256-BA2A-0DB95546E743}"/>
    <cellStyle name="20% - Énfasis1 2 2 2 4 2 2" xfId="34838" xr:uid="{D07318A2-E1A5-4552-95BD-844D51A04651}"/>
    <cellStyle name="20% - Énfasis1 2 2 2 4 3" xfId="34837" xr:uid="{BAC83D8A-445D-4FBB-BA51-0FB607F20297}"/>
    <cellStyle name="20% - Énfasis1 2 2 2 5" xfId="16470" xr:uid="{1E048BEA-3CB9-44BD-B11C-F892B3F0433F}"/>
    <cellStyle name="20% - Énfasis1 2 2 2 5 2" xfId="34839" xr:uid="{92823E08-FC57-42D4-88FA-4177184DE41D}"/>
    <cellStyle name="20% - Énfasis1 2 2 2 6" xfId="34824" xr:uid="{8C818B9F-ED67-4A59-9CC6-695FE5D49842}"/>
    <cellStyle name="20% - Énfasis1 2 2 3" xfId="1872" xr:uid="{D41ACBF6-816D-4E39-AD77-26E470A1D0C7}"/>
    <cellStyle name="20% - Énfasis1 2 2 3 2" xfId="5604" xr:uid="{0E1C2E1E-3E36-4BB9-983C-DA51E633159D}"/>
    <cellStyle name="20% - Énfasis1 2 2 3 2 2" xfId="13312" xr:uid="{268C9A60-0FC2-4EEF-8B78-8DF8A6FB51B9}"/>
    <cellStyle name="20% - Énfasis1 2 2 3 2 2 2" xfId="28724" xr:uid="{8E145A54-2D0A-45E3-91DA-6D9391778E13}"/>
    <cellStyle name="20% - Énfasis1 2 2 3 2 2 2 2" xfId="34843" xr:uid="{C8FA9855-B8EB-4F5F-B5E9-C3D83F587232}"/>
    <cellStyle name="20% - Énfasis1 2 2 3 2 2 3" xfId="34842" xr:uid="{29679E56-7D2F-4237-A83B-6375B039CE89}"/>
    <cellStyle name="20% - Énfasis1 2 2 3 2 3" xfId="21019" xr:uid="{FBDA4A66-5703-4327-8822-F732A436CFA0}"/>
    <cellStyle name="20% - Énfasis1 2 2 3 2 3 2" xfId="34844" xr:uid="{B3D22294-DABC-478F-B974-79B51E29C41F}"/>
    <cellStyle name="20% - Énfasis1 2 2 3 2 4" xfId="34841" xr:uid="{68226A1B-26B3-4159-95D5-B93DA43BC9F4}"/>
    <cellStyle name="20% - Énfasis1 2 2 3 3" xfId="9583" xr:uid="{EA49330F-7043-4607-8C52-F254540B026F}"/>
    <cellStyle name="20% - Énfasis1 2 2 3 3 2" xfId="24996" xr:uid="{4EB8E8AD-FFC8-4EF5-90BF-FB961C61E07E}"/>
    <cellStyle name="20% - Énfasis1 2 2 3 3 2 2" xfId="34846" xr:uid="{967B5791-8C78-4E4A-8841-71A794193786}"/>
    <cellStyle name="20% - Énfasis1 2 2 3 3 3" xfId="34845" xr:uid="{3388BBE8-2FAA-4DBE-94F2-EA43CE438A6F}"/>
    <cellStyle name="20% - Énfasis1 2 2 3 4" xfId="17291" xr:uid="{EDEDF7C4-4883-44C8-95F0-CAC2E7F4DC10}"/>
    <cellStyle name="20% - Énfasis1 2 2 3 4 2" xfId="34847" xr:uid="{C3C0E791-6A0E-432F-890B-80F6D69A6745}"/>
    <cellStyle name="20% - Énfasis1 2 2 3 5" xfId="34840" xr:uid="{05C1CB1D-AE2F-4429-93EC-8A8FD18379D0}"/>
    <cellStyle name="20% - Énfasis1 2 2 4" xfId="4127" xr:uid="{32D17AEE-768D-49CA-838B-61777D148552}"/>
    <cellStyle name="20% - Énfasis1 2 2 4 2" xfId="11835" xr:uid="{C7212E2B-28E3-4FA0-9425-7B42A728E795}"/>
    <cellStyle name="20% - Énfasis1 2 2 4 2 2" xfId="27247" xr:uid="{AF027988-EB46-4AF9-A26A-69937AB2116A}"/>
    <cellStyle name="20% - Énfasis1 2 2 4 2 2 2" xfId="34850" xr:uid="{DB54AB41-79BB-4CB4-85C1-BBE9CEFCD5B9}"/>
    <cellStyle name="20% - Énfasis1 2 2 4 2 3" xfId="34849" xr:uid="{B10F032A-3EFA-4EBC-A0A0-14C170C51A06}"/>
    <cellStyle name="20% - Énfasis1 2 2 4 3" xfId="19542" xr:uid="{D65DB901-83AE-4777-9D1D-5E8BB19C86DD}"/>
    <cellStyle name="20% - Énfasis1 2 2 4 3 2" xfId="34851" xr:uid="{CFD33735-4F69-4C6B-8856-FD32585FF2B8}"/>
    <cellStyle name="20% - Énfasis1 2 2 4 4" xfId="34848" xr:uid="{D9D33C10-DDC9-4222-B405-204E3A033587}"/>
    <cellStyle name="20% - Énfasis1 2 2 5" xfId="8124" xr:uid="{1D5F2A75-EE6E-4379-A915-FD8FAB96F273}"/>
    <cellStyle name="20% - Énfasis1 2 2 5 2" xfId="23537" xr:uid="{64B65344-F8F9-4EE7-9310-8DCB6A377E47}"/>
    <cellStyle name="20% - Énfasis1 2 2 5 2 2" xfId="34853" xr:uid="{330D0D78-99B7-4E91-B34B-BF949C04F064}"/>
    <cellStyle name="20% - Énfasis1 2 2 5 3" xfId="34852" xr:uid="{D9812563-3886-4B99-8570-63CA57E12C2B}"/>
    <cellStyle name="20% - Énfasis1 2 2 6" xfId="15832" xr:uid="{E0757834-98EA-40DA-AD2E-77C0D8F5F399}"/>
    <cellStyle name="20% - Énfasis1 2 2 6 2" xfId="34854" xr:uid="{0C6FA665-309D-4726-AFBA-5913DF896827}"/>
    <cellStyle name="20% - Énfasis1 2 2 7" xfId="34823" xr:uid="{A5660861-17AE-448B-8397-6372707CEAB4}"/>
    <cellStyle name="20% - Énfasis1 2 3" xfId="837" xr:uid="{28230E3B-A0ED-43E8-AD32-689996736F02}"/>
    <cellStyle name="20% - Énfasis1 2 3 2" xfId="2312" xr:uid="{44815834-69B8-4D5A-BFDB-3FA1E8F3D816}"/>
    <cellStyle name="20% - Énfasis1 2 3 2 2" xfId="6044" xr:uid="{172579FD-2F52-4BC7-AF03-8924CA7B4218}"/>
    <cellStyle name="20% - Énfasis1 2 3 2 2 2" xfId="13752" xr:uid="{D1ED984D-2BB7-4FCE-9F2F-02283399A908}"/>
    <cellStyle name="20% - Énfasis1 2 3 2 2 2 2" xfId="29164" xr:uid="{A2D793DC-DC47-4EF7-AF2A-AA63DFD21F1E}"/>
    <cellStyle name="20% - Énfasis1 2 3 2 2 2 2 2" xfId="34859" xr:uid="{EE57D197-95A1-4891-8411-6312D0FA74B2}"/>
    <cellStyle name="20% - Énfasis1 2 3 2 2 2 3" xfId="34858" xr:uid="{59ADC7FB-B8CD-429D-A23F-B9150462B28F}"/>
    <cellStyle name="20% - Énfasis1 2 3 2 2 3" xfId="21459" xr:uid="{B8782C77-24C6-4D56-AAE7-04A2E7565013}"/>
    <cellStyle name="20% - Énfasis1 2 3 2 2 3 2" xfId="34860" xr:uid="{741D839A-B049-4FCC-A0A1-A9ADDB65AEB1}"/>
    <cellStyle name="20% - Énfasis1 2 3 2 2 4" xfId="34857" xr:uid="{393D393A-A40B-41FD-8096-840BC03F54E4}"/>
    <cellStyle name="20% - Énfasis1 2 3 2 3" xfId="10023" xr:uid="{E1CBB8A0-DDCB-4D12-91CC-8F63F95EACE4}"/>
    <cellStyle name="20% - Énfasis1 2 3 2 3 2" xfId="25436" xr:uid="{B7DCF153-922A-4D72-8499-8F8714C1D4A1}"/>
    <cellStyle name="20% - Énfasis1 2 3 2 3 2 2" xfId="34862" xr:uid="{136EAB82-33F9-4A76-A3B9-D3F538A46D80}"/>
    <cellStyle name="20% - Énfasis1 2 3 2 3 3" xfId="34861" xr:uid="{D425AB1B-E89C-4E26-8BC2-4522E13A6D3A}"/>
    <cellStyle name="20% - Énfasis1 2 3 2 4" xfId="17731" xr:uid="{3448F9D4-334D-4CCE-927E-F40D9E1E0EFF}"/>
    <cellStyle name="20% - Énfasis1 2 3 2 4 2" xfId="34863" xr:uid="{146FF689-0193-4563-BF88-0E60F20DCFA8}"/>
    <cellStyle name="20% - Énfasis1 2 3 2 5" xfId="34856" xr:uid="{AF95E0FD-C635-42D7-A149-0AC29DA0B69C}"/>
    <cellStyle name="20% - Énfasis1 2 3 3" xfId="4574" xr:uid="{9D3DCE33-FB32-4DDA-8D7E-87B2A837B326}"/>
    <cellStyle name="20% - Énfasis1 2 3 3 2" xfId="12282" xr:uid="{E144B1B0-5AB3-4993-8C35-F59126E23F0B}"/>
    <cellStyle name="20% - Énfasis1 2 3 3 2 2" xfId="27694" xr:uid="{2818628D-4F88-4865-B43B-86E4E75D0235}"/>
    <cellStyle name="20% - Énfasis1 2 3 3 2 2 2" xfId="34866" xr:uid="{C6EFB4E6-B792-4782-90D5-53A20B830E2F}"/>
    <cellStyle name="20% - Énfasis1 2 3 3 2 3" xfId="34865" xr:uid="{063CAFEA-FA42-41E9-9A7B-4B92CED92D69}"/>
    <cellStyle name="20% - Énfasis1 2 3 3 3" xfId="19989" xr:uid="{682CD861-37B6-4CC2-AF9F-3D9636C81205}"/>
    <cellStyle name="20% - Énfasis1 2 3 3 3 2" xfId="34867" xr:uid="{27A9D647-160D-4286-BD80-F321E7FB6C05}"/>
    <cellStyle name="20% - Énfasis1 2 3 3 4" xfId="34864" xr:uid="{1EAE225B-EEB5-4779-B085-0BBF85651910}"/>
    <cellStyle name="20% - Énfasis1 2 3 4" xfId="8564" xr:uid="{F0AB0B43-6348-4582-80A4-44F73634B772}"/>
    <cellStyle name="20% - Énfasis1 2 3 4 2" xfId="23977" xr:uid="{57DEF5BB-D89F-479D-A8DD-A6CF20A5D5C2}"/>
    <cellStyle name="20% - Énfasis1 2 3 4 2 2" xfId="34869" xr:uid="{CE80F18B-C4E7-468D-9496-DFA07DBFD91C}"/>
    <cellStyle name="20% - Énfasis1 2 3 4 3" xfId="34868" xr:uid="{3D404205-7B94-4385-A405-7DE7EA147121}"/>
    <cellStyle name="20% - Énfasis1 2 3 5" xfId="16272" xr:uid="{C2880D70-CBBB-467A-91C4-F75A5D11CF82}"/>
    <cellStyle name="20% - Énfasis1 2 3 5 2" xfId="34870" xr:uid="{4C8CDB48-3B9E-48D5-812A-A92A5E72E8A8}"/>
    <cellStyle name="20% - Énfasis1 2 3 6" xfId="34855" xr:uid="{204A8D56-80E3-4318-89EF-530C3E1920D5}"/>
    <cellStyle name="20% - Énfasis1 2 4" xfId="1674" xr:uid="{9D8CC35F-5D3A-4235-A996-C32D46B0239F}"/>
    <cellStyle name="20% - Énfasis1 2 4 2" xfId="5406" xr:uid="{B48F25C3-239E-474B-9239-BBE26E73B294}"/>
    <cellStyle name="20% - Énfasis1 2 4 2 2" xfId="13114" xr:uid="{52781798-825E-4B48-A769-CA70BBAF9468}"/>
    <cellStyle name="20% - Énfasis1 2 4 2 2 2" xfId="28526" xr:uid="{5C1458CB-9E81-4C17-B109-74FD7159C12D}"/>
    <cellStyle name="20% - Énfasis1 2 4 2 2 2 2" xfId="34874" xr:uid="{1A31C64A-FD79-4B4A-8B9D-FC07158BA476}"/>
    <cellStyle name="20% - Énfasis1 2 4 2 2 3" xfId="34873" xr:uid="{8BE0E37E-C063-4D45-879B-EE0FACC051A4}"/>
    <cellStyle name="20% - Énfasis1 2 4 2 3" xfId="20821" xr:uid="{C908F90D-C5D0-4CD8-BE19-BD48EEB45B5C}"/>
    <cellStyle name="20% - Énfasis1 2 4 2 3 2" xfId="34875" xr:uid="{343ECCDE-16D8-4F24-BBE1-AF0BFF581AD4}"/>
    <cellStyle name="20% - Énfasis1 2 4 2 4" xfId="34872" xr:uid="{81242150-5495-4334-8926-2BAE7A8225CF}"/>
    <cellStyle name="20% - Énfasis1 2 4 3" xfId="9385" xr:uid="{E3054DF1-E254-4D52-87E5-ED81DF978A54}"/>
    <cellStyle name="20% - Énfasis1 2 4 3 2" xfId="24798" xr:uid="{1C5E6911-64C3-4364-A547-5376C387B5EA}"/>
    <cellStyle name="20% - Énfasis1 2 4 3 2 2" xfId="34877" xr:uid="{539B507B-B6D7-4F1D-A33C-78AA7A609861}"/>
    <cellStyle name="20% - Énfasis1 2 4 3 3" xfId="34876" xr:uid="{5C1633C4-1241-4DD2-BF1D-BDB9A08324BB}"/>
    <cellStyle name="20% - Énfasis1 2 4 4" xfId="17093" xr:uid="{F70E9C86-2087-4765-8E90-5F42EA9FF5EF}"/>
    <cellStyle name="20% - Énfasis1 2 4 4 2" xfId="34878" xr:uid="{A4085E9B-A3B2-4E28-BCA2-6A06FA5EDEEA}"/>
    <cellStyle name="20% - Énfasis1 2 4 5" xfId="34871" xr:uid="{DAFDA7CD-8E50-4CA2-B1E3-992B510074C6}"/>
    <cellStyle name="20% - Énfasis1 2 5" xfId="3922" xr:uid="{C3D627B2-9248-493B-AED8-FBA0F1BA628A}"/>
    <cellStyle name="20% - Énfasis1 2 5 2" xfId="11630" xr:uid="{78D0DBFE-93F4-4B14-9C59-00947F610102}"/>
    <cellStyle name="20% - Énfasis1 2 5 2 2" xfId="27042" xr:uid="{7C0F3083-01DB-4C1B-957F-9CDBF38AC5A8}"/>
    <cellStyle name="20% - Énfasis1 2 5 2 2 2" xfId="34881" xr:uid="{83C15D6B-22EF-467A-A726-DA212914B6D7}"/>
    <cellStyle name="20% - Énfasis1 2 5 2 3" xfId="34880" xr:uid="{978E1278-6379-4D50-B8D7-9342DA87310E}"/>
    <cellStyle name="20% - Énfasis1 2 5 3" xfId="19337" xr:uid="{9465D3CC-BD44-4DBD-B240-73C843E931B2}"/>
    <cellStyle name="20% - Énfasis1 2 5 3 2" xfId="34882" xr:uid="{6CA5BCE9-CDB2-403D-9E48-20B543ADEE89}"/>
    <cellStyle name="20% - Énfasis1 2 5 4" xfId="34879" xr:uid="{5A52DFE8-5546-4C5D-947D-63B62C34FE07}"/>
    <cellStyle name="20% - Énfasis1 2 6" xfId="7926" xr:uid="{4A6BFB31-492F-43A0-9EE3-BE233F922C9C}"/>
    <cellStyle name="20% - Énfasis1 2 6 2" xfId="23339" xr:uid="{E227266D-F826-4140-B601-3FEA11E25917}"/>
    <cellStyle name="20% - Énfasis1 2 6 2 2" xfId="34884" xr:uid="{5819491F-9FB7-44F9-8C4C-2A213E6F2AD5}"/>
    <cellStyle name="20% - Énfasis1 2 6 3" xfId="34883" xr:uid="{9D3B5F6B-AA0B-4C3C-AD7D-1FC8A773DC9B}"/>
    <cellStyle name="20% - Énfasis1 2 7" xfId="15634" xr:uid="{D642FB5D-B821-45A1-B4BC-22FFEAF349CF}"/>
    <cellStyle name="20% - Énfasis1 2 7 2" xfId="34885" xr:uid="{AE5F2FF6-DD53-4B5E-9E2D-99755265564A}"/>
    <cellStyle name="20% - Énfasis1 2 8" xfId="34822" xr:uid="{08437E41-F765-4E19-BB57-0CB3E9774C9B}"/>
    <cellStyle name="20% - Énfasis1 20" xfId="1430" xr:uid="{ED73948E-7340-4FC1-8CBA-BCA5658C75EE}"/>
    <cellStyle name="20% - Énfasis1 20 2" xfId="2895" xr:uid="{A12944B9-2C46-47DA-AEEA-9AD19640A507}"/>
    <cellStyle name="20% - Énfasis1 20 2 2" xfId="6627" xr:uid="{7140D399-15F2-4DFC-8AEE-E03FB0719E7B}"/>
    <cellStyle name="20% - Énfasis1 20 2 2 2" xfId="14335" xr:uid="{92B8DA6E-FCC3-47AE-B251-A4D1F2EB282A}"/>
    <cellStyle name="20% - Énfasis1 20 2 2 2 2" xfId="29747" xr:uid="{1F959432-9A1C-471F-BECE-C9232660A3B1}"/>
    <cellStyle name="20% - Énfasis1 20 2 2 2 2 2" xfId="34890" xr:uid="{EC83833B-B6DE-4B72-B1F4-B339ED0E7A8E}"/>
    <cellStyle name="20% - Énfasis1 20 2 2 2 3" xfId="34889" xr:uid="{7C5BCBB4-27BE-465B-A24D-B90726B10139}"/>
    <cellStyle name="20% - Énfasis1 20 2 2 3" xfId="22042" xr:uid="{A6E2336F-9F9F-4981-BE63-441655EAB06F}"/>
    <cellStyle name="20% - Énfasis1 20 2 2 3 2" xfId="34891" xr:uid="{76590758-034F-4970-B538-56F9A63A0F0C}"/>
    <cellStyle name="20% - Énfasis1 20 2 2 4" xfId="34888" xr:uid="{49DCF0CB-C3F5-40BC-98E7-992AF3688C6D}"/>
    <cellStyle name="20% - Énfasis1 20 2 3" xfId="10606" xr:uid="{E21063D4-73A9-4814-9954-C47AF9E29563}"/>
    <cellStyle name="20% - Énfasis1 20 2 3 2" xfId="26019" xr:uid="{99F56829-26F6-497E-83CC-E17632A8EBCA}"/>
    <cellStyle name="20% - Énfasis1 20 2 3 2 2" xfId="34893" xr:uid="{A35585DF-66D6-46D1-9CB1-BC2F7EB0A0BB}"/>
    <cellStyle name="20% - Énfasis1 20 2 3 3" xfId="34892" xr:uid="{3BE21921-5F2E-4C6D-B8CA-8B6B6D340131}"/>
    <cellStyle name="20% - Énfasis1 20 2 4" xfId="18314" xr:uid="{883D9975-E6B1-419F-9789-06CFEBCF64F7}"/>
    <cellStyle name="20% - Énfasis1 20 2 4 2" xfId="34894" xr:uid="{B6793733-2111-47F5-98B6-4CD219C5C830}"/>
    <cellStyle name="20% - Énfasis1 20 2 5" xfId="34887" xr:uid="{BED58E6A-CD06-4043-88B4-17ABDE1AEA99}"/>
    <cellStyle name="20% - Énfasis1 20 3" xfId="5166" xr:uid="{B176FBBE-71B6-45CD-9F9D-692D41430D81}"/>
    <cellStyle name="20% - Énfasis1 20 3 2" xfId="12874" xr:uid="{813D6AB3-4A6D-4B80-98D2-3FB22D9B5B41}"/>
    <cellStyle name="20% - Énfasis1 20 3 2 2" xfId="28286" xr:uid="{4310A940-9143-4AB0-843C-928EFDA86774}"/>
    <cellStyle name="20% - Énfasis1 20 3 2 2 2" xfId="34897" xr:uid="{A33A976F-F5A8-4DFA-8F77-FC026BAA4509}"/>
    <cellStyle name="20% - Énfasis1 20 3 2 3" xfId="34896" xr:uid="{BA6B302F-455C-4699-BF81-24A5A752F782}"/>
    <cellStyle name="20% - Énfasis1 20 3 3" xfId="20581" xr:uid="{4F54BBD8-EB74-42CE-B894-0A5609458808}"/>
    <cellStyle name="20% - Énfasis1 20 3 3 2" xfId="34898" xr:uid="{DC49F173-9713-41E8-8B37-B38FF81590D8}"/>
    <cellStyle name="20% - Énfasis1 20 3 4" xfId="34895" xr:uid="{93677DFD-4F80-4568-A2C2-F471E32826BB}"/>
    <cellStyle name="20% - Énfasis1 20 4" xfId="9147" xr:uid="{5B7C4B60-DF4C-425D-AD72-EBC0EA65D1F2}"/>
    <cellStyle name="20% - Énfasis1 20 4 2" xfId="24560" xr:uid="{852389B0-8B4B-4DD1-8A4B-700E7BC28787}"/>
    <cellStyle name="20% - Énfasis1 20 4 2 2" xfId="34900" xr:uid="{B391AB23-B6C7-40FF-9523-1E51BF15936F}"/>
    <cellStyle name="20% - Énfasis1 20 4 3" xfId="34899" xr:uid="{7709582B-670C-45A6-A5AD-C556D0B9649B}"/>
    <cellStyle name="20% - Énfasis1 20 5" xfId="16855" xr:uid="{5BF5311C-0698-4887-B84C-1454070B6D57}"/>
    <cellStyle name="20% - Énfasis1 20 5 2" xfId="34901" xr:uid="{059D06BF-5490-4D6B-B083-2B278F25776F}"/>
    <cellStyle name="20% - Énfasis1 20 6" xfId="34886" xr:uid="{4DB11D1F-60BF-4E3D-8156-2E0C15FCB8FF}"/>
    <cellStyle name="20% - Énfasis1 21" xfId="1450" xr:uid="{EC28C068-CEE2-4BAD-9246-DB845B7C12B7}"/>
    <cellStyle name="20% - Énfasis1 21 2" xfId="2915" xr:uid="{CB1001EF-4B01-4863-B27E-4D31A1F97A8A}"/>
    <cellStyle name="20% - Énfasis1 21 2 2" xfId="6647" xr:uid="{26800510-258A-43DD-AABE-AB2E47849759}"/>
    <cellStyle name="20% - Énfasis1 21 2 2 2" xfId="14355" xr:uid="{8D07EA56-303B-4D32-9895-CBA8BB190C4C}"/>
    <cellStyle name="20% - Énfasis1 21 2 2 2 2" xfId="29767" xr:uid="{59926398-3BFF-4092-8C36-DE132F03064A}"/>
    <cellStyle name="20% - Énfasis1 21 2 2 2 2 2" xfId="34906" xr:uid="{FA68E284-AD42-488D-9033-4FA7277CD293}"/>
    <cellStyle name="20% - Énfasis1 21 2 2 2 3" xfId="34905" xr:uid="{6B0C6CFE-02FE-4D93-9811-DCBEA09F3ACD}"/>
    <cellStyle name="20% - Énfasis1 21 2 2 3" xfId="22062" xr:uid="{C0D9D294-6EE5-41D4-A23C-6456910A20A8}"/>
    <cellStyle name="20% - Énfasis1 21 2 2 3 2" xfId="34907" xr:uid="{F345CBE4-D728-42E4-BB5E-F03CEB4EBA3E}"/>
    <cellStyle name="20% - Énfasis1 21 2 2 4" xfId="34904" xr:uid="{4CFDAAD8-44B0-4559-8F21-FF28E386F7B7}"/>
    <cellStyle name="20% - Énfasis1 21 2 3" xfId="10626" xr:uid="{9ECECA97-ADE3-49B1-AB5B-321733C2B491}"/>
    <cellStyle name="20% - Énfasis1 21 2 3 2" xfId="26039" xr:uid="{393E0227-856F-4E75-9203-C84DD62F1CED}"/>
    <cellStyle name="20% - Énfasis1 21 2 3 2 2" xfId="34909" xr:uid="{66242768-F5D1-418E-9316-2D9815C18368}"/>
    <cellStyle name="20% - Énfasis1 21 2 3 3" xfId="34908" xr:uid="{128A8775-65A9-4011-AE42-C4A4282307D7}"/>
    <cellStyle name="20% - Énfasis1 21 2 4" xfId="18334" xr:uid="{3D18DC29-430D-4D49-803B-691CB1A70B17}"/>
    <cellStyle name="20% - Énfasis1 21 2 4 2" xfId="34910" xr:uid="{13DD9E97-3B5E-4AB3-B45A-0EE64675AF84}"/>
    <cellStyle name="20% - Énfasis1 21 2 5" xfId="34903" xr:uid="{B8CED448-78AA-49DB-95E4-B790B78D11D0}"/>
    <cellStyle name="20% - Énfasis1 21 3" xfId="5186" xr:uid="{E1EC271C-B77E-4C62-A091-5CBE36CEE0D1}"/>
    <cellStyle name="20% - Énfasis1 21 3 2" xfId="12894" xr:uid="{AE6D0E67-F1CD-40A3-9C52-396656E506B3}"/>
    <cellStyle name="20% - Énfasis1 21 3 2 2" xfId="28306" xr:uid="{E019DB27-408D-4F73-97D0-2EA779660EE3}"/>
    <cellStyle name="20% - Énfasis1 21 3 2 2 2" xfId="34913" xr:uid="{EE3E976E-E771-43E8-88CB-828035E20EC1}"/>
    <cellStyle name="20% - Énfasis1 21 3 2 3" xfId="34912" xr:uid="{093763E7-7100-48BF-8C22-DBF907618ECB}"/>
    <cellStyle name="20% - Énfasis1 21 3 3" xfId="20601" xr:uid="{485537CE-99FF-42C0-AA04-40CBAE0BEDD7}"/>
    <cellStyle name="20% - Énfasis1 21 3 3 2" xfId="34914" xr:uid="{3ADF9F52-07A7-4CCB-8505-E05AFF2B6363}"/>
    <cellStyle name="20% - Énfasis1 21 3 4" xfId="34911" xr:uid="{65DD2CAA-F5BA-4A37-9659-6770B1636C26}"/>
    <cellStyle name="20% - Énfasis1 21 4" xfId="9167" xr:uid="{F0C55782-C6DA-4183-BEA5-EAE50249EB24}"/>
    <cellStyle name="20% - Énfasis1 21 4 2" xfId="24580" xr:uid="{4394FEC3-16E9-4E1C-9BA6-4A48EBC7990D}"/>
    <cellStyle name="20% - Énfasis1 21 4 2 2" xfId="34916" xr:uid="{FD16FD25-72DD-4059-AB2C-76DDCB27C899}"/>
    <cellStyle name="20% - Énfasis1 21 4 3" xfId="34915" xr:uid="{20067BC3-F614-456B-9CB9-391293188391}"/>
    <cellStyle name="20% - Énfasis1 21 5" xfId="16875" xr:uid="{D03306E0-FC0B-45F2-AA05-9045DE5539E9}"/>
    <cellStyle name="20% - Énfasis1 21 5 2" xfId="34917" xr:uid="{DBF226D0-1E25-4AB8-85D4-32F36E76FA2C}"/>
    <cellStyle name="20% - Énfasis1 21 6" xfId="34902" xr:uid="{41C83036-1152-48FF-8B48-878225330779}"/>
    <cellStyle name="20% - Énfasis1 22" xfId="1470" xr:uid="{F432A408-D562-4805-8AF7-B9988BACD12B}"/>
    <cellStyle name="20% - Énfasis1 22 2" xfId="2935" xr:uid="{3DE1305D-8998-4AB1-B942-A12AFD88A2DF}"/>
    <cellStyle name="20% - Énfasis1 22 2 2" xfId="6667" xr:uid="{D32358E4-E24B-4BBD-BCBC-CADC9C0FD8AB}"/>
    <cellStyle name="20% - Énfasis1 22 2 2 2" xfId="14375" xr:uid="{7CBC05EE-B904-4E44-A16A-4A4E4DFEF46E}"/>
    <cellStyle name="20% - Énfasis1 22 2 2 2 2" xfId="29787" xr:uid="{CF6547C2-3759-4553-AFEF-3CD4CE1A0E7B}"/>
    <cellStyle name="20% - Énfasis1 22 2 2 2 2 2" xfId="34922" xr:uid="{26C11A5F-C784-41C2-B20D-A360356C3D22}"/>
    <cellStyle name="20% - Énfasis1 22 2 2 2 3" xfId="34921" xr:uid="{D4A06778-C9EF-46DE-9BED-8179F8D4D355}"/>
    <cellStyle name="20% - Énfasis1 22 2 2 3" xfId="22082" xr:uid="{1F661692-2105-4340-9B9D-5DBAF74616F3}"/>
    <cellStyle name="20% - Énfasis1 22 2 2 3 2" xfId="34923" xr:uid="{52A403DA-EB85-4968-BEF4-B9DA98C4EA4F}"/>
    <cellStyle name="20% - Énfasis1 22 2 2 4" xfId="34920" xr:uid="{D1B966AE-45D6-4D46-A7B9-37AD2D76D13A}"/>
    <cellStyle name="20% - Énfasis1 22 2 3" xfId="10646" xr:uid="{6FC3CF59-3DF2-455C-88CC-34BC7872DBD3}"/>
    <cellStyle name="20% - Énfasis1 22 2 3 2" xfId="26059" xr:uid="{0905F3E0-C885-4964-97A2-FEA53C9EF23B}"/>
    <cellStyle name="20% - Énfasis1 22 2 3 2 2" xfId="34925" xr:uid="{675F63BF-0004-463B-AA4A-016632AF521B}"/>
    <cellStyle name="20% - Énfasis1 22 2 3 3" xfId="34924" xr:uid="{F60B3432-A4AC-4AC6-B325-CBAD7B2F09F8}"/>
    <cellStyle name="20% - Énfasis1 22 2 4" xfId="18354" xr:uid="{D63B40D0-FC04-4ECC-A002-9423FAF2302C}"/>
    <cellStyle name="20% - Énfasis1 22 2 4 2" xfId="34926" xr:uid="{48CC76A4-7C39-44C9-922D-61375F875EFD}"/>
    <cellStyle name="20% - Énfasis1 22 2 5" xfId="34919" xr:uid="{9AF897DF-3D50-4E27-A9E5-9EF1F6C4D938}"/>
    <cellStyle name="20% - Énfasis1 22 3" xfId="5206" xr:uid="{3C242760-4138-435D-9EBE-C7A25B6910B6}"/>
    <cellStyle name="20% - Énfasis1 22 3 2" xfId="12914" xr:uid="{AD2D93CD-9819-447B-9934-3648354CAF44}"/>
    <cellStyle name="20% - Énfasis1 22 3 2 2" xfId="28326" xr:uid="{F3FD5811-A5C9-4881-BE50-6190A5745F4C}"/>
    <cellStyle name="20% - Énfasis1 22 3 2 2 2" xfId="34929" xr:uid="{4C97BF61-0D5D-42C4-AEA2-B3E664443971}"/>
    <cellStyle name="20% - Énfasis1 22 3 2 3" xfId="34928" xr:uid="{4CAA3BCF-904E-4411-A65A-C96D24EE6015}"/>
    <cellStyle name="20% - Énfasis1 22 3 3" xfId="20621" xr:uid="{9C2F7C25-85D5-4D3F-A16F-C0F72123F6C4}"/>
    <cellStyle name="20% - Énfasis1 22 3 3 2" xfId="34930" xr:uid="{C2604C95-0974-4021-AF03-8BA9EA6C83ED}"/>
    <cellStyle name="20% - Énfasis1 22 3 4" xfId="34927" xr:uid="{058B306D-A8DB-49DF-8DA5-333DF4ADAB11}"/>
    <cellStyle name="20% - Énfasis1 22 4" xfId="9187" xr:uid="{9D821A0E-7CD8-4871-BE24-A5C962087B5C}"/>
    <cellStyle name="20% - Énfasis1 22 4 2" xfId="24600" xr:uid="{33AC61BD-5FEE-49C5-B4AF-BA6C55A332E1}"/>
    <cellStyle name="20% - Énfasis1 22 4 2 2" xfId="34932" xr:uid="{61B3F4F9-B155-4A6E-998F-A65715BFCBA2}"/>
    <cellStyle name="20% - Énfasis1 22 4 3" xfId="34931" xr:uid="{74221280-3719-4155-BBF0-9CF793292CD8}"/>
    <cellStyle name="20% - Énfasis1 22 5" xfId="16895" xr:uid="{1BA04C67-8B35-471E-94BF-B3B9DED6BC07}"/>
    <cellStyle name="20% - Énfasis1 22 5 2" xfId="34933" xr:uid="{0270DC63-F178-4378-B2CD-57DEC5D1BA1D}"/>
    <cellStyle name="20% - Énfasis1 22 6" xfId="34918" xr:uid="{50B498D0-B74B-4139-8AD6-F6C1E798AF85}"/>
    <cellStyle name="20% - Énfasis1 23" xfId="1490" xr:uid="{A9D1635E-C2F5-4C3A-AD43-CBE0935C8D20}"/>
    <cellStyle name="20% - Énfasis1 23 2" xfId="2955" xr:uid="{A1F30013-27F2-4B05-9790-CA852CDCE759}"/>
    <cellStyle name="20% - Énfasis1 23 2 2" xfId="6687" xr:uid="{F969ADDC-F7F0-4636-9F59-708A83540172}"/>
    <cellStyle name="20% - Énfasis1 23 2 2 2" xfId="14395" xr:uid="{90D6043B-1E80-4C6A-A6D4-55B4B00F1DAF}"/>
    <cellStyle name="20% - Énfasis1 23 2 2 2 2" xfId="29807" xr:uid="{6EA68A8C-3F0A-4245-A5E1-D9FF2CE88582}"/>
    <cellStyle name="20% - Énfasis1 23 2 2 2 2 2" xfId="34938" xr:uid="{C41AE4F2-D6B1-4F8B-97C4-4BD237E6AAA4}"/>
    <cellStyle name="20% - Énfasis1 23 2 2 2 3" xfId="34937" xr:uid="{291A9960-16F8-400B-8FB0-8F1159A3A015}"/>
    <cellStyle name="20% - Énfasis1 23 2 2 3" xfId="22102" xr:uid="{C4C038D6-7FEB-481B-B52E-8022B94C0622}"/>
    <cellStyle name="20% - Énfasis1 23 2 2 3 2" xfId="34939" xr:uid="{764446EF-2379-4EF8-B94C-FFE55C2AF635}"/>
    <cellStyle name="20% - Énfasis1 23 2 2 4" xfId="34936" xr:uid="{0202ECEC-D207-41A7-8A54-80C0335355C1}"/>
    <cellStyle name="20% - Énfasis1 23 2 3" xfId="10666" xr:uid="{BD4DC958-04EB-48D2-BD77-92B9760A5AB3}"/>
    <cellStyle name="20% - Énfasis1 23 2 3 2" xfId="26079" xr:uid="{D0D15D17-AC7B-45D7-BE25-42A3924D57A8}"/>
    <cellStyle name="20% - Énfasis1 23 2 3 2 2" xfId="34941" xr:uid="{4D568455-938B-454E-8100-9E333AD8C3E0}"/>
    <cellStyle name="20% - Énfasis1 23 2 3 3" xfId="34940" xr:uid="{B7329FB0-A1BF-48CE-B66F-1335A9474ADF}"/>
    <cellStyle name="20% - Énfasis1 23 2 4" xfId="18374" xr:uid="{C7E075C9-D8E4-4DA4-BCE8-E3F6283F0459}"/>
    <cellStyle name="20% - Énfasis1 23 2 4 2" xfId="34942" xr:uid="{E5EE01F6-A3F4-4B41-B72C-E334EB6C30DC}"/>
    <cellStyle name="20% - Énfasis1 23 2 5" xfId="34935" xr:uid="{1158B3DF-28D6-4027-923D-296FD1F512C1}"/>
    <cellStyle name="20% - Énfasis1 23 3" xfId="5226" xr:uid="{CA6A0250-98C5-4053-95F8-91B51B9B8B48}"/>
    <cellStyle name="20% - Énfasis1 23 3 2" xfId="12934" xr:uid="{E8E2EB58-4FF7-4078-8BE7-BE9C5A4DA811}"/>
    <cellStyle name="20% - Énfasis1 23 3 2 2" xfId="28346" xr:uid="{32058129-BB0F-4721-95FD-C04C9CBBA049}"/>
    <cellStyle name="20% - Énfasis1 23 3 2 2 2" xfId="34945" xr:uid="{91B88144-5777-430B-ABDF-2AF3F1DC8C1C}"/>
    <cellStyle name="20% - Énfasis1 23 3 2 3" xfId="34944" xr:uid="{D5E70686-55C4-4197-85A2-75DD3B5ED4F2}"/>
    <cellStyle name="20% - Énfasis1 23 3 3" xfId="20641" xr:uid="{422BD1FF-2207-4999-931F-B802CE200EDB}"/>
    <cellStyle name="20% - Énfasis1 23 3 3 2" xfId="34946" xr:uid="{A148096B-02CA-4AB8-92E0-B804A5B12D0B}"/>
    <cellStyle name="20% - Énfasis1 23 3 4" xfId="34943" xr:uid="{C3C76483-D35B-48B1-9FF1-85201509F05B}"/>
    <cellStyle name="20% - Énfasis1 23 4" xfId="9207" xr:uid="{7DF127FE-F88B-4059-AA22-799502DF62CE}"/>
    <cellStyle name="20% - Énfasis1 23 4 2" xfId="24620" xr:uid="{609AEDC5-CB49-4684-A4A0-19AE151A5F52}"/>
    <cellStyle name="20% - Énfasis1 23 4 2 2" xfId="34948" xr:uid="{EF825BF6-F6FC-4D33-9107-9947E7EA88E1}"/>
    <cellStyle name="20% - Énfasis1 23 4 3" xfId="34947" xr:uid="{5B61502F-575C-4457-85FD-FAB48087B6D8}"/>
    <cellStyle name="20% - Énfasis1 23 5" xfId="16915" xr:uid="{0B84AE64-C716-4026-9820-CD6FE7F312E8}"/>
    <cellStyle name="20% - Énfasis1 23 5 2" xfId="34949" xr:uid="{05DE4F0C-A7BB-46D6-9E0A-E583907351BB}"/>
    <cellStyle name="20% - Énfasis1 23 6" xfId="34934" xr:uid="{91000B93-2B8D-4B26-8DE3-28F4B8A13026}"/>
    <cellStyle name="20% - Énfasis1 24" xfId="1510" xr:uid="{2E806594-C846-453F-8445-DB685CB7B055}"/>
    <cellStyle name="20% - Énfasis1 24 2" xfId="2975" xr:uid="{1385057F-6FB9-4D88-9A9E-C041DA566B02}"/>
    <cellStyle name="20% - Énfasis1 24 2 2" xfId="6707" xr:uid="{17455EA7-95C6-4092-BB55-211A228B59E4}"/>
    <cellStyle name="20% - Énfasis1 24 2 2 2" xfId="14415" xr:uid="{6DBB22D6-100C-4CB5-9218-0181EF8368B3}"/>
    <cellStyle name="20% - Énfasis1 24 2 2 2 2" xfId="29827" xr:uid="{4BC13C63-F674-4FE9-81C9-EB70A20D686A}"/>
    <cellStyle name="20% - Énfasis1 24 2 2 2 2 2" xfId="34954" xr:uid="{4D68AE95-CBBE-4D0E-9A99-77099F56B853}"/>
    <cellStyle name="20% - Énfasis1 24 2 2 2 3" xfId="34953" xr:uid="{CEF563B3-6634-4164-A5ED-3E8C9BC8DE95}"/>
    <cellStyle name="20% - Énfasis1 24 2 2 3" xfId="22122" xr:uid="{869090EA-4673-4668-96B7-6ECF309C7767}"/>
    <cellStyle name="20% - Énfasis1 24 2 2 3 2" xfId="34955" xr:uid="{FCC0CFBA-716D-4FB0-AB09-860E8EC10C75}"/>
    <cellStyle name="20% - Énfasis1 24 2 2 4" xfId="34952" xr:uid="{0B1E0E67-9C2C-4E35-9700-1A8F84C2FC6D}"/>
    <cellStyle name="20% - Énfasis1 24 2 3" xfId="10686" xr:uid="{9F7AAD06-273D-4CA3-8B7D-D4003D8D77D6}"/>
    <cellStyle name="20% - Énfasis1 24 2 3 2" xfId="26099" xr:uid="{EDBFA1FC-2FF0-4588-B9BD-5C90C56FDD86}"/>
    <cellStyle name="20% - Énfasis1 24 2 3 2 2" xfId="34957" xr:uid="{68B617E9-A184-409C-B244-AF2072B14BBE}"/>
    <cellStyle name="20% - Énfasis1 24 2 3 3" xfId="34956" xr:uid="{CA095A24-391A-4D41-BC0E-DAD3742B6FDF}"/>
    <cellStyle name="20% - Énfasis1 24 2 4" xfId="18394" xr:uid="{856A3CE0-7013-44C0-8643-E9CB451B9E5F}"/>
    <cellStyle name="20% - Énfasis1 24 2 4 2" xfId="34958" xr:uid="{25CF3F04-51B6-4F11-A03C-E053D63F19D8}"/>
    <cellStyle name="20% - Énfasis1 24 2 5" xfId="34951" xr:uid="{D5E45031-B37D-4804-A8EB-47DDEDA14300}"/>
    <cellStyle name="20% - Énfasis1 24 3" xfId="5246" xr:uid="{32978709-8F1C-4645-B507-26F6B8E5AF20}"/>
    <cellStyle name="20% - Énfasis1 24 3 2" xfId="12954" xr:uid="{5E678E69-08D2-478C-A437-93D52415B2BB}"/>
    <cellStyle name="20% - Énfasis1 24 3 2 2" xfId="28366" xr:uid="{C230031F-4BD2-4BCA-A08A-A577D5B64CC6}"/>
    <cellStyle name="20% - Énfasis1 24 3 2 2 2" xfId="34961" xr:uid="{1D302B3B-234D-4CFD-953E-28E7CD5EC270}"/>
    <cellStyle name="20% - Énfasis1 24 3 2 3" xfId="34960" xr:uid="{A5E4209B-625F-4348-B386-9ACE0C5ABC2A}"/>
    <cellStyle name="20% - Énfasis1 24 3 3" xfId="20661" xr:uid="{25438421-95FF-4BC5-862B-434FFEA0FEB5}"/>
    <cellStyle name="20% - Énfasis1 24 3 3 2" xfId="34962" xr:uid="{21A214DA-CF47-473E-B799-D6CBF59BC3D5}"/>
    <cellStyle name="20% - Énfasis1 24 3 4" xfId="34959" xr:uid="{F33E9DD3-DA70-4265-BB6B-7F1A7D7F823C}"/>
    <cellStyle name="20% - Énfasis1 24 4" xfId="9227" xr:uid="{62443D3D-C5EF-47BF-980B-8BA91516CDC5}"/>
    <cellStyle name="20% - Énfasis1 24 4 2" xfId="24640" xr:uid="{2BB51FC8-AB2E-418F-8C91-5364201E4215}"/>
    <cellStyle name="20% - Énfasis1 24 4 2 2" xfId="34964" xr:uid="{CD4E1309-7A6D-47FF-AFD2-187D126BFEBD}"/>
    <cellStyle name="20% - Énfasis1 24 4 3" xfId="34963" xr:uid="{84217B66-AD29-4C6B-856F-A00B16940F34}"/>
    <cellStyle name="20% - Énfasis1 24 5" xfId="16935" xr:uid="{B917B367-B2DA-4E14-A364-34C6DCED9728}"/>
    <cellStyle name="20% - Énfasis1 24 5 2" xfId="34965" xr:uid="{C70512F8-04F1-465D-A4D2-60B98F1B4199}"/>
    <cellStyle name="20% - Énfasis1 24 6" xfId="34950" xr:uid="{42C2052B-EBC4-4B9A-A41B-9501CE5E9F9B}"/>
    <cellStyle name="20% - Énfasis1 25" xfId="1530" xr:uid="{278A65BD-E409-412D-92FA-6629E3DCE457}"/>
    <cellStyle name="20% - Énfasis1 25 2" xfId="2995" xr:uid="{08B7070A-03CE-410A-9ACF-91E05965F3C1}"/>
    <cellStyle name="20% - Énfasis1 25 2 2" xfId="6727" xr:uid="{483622BF-BEF2-48D9-B525-7D027A4A831E}"/>
    <cellStyle name="20% - Énfasis1 25 2 2 2" xfId="14435" xr:uid="{520CAF84-4134-4F3A-B75F-6E8E4EF837C4}"/>
    <cellStyle name="20% - Énfasis1 25 2 2 2 2" xfId="29847" xr:uid="{41C5ABD3-D6CA-4771-8E00-F06E95229844}"/>
    <cellStyle name="20% - Énfasis1 25 2 2 2 2 2" xfId="34970" xr:uid="{478CE7C1-CE30-47B6-B531-142FC5F235D5}"/>
    <cellStyle name="20% - Énfasis1 25 2 2 2 3" xfId="34969" xr:uid="{A25AFA9B-289B-482C-A574-78C22974DCEC}"/>
    <cellStyle name="20% - Énfasis1 25 2 2 3" xfId="22142" xr:uid="{39087802-AE6E-48F7-9409-EC35562C0CF0}"/>
    <cellStyle name="20% - Énfasis1 25 2 2 3 2" xfId="34971" xr:uid="{ABE23CAA-84DB-449F-97A4-E99AB4002DBE}"/>
    <cellStyle name="20% - Énfasis1 25 2 2 4" xfId="34968" xr:uid="{8A1E8875-C694-4D47-A159-BE403AA6A47D}"/>
    <cellStyle name="20% - Énfasis1 25 2 3" xfId="10706" xr:uid="{7CEC52CA-3CDF-455F-A9E5-91CEC655CE48}"/>
    <cellStyle name="20% - Énfasis1 25 2 3 2" xfId="26119" xr:uid="{D0F4CB9C-184C-421B-B837-90C88CBF703E}"/>
    <cellStyle name="20% - Énfasis1 25 2 3 2 2" xfId="34973" xr:uid="{6BF44F45-2ED0-4A33-8B81-2E269EDB5B46}"/>
    <cellStyle name="20% - Énfasis1 25 2 3 3" xfId="34972" xr:uid="{6BD21C65-1274-4774-91D6-797D800BEBBA}"/>
    <cellStyle name="20% - Énfasis1 25 2 4" xfId="18414" xr:uid="{6B2C737D-32F5-4355-AB33-F77F0B1811B5}"/>
    <cellStyle name="20% - Énfasis1 25 2 4 2" xfId="34974" xr:uid="{AF0F18F3-4824-4A62-8CF4-F17BDB33C478}"/>
    <cellStyle name="20% - Énfasis1 25 2 5" xfId="34967" xr:uid="{44FDACFB-9080-4E3B-820B-22213528DA7F}"/>
    <cellStyle name="20% - Énfasis1 25 3" xfId="5266" xr:uid="{1A6A98F3-5343-4E26-9804-08AE1B22CA31}"/>
    <cellStyle name="20% - Énfasis1 25 3 2" xfId="12974" xr:uid="{B2391EEF-A5D1-41CB-B6B7-02BA8043FD72}"/>
    <cellStyle name="20% - Énfasis1 25 3 2 2" xfId="28386" xr:uid="{AF21B337-1AEC-4E22-A69C-10F40A70E0EB}"/>
    <cellStyle name="20% - Énfasis1 25 3 2 2 2" xfId="34977" xr:uid="{B19F246D-7B5F-4BD6-9590-E7C53B345402}"/>
    <cellStyle name="20% - Énfasis1 25 3 2 3" xfId="34976" xr:uid="{14A2853F-BEFA-4F16-9BAF-8C2F68295F1C}"/>
    <cellStyle name="20% - Énfasis1 25 3 3" xfId="20681" xr:uid="{5C649C61-BD19-467C-ADA4-5386DE7BC438}"/>
    <cellStyle name="20% - Énfasis1 25 3 3 2" xfId="34978" xr:uid="{33B98251-DC3A-4E48-807A-BE51EC655014}"/>
    <cellStyle name="20% - Énfasis1 25 3 4" xfId="34975" xr:uid="{98F635A7-716E-4B1D-AA00-B4D395A0E609}"/>
    <cellStyle name="20% - Énfasis1 25 4" xfId="9247" xr:uid="{CDCD5425-099E-4196-AFF8-66847F65AFD3}"/>
    <cellStyle name="20% - Énfasis1 25 4 2" xfId="24660" xr:uid="{701EFC33-C872-400A-9DA2-55D05ED0D2C7}"/>
    <cellStyle name="20% - Énfasis1 25 4 2 2" xfId="34980" xr:uid="{C8A5A840-57C2-4D49-85D5-662B9AB76BC1}"/>
    <cellStyle name="20% - Énfasis1 25 4 3" xfId="34979" xr:uid="{7BF11053-3AB6-4C40-8604-95F0F9E17547}"/>
    <cellStyle name="20% - Énfasis1 25 5" xfId="16955" xr:uid="{EF7FC849-736B-4814-B91A-4DDFB22B31B6}"/>
    <cellStyle name="20% - Énfasis1 25 5 2" xfId="34981" xr:uid="{68BFF8E2-480A-492A-871D-21CF8251F333}"/>
    <cellStyle name="20% - Énfasis1 25 6" xfId="34966" xr:uid="{C885C9A4-14F1-4D4B-B47A-C0C0E83AE13F}"/>
    <cellStyle name="20% - Énfasis1 26" xfId="1550" xr:uid="{84EA3900-8654-47D6-A3F0-9F218005425F}"/>
    <cellStyle name="20% - Énfasis1 26 2" xfId="3015" xr:uid="{2FF3B1CC-BCF4-49C7-821F-5E0DF82607AC}"/>
    <cellStyle name="20% - Énfasis1 26 2 2" xfId="6747" xr:uid="{DE7B1154-6F56-41B2-B0BA-18D827818667}"/>
    <cellStyle name="20% - Énfasis1 26 2 2 2" xfId="14455" xr:uid="{0D43273B-4C3C-41F0-8BDC-90D723301856}"/>
    <cellStyle name="20% - Énfasis1 26 2 2 2 2" xfId="29867" xr:uid="{CD6AE996-2223-400F-80CC-1EFFED07DA9F}"/>
    <cellStyle name="20% - Énfasis1 26 2 2 2 2 2" xfId="34986" xr:uid="{09DEC3AD-BE31-429F-A3AA-3D8BBF4148CE}"/>
    <cellStyle name="20% - Énfasis1 26 2 2 2 3" xfId="34985" xr:uid="{08F177AC-843D-4A00-938D-C6DE1BAA9582}"/>
    <cellStyle name="20% - Énfasis1 26 2 2 3" xfId="22162" xr:uid="{017C4262-9E15-4826-96D0-05D55373CB1E}"/>
    <cellStyle name="20% - Énfasis1 26 2 2 3 2" xfId="34987" xr:uid="{CA8D5A81-04F7-4AF8-91BC-9B9BE5408043}"/>
    <cellStyle name="20% - Énfasis1 26 2 2 4" xfId="34984" xr:uid="{CC5D6795-B30E-4995-B74B-3517B1994FF6}"/>
    <cellStyle name="20% - Énfasis1 26 2 3" xfId="10726" xr:uid="{997FD42C-4891-475F-A97E-16E51602CE04}"/>
    <cellStyle name="20% - Énfasis1 26 2 3 2" xfId="26139" xr:uid="{8E92FD5D-7622-41DD-A75E-80898D3A9FD2}"/>
    <cellStyle name="20% - Énfasis1 26 2 3 2 2" xfId="34989" xr:uid="{0A5E392A-D214-4B00-BC04-8D8377A4A806}"/>
    <cellStyle name="20% - Énfasis1 26 2 3 3" xfId="34988" xr:uid="{930AA9D3-4810-4A98-A68F-48D14C079A96}"/>
    <cellStyle name="20% - Énfasis1 26 2 4" xfId="18434" xr:uid="{B35F833E-B9BC-496F-9B94-05C24CB0802E}"/>
    <cellStyle name="20% - Énfasis1 26 2 4 2" xfId="34990" xr:uid="{C5FD1266-0E15-45D8-A17A-381D5D393542}"/>
    <cellStyle name="20% - Énfasis1 26 2 5" xfId="34983" xr:uid="{BD3A42FC-5FCA-4AF2-848A-E97EC4A221E4}"/>
    <cellStyle name="20% - Énfasis1 26 3" xfId="5286" xr:uid="{183D551D-AC54-4E18-9A6F-C220BE4DCC50}"/>
    <cellStyle name="20% - Énfasis1 26 3 2" xfId="12994" xr:uid="{51C7D934-A14E-440E-9F45-ED9859371AE7}"/>
    <cellStyle name="20% - Énfasis1 26 3 2 2" xfId="28406" xr:uid="{D5AE1C03-45EC-487B-9695-84C1DAD18FFB}"/>
    <cellStyle name="20% - Énfasis1 26 3 2 2 2" xfId="34993" xr:uid="{DD567ECB-ED2D-4A05-961E-10CED91D349A}"/>
    <cellStyle name="20% - Énfasis1 26 3 2 3" xfId="34992" xr:uid="{628E5577-99AA-47D2-92B5-FB781DD77B8F}"/>
    <cellStyle name="20% - Énfasis1 26 3 3" xfId="20701" xr:uid="{2E716495-482B-41EA-AD15-BF721755C34D}"/>
    <cellStyle name="20% - Énfasis1 26 3 3 2" xfId="34994" xr:uid="{CFB3AB7D-C938-453D-A196-59ACF0D88821}"/>
    <cellStyle name="20% - Énfasis1 26 3 4" xfId="34991" xr:uid="{F090AA75-79AB-43AA-A192-676C979495B0}"/>
    <cellStyle name="20% - Énfasis1 26 4" xfId="9267" xr:uid="{0814B6E6-65D6-43FB-A221-9451BC8E0CC8}"/>
    <cellStyle name="20% - Énfasis1 26 4 2" xfId="24680" xr:uid="{26204A31-717A-4ACF-843C-B3B6E9B38F97}"/>
    <cellStyle name="20% - Énfasis1 26 4 2 2" xfId="34996" xr:uid="{6F90A658-1A83-479A-AA75-21178D43204A}"/>
    <cellStyle name="20% - Énfasis1 26 4 3" xfId="34995" xr:uid="{982C5A55-7237-4E7F-BE04-1B0653C0CAA3}"/>
    <cellStyle name="20% - Énfasis1 26 5" xfId="16975" xr:uid="{1C49F8BC-0E21-4C52-AD4A-E7BB80990A1F}"/>
    <cellStyle name="20% - Énfasis1 26 5 2" xfId="34997" xr:uid="{1FB7614D-822F-4911-8820-50CD1E16A7AD}"/>
    <cellStyle name="20% - Énfasis1 26 6" xfId="34982" xr:uid="{54663E92-6186-4DA7-A156-9652FFBFF8A0}"/>
    <cellStyle name="20% - Énfasis1 27" xfId="1570" xr:uid="{BD5E8F61-6D3A-4497-A861-6D48C78B6874}"/>
    <cellStyle name="20% - Énfasis1 27 2" xfId="3035" xr:uid="{1761C5B8-4AD4-4DF3-9CCC-C50E5BD3DE9C}"/>
    <cellStyle name="20% - Énfasis1 27 2 2" xfId="6767" xr:uid="{5795155A-DEEE-4DB7-AEA5-9E7917EDE989}"/>
    <cellStyle name="20% - Énfasis1 27 2 2 2" xfId="14475" xr:uid="{A98AC0E1-AFCE-4739-9D8C-E86246D9D896}"/>
    <cellStyle name="20% - Énfasis1 27 2 2 2 2" xfId="29887" xr:uid="{E32C0D68-4A85-44E4-8FB6-5C620D1A05D4}"/>
    <cellStyle name="20% - Énfasis1 27 2 2 2 2 2" xfId="35002" xr:uid="{3F20995F-58BF-4934-9350-E32FFDB48719}"/>
    <cellStyle name="20% - Énfasis1 27 2 2 2 3" xfId="35001" xr:uid="{F5EF6413-57F5-404E-A9BB-01CBA55DD555}"/>
    <cellStyle name="20% - Énfasis1 27 2 2 3" xfId="22182" xr:uid="{0486CEA7-1F22-4F34-9DF0-43F7D23C79F7}"/>
    <cellStyle name="20% - Énfasis1 27 2 2 3 2" xfId="35003" xr:uid="{2ED26404-69E5-45F1-964C-40A150304C95}"/>
    <cellStyle name="20% - Énfasis1 27 2 2 4" xfId="35000" xr:uid="{A88D0D86-751D-44A2-9037-41597E14B79C}"/>
    <cellStyle name="20% - Énfasis1 27 2 3" xfId="10746" xr:uid="{7D5BABDF-0F8C-418E-A688-E92A73D7F42E}"/>
    <cellStyle name="20% - Énfasis1 27 2 3 2" xfId="26159" xr:uid="{29DBB38B-BDDA-490D-A78D-CDAE8031C61E}"/>
    <cellStyle name="20% - Énfasis1 27 2 3 2 2" xfId="35005" xr:uid="{EE155588-C6DD-4C95-ACB5-1D836DFF907E}"/>
    <cellStyle name="20% - Énfasis1 27 2 3 3" xfId="35004" xr:uid="{03B4F2DE-7097-4E09-8076-2794FE21B593}"/>
    <cellStyle name="20% - Énfasis1 27 2 4" xfId="18454" xr:uid="{F67CFB40-3F2F-43EF-A0DD-4ADC7E4A7310}"/>
    <cellStyle name="20% - Énfasis1 27 2 4 2" xfId="35006" xr:uid="{ED06EF5F-4F57-48CC-BACB-ADF030A033E7}"/>
    <cellStyle name="20% - Énfasis1 27 2 5" xfId="34999" xr:uid="{F8902292-77E1-4E6E-BB4F-738057430603}"/>
    <cellStyle name="20% - Énfasis1 27 3" xfId="5306" xr:uid="{161536AE-A1D9-43AF-B6DA-178A33484848}"/>
    <cellStyle name="20% - Énfasis1 27 3 2" xfId="13014" xr:uid="{F7EBBBF7-68D4-4F0C-AAEB-C91968B066D5}"/>
    <cellStyle name="20% - Énfasis1 27 3 2 2" xfId="28426" xr:uid="{F3B28247-3037-4800-856D-99CC1EA38965}"/>
    <cellStyle name="20% - Énfasis1 27 3 2 2 2" xfId="35009" xr:uid="{62F28F0B-8929-41D3-9FCA-A0C83954EBDC}"/>
    <cellStyle name="20% - Énfasis1 27 3 2 3" xfId="35008" xr:uid="{78D75FA9-211E-4F30-9673-51D67A98EFE4}"/>
    <cellStyle name="20% - Énfasis1 27 3 3" xfId="20721" xr:uid="{CBF193AE-9A4E-4093-9F14-60D49A542943}"/>
    <cellStyle name="20% - Énfasis1 27 3 3 2" xfId="35010" xr:uid="{3F78B6D6-D987-4EFA-AA73-52F87D144DA6}"/>
    <cellStyle name="20% - Énfasis1 27 3 4" xfId="35007" xr:uid="{328B9553-D6D5-4D86-8E5C-89714CF9821A}"/>
    <cellStyle name="20% - Énfasis1 27 4" xfId="9287" xr:uid="{60F69962-D0B8-4616-9D4C-AF6E3FAEDDB0}"/>
    <cellStyle name="20% - Énfasis1 27 4 2" xfId="24700" xr:uid="{2617649B-D438-4640-A597-96EA0846A47B}"/>
    <cellStyle name="20% - Énfasis1 27 4 2 2" xfId="35012" xr:uid="{D1D5DCC6-5150-4CD9-B212-8B4F49D250DA}"/>
    <cellStyle name="20% - Énfasis1 27 4 3" xfId="35011" xr:uid="{4BED7A47-C088-4745-9141-7BBAA4FC5473}"/>
    <cellStyle name="20% - Énfasis1 27 5" xfId="16995" xr:uid="{AED73A8A-B6B5-49F0-9AE1-7E5EE49BFCE1}"/>
    <cellStyle name="20% - Énfasis1 27 5 2" xfId="35013" xr:uid="{B1AB6443-09C4-4530-940B-A9E19339DEFC}"/>
    <cellStyle name="20% - Énfasis1 27 6" xfId="34998" xr:uid="{FC51BBC6-3D05-44CA-9A73-86F77E3A49DF}"/>
    <cellStyle name="20% - Énfasis1 28" xfId="1591" xr:uid="{C624B8B8-834B-41AF-934E-37291F32CBE4}"/>
    <cellStyle name="20% - Énfasis1 28 2" xfId="3056" xr:uid="{34C3C71D-C0C6-4252-9F6F-2AA79F461B3C}"/>
    <cellStyle name="20% - Énfasis1 28 2 2" xfId="6788" xr:uid="{45795A3B-A792-4C75-87EC-8B84ADAF7C48}"/>
    <cellStyle name="20% - Énfasis1 28 2 2 2" xfId="14496" xr:uid="{6259672B-755A-421A-B5EF-6B0DD245612A}"/>
    <cellStyle name="20% - Énfasis1 28 2 2 2 2" xfId="29908" xr:uid="{7AF37593-BA15-4BB0-B796-4996FD2BA888}"/>
    <cellStyle name="20% - Énfasis1 28 2 2 2 2 2" xfId="35018" xr:uid="{506263E8-3E3B-4F19-8027-5A052587F960}"/>
    <cellStyle name="20% - Énfasis1 28 2 2 2 3" xfId="35017" xr:uid="{7DDE2A60-0BE1-4ABF-B0E7-C58680E8AD09}"/>
    <cellStyle name="20% - Énfasis1 28 2 2 3" xfId="22203" xr:uid="{51A9617A-FAB2-43CE-A072-28D3A1752D69}"/>
    <cellStyle name="20% - Énfasis1 28 2 2 3 2" xfId="35019" xr:uid="{DA7BBB81-F0F7-40F3-9688-10B2DF07DF97}"/>
    <cellStyle name="20% - Énfasis1 28 2 2 4" xfId="35016" xr:uid="{329C7DEC-73CF-484A-8E5A-E14ACC83AFCF}"/>
    <cellStyle name="20% - Énfasis1 28 2 3" xfId="10767" xr:uid="{EE900EEF-6A28-4741-8505-B54243229050}"/>
    <cellStyle name="20% - Énfasis1 28 2 3 2" xfId="26180" xr:uid="{AB07C252-072B-4527-9B6E-FF28FCEB23EF}"/>
    <cellStyle name="20% - Énfasis1 28 2 3 2 2" xfId="35021" xr:uid="{F4E8A76D-FD0E-4101-8DD6-420C34DD98DA}"/>
    <cellStyle name="20% - Énfasis1 28 2 3 3" xfId="35020" xr:uid="{E72A54CD-8093-487B-B156-A8856071373D}"/>
    <cellStyle name="20% - Énfasis1 28 2 4" xfId="18475" xr:uid="{D1FB8125-82BF-46E3-9F66-EFBFE50D0635}"/>
    <cellStyle name="20% - Énfasis1 28 2 4 2" xfId="35022" xr:uid="{F0ED40EE-968E-40B7-8DA6-DFF1E6657781}"/>
    <cellStyle name="20% - Énfasis1 28 2 5" xfId="35015" xr:uid="{EF7FE98D-321B-4C96-9325-1E20993B1D08}"/>
    <cellStyle name="20% - Énfasis1 28 3" xfId="5327" xr:uid="{DF310B72-3633-4E85-BA6A-EDF13D6AECB2}"/>
    <cellStyle name="20% - Énfasis1 28 3 2" xfId="13035" xr:uid="{8579615A-9855-45CE-A862-5836C68871F3}"/>
    <cellStyle name="20% - Énfasis1 28 3 2 2" xfId="28447" xr:uid="{1912468F-92F5-4950-BE06-50F22EFC7851}"/>
    <cellStyle name="20% - Énfasis1 28 3 2 2 2" xfId="35025" xr:uid="{B7F8A467-6CAB-4D6A-8403-9DAFE89E9064}"/>
    <cellStyle name="20% - Énfasis1 28 3 2 3" xfId="35024" xr:uid="{7589647E-941F-4E74-95F2-509558EC8A9F}"/>
    <cellStyle name="20% - Énfasis1 28 3 3" xfId="20742" xr:uid="{BF1812D4-D8B7-4B9D-AE62-E91FB54B00F9}"/>
    <cellStyle name="20% - Énfasis1 28 3 3 2" xfId="35026" xr:uid="{3A0A7D6A-E3F9-4ECA-94A3-27860FC75D26}"/>
    <cellStyle name="20% - Énfasis1 28 3 4" xfId="35023" xr:uid="{7809A20B-51FC-43B6-95A7-FA5B43213FDD}"/>
    <cellStyle name="20% - Énfasis1 28 4" xfId="9308" xr:uid="{00D15778-036A-43E2-883A-2A6DD5D1FF07}"/>
    <cellStyle name="20% - Énfasis1 28 4 2" xfId="24721" xr:uid="{D63DDEE1-5514-42F6-A7D4-AF9BA11BA544}"/>
    <cellStyle name="20% - Énfasis1 28 4 2 2" xfId="35028" xr:uid="{AA3FF970-B450-4887-835A-79E2620BA192}"/>
    <cellStyle name="20% - Énfasis1 28 4 3" xfId="35027" xr:uid="{87614729-63EA-4745-9913-CF97FA4447D8}"/>
    <cellStyle name="20% - Énfasis1 28 5" xfId="17016" xr:uid="{2845C4D8-E42B-4446-B4E8-A110E8706EF4}"/>
    <cellStyle name="20% - Énfasis1 28 5 2" xfId="35029" xr:uid="{04D2F72E-4DEA-4909-871B-F548A94180E7}"/>
    <cellStyle name="20% - Énfasis1 28 6" xfId="35014" xr:uid="{A6D8A5AB-18F9-4E46-8EC2-D7D2EE20D0DA}"/>
    <cellStyle name="20% - Énfasis1 29" xfId="3076" xr:uid="{02D98ABF-FF41-4846-BE70-159C2D7237DF}"/>
    <cellStyle name="20% - Énfasis1 29 2" xfId="6808" xr:uid="{330036D4-10DE-4E4A-B1EE-152FDE2F35EB}"/>
    <cellStyle name="20% - Énfasis1 29 2 2" xfId="14516" xr:uid="{4DD84342-28E6-4FF5-AAE2-4E7832F55EA3}"/>
    <cellStyle name="20% - Énfasis1 29 2 2 2" xfId="29928" xr:uid="{8ECAB62A-E887-4D0E-889E-53D3204EF30B}"/>
    <cellStyle name="20% - Énfasis1 29 2 2 2 2" xfId="35033" xr:uid="{C187D471-DDF3-4C80-8BE8-3CE40A7BAAB7}"/>
    <cellStyle name="20% - Énfasis1 29 2 2 3" xfId="35032" xr:uid="{54249B7A-9AF8-40EE-BBE3-B0232C4C69F2}"/>
    <cellStyle name="20% - Énfasis1 29 2 3" xfId="22223" xr:uid="{E48F5400-084E-4567-A4C3-E3125E5594E6}"/>
    <cellStyle name="20% - Énfasis1 29 2 3 2" xfId="35034" xr:uid="{60819C72-AEC4-4B96-A11F-D19EB9E7F8B8}"/>
    <cellStyle name="20% - Énfasis1 29 2 4" xfId="35031" xr:uid="{C903A55C-6F43-4234-B83E-B40A4D07FB97}"/>
    <cellStyle name="20% - Énfasis1 29 3" xfId="10787" xr:uid="{00852FD0-A0CA-409B-828B-2553DF9F1DE1}"/>
    <cellStyle name="20% - Énfasis1 29 3 2" xfId="26200" xr:uid="{47076334-41F0-4B13-BA80-A1CF3C895DCB}"/>
    <cellStyle name="20% - Énfasis1 29 3 2 2" xfId="35036" xr:uid="{6F170253-BAC9-49A1-9BF9-A29826B7F0D3}"/>
    <cellStyle name="20% - Énfasis1 29 3 3" xfId="35035" xr:uid="{E8291F0A-2510-4D0B-A4FA-D827D60ADDAB}"/>
    <cellStyle name="20% - Énfasis1 29 4" xfId="18495" xr:uid="{F92BF1FF-12C7-4FC5-BF1D-B49790D346EE}"/>
    <cellStyle name="20% - Énfasis1 29 4 2" xfId="35037" xr:uid="{15DCF66B-5DFF-4726-BEA1-58CC3075C6D2}"/>
    <cellStyle name="20% - Énfasis1 29 5" xfId="35030" xr:uid="{86071107-CCAC-414E-B329-11FE491B4FFD}"/>
    <cellStyle name="20% - Énfasis1 3" xfId="238" xr:uid="{7A03A05F-3512-475D-A044-465885549F36}"/>
    <cellStyle name="20% - Énfasis1 3 2" xfId="440" xr:uid="{E4441C51-72C4-424F-AB8B-0FB1C08B78F0}"/>
    <cellStyle name="20% - Énfasis1 3 2 2" xfId="1101" xr:uid="{91D32A58-CFF5-4C7A-AAB5-54A70164945B}"/>
    <cellStyle name="20% - Énfasis1 3 2 2 2" xfId="2569" xr:uid="{D14C9AF7-C4B3-41FE-A7E7-5D89C6E8F9FD}"/>
    <cellStyle name="20% - Énfasis1 3 2 2 2 2" xfId="6301" xr:uid="{883C9116-C2CA-4795-99BB-29146ECE0E73}"/>
    <cellStyle name="20% - Énfasis1 3 2 2 2 2 2" xfId="14009" xr:uid="{CCFC00EC-9669-4DAE-9531-D28AF66CF6E1}"/>
    <cellStyle name="20% - Énfasis1 3 2 2 2 2 2 2" xfId="29421" xr:uid="{A3AF8E1F-59B5-44E1-8BA3-44985755601A}"/>
    <cellStyle name="20% - Énfasis1 3 2 2 2 2 2 2 2" xfId="35044" xr:uid="{68802265-FA2F-4BD9-993D-098FDA7A87D2}"/>
    <cellStyle name="20% - Énfasis1 3 2 2 2 2 2 3" xfId="35043" xr:uid="{64AAB55C-1D22-42C8-99AA-0F0BC078E291}"/>
    <cellStyle name="20% - Énfasis1 3 2 2 2 2 3" xfId="21716" xr:uid="{04F5E714-F687-4E51-AD53-F1CBC6807D42}"/>
    <cellStyle name="20% - Énfasis1 3 2 2 2 2 3 2" xfId="35045" xr:uid="{1EFFE5F2-0F27-44CB-8206-CFF9EDDB9842}"/>
    <cellStyle name="20% - Énfasis1 3 2 2 2 2 4" xfId="35042" xr:uid="{5DBB9AFE-AE6C-4959-AA01-9FE44A499805}"/>
    <cellStyle name="20% - Énfasis1 3 2 2 2 3" xfId="10280" xr:uid="{1683A7AC-9BAA-445F-81F9-302FB67FB753}"/>
    <cellStyle name="20% - Énfasis1 3 2 2 2 3 2" xfId="25693" xr:uid="{2971712E-0E02-4D1A-8414-5331A12C4549}"/>
    <cellStyle name="20% - Énfasis1 3 2 2 2 3 2 2" xfId="35047" xr:uid="{9B2E80AB-4817-42B9-8CBA-76406D352B65}"/>
    <cellStyle name="20% - Énfasis1 3 2 2 2 3 3" xfId="35046" xr:uid="{640B3CC1-07B0-4B44-8E65-D8400DACD9A6}"/>
    <cellStyle name="20% - Énfasis1 3 2 2 2 4" xfId="17988" xr:uid="{3A0E6EAE-F9BF-4980-9701-A78134D728EB}"/>
    <cellStyle name="20% - Énfasis1 3 2 2 2 4 2" xfId="35048" xr:uid="{487B9DC5-4D1C-4CEF-92E3-BF3A1826E1CD}"/>
    <cellStyle name="20% - Énfasis1 3 2 2 2 5" xfId="35041" xr:uid="{FA52179A-152F-45F9-8BED-FDBFC0C65D55}"/>
    <cellStyle name="20% - Énfasis1 3 2 2 3" xfId="4838" xr:uid="{FBE0ED5D-ED0B-439C-9FF4-E11D09C7D2DF}"/>
    <cellStyle name="20% - Énfasis1 3 2 2 3 2" xfId="12546" xr:uid="{70DBFDA5-28CB-4746-8294-E4846F990616}"/>
    <cellStyle name="20% - Énfasis1 3 2 2 3 2 2" xfId="27958" xr:uid="{ED8634F4-8238-4277-8378-C9D51D899CAA}"/>
    <cellStyle name="20% - Énfasis1 3 2 2 3 2 2 2" xfId="35051" xr:uid="{7493A724-87EC-48EE-AA60-7A1292652AFD}"/>
    <cellStyle name="20% - Énfasis1 3 2 2 3 2 3" xfId="35050" xr:uid="{AC2E5EB0-4972-4709-91D4-F9FD554CB86D}"/>
    <cellStyle name="20% - Énfasis1 3 2 2 3 3" xfId="20253" xr:uid="{305F142D-F81D-44C2-9776-BB682B63268D}"/>
    <cellStyle name="20% - Énfasis1 3 2 2 3 3 2" xfId="35052" xr:uid="{567A3FD1-D547-4E2F-A61B-DE9921B85FAC}"/>
    <cellStyle name="20% - Énfasis1 3 2 2 3 4" xfId="35049" xr:uid="{13AA8C3F-A101-41CD-86E7-17F5176074E9}"/>
    <cellStyle name="20% - Énfasis1 3 2 2 4" xfId="8821" xr:uid="{986A3C8A-05AD-4A66-BF08-C9F4FFCBB7FA}"/>
    <cellStyle name="20% - Énfasis1 3 2 2 4 2" xfId="24234" xr:uid="{98C963BE-D105-49AD-B60C-5D16701C42CA}"/>
    <cellStyle name="20% - Énfasis1 3 2 2 4 2 2" xfId="35054" xr:uid="{493BA891-8135-412B-8929-E83A6F93B4E9}"/>
    <cellStyle name="20% - Énfasis1 3 2 2 4 3" xfId="35053" xr:uid="{FDE5310A-0909-4BB3-BFF0-CA4283B28951}"/>
    <cellStyle name="20% - Énfasis1 3 2 2 5" xfId="16529" xr:uid="{5EDDBCEC-1538-4099-8DEF-06B1EEEF1B28}"/>
    <cellStyle name="20% - Énfasis1 3 2 2 5 2" xfId="35055" xr:uid="{B4C88974-292F-4ACE-A506-015C82E53C78}"/>
    <cellStyle name="20% - Énfasis1 3 2 2 6" xfId="35040" xr:uid="{C4F7BF81-ABCD-4ADC-BF07-ACCDB12F346A}"/>
    <cellStyle name="20% - Énfasis1 3 2 3" xfId="1931" xr:uid="{0566C8FB-A0C7-493E-847F-E02BA6571B08}"/>
    <cellStyle name="20% - Énfasis1 3 2 3 2" xfId="5663" xr:uid="{DD9E9C09-0F33-438B-AE65-A6FA5EB4C953}"/>
    <cellStyle name="20% - Énfasis1 3 2 3 2 2" xfId="13371" xr:uid="{B81CE4E4-2817-403D-AA23-E2E019176BCF}"/>
    <cellStyle name="20% - Énfasis1 3 2 3 2 2 2" xfId="28783" xr:uid="{2D008C6B-909D-44E5-BBE0-FB26A283D5B2}"/>
    <cellStyle name="20% - Énfasis1 3 2 3 2 2 2 2" xfId="35059" xr:uid="{51E653D3-B5AB-4D95-98B1-3682CD3ADB8E}"/>
    <cellStyle name="20% - Énfasis1 3 2 3 2 2 3" xfId="35058" xr:uid="{C4898AD8-64AA-4AD0-BD2B-76ACB3D0765E}"/>
    <cellStyle name="20% - Énfasis1 3 2 3 2 3" xfId="21078" xr:uid="{EDD6261B-1239-458D-82C1-0894DF20ED99}"/>
    <cellStyle name="20% - Énfasis1 3 2 3 2 3 2" xfId="35060" xr:uid="{4D8972D6-64C1-4638-BD37-717EE6BA36FB}"/>
    <cellStyle name="20% - Énfasis1 3 2 3 2 4" xfId="35057" xr:uid="{B01DB0FA-B0F3-492D-8A2F-4EB2E0F1661C}"/>
    <cellStyle name="20% - Énfasis1 3 2 3 3" xfId="9642" xr:uid="{699FB4CB-4DB1-4E86-859C-864CD44AAD42}"/>
    <cellStyle name="20% - Énfasis1 3 2 3 3 2" xfId="25055" xr:uid="{212D9F0C-6362-4560-A042-1FDB02D8EB94}"/>
    <cellStyle name="20% - Énfasis1 3 2 3 3 2 2" xfId="35062" xr:uid="{4D5618D5-5AF6-4232-8B13-892A21359D83}"/>
    <cellStyle name="20% - Énfasis1 3 2 3 3 3" xfId="35061" xr:uid="{04195973-C7D8-44EC-937A-19E88C3D66B0}"/>
    <cellStyle name="20% - Énfasis1 3 2 3 4" xfId="17350" xr:uid="{49B8F961-17F7-4FE4-987A-495D36D7617E}"/>
    <cellStyle name="20% - Énfasis1 3 2 3 4 2" xfId="35063" xr:uid="{D5FE9BE7-F837-431C-BDB8-86DAEC5E8C5E}"/>
    <cellStyle name="20% - Énfasis1 3 2 3 5" xfId="35056" xr:uid="{7DC4C5F3-A0FE-49ED-A545-FBF6F8DCBE49}"/>
    <cellStyle name="20% - Énfasis1 3 2 4" xfId="4186" xr:uid="{5D0681B7-C94E-4FEE-B058-411C5CF1A73B}"/>
    <cellStyle name="20% - Énfasis1 3 2 4 2" xfId="11894" xr:uid="{1469F1DE-CEB5-49D8-AE8B-FC250366D65E}"/>
    <cellStyle name="20% - Énfasis1 3 2 4 2 2" xfId="27306" xr:uid="{450855EC-8DB6-4DD7-AC8B-788FFF7FC614}"/>
    <cellStyle name="20% - Énfasis1 3 2 4 2 2 2" xfId="35066" xr:uid="{66D93F78-89E5-4765-A6E0-3EDA9E57881A}"/>
    <cellStyle name="20% - Énfasis1 3 2 4 2 3" xfId="35065" xr:uid="{743BA0C4-47FC-467F-931E-17C32F98DBCD}"/>
    <cellStyle name="20% - Énfasis1 3 2 4 3" xfId="19601" xr:uid="{6B9AB08C-D84E-4EA6-A552-E64D9862E05F}"/>
    <cellStyle name="20% - Énfasis1 3 2 4 3 2" xfId="35067" xr:uid="{AED872B8-0599-46DF-B944-9ACB41C00820}"/>
    <cellStyle name="20% - Énfasis1 3 2 4 4" xfId="35064" xr:uid="{76B57189-F3EC-4FFC-BE43-DEB238152799}"/>
    <cellStyle name="20% - Énfasis1 3 2 5" xfId="8183" xr:uid="{3B4BBE21-9D78-49A1-8219-D4B1AFE54F8F}"/>
    <cellStyle name="20% - Énfasis1 3 2 5 2" xfId="23596" xr:uid="{8FFF7811-105A-4642-975C-0F33485BD38E}"/>
    <cellStyle name="20% - Énfasis1 3 2 5 2 2" xfId="35069" xr:uid="{1FAC7077-E3C3-4C08-8BD8-ADD4B4250B2C}"/>
    <cellStyle name="20% - Énfasis1 3 2 5 3" xfId="35068" xr:uid="{975DFEC5-A24A-4656-B2A4-22F6C8659758}"/>
    <cellStyle name="20% - Énfasis1 3 2 6" xfId="15891" xr:uid="{288ADBF3-D9AA-4784-B930-45C891EA0E80}"/>
    <cellStyle name="20% - Énfasis1 3 2 6 2" xfId="35070" xr:uid="{DB88D664-E935-49D3-A1BD-C8374F580FFB}"/>
    <cellStyle name="20% - Énfasis1 3 2 7" xfId="35039" xr:uid="{0B29A509-FFE1-4C62-B46C-369B11341803}"/>
    <cellStyle name="20% - Énfasis1 3 3" xfId="901" xr:uid="{C34C4A60-AF72-4D4C-B953-1898E97E60A3}"/>
    <cellStyle name="20% - Énfasis1 3 3 2" xfId="2371" xr:uid="{6C98F70B-629A-4A1D-9A67-27960F4CB6D0}"/>
    <cellStyle name="20% - Énfasis1 3 3 2 2" xfId="6103" xr:uid="{2BA38618-DF8F-4878-BC97-1F597F8C0383}"/>
    <cellStyle name="20% - Énfasis1 3 3 2 2 2" xfId="13811" xr:uid="{3E1A297D-379D-4CEE-89A2-A7B182DBF666}"/>
    <cellStyle name="20% - Énfasis1 3 3 2 2 2 2" xfId="29223" xr:uid="{F9566340-99B1-48B9-832F-6A4C63310B23}"/>
    <cellStyle name="20% - Énfasis1 3 3 2 2 2 2 2" xfId="35075" xr:uid="{7F1076CB-DA92-47C1-B406-AE23BD2B7A8D}"/>
    <cellStyle name="20% - Énfasis1 3 3 2 2 2 3" xfId="35074" xr:uid="{F8D64030-9B3D-4E81-A350-95E54770FEB1}"/>
    <cellStyle name="20% - Énfasis1 3 3 2 2 3" xfId="21518" xr:uid="{58B3C586-903F-496A-B0B5-5457D6E55B86}"/>
    <cellStyle name="20% - Énfasis1 3 3 2 2 3 2" xfId="35076" xr:uid="{09E96220-BBEC-4BED-B74E-56DDBAF7711F}"/>
    <cellStyle name="20% - Énfasis1 3 3 2 2 4" xfId="35073" xr:uid="{77E8AA46-DCE4-4AB1-A9D7-788FA72C14CE}"/>
    <cellStyle name="20% - Énfasis1 3 3 2 3" xfId="10082" xr:uid="{78065E86-4DA8-4058-9B73-46A6941B39C2}"/>
    <cellStyle name="20% - Énfasis1 3 3 2 3 2" xfId="25495" xr:uid="{32D22E4F-E107-455C-A655-894A800BB0F3}"/>
    <cellStyle name="20% - Énfasis1 3 3 2 3 2 2" xfId="35078" xr:uid="{271D8CEB-FE25-467D-B25E-03D7CD00E460}"/>
    <cellStyle name="20% - Énfasis1 3 3 2 3 3" xfId="35077" xr:uid="{AE57DBD0-F1B7-4642-AC93-67A00E765FDE}"/>
    <cellStyle name="20% - Énfasis1 3 3 2 4" xfId="17790" xr:uid="{A5179709-97BD-4ED3-BAE0-8B42493120B6}"/>
    <cellStyle name="20% - Énfasis1 3 3 2 4 2" xfId="35079" xr:uid="{C8C5ACF0-143E-459C-947F-CA60A8822CB2}"/>
    <cellStyle name="20% - Énfasis1 3 3 2 5" xfId="35072" xr:uid="{E72DD4B7-DB41-40A7-9844-EA4236BF5006}"/>
    <cellStyle name="20% - Énfasis1 3 3 3" xfId="4638" xr:uid="{8AE799C7-AA90-4BE2-A555-83074464ADAE}"/>
    <cellStyle name="20% - Énfasis1 3 3 3 2" xfId="12346" xr:uid="{4F964B06-B485-4F76-A428-82C66D9A2795}"/>
    <cellStyle name="20% - Énfasis1 3 3 3 2 2" xfId="27758" xr:uid="{62508881-DB60-4E7C-AE68-9015CDF92A4C}"/>
    <cellStyle name="20% - Énfasis1 3 3 3 2 2 2" xfId="35082" xr:uid="{064B9917-A026-40AF-A7B7-1761D5DCB953}"/>
    <cellStyle name="20% - Énfasis1 3 3 3 2 3" xfId="35081" xr:uid="{084AF0B7-28D7-40D2-9DFE-120E4C5601C6}"/>
    <cellStyle name="20% - Énfasis1 3 3 3 3" xfId="20053" xr:uid="{8E8F6B85-5FBF-4F5B-8935-AFEC3A591C83}"/>
    <cellStyle name="20% - Énfasis1 3 3 3 3 2" xfId="35083" xr:uid="{FF083AED-1A61-4E0F-931D-EF5FCDADA1C3}"/>
    <cellStyle name="20% - Énfasis1 3 3 3 4" xfId="35080" xr:uid="{D31416F0-947B-48B8-A6C9-682CCDDA9C65}"/>
    <cellStyle name="20% - Énfasis1 3 3 4" xfId="8623" xr:uid="{086B604D-4D50-41FC-8761-0E6D7653C9F4}"/>
    <cellStyle name="20% - Énfasis1 3 3 4 2" xfId="24036" xr:uid="{B429D38E-14D7-4BEB-AB3F-022510FDFFC4}"/>
    <cellStyle name="20% - Énfasis1 3 3 4 2 2" xfId="35085" xr:uid="{8AA38EE6-5933-46D4-A2EA-4BD592F9CECF}"/>
    <cellStyle name="20% - Énfasis1 3 3 4 3" xfId="35084" xr:uid="{3503C758-8107-421E-BCE9-AECF78C069F3}"/>
    <cellStyle name="20% - Énfasis1 3 3 5" xfId="16331" xr:uid="{AD1B64CF-ED7C-4615-9D26-6FDBA62871E5}"/>
    <cellStyle name="20% - Énfasis1 3 3 5 2" xfId="35086" xr:uid="{0F3B68E3-3E2B-40D0-9DB4-B2508DA486D1}"/>
    <cellStyle name="20% - Énfasis1 3 3 6" xfId="35071" xr:uid="{FF22F3F3-D334-4F08-BD63-721F9E8A5F4E}"/>
    <cellStyle name="20% - Énfasis1 3 4" xfId="1733" xr:uid="{1E252774-B2DC-469C-9F68-D62246CB809A}"/>
    <cellStyle name="20% - Énfasis1 3 4 2" xfId="5465" xr:uid="{5AF04596-0AE3-4EF4-86BC-952A680D96B9}"/>
    <cellStyle name="20% - Énfasis1 3 4 2 2" xfId="13173" xr:uid="{5AE9E1F6-DB0D-4987-B91B-E0D62AA56DEF}"/>
    <cellStyle name="20% - Énfasis1 3 4 2 2 2" xfId="28585" xr:uid="{48F8817E-9A07-42F7-B818-0B730A2EFA23}"/>
    <cellStyle name="20% - Énfasis1 3 4 2 2 2 2" xfId="35090" xr:uid="{82EB9036-8A78-4ECA-BE84-6688AD1B7EC5}"/>
    <cellStyle name="20% - Énfasis1 3 4 2 2 3" xfId="35089" xr:uid="{78065D64-0B9A-4175-B621-37594405C0D9}"/>
    <cellStyle name="20% - Énfasis1 3 4 2 3" xfId="20880" xr:uid="{450F5F4F-D7F7-4988-BBB9-5776716FA3C3}"/>
    <cellStyle name="20% - Énfasis1 3 4 2 3 2" xfId="35091" xr:uid="{058EE588-D272-4FCE-B438-9E772F480FFF}"/>
    <cellStyle name="20% - Énfasis1 3 4 2 4" xfId="35088" xr:uid="{161A2105-C31F-4FB8-9082-A081CC9BAB74}"/>
    <cellStyle name="20% - Énfasis1 3 4 3" xfId="9444" xr:uid="{BA2F42B9-FB28-436D-8DFA-E863260FAFCC}"/>
    <cellStyle name="20% - Énfasis1 3 4 3 2" xfId="24857" xr:uid="{36BEBFC2-BBCF-4F1A-BF95-E518F1C70EE7}"/>
    <cellStyle name="20% - Énfasis1 3 4 3 2 2" xfId="35093" xr:uid="{40754B98-4D98-4013-A1DA-878F25EAE2AF}"/>
    <cellStyle name="20% - Énfasis1 3 4 3 3" xfId="35092" xr:uid="{6A637D63-731E-46C9-8973-7CE68F8E2362}"/>
    <cellStyle name="20% - Énfasis1 3 4 4" xfId="17152" xr:uid="{E1A3D70C-F9F9-4D56-BF5C-5A9AE72A16D9}"/>
    <cellStyle name="20% - Énfasis1 3 4 4 2" xfId="35094" xr:uid="{AD005406-9F37-4F6F-AA92-2DE633B101F5}"/>
    <cellStyle name="20% - Énfasis1 3 4 5" xfId="35087" xr:uid="{D1FD11A8-7360-409A-8B6B-9C35843E7296}"/>
    <cellStyle name="20% - Énfasis1 3 5" xfId="3986" xr:uid="{B37E10D1-8615-49CE-802A-9B34BB861F46}"/>
    <cellStyle name="20% - Énfasis1 3 5 2" xfId="11694" xr:uid="{C47854A6-F42A-4CC3-9015-88071C10B184}"/>
    <cellStyle name="20% - Énfasis1 3 5 2 2" xfId="27106" xr:uid="{3E169FE4-D616-43ED-AF45-2DE36C5EDD21}"/>
    <cellStyle name="20% - Énfasis1 3 5 2 2 2" xfId="35097" xr:uid="{6F3F1765-6F1B-4DA6-8155-8757172968BD}"/>
    <cellStyle name="20% - Énfasis1 3 5 2 3" xfId="35096" xr:uid="{33E0E185-36D2-4D51-8E20-1FDA656D6C6E}"/>
    <cellStyle name="20% - Énfasis1 3 5 3" xfId="19401" xr:uid="{E36B9472-1668-4367-A4D7-1D5327EE76E3}"/>
    <cellStyle name="20% - Énfasis1 3 5 3 2" xfId="35098" xr:uid="{1C9EF8B2-72A8-4921-B256-31547993B861}"/>
    <cellStyle name="20% - Énfasis1 3 5 4" xfId="35095" xr:uid="{DD0FD2B2-273B-4D39-BEF6-E94D6D7CC14C}"/>
    <cellStyle name="20% - Énfasis1 3 6" xfId="7985" xr:uid="{412F62AE-8297-4003-9142-40D60247A316}"/>
    <cellStyle name="20% - Énfasis1 3 6 2" xfId="23398" xr:uid="{9B58E1C7-1DE6-42C4-AC66-089E25E9962A}"/>
    <cellStyle name="20% - Énfasis1 3 6 2 2" xfId="35100" xr:uid="{28AD2BCE-1932-4A6E-A2A8-62E6782E0E59}"/>
    <cellStyle name="20% - Énfasis1 3 6 3" xfId="35099" xr:uid="{A1CC5E96-393F-461E-B257-4F4FA167056C}"/>
    <cellStyle name="20% - Énfasis1 3 7" xfId="15693" xr:uid="{1358ABCB-7AF7-4A8D-A711-5A6BB5EF560D}"/>
    <cellStyle name="20% - Énfasis1 3 7 2" xfId="35101" xr:uid="{ED073A2F-EB85-4DC2-9EE1-D84F101787CD}"/>
    <cellStyle name="20% - Énfasis1 3 8" xfId="35038" xr:uid="{E097D677-F58C-422C-8800-EACE9DDB66BC}"/>
    <cellStyle name="20% - Énfasis1 30" xfId="3096" xr:uid="{AE85E682-ED17-4C27-BAC4-A000A20BB817}"/>
    <cellStyle name="20% - Énfasis1 30 2" xfId="6828" xr:uid="{FFD6A1CB-BCED-4167-9612-2898DC78EF1A}"/>
    <cellStyle name="20% - Énfasis1 30 2 2" xfId="14536" xr:uid="{1BBBB06D-0D2C-4C21-A47D-B3278DB10500}"/>
    <cellStyle name="20% - Énfasis1 30 2 2 2" xfId="29948" xr:uid="{F86D4815-1D41-4C93-9D62-C6733BBD1E1F}"/>
    <cellStyle name="20% - Énfasis1 30 2 2 2 2" xfId="35105" xr:uid="{93AFF4A9-AF1A-47E7-8BEB-CA4811C57DE1}"/>
    <cellStyle name="20% - Énfasis1 30 2 2 3" xfId="35104" xr:uid="{540A9626-7E37-433D-838E-D2945D1CB11E}"/>
    <cellStyle name="20% - Énfasis1 30 2 3" xfId="22243" xr:uid="{157BA1EC-677C-406B-A2CB-4CE90440B9B4}"/>
    <cellStyle name="20% - Énfasis1 30 2 3 2" xfId="35106" xr:uid="{5CD2A177-5919-4F55-BD23-7F4CE776AC08}"/>
    <cellStyle name="20% - Énfasis1 30 2 4" xfId="35103" xr:uid="{9A9D15CF-5B65-4389-9A61-039590D8366D}"/>
    <cellStyle name="20% - Énfasis1 30 3" xfId="10807" xr:uid="{F9A041D9-17BC-451F-AA04-96AEB1905ACD}"/>
    <cellStyle name="20% - Énfasis1 30 3 2" xfId="26220" xr:uid="{FF7CAD6F-55BB-4F3F-BEB4-557EA21F1C22}"/>
    <cellStyle name="20% - Énfasis1 30 3 2 2" xfId="35108" xr:uid="{A7810816-8E84-4404-A7E4-CB2F7353AD72}"/>
    <cellStyle name="20% - Énfasis1 30 3 3" xfId="35107" xr:uid="{102CDC20-1DEC-43E5-A9BE-AF4213B85AAF}"/>
    <cellStyle name="20% - Énfasis1 30 4" xfId="18515" xr:uid="{8C4EF2E1-3291-4779-A37C-11E88B4B94AD}"/>
    <cellStyle name="20% - Énfasis1 30 4 2" xfId="35109" xr:uid="{A479D72A-99DB-42D9-AE5F-DC45ED73BED2}"/>
    <cellStyle name="20% - Énfasis1 30 5" xfId="35102" xr:uid="{8931D4BC-3C63-422D-9A3D-B2CA128F7026}"/>
    <cellStyle name="20% - Énfasis1 31" xfId="3116" xr:uid="{51C57B8D-7EF0-473C-A1FE-238DB0EA8896}"/>
    <cellStyle name="20% - Énfasis1 31 2" xfId="6848" xr:uid="{39DFF055-01F9-45CC-B86A-AA50ABA8BCD1}"/>
    <cellStyle name="20% - Énfasis1 31 2 2" xfId="14556" xr:uid="{4C972E4F-503F-4C88-A2F8-AA213BD2E010}"/>
    <cellStyle name="20% - Énfasis1 31 2 2 2" xfId="29968" xr:uid="{7C962BFB-7F7A-4700-8493-D0339FF76BBE}"/>
    <cellStyle name="20% - Énfasis1 31 2 2 2 2" xfId="35113" xr:uid="{A29C8303-1C34-4095-A097-C392333BCF0A}"/>
    <cellStyle name="20% - Énfasis1 31 2 2 3" xfId="35112" xr:uid="{0F390BDF-D76F-4AA7-A63F-0FDC738F86DE}"/>
    <cellStyle name="20% - Énfasis1 31 2 3" xfId="22263" xr:uid="{28D13DB8-A92F-4D4C-97DF-E7822880518B}"/>
    <cellStyle name="20% - Énfasis1 31 2 3 2" xfId="35114" xr:uid="{79BF565C-D82C-43DC-8333-7D344DFF23DC}"/>
    <cellStyle name="20% - Énfasis1 31 2 4" xfId="35111" xr:uid="{0759C158-6C46-41CA-A797-EC494DCF107A}"/>
    <cellStyle name="20% - Énfasis1 31 3" xfId="10827" xr:uid="{B82AA21E-516F-4F64-AC95-8AA49333DDAE}"/>
    <cellStyle name="20% - Énfasis1 31 3 2" xfId="26240" xr:uid="{B148B921-644D-4B6E-8E8E-07E7299BD7E7}"/>
    <cellStyle name="20% - Énfasis1 31 3 2 2" xfId="35116" xr:uid="{70935215-F7EC-4083-8292-8715377CF056}"/>
    <cellStyle name="20% - Énfasis1 31 3 3" xfId="35115" xr:uid="{26423ECA-0C04-4518-8407-C9D9AEF6E57C}"/>
    <cellStyle name="20% - Énfasis1 31 4" xfId="18535" xr:uid="{40E87767-058C-48D8-88ED-D05C95CA2FF1}"/>
    <cellStyle name="20% - Énfasis1 31 4 2" xfId="35117" xr:uid="{B8931BAC-844B-473F-9731-18C2F5479286}"/>
    <cellStyle name="20% - Énfasis1 31 5" xfId="35110" xr:uid="{1EC09BB3-4855-4710-9355-0EED3F656DEB}"/>
    <cellStyle name="20% - Énfasis1 32" xfId="3136" xr:uid="{19DF021B-CE02-4EEF-B93E-72F010D42196}"/>
    <cellStyle name="20% - Énfasis1 32 2" xfId="6868" xr:uid="{EA030974-8B27-4722-9C44-92ACF8F1B025}"/>
    <cellStyle name="20% - Énfasis1 32 2 2" xfId="14576" xr:uid="{F8EBFC98-52B7-4BBB-9651-3BAC3B746A2F}"/>
    <cellStyle name="20% - Énfasis1 32 2 2 2" xfId="29988" xr:uid="{A3D1CE1F-C491-4D00-BDA0-CDA23486D885}"/>
    <cellStyle name="20% - Énfasis1 32 2 2 2 2" xfId="35121" xr:uid="{43DE57D8-BB85-416D-ADDB-7403682EADE3}"/>
    <cellStyle name="20% - Énfasis1 32 2 2 3" xfId="35120" xr:uid="{855D710E-719E-49D7-8622-9E9D00277546}"/>
    <cellStyle name="20% - Énfasis1 32 2 3" xfId="22283" xr:uid="{4E24DBA3-A34D-429C-8FBF-5CD29281E1D7}"/>
    <cellStyle name="20% - Énfasis1 32 2 3 2" xfId="35122" xr:uid="{BFBA1DA2-0EFD-48C7-8FF4-54C72D321858}"/>
    <cellStyle name="20% - Énfasis1 32 2 4" xfId="35119" xr:uid="{9D245F0E-F1B2-4F8F-AFBE-6CA175471360}"/>
    <cellStyle name="20% - Énfasis1 32 3" xfId="10847" xr:uid="{F26371FB-4E40-49F9-A5A8-E4DE4D86BC86}"/>
    <cellStyle name="20% - Énfasis1 32 3 2" xfId="26260" xr:uid="{1E56DB03-1353-4249-9A3E-B662B6F65E79}"/>
    <cellStyle name="20% - Énfasis1 32 3 2 2" xfId="35124" xr:uid="{28857983-FF09-4581-8886-DE6463746531}"/>
    <cellStyle name="20% - Énfasis1 32 3 3" xfId="35123" xr:uid="{6591F71F-91D5-4A55-901D-3CDF518F9C1F}"/>
    <cellStyle name="20% - Énfasis1 32 4" xfId="18555" xr:uid="{F6264A37-3532-4E83-9923-5AF196490545}"/>
    <cellStyle name="20% - Énfasis1 32 4 2" xfId="35125" xr:uid="{3EB23839-042B-49BB-A98A-42468876EF84}"/>
    <cellStyle name="20% - Énfasis1 32 5" xfId="35118" xr:uid="{AA7280CB-8E3E-42DC-BA48-B57EE130BDFF}"/>
    <cellStyle name="20% - Énfasis1 33" xfId="3156" xr:uid="{53B70CA5-CD51-43FE-8D2C-4538B6542D5D}"/>
    <cellStyle name="20% - Énfasis1 33 2" xfId="6888" xr:uid="{4173ACCA-60F0-4BFD-85CA-DAEB9789D078}"/>
    <cellStyle name="20% - Énfasis1 33 2 2" xfId="14596" xr:uid="{204C02F7-F055-47FD-88FE-AA378C1CAE48}"/>
    <cellStyle name="20% - Énfasis1 33 2 2 2" xfId="30008" xr:uid="{B812E465-9B75-40D6-BE3D-DEDF8C3263EC}"/>
    <cellStyle name="20% - Énfasis1 33 2 2 2 2" xfId="35129" xr:uid="{79E28F79-2836-4CD2-A18F-1AE2AFB85E7E}"/>
    <cellStyle name="20% - Énfasis1 33 2 2 3" xfId="35128" xr:uid="{A3CA4577-D0E5-4983-BE2C-4F3B0E4A9EE6}"/>
    <cellStyle name="20% - Énfasis1 33 2 3" xfId="22303" xr:uid="{A5416033-37BF-4903-9AA4-3975E42A7505}"/>
    <cellStyle name="20% - Énfasis1 33 2 3 2" xfId="35130" xr:uid="{C46E1E6E-F32D-459E-8C02-0694111D7D5A}"/>
    <cellStyle name="20% - Énfasis1 33 2 4" xfId="35127" xr:uid="{07BCD2A4-B165-427B-AE43-C410470948FD}"/>
    <cellStyle name="20% - Énfasis1 33 3" xfId="10867" xr:uid="{94C3A852-E5AC-4142-B6FD-2146EC03C074}"/>
    <cellStyle name="20% - Énfasis1 33 3 2" xfId="26280" xr:uid="{677FC865-F1EF-4FBC-ADAC-262608BC3789}"/>
    <cellStyle name="20% - Énfasis1 33 3 2 2" xfId="35132" xr:uid="{0CDEBE62-61F0-451B-91B9-447A446DF2F7}"/>
    <cellStyle name="20% - Énfasis1 33 3 3" xfId="35131" xr:uid="{E5268974-437D-4A6E-9617-B5D2D2954D30}"/>
    <cellStyle name="20% - Énfasis1 33 4" xfId="18575" xr:uid="{4E5F8EB6-2A8A-4BCD-9444-A3F836A36321}"/>
    <cellStyle name="20% - Énfasis1 33 4 2" xfId="35133" xr:uid="{92ADE917-65CF-4824-92F7-6F9BF9FEF91E}"/>
    <cellStyle name="20% - Énfasis1 33 5" xfId="35126" xr:uid="{8ED206AF-2914-4693-B050-34430543A209}"/>
    <cellStyle name="20% - Énfasis1 34" xfId="3176" xr:uid="{7BF6D1BC-7F50-4D9C-BF0C-C9E660382536}"/>
    <cellStyle name="20% - Énfasis1 34 2" xfId="6908" xr:uid="{8691C792-E1F7-46C3-A2CE-8A41F5B3BCD9}"/>
    <cellStyle name="20% - Énfasis1 34 2 2" xfId="14616" xr:uid="{75BF7BD4-A940-4C9E-B26E-5AEB639154D4}"/>
    <cellStyle name="20% - Énfasis1 34 2 2 2" xfId="30028" xr:uid="{489168B1-C039-403C-A5DC-3F12B3D6D62B}"/>
    <cellStyle name="20% - Énfasis1 34 2 2 2 2" xfId="35137" xr:uid="{13ED9420-6BAD-4EDA-AB2C-ED7918C592CD}"/>
    <cellStyle name="20% - Énfasis1 34 2 2 3" xfId="35136" xr:uid="{F800ECA0-4BD5-419F-9AE4-B6B7B2B8F3E2}"/>
    <cellStyle name="20% - Énfasis1 34 2 3" xfId="22323" xr:uid="{264A16D5-D2F8-4381-A221-91115E9CFC33}"/>
    <cellStyle name="20% - Énfasis1 34 2 3 2" xfId="35138" xr:uid="{F6ECD433-C836-4BD1-9616-7ADF776BBD8D}"/>
    <cellStyle name="20% - Énfasis1 34 2 4" xfId="35135" xr:uid="{CE117967-28B3-4CCF-81F3-CE96C8A5246E}"/>
    <cellStyle name="20% - Énfasis1 34 3" xfId="10887" xr:uid="{12FC5B15-68B6-4BDE-A7D6-83DC11EEEC2F}"/>
    <cellStyle name="20% - Énfasis1 34 3 2" xfId="26300" xr:uid="{5A58F106-D459-48F5-9C4C-D49DC6AE8B47}"/>
    <cellStyle name="20% - Énfasis1 34 3 2 2" xfId="35140" xr:uid="{D31E96E5-2CD6-4C2A-9A33-BDAE411EF3DB}"/>
    <cellStyle name="20% - Énfasis1 34 3 3" xfId="35139" xr:uid="{47F4905A-C6F0-434C-9A04-89392A7EA357}"/>
    <cellStyle name="20% - Énfasis1 34 4" xfId="18595" xr:uid="{D1ED9511-394B-4D45-9840-B0E771B8565A}"/>
    <cellStyle name="20% - Énfasis1 34 4 2" xfId="35141" xr:uid="{2238A854-A167-42E8-B100-754FA8E71FF6}"/>
    <cellStyle name="20% - Énfasis1 34 5" xfId="35134" xr:uid="{F344B079-5104-41A2-8166-7EAEC7864455}"/>
    <cellStyle name="20% - Énfasis1 35" xfId="3196" xr:uid="{199C5993-2971-4F41-A46B-82105D663463}"/>
    <cellStyle name="20% - Énfasis1 35 2" xfId="6928" xr:uid="{1ADB3594-B6CB-4F2F-B95B-CFA8966F56D1}"/>
    <cellStyle name="20% - Énfasis1 35 2 2" xfId="14636" xr:uid="{7C028925-EAB8-402A-8030-484544F40869}"/>
    <cellStyle name="20% - Énfasis1 35 2 2 2" xfId="30048" xr:uid="{1B631363-B856-4265-B53A-DF221086758A}"/>
    <cellStyle name="20% - Énfasis1 35 2 2 2 2" xfId="35145" xr:uid="{A0E3545D-AB58-4EC6-89F1-7D2963342785}"/>
    <cellStyle name="20% - Énfasis1 35 2 2 3" xfId="35144" xr:uid="{C06E3CA6-E0AF-4836-BB6E-C3CF8794022F}"/>
    <cellStyle name="20% - Énfasis1 35 2 3" xfId="22343" xr:uid="{4D333E4B-C936-4A1F-86A3-479400F0D415}"/>
    <cellStyle name="20% - Énfasis1 35 2 3 2" xfId="35146" xr:uid="{32D5A82D-34A4-42D2-A491-F9F0A1647605}"/>
    <cellStyle name="20% - Énfasis1 35 2 4" xfId="35143" xr:uid="{5694583D-76BE-4E0D-B195-9ABEB2112CF8}"/>
    <cellStyle name="20% - Énfasis1 35 3" xfId="10907" xr:uid="{9E45ED50-AD18-492F-A6E0-60BDF541E990}"/>
    <cellStyle name="20% - Énfasis1 35 3 2" xfId="26320" xr:uid="{9227FF78-9B6B-43BF-9695-DA5BCDFCDF44}"/>
    <cellStyle name="20% - Énfasis1 35 3 2 2" xfId="35148" xr:uid="{81EDE6D7-1DB2-4272-A587-924576574902}"/>
    <cellStyle name="20% - Énfasis1 35 3 3" xfId="35147" xr:uid="{8D097817-D32C-41E9-A744-B151E6561570}"/>
    <cellStyle name="20% - Énfasis1 35 4" xfId="18615" xr:uid="{632A748A-32AF-4826-80FB-9C7F8895585B}"/>
    <cellStyle name="20% - Énfasis1 35 4 2" xfId="35149" xr:uid="{7EF1F5D4-E650-4EC5-93EB-2A730A65C5B5}"/>
    <cellStyle name="20% - Énfasis1 35 5" xfId="35142" xr:uid="{22E02F2D-82E4-4F06-AABB-D21C07B80AA8}"/>
    <cellStyle name="20% - Énfasis1 36" xfId="3216" xr:uid="{4FA6B886-6F9A-45CF-9CD9-8292E0E189E7}"/>
    <cellStyle name="20% - Énfasis1 36 2" xfId="6948" xr:uid="{79750EA7-04D3-40C5-9477-54CE16D7C047}"/>
    <cellStyle name="20% - Énfasis1 36 2 2" xfId="14656" xr:uid="{C36FCCE3-48AC-4223-ABF9-1EEA8D441D77}"/>
    <cellStyle name="20% - Énfasis1 36 2 2 2" xfId="30068" xr:uid="{CC910C36-179C-43E5-BF87-57FCE3C2B741}"/>
    <cellStyle name="20% - Énfasis1 36 2 2 2 2" xfId="35153" xr:uid="{623D86EE-0E11-4EB8-8F2B-20075B7523A2}"/>
    <cellStyle name="20% - Énfasis1 36 2 2 3" xfId="35152" xr:uid="{B0732908-A7E4-4348-A74C-9B7568F83B5D}"/>
    <cellStyle name="20% - Énfasis1 36 2 3" xfId="22363" xr:uid="{99F6121D-3DB9-46B8-8D9A-0B050D6FFA4B}"/>
    <cellStyle name="20% - Énfasis1 36 2 3 2" xfId="35154" xr:uid="{F33C159C-EA63-4023-80DC-E1CCE194C507}"/>
    <cellStyle name="20% - Énfasis1 36 2 4" xfId="35151" xr:uid="{F80EA5FD-E843-4BD8-A08C-2535F6EBD2A2}"/>
    <cellStyle name="20% - Énfasis1 36 3" xfId="10927" xr:uid="{0C7D289E-2F98-4059-9846-EB0E8F3DEE48}"/>
    <cellStyle name="20% - Énfasis1 36 3 2" xfId="26340" xr:uid="{A3E9BD5A-1CAE-4F73-BF92-381D813CEBA0}"/>
    <cellStyle name="20% - Énfasis1 36 3 2 2" xfId="35156" xr:uid="{FA3EB8CB-B015-4263-B563-013147DE3936}"/>
    <cellStyle name="20% - Énfasis1 36 3 3" xfId="35155" xr:uid="{CB3977B5-A617-451C-B7D6-08A20CF419BB}"/>
    <cellStyle name="20% - Énfasis1 36 4" xfId="18635" xr:uid="{3F5D3EAE-12C9-411F-B413-F24FBFEA9346}"/>
    <cellStyle name="20% - Énfasis1 36 4 2" xfId="35157" xr:uid="{D9C924AC-D9EB-41FB-A160-ACD7E88F47D5}"/>
    <cellStyle name="20% - Énfasis1 36 5" xfId="35150" xr:uid="{6DE1907A-EBD0-4351-89C2-7EABBDB1C75A}"/>
    <cellStyle name="20% - Énfasis1 37" xfId="3236" xr:uid="{4010DA02-E750-4A47-8788-031871E46BDD}"/>
    <cellStyle name="20% - Énfasis1 37 2" xfId="6968" xr:uid="{903A590C-6AE6-49B7-A20A-B0E6BD8A936A}"/>
    <cellStyle name="20% - Énfasis1 37 2 2" xfId="14676" xr:uid="{590A6410-58F1-4541-B31D-EC7EB8826D80}"/>
    <cellStyle name="20% - Énfasis1 37 2 2 2" xfId="30088" xr:uid="{37B80A51-577C-4EB0-9516-FFDF348A4175}"/>
    <cellStyle name="20% - Énfasis1 37 2 2 2 2" xfId="35161" xr:uid="{A5A86315-52CB-4B9E-8AEC-F1E55A5BB129}"/>
    <cellStyle name="20% - Énfasis1 37 2 2 3" xfId="35160" xr:uid="{B6BD33DA-B214-4BA2-AB95-D0439D0BEAFD}"/>
    <cellStyle name="20% - Énfasis1 37 2 3" xfId="22383" xr:uid="{32519BE1-6EEC-4D3B-8326-CBBAC7CCA099}"/>
    <cellStyle name="20% - Énfasis1 37 2 3 2" xfId="35162" xr:uid="{A2F96285-4520-44D8-AACF-DE56AE33F1B4}"/>
    <cellStyle name="20% - Énfasis1 37 2 4" xfId="35159" xr:uid="{03677502-6034-46DE-AC59-C26EAB9FB2E5}"/>
    <cellStyle name="20% - Énfasis1 37 3" xfId="10947" xr:uid="{E90CB63A-6276-4495-8EE6-55894BF50348}"/>
    <cellStyle name="20% - Énfasis1 37 3 2" xfId="26360" xr:uid="{C08FC522-90E9-49D6-B7B1-7502F6CF0587}"/>
    <cellStyle name="20% - Énfasis1 37 3 2 2" xfId="35164" xr:uid="{D1C67258-ADB1-4D99-BBBF-D8677D2D8162}"/>
    <cellStyle name="20% - Énfasis1 37 3 3" xfId="35163" xr:uid="{B07E64A6-4CA1-4E98-84C8-60B5D33F78B0}"/>
    <cellStyle name="20% - Énfasis1 37 4" xfId="18655" xr:uid="{D9582FEA-70E6-43A7-B204-44608B0380E7}"/>
    <cellStyle name="20% - Énfasis1 37 4 2" xfId="35165" xr:uid="{BCD44C95-4AD1-4EE2-BC49-9064092CBAE2}"/>
    <cellStyle name="20% - Énfasis1 37 5" xfId="35158" xr:uid="{7A2DFAEB-5C91-4FC2-BBDB-9F97913D398D}"/>
    <cellStyle name="20% - Énfasis1 38" xfId="3256" xr:uid="{8D1B1480-985B-48F7-A5DA-80111FD3DDAC}"/>
    <cellStyle name="20% - Énfasis1 38 2" xfId="6988" xr:uid="{DA97A000-DB3B-4CCF-A238-6DC06AE8517C}"/>
    <cellStyle name="20% - Énfasis1 38 2 2" xfId="14696" xr:uid="{A2480DA9-3636-4537-BF73-BC11AE477273}"/>
    <cellStyle name="20% - Énfasis1 38 2 2 2" xfId="30108" xr:uid="{27C548ED-C4F7-4C1C-A0F0-5F68FDF4826E}"/>
    <cellStyle name="20% - Énfasis1 38 2 2 2 2" xfId="35169" xr:uid="{9F1BF093-189F-4AB3-9D83-41C182F1EB9C}"/>
    <cellStyle name="20% - Énfasis1 38 2 2 3" xfId="35168" xr:uid="{EC8C2568-28D9-447C-ADFD-18873122FC83}"/>
    <cellStyle name="20% - Énfasis1 38 2 3" xfId="22403" xr:uid="{18B5B17A-C920-4B27-AC59-091EA14385B6}"/>
    <cellStyle name="20% - Énfasis1 38 2 3 2" xfId="35170" xr:uid="{C5E4365F-7B2B-4EA5-BD34-FCA8A1CA8039}"/>
    <cellStyle name="20% - Énfasis1 38 2 4" xfId="35167" xr:uid="{7FFEE242-67FE-4438-9CE3-65CC4786DAB0}"/>
    <cellStyle name="20% - Énfasis1 38 3" xfId="10967" xr:uid="{BF4014A2-AE76-42A3-95FF-6238B2777465}"/>
    <cellStyle name="20% - Énfasis1 38 3 2" xfId="26380" xr:uid="{2288CC6A-6C88-4DC0-834B-C7BEF6EAD080}"/>
    <cellStyle name="20% - Énfasis1 38 3 2 2" xfId="35172" xr:uid="{BEF3CD79-36F8-4B1F-85AB-67079CDBAE04}"/>
    <cellStyle name="20% - Énfasis1 38 3 3" xfId="35171" xr:uid="{8F39176A-9802-4503-A6DB-074A3B570246}"/>
    <cellStyle name="20% - Énfasis1 38 4" xfId="18675" xr:uid="{DDCB7609-A636-4665-AFFD-F6AEEF0ED903}"/>
    <cellStyle name="20% - Énfasis1 38 4 2" xfId="35173" xr:uid="{8297EF9B-F1D8-4B72-B6BD-968AF06D2137}"/>
    <cellStyle name="20% - Énfasis1 38 5" xfId="35166" xr:uid="{F51F718D-3DAB-4E7A-A955-48EBB33D9083}"/>
    <cellStyle name="20% - Énfasis1 39" xfId="3276" xr:uid="{2B990405-5C45-42D8-BB97-B88E3E2FF363}"/>
    <cellStyle name="20% - Énfasis1 39 2" xfId="7008" xr:uid="{386BF944-9E06-433F-BE93-ABA60A5B850A}"/>
    <cellStyle name="20% - Énfasis1 39 2 2" xfId="14716" xr:uid="{E693C4B8-C4E4-4015-9870-0CF44C3B0759}"/>
    <cellStyle name="20% - Énfasis1 39 2 2 2" xfId="30128" xr:uid="{2720DE50-32EC-40F0-A104-7BDBDB0424F0}"/>
    <cellStyle name="20% - Énfasis1 39 2 2 2 2" xfId="35177" xr:uid="{34036518-AD7A-41D2-B2A4-7E48C4DF2703}"/>
    <cellStyle name="20% - Énfasis1 39 2 2 3" xfId="35176" xr:uid="{FAB7B248-B665-474C-B64F-AB6D24EB04CA}"/>
    <cellStyle name="20% - Énfasis1 39 2 3" xfId="22423" xr:uid="{259CA038-1947-436D-9823-1EBC02D80B54}"/>
    <cellStyle name="20% - Énfasis1 39 2 3 2" xfId="35178" xr:uid="{30306154-687F-4859-912C-19B072DF77A8}"/>
    <cellStyle name="20% - Énfasis1 39 2 4" xfId="35175" xr:uid="{87426899-AA38-4944-B238-691E4DC72CA4}"/>
    <cellStyle name="20% - Énfasis1 39 3" xfId="10987" xr:uid="{CAB1099C-272F-4AB8-A463-ACB570944DFE}"/>
    <cellStyle name="20% - Énfasis1 39 3 2" xfId="26400" xr:uid="{B9635F77-BA2D-425A-BC7B-73369B4CD540}"/>
    <cellStyle name="20% - Énfasis1 39 3 2 2" xfId="35180" xr:uid="{84895FCF-6990-4C5A-8999-0E9A5C7C98EA}"/>
    <cellStyle name="20% - Énfasis1 39 3 3" xfId="35179" xr:uid="{0065B3E0-95F6-46A9-8E45-7EE1EBC236CB}"/>
    <cellStyle name="20% - Énfasis1 39 4" xfId="18695" xr:uid="{987E040C-6C29-4103-85B1-C05239408F4D}"/>
    <cellStyle name="20% - Énfasis1 39 4 2" xfId="35181" xr:uid="{4F5A2315-616D-4A05-9A4F-6E1150A21D9A}"/>
    <cellStyle name="20% - Énfasis1 39 5" xfId="35174" xr:uid="{20C13108-CD80-4664-9562-80B1922512E1}"/>
    <cellStyle name="20% - Énfasis1 4" xfId="263" xr:uid="{64580D8E-7497-4816-B4E7-9492D6142627}"/>
    <cellStyle name="20% - Énfasis1 4 2" xfId="466" xr:uid="{8A4B4A35-53E9-4C6B-A943-8DF5075C68C7}"/>
    <cellStyle name="20% - Énfasis1 4 2 2" xfId="1127" xr:uid="{2D948127-B254-4E4A-8EFB-59B03D4231D8}"/>
    <cellStyle name="20% - Énfasis1 4 2 2 2" xfId="2595" xr:uid="{CCD57741-4D80-4C0A-A69D-090B31EF22C1}"/>
    <cellStyle name="20% - Énfasis1 4 2 2 2 2" xfId="6327" xr:uid="{C12BDA7D-E004-4C9E-A387-454FF0264D1F}"/>
    <cellStyle name="20% - Énfasis1 4 2 2 2 2 2" xfId="14035" xr:uid="{ED5B41EA-0B27-4FF1-BA89-419723FDD22F}"/>
    <cellStyle name="20% - Énfasis1 4 2 2 2 2 2 2" xfId="29447" xr:uid="{7E102DF0-5E94-4ADC-85FE-8E65232176D2}"/>
    <cellStyle name="20% - Énfasis1 4 2 2 2 2 2 2 2" xfId="35188" xr:uid="{4A006BCD-3B10-458E-BFF0-2C491BAE0BEF}"/>
    <cellStyle name="20% - Énfasis1 4 2 2 2 2 2 3" xfId="35187" xr:uid="{8911DF92-E29F-4608-8142-41BC7D1B132D}"/>
    <cellStyle name="20% - Énfasis1 4 2 2 2 2 3" xfId="21742" xr:uid="{5870B4FB-81B6-48BC-8648-BA85ECF73ECF}"/>
    <cellStyle name="20% - Énfasis1 4 2 2 2 2 3 2" xfId="35189" xr:uid="{184645D5-5A51-4D91-BD47-AB5E58A15E7E}"/>
    <cellStyle name="20% - Énfasis1 4 2 2 2 2 4" xfId="35186" xr:uid="{618E773B-0258-42C8-9066-B4B70B4E2050}"/>
    <cellStyle name="20% - Énfasis1 4 2 2 2 3" xfId="10306" xr:uid="{DD622CB6-F330-4359-9DD9-A525E8549234}"/>
    <cellStyle name="20% - Énfasis1 4 2 2 2 3 2" xfId="25719" xr:uid="{DDB3470E-E254-4BDF-BC19-AD80B0950149}"/>
    <cellStyle name="20% - Énfasis1 4 2 2 2 3 2 2" xfId="35191" xr:uid="{CF4067D5-11B9-486D-A336-5FACCCFEE92D}"/>
    <cellStyle name="20% - Énfasis1 4 2 2 2 3 3" xfId="35190" xr:uid="{F9C7B2A7-3BCE-47AA-9414-D2D5B850BEEA}"/>
    <cellStyle name="20% - Énfasis1 4 2 2 2 4" xfId="18014" xr:uid="{89D9E38D-FE1B-459D-B4B3-B2CF9624DC06}"/>
    <cellStyle name="20% - Énfasis1 4 2 2 2 4 2" xfId="35192" xr:uid="{836289A7-C206-45FE-8146-EE4FC3928F28}"/>
    <cellStyle name="20% - Énfasis1 4 2 2 2 5" xfId="35185" xr:uid="{ECBB98BE-642C-4571-AFBB-732E6A908AD6}"/>
    <cellStyle name="20% - Énfasis1 4 2 2 3" xfId="4864" xr:uid="{4559B91B-4AB6-4689-B904-27D755C11E75}"/>
    <cellStyle name="20% - Énfasis1 4 2 2 3 2" xfId="12572" xr:uid="{411EF4D0-1BD8-4723-9E8B-F3DC5B22C747}"/>
    <cellStyle name="20% - Énfasis1 4 2 2 3 2 2" xfId="27984" xr:uid="{A3C14843-A0B7-4419-8BAE-61F93294BB60}"/>
    <cellStyle name="20% - Énfasis1 4 2 2 3 2 2 2" xfId="35195" xr:uid="{0611794D-B896-40A5-A513-23705984F758}"/>
    <cellStyle name="20% - Énfasis1 4 2 2 3 2 3" xfId="35194" xr:uid="{26AB83E5-0CB4-4FEB-A769-8723BBDED4BF}"/>
    <cellStyle name="20% - Énfasis1 4 2 2 3 3" xfId="20279" xr:uid="{66EF7D64-3091-4B2D-A69B-2D46A467A60F}"/>
    <cellStyle name="20% - Énfasis1 4 2 2 3 3 2" xfId="35196" xr:uid="{84EB79FE-D5A1-4B72-8392-6F197DEF9F6C}"/>
    <cellStyle name="20% - Énfasis1 4 2 2 3 4" xfId="35193" xr:uid="{A3B6411B-E9E9-4CC4-875D-AFDAEDCB5088}"/>
    <cellStyle name="20% - Énfasis1 4 2 2 4" xfId="8847" xr:uid="{17CF34F4-C798-4E07-9219-ACA317824762}"/>
    <cellStyle name="20% - Énfasis1 4 2 2 4 2" xfId="24260" xr:uid="{8F28E688-E51D-4D37-9580-634966B38EAA}"/>
    <cellStyle name="20% - Énfasis1 4 2 2 4 2 2" xfId="35198" xr:uid="{B570273A-40F1-4B0A-93DB-35C1FA7ABDC6}"/>
    <cellStyle name="20% - Énfasis1 4 2 2 4 3" xfId="35197" xr:uid="{6A5AC9EF-BA2E-487D-86F6-514E55036260}"/>
    <cellStyle name="20% - Énfasis1 4 2 2 5" xfId="16555" xr:uid="{07983757-6185-4899-A280-7659438BBEF6}"/>
    <cellStyle name="20% - Énfasis1 4 2 2 5 2" xfId="35199" xr:uid="{D0A1BB49-4E3F-4563-A2A7-6368477C78CE}"/>
    <cellStyle name="20% - Énfasis1 4 2 2 6" xfId="35184" xr:uid="{D4BC0858-770D-4595-AA74-2CDB9137F7F0}"/>
    <cellStyle name="20% - Énfasis1 4 2 3" xfId="1957" xr:uid="{08BD65D0-77C3-49E5-9FFE-56DD067912A2}"/>
    <cellStyle name="20% - Énfasis1 4 2 3 2" xfId="5689" xr:uid="{63FF4234-4C08-4F0B-8751-CB7375AFF7EB}"/>
    <cellStyle name="20% - Énfasis1 4 2 3 2 2" xfId="13397" xr:uid="{D090F5AA-B7B4-47D8-ABC3-0304FEBD3AF6}"/>
    <cellStyle name="20% - Énfasis1 4 2 3 2 2 2" xfId="28809" xr:uid="{8117157F-605D-4113-92AB-0094883F6A0E}"/>
    <cellStyle name="20% - Énfasis1 4 2 3 2 2 2 2" xfId="35203" xr:uid="{C3983ADB-C0F2-4C21-A023-49FF5ED7BCF2}"/>
    <cellStyle name="20% - Énfasis1 4 2 3 2 2 3" xfId="35202" xr:uid="{00BA3E97-567F-4442-AE5D-F0FE1FE7ED6B}"/>
    <cellStyle name="20% - Énfasis1 4 2 3 2 3" xfId="21104" xr:uid="{9F6BD6AC-4A74-4C7D-BEFD-D3385F4CF81E}"/>
    <cellStyle name="20% - Énfasis1 4 2 3 2 3 2" xfId="35204" xr:uid="{C67792D0-4F9C-47CD-A7CD-13D62EF668C6}"/>
    <cellStyle name="20% - Énfasis1 4 2 3 2 4" xfId="35201" xr:uid="{8C0AA7B3-7162-47BF-9B59-863B4C63F337}"/>
    <cellStyle name="20% - Énfasis1 4 2 3 3" xfId="9668" xr:uid="{AF2EADBD-2931-4673-8CEA-6439C1D27D34}"/>
    <cellStyle name="20% - Énfasis1 4 2 3 3 2" xfId="25081" xr:uid="{93A586AC-C656-481E-9BC5-4A9D967A7AE2}"/>
    <cellStyle name="20% - Énfasis1 4 2 3 3 2 2" xfId="35206" xr:uid="{CFA34468-014C-4F07-938B-2A9C370845EA}"/>
    <cellStyle name="20% - Énfasis1 4 2 3 3 3" xfId="35205" xr:uid="{DEAAF097-97D7-4C0C-9549-C117A66E108A}"/>
    <cellStyle name="20% - Énfasis1 4 2 3 4" xfId="17376" xr:uid="{F6D85B40-70E5-4E9E-A187-98BDD6E96EBD}"/>
    <cellStyle name="20% - Énfasis1 4 2 3 4 2" xfId="35207" xr:uid="{9CFCCAE1-DD65-4DE7-9540-1B18E4921CC5}"/>
    <cellStyle name="20% - Énfasis1 4 2 3 5" xfId="35200" xr:uid="{D6CEEB5F-FB0E-4426-AE1C-3548EB75B670}"/>
    <cellStyle name="20% - Énfasis1 4 2 4" xfId="4212" xr:uid="{58671954-C37E-4951-AED9-13E907C86F59}"/>
    <cellStyle name="20% - Énfasis1 4 2 4 2" xfId="11920" xr:uid="{C51A9226-BB84-4ADC-8D58-6FF91F08DB21}"/>
    <cellStyle name="20% - Énfasis1 4 2 4 2 2" xfId="27332" xr:uid="{C4BA4A0D-64A4-46D7-BBE1-482091075D13}"/>
    <cellStyle name="20% - Énfasis1 4 2 4 2 2 2" xfId="35210" xr:uid="{591CAB4E-39DD-4FED-A45F-BEA21F9E6297}"/>
    <cellStyle name="20% - Énfasis1 4 2 4 2 3" xfId="35209" xr:uid="{1042E215-C81B-4BFD-B811-1ABA3F913846}"/>
    <cellStyle name="20% - Énfasis1 4 2 4 3" xfId="19627" xr:uid="{95618EF3-65D4-4FFD-AA10-394B257BF91E}"/>
    <cellStyle name="20% - Énfasis1 4 2 4 3 2" xfId="35211" xr:uid="{167BA7F8-1A98-40B1-B79F-7DA15C438725}"/>
    <cellStyle name="20% - Énfasis1 4 2 4 4" xfId="35208" xr:uid="{37E95DBA-E146-47FF-BB09-726C7F745423}"/>
    <cellStyle name="20% - Énfasis1 4 2 5" xfId="8209" xr:uid="{F211184C-D0BF-44F7-AC00-1C6DA072EC41}"/>
    <cellStyle name="20% - Énfasis1 4 2 5 2" xfId="23622" xr:uid="{9F9F601B-F738-40D2-B681-35910C68D191}"/>
    <cellStyle name="20% - Énfasis1 4 2 5 2 2" xfId="35213" xr:uid="{8ECE23F0-D317-4291-835A-4F41E8930738}"/>
    <cellStyle name="20% - Énfasis1 4 2 5 3" xfId="35212" xr:uid="{5E2A1C15-0AD3-4259-968B-3BC3DBCCB753}"/>
    <cellStyle name="20% - Énfasis1 4 2 6" xfId="15917" xr:uid="{8DE75DDA-88D3-4958-9A36-CF478E6C6E05}"/>
    <cellStyle name="20% - Énfasis1 4 2 6 2" xfId="35214" xr:uid="{8DE7B77F-3309-47FE-AAD6-75E5C5B23A7C}"/>
    <cellStyle name="20% - Énfasis1 4 2 7" xfId="35183" xr:uid="{181DD59B-07F6-4877-85BB-058BBE3F4829}"/>
    <cellStyle name="20% - Énfasis1 4 3" xfId="927" xr:uid="{E1E425C1-6F9B-49B6-8CD3-367CC72445EE}"/>
    <cellStyle name="20% - Énfasis1 4 3 2" xfId="2397" xr:uid="{0F330D1C-37BD-4457-A3F7-90C9F0FBCE1A}"/>
    <cellStyle name="20% - Énfasis1 4 3 2 2" xfId="6129" xr:uid="{2E84D1F0-C534-4439-86EC-B24ADAB07551}"/>
    <cellStyle name="20% - Énfasis1 4 3 2 2 2" xfId="13837" xr:uid="{0E995CBE-D82E-45AA-8C15-E4DAA580A454}"/>
    <cellStyle name="20% - Énfasis1 4 3 2 2 2 2" xfId="29249" xr:uid="{9547E3FD-12F3-457D-906A-13AE45C45CBF}"/>
    <cellStyle name="20% - Énfasis1 4 3 2 2 2 2 2" xfId="35219" xr:uid="{B2183248-E16E-41F9-B502-A04C025D0759}"/>
    <cellStyle name="20% - Énfasis1 4 3 2 2 2 3" xfId="35218" xr:uid="{B5CDE5CB-3171-42D5-AFEA-EDAA2AA01A9B}"/>
    <cellStyle name="20% - Énfasis1 4 3 2 2 3" xfId="21544" xr:uid="{97C13F2C-515B-4412-B57C-6EB1E719DD3B}"/>
    <cellStyle name="20% - Énfasis1 4 3 2 2 3 2" xfId="35220" xr:uid="{BA4A792E-A525-4FFE-AA51-C53CF842075F}"/>
    <cellStyle name="20% - Énfasis1 4 3 2 2 4" xfId="35217" xr:uid="{CF8E559B-ACA9-4DE4-9CEC-8DBA89120D05}"/>
    <cellStyle name="20% - Énfasis1 4 3 2 3" xfId="10108" xr:uid="{7DA3B581-1207-471E-9A4C-CDADD0512E7E}"/>
    <cellStyle name="20% - Énfasis1 4 3 2 3 2" xfId="25521" xr:uid="{8C7DC5DC-8AEE-4F11-A876-1DB71444DFDD}"/>
    <cellStyle name="20% - Énfasis1 4 3 2 3 2 2" xfId="35222" xr:uid="{12D85047-00F5-4A5F-81A0-FB1D3A9BCAE9}"/>
    <cellStyle name="20% - Énfasis1 4 3 2 3 3" xfId="35221" xr:uid="{2B8AB079-F804-45A0-B26E-2C0B1953DDCD}"/>
    <cellStyle name="20% - Énfasis1 4 3 2 4" xfId="17816" xr:uid="{0C10202A-1E36-4928-A959-0546993D03F0}"/>
    <cellStyle name="20% - Énfasis1 4 3 2 4 2" xfId="35223" xr:uid="{6F8DCD0B-B08D-44E4-B49A-80F81272D3D9}"/>
    <cellStyle name="20% - Énfasis1 4 3 2 5" xfId="35216" xr:uid="{17710F21-7585-4713-9AC5-59B28908006D}"/>
    <cellStyle name="20% - Énfasis1 4 3 3" xfId="4664" xr:uid="{1EC3ABEF-C66D-4DBF-86DD-1DD640509CE6}"/>
    <cellStyle name="20% - Énfasis1 4 3 3 2" xfId="12372" xr:uid="{568139FD-63D8-4981-978F-361D2BA68D9C}"/>
    <cellStyle name="20% - Énfasis1 4 3 3 2 2" xfId="27784" xr:uid="{C6AE6FBE-A622-4315-A4DB-2EC750CCC6F6}"/>
    <cellStyle name="20% - Énfasis1 4 3 3 2 2 2" xfId="35226" xr:uid="{2CC0F443-EC8F-4CFF-93D1-C95ED79E2331}"/>
    <cellStyle name="20% - Énfasis1 4 3 3 2 3" xfId="35225" xr:uid="{6D03FA2D-5282-47DC-AEB2-E11058BDD66F}"/>
    <cellStyle name="20% - Énfasis1 4 3 3 3" xfId="20079" xr:uid="{B98B4E23-601D-4927-902A-2C26E529D09C}"/>
    <cellStyle name="20% - Énfasis1 4 3 3 3 2" xfId="35227" xr:uid="{A52F8FD0-619B-4D2E-9D6E-CD042369952E}"/>
    <cellStyle name="20% - Énfasis1 4 3 3 4" xfId="35224" xr:uid="{EA6B93F7-CBC2-4CF2-B721-5C8C267B34FF}"/>
    <cellStyle name="20% - Énfasis1 4 3 4" xfId="8649" xr:uid="{246FC198-80FE-412D-B90B-B32DADEF0BAB}"/>
    <cellStyle name="20% - Énfasis1 4 3 4 2" xfId="24062" xr:uid="{E03E9049-39F7-455A-8FE8-7B10DD3B3E6E}"/>
    <cellStyle name="20% - Énfasis1 4 3 4 2 2" xfId="35229" xr:uid="{8D819465-635A-463F-93C2-815880CAE341}"/>
    <cellStyle name="20% - Énfasis1 4 3 4 3" xfId="35228" xr:uid="{2EE47777-761C-4E0F-A762-9E2EF77C0E0A}"/>
    <cellStyle name="20% - Énfasis1 4 3 5" xfId="16357" xr:uid="{6AAC26F9-40B8-47CA-8A95-786CD1913006}"/>
    <cellStyle name="20% - Énfasis1 4 3 5 2" xfId="35230" xr:uid="{8D79FBB7-0FC4-4C1B-85EF-CBD577524C8D}"/>
    <cellStyle name="20% - Énfasis1 4 3 6" xfId="35215" xr:uid="{3952FF84-E7F9-4ACA-A399-8F3024FFE5BE}"/>
    <cellStyle name="20% - Énfasis1 4 4" xfId="1759" xr:uid="{C8A0ADED-F665-4A5A-B01E-5599F4072A8F}"/>
    <cellStyle name="20% - Énfasis1 4 4 2" xfId="5491" xr:uid="{E30885A8-BAD0-4BC1-B3F9-ADF64E8D2B35}"/>
    <cellStyle name="20% - Énfasis1 4 4 2 2" xfId="13199" xr:uid="{0FDA8E22-624E-4832-B985-3D880FD438C0}"/>
    <cellStyle name="20% - Énfasis1 4 4 2 2 2" xfId="28611" xr:uid="{4338740F-BCE4-4D0B-9049-3C58F95AFF4F}"/>
    <cellStyle name="20% - Énfasis1 4 4 2 2 2 2" xfId="35234" xr:uid="{6DC5FA25-09F6-495F-A087-AE060917D721}"/>
    <cellStyle name="20% - Énfasis1 4 4 2 2 3" xfId="35233" xr:uid="{BE693720-AB6F-43D3-8072-AECDEF2AA182}"/>
    <cellStyle name="20% - Énfasis1 4 4 2 3" xfId="20906" xr:uid="{5988911C-C536-4497-900C-D33CE9462A86}"/>
    <cellStyle name="20% - Énfasis1 4 4 2 3 2" xfId="35235" xr:uid="{F7A03FF1-102C-4674-BE1D-2F4875687848}"/>
    <cellStyle name="20% - Énfasis1 4 4 2 4" xfId="35232" xr:uid="{933BC7DA-5337-4383-9BB3-48DEF96768F0}"/>
    <cellStyle name="20% - Énfasis1 4 4 3" xfId="9470" xr:uid="{AB054CAF-FF1C-4C9D-9ED8-40D797830289}"/>
    <cellStyle name="20% - Énfasis1 4 4 3 2" xfId="24883" xr:uid="{F8F999B4-BF5A-442E-A627-A6E26744FEF4}"/>
    <cellStyle name="20% - Énfasis1 4 4 3 2 2" xfId="35237" xr:uid="{E2AEBCF0-FD11-406D-BC53-E19714F581CC}"/>
    <cellStyle name="20% - Énfasis1 4 4 3 3" xfId="35236" xr:uid="{28F407A3-3709-47EB-8584-7A64E7586130}"/>
    <cellStyle name="20% - Énfasis1 4 4 4" xfId="17178" xr:uid="{81D0B87C-4839-469E-AB76-EB0B1B3AE21A}"/>
    <cellStyle name="20% - Énfasis1 4 4 4 2" xfId="35238" xr:uid="{FE065C5C-7778-44A6-AC51-3528DFEC68EF}"/>
    <cellStyle name="20% - Énfasis1 4 4 5" xfId="35231" xr:uid="{D9524EC4-B6ED-417B-A880-B62C84A0C4C5}"/>
    <cellStyle name="20% - Énfasis1 4 5" xfId="4012" xr:uid="{54B1AAD5-BC93-4FBB-BBAE-CED6E37D5C75}"/>
    <cellStyle name="20% - Énfasis1 4 5 2" xfId="11720" xr:uid="{4A5E8ED2-A4D6-48CE-8245-3612EFEB492D}"/>
    <cellStyle name="20% - Énfasis1 4 5 2 2" xfId="27132" xr:uid="{75325B0C-6376-48D0-A2FF-59B6C9C3CFAA}"/>
    <cellStyle name="20% - Énfasis1 4 5 2 2 2" xfId="35241" xr:uid="{A0CA7AE4-FAA2-48F2-AA77-76DDBFA9251B}"/>
    <cellStyle name="20% - Énfasis1 4 5 2 3" xfId="35240" xr:uid="{75B6D68E-E927-4DB6-959A-F69248DBF211}"/>
    <cellStyle name="20% - Énfasis1 4 5 3" xfId="19427" xr:uid="{AA346184-CA3C-4A89-9D41-61E42AF9EC64}"/>
    <cellStyle name="20% - Énfasis1 4 5 3 2" xfId="35242" xr:uid="{D798C15B-4004-490E-B13D-7C57A78AC6CA}"/>
    <cellStyle name="20% - Énfasis1 4 5 4" xfId="35239" xr:uid="{F1616309-A422-4B8D-AFFF-CD950564C512}"/>
    <cellStyle name="20% - Énfasis1 4 6" xfId="8011" xr:uid="{2556F344-B7D9-479F-BE79-629A278E0280}"/>
    <cellStyle name="20% - Énfasis1 4 6 2" xfId="23424" xr:uid="{F3E45319-374C-4793-8702-20C0E665BE85}"/>
    <cellStyle name="20% - Énfasis1 4 6 2 2" xfId="35244" xr:uid="{3554E04F-3A3F-443E-A289-CE65B3C1B024}"/>
    <cellStyle name="20% - Énfasis1 4 6 3" xfId="35243" xr:uid="{CD783BCB-1EEE-4364-9F69-EDCCC9AEBFBD}"/>
    <cellStyle name="20% - Énfasis1 4 7" xfId="15719" xr:uid="{B2649B41-DF3B-4485-BAC8-03D579DCCEEC}"/>
    <cellStyle name="20% - Énfasis1 4 7 2" xfId="35245" xr:uid="{A37D4907-116C-4433-A26C-EF36A674361D}"/>
    <cellStyle name="20% - Énfasis1 4 8" xfId="35182" xr:uid="{331F8B8A-B888-414F-8A7B-D1368531B427}"/>
    <cellStyle name="20% - Énfasis1 5" xfId="281" xr:uid="{F67DB5FD-A9CC-4A76-A55E-6A0B37150FB2}"/>
    <cellStyle name="20% - Énfasis1 5 2" xfId="484" xr:uid="{CB99BF54-126E-4297-A638-0BB40F4F325D}"/>
    <cellStyle name="20% - Énfasis1 5 2 2" xfId="1145" xr:uid="{B19E5613-99C5-4129-96C8-B22B52F4A3BE}"/>
    <cellStyle name="20% - Énfasis1 5 2 2 2" xfId="2613" xr:uid="{F9250646-B2A5-48AB-81FA-A26DB850E981}"/>
    <cellStyle name="20% - Énfasis1 5 2 2 2 2" xfId="6345" xr:uid="{CFF48C06-600F-4DF0-8243-E9717994C9C0}"/>
    <cellStyle name="20% - Énfasis1 5 2 2 2 2 2" xfId="14053" xr:uid="{2EF36744-BD5E-4F86-A753-DEF691E02974}"/>
    <cellStyle name="20% - Énfasis1 5 2 2 2 2 2 2" xfId="29465" xr:uid="{1ADE1632-81FE-4AC1-B080-A7738C02550B}"/>
    <cellStyle name="20% - Énfasis1 5 2 2 2 2 2 2 2" xfId="35252" xr:uid="{127E5183-D666-4962-8C18-EE056C3EAED5}"/>
    <cellStyle name="20% - Énfasis1 5 2 2 2 2 2 3" xfId="35251" xr:uid="{5DD9C9C5-F98C-417A-B058-805D88FFD6C4}"/>
    <cellStyle name="20% - Énfasis1 5 2 2 2 2 3" xfId="21760" xr:uid="{291BF4BA-CABA-47A1-8DE5-742AEBF0449E}"/>
    <cellStyle name="20% - Énfasis1 5 2 2 2 2 3 2" xfId="35253" xr:uid="{11B7D7C4-1A1E-4C5C-BC8C-8365349C70AA}"/>
    <cellStyle name="20% - Énfasis1 5 2 2 2 2 4" xfId="35250" xr:uid="{23A44194-97EF-4EE3-A7FF-4A7B3F93E837}"/>
    <cellStyle name="20% - Énfasis1 5 2 2 2 3" xfId="10324" xr:uid="{A988C649-3E1C-425F-89A5-8B4C63F5D454}"/>
    <cellStyle name="20% - Énfasis1 5 2 2 2 3 2" xfId="25737" xr:uid="{C827095B-F6F3-436F-8CFF-E067BD7E4636}"/>
    <cellStyle name="20% - Énfasis1 5 2 2 2 3 2 2" xfId="35255" xr:uid="{345BF7D0-4A09-4B5C-98B4-E9C09BB6D50D}"/>
    <cellStyle name="20% - Énfasis1 5 2 2 2 3 3" xfId="35254" xr:uid="{BCD35EE8-C9A6-4D13-8B38-A50D01C1A058}"/>
    <cellStyle name="20% - Énfasis1 5 2 2 2 4" xfId="18032" xr:uid="{1D7B0471-48E2-4F00-AAEF-DAD84459CE11}"/>
    <cellStyle name="20% - Énfasis1 5 2 2 2 4 2" xfId="35256" xr:uid="{A9BBAAAC-B6C2-4E21-B93F-8F9AC7D3BE3D}"/>
    <cellStyle name="20% - Énfasis1 5 2 2 2 5" xfId="35249" xr:uid="{5BB296D4-3E28-4CCA-8497-4676146B0D1E}"/>
    <cellStyle name="20% - Énfasis1 5 2 2 3" xfId="4882" xr:uid="{C356D0A7-6EC6-4E55-93FB-D524C432DAF5}"/>
    <cellStyle name="20% - Énfasis1 5 2 2 3 2" xfId="12590" xr:uid="{0B21B1B4-452F-4308-95E5-C69B3EF0CE09}"/>
    <cellStyle name="20% - Énfasis1 5 2 2 3 2 2" xfId="28002" xr:uid="{B459B1A0-2C7B-4579-809B-AFF9D278ACFD}"/>
    <cellStyle name="20% - Énfasis1 5 2 2 3 2 2 2" xfId="35259" xr:uid="{B32BADB2-362A-43C8-9AA6-075CE2C80106}"/>
    <cellStyle name="20% - Énfasis1 5 2 2 3 2 3" xfId="35258" xr:uid="{89CBAF46-6529-42CF-BB66-2361E2B409D3}"/>
    <cellStyle name="20% - Énfasis1 5 2 2 3 3" xfId="20297" xr:uid="{F13ACA49-2CC9-4D67-8D15-725CA487FE69}"/>
    <cellStyle name="20% - Énfasis1 5 2 2 3 3 2" xfId="35260" xr:uid="{69C641A6-093B-4CE3-BEF8-CCE8F27E77B4}"/>
    <cellStyle name="20% - Énfasis1 5 2 2 3 4" xfId="35257" xr:uid="{95EF6B5B-89EF-4F73-8DD1-4932EC1F5085}"/>
    <cellStyle name="20% - Énfasis1 5 2 2 4" xfId="8865" xr:uid="{53544BCF-EB29-455E-B2DF-310679253EF2}"/>
    <cellStyle name="20% - Énfasis1 5 2 2 4 2" xfId="24278" xr:uid="{9AE205D9-346A-403A-888C-C47FA838C119}"/>
    <cellStyle name="20% - Énfasis1 5 2 2 4 2 2" xfId="35262" xr:uid="{1BB106DA-2277-4E87-BBDD-3BE805FFC124}"/>
    <cellStyle name="20% - Énfasis1 5 2 2 4 3" xfId="35261" xr:uid="{6B340D57-4FF7-4A9A-BE5A-3CBFE2996C7C}"/>
    <cellStyle name="20% - Énfasis1 5 2 2 5" xfId="16573" xr:uid="{C550D821-3609-406C-A8E9-4091E1F159AC}"/>
    <cellStyle name="20% - Énfasis1 5 2 2 5 2" xfId="35263" xr:uid="{C4E2090A-DD4E-4B60-8B3C-2593DDF2BA48}"/>
    <cellStyle name="20% - Énfasis1 5 2 2 6" xfId="35248" xr:uid="{C0E6C5F8-F150-4F92-92B1-C1C95466964A}"/>
    <cellStyle name="20% - Énfasis1 5 2 3" xfId="1975" xr:uid="{DFF0E96F-7DF5-45ED-AF0C-22721D615DEF}"/>
    <cellStyle name="20% - Énfasis1 5 2 3 2" xfId="5707" xr:uid="{7F31E231-CEA2-4247-BAE1-B18D4AECCA80}"/>
    <cellStyle name="20% - Énfasis1 5 2 3 2 2" xfId="13415" xr:uid="{6AB438D9-903E-44A0-95A2-C2E895DA7D30}"/>
    <cellStyle name="20% - Énfasis1 5 2 3 2 2 2" xfId="28827" xr:uid="{E1549D51-FE34-4DE3-9F7F-77311114E2C1}"/>
    <cellStyle name="20% - Énfasis1 5 2 3 2 2 2 2" xfId="35267" xr:uid="{790DDD68-AF27-4400-ADAD-8640589249E8}"/>
    <cellStyle name="20% - Énfasis1 5 2 3 2 2 3" xfId="35266" xr:uid="{953DBF0C-011E-4E36-ABAF-FF54A1EBA095}"/>
    <cellStyle name="20% - Énfasis1 5 2 3 2 3" xfId="21122" xr:uid="{1988C7CF-21DA-4B81-98F0-E9F565BA966B}"/>
    <cellStyle name="20% - Énfasis1 5 2 3 2 3 2" xfId="35268" xr:uid="{FCEF6429-48DC-430A-94E7-D5631E44E11A}"/>
    <cellStyle name="20% - Énfasis1 5 2 3 2 4" xfId="35265" xr:uid="{10772441-FA0D-46F3-9BAC-89DEBE1F8D9F}"/>
    <cellStyle name="20% - Énfasis1 5 2 3 3" xfId="9686" xr:uid="{EE3D83E6-8ED1-434A-8F32-DE82CB149D74}"/>
    <cellStyle name="20% - Énfasis1 5 2 3 3 2" xfId="25099" xr:uid="{BB6A8094-1ACB-4321-9E29-DE65438F3934}"/>
    <cellStyle name="20% - Énfasis1 5 2 3 3 2 2" xfId="35270" xr:uid="{F3D40A5A-8A88-4C88-900F-9E0CBB5A2A18}"/>
    <cellStyle name="20% - Énfasis1 5 2 3 3 3" xfId="35269" xr:uid="{04C26FC9-F05E-4EDA-BF7C-68726E9313E6}"/>
    <cellStyle name="20% - Énfasis1 5 2 3 4" xfId="17394" xr:uid="{C3DDF6AA-6139-4102-A400-15976CC8ECD7}"/>
    <cellStyle name="20% - Énfasis1 5 2 3 4 2" xfId="35271" xr:uid="{5D3FA096-BA1F-42E1-9F11-2F4FEA9A1A0B}"/>
    <cellStyle name="20% - Énfasis1 5 2 3 5" xfId="35264" xr:uid="{EC932EB0-B461-4F00-B99B-20CEE0CD3481}"/>
    <cellStyle name="20% - Énfasis1 5 2 4" xfId="4230" xr:uid="{F67E0CA1-ADD9-4A18-AAF8-AD489FA895FC}"/>
    <cellStyle name="20% - Énfasis1 5 2 4 2" xfId="11938" xr:uid="{14D55E1F-26A8-40AD-A82B-B68F93A4FB96}"/>
    <cellStyle name="20% - Énfasis1 5 2 4 2 2" xfId="27350" xr:uid="{3AD2E61B-7196-4D07-80B6-41ABB9A8839F}"/>
    <cellStyle name="20% - Énfasis1 5 2 4 2 2 2" xfId="35274" xr:uid="{CD4729E5-6FBE-49BE-B373-D3ABFB922CEC}"/>
    <cellStyle name="20% - Énfasis1 5 2 4 2 3" xfId="35273" xr:uid="{DF17BEF9-52B6-4FA2-A714-B6C5C631D8CA}"/>
    <cellStyle name="20% - Énfasis1 5 2 4 3" xfId="19645" xr:uid="{2721F232-8702-418B-98B5-DB6819DDE8E7}"/>
    <cellStyle name="20% - Énfasis1 5 2 4 3 2" xfId="35275" xr:uid="{55E7444D-7572-4891-A40D-959D2EDBEC95}"/>
    <cellStyle name="20% - Énfasis1 5 2 4 4" xfId="35272" xr:uid="{3E0127CC-A7B3-4209-990B-5C7B98BEDEA8}"/>
    <cellStyle name="20% - Énfasis1 5 2 5" xfId="8227" xr:uid="{483B0D82-0EFE-4576-B2F6-49C132F984DD}"/>
    <cellStyle name="20% - Énfasis1 5 2 5 2" xfId="23640" xr:uid="{7F66E2BB-7819-4962-B6F4-B47B8253B378}"/>
    <cellStyle name="20% - Énfasis1 5 2 5 2 2" xfId="35277" xr:uid="{287BA6D4-B181-4596-AB30-33D0E06458CE}"/>
    <cellStyle name="20% - Énfasis1 5 2 5 3" xfId="35276" xr:uid="{094C2699-AABE-4290-A186-3F0CE4CB3F78}"/>
    <cellStyle name="20% - Énfasis1 5 2 6" xfId="15935" xr:uid="{8822B720-2240-4C97-BDD6-B4E2BE5E4467}"/>
    <cellStyle name="20% - Énfasis1 5 2 6 2" xfId="35278" xr:uid="{E20E653E-0851-4172-8800-7D35004858EA}"/>
    <cellStyle name="20% - Énfasis1 5 2 7" xfId="35247" xr:uid="{D7DB7536-A484-4264-8F6D-A3AE1DFC66E1}"/>
    <cellStyle name="20% - Énfasis1 5 3" xfId="945" xr:uid="{50A90F75-8E0B-48CA-8656-D97C3FD19961}"/>
    <cellStyle name="20% - Énfasis1 5 3 2" xfId="2415" xr:uid="{4CAEB218-1554-48DA-8706-3A2BB9A7790A}"/>
    <cellStyle name="20% - Énfasis1 5 3 2 2" xfId="6147" xr:uid="{1F44ED67-0A3D-41F4-BE57-D5097FE5C458}"/>
    <cellStyle name="20% - Énfasis1 5 3 2 2 2" xfId="13855" xr:uid="{2DF534B0-28EE-4E27-B086-FC2B31BF9DD1}"/>
    <cellStyle name="20% - Énfasis1 5 3 2 2 2 2" xfId="29267" xr:uid="{4914FD9C-F65E-46FE-AB0E-CA4F1E856392}"/>
    <cellStyle name="20% - Énfasis1 5 3 2 2 2 2 2" xfId="35283" xr:uid="{E4851F12-5CD6-4682-B89D-C33E668ED5FC}"/>
    <cellStyle name="20% - Énfasis1 5 3 2 2 2 3" xfId="35282" xr:uid="{9E14F441-AAE9-42D9-A631-6C691B47A5C0}"/>
    <cellStyle name="20% - Énfasis1 5 3 2 2 3" xfId="21562" xr:uid="{C02F100D-5E1F-48C5-90FD-05BACF6D16C8}"/>
    <cellStyle name="20% - Énfasis1 5 3 2 2 3 2" xfId="35284" xr:uid="{BFBE2C0D-FA77-4CFF-BE37-49F0BECB7477}"/>
    <cellStyle name="20% - Énfasis1 5 3 2 2 4" xfId="35281" xr:uid="{86B479D4-4DA1-47C7-B53C-EB81718174EF}"/>
    <cellStyle name="20% - Énfasis1 5 3 2 3" xfId="10126" xr:uid="{3F637327-11FC-4BFF-BA0F-ADA573D3C327}"/>
    <cellStyle name="20% - Énfasis1 5 3 2 3 2" xfId="25539" xr:uid="{F845893D-5A47-498A-9148-EFEE1788F030}"/>
    <cellStyle name="20% - Énfasis1 5 3 2 3 2 2" xfId="35286" xr:uid="{A93A8295-4CB1-48B8-ACDD-27AB517F7ABF}"/>
    <cellStyle name="20% - Énfasis1 5 3 2 3 3" xfId="35285" xr:uid="{3E94BC1D-8351-4F19-9E14-B8CFBB75B8D6}"/>
    <cellStyle name="20% - Énfasis1 5 3 2 4" xfId="17834" xr:uid="{7D69707B-F5A8-4325-AFE2-5BAC979B6B86}"/>
    <cellStyle name="20% - Énfasis1 5 3 2 4 2" xfId="35287" xr:uid="{906E45AD-0CA8-49BE-8B59-C451E7AA6118}"/>
    <cellStyle name="20% - Énfasis1 5 3 2 5" xfId="35280" xr:uid="{3A5FD19C-9913-42AA-961B-092FC0D1A2FE}"/>
    <cellStyle name="20% - Énfasis1 5 3 3" xfId="4682" xr:uid="{88D2F9E8-E70D-41FC-9C0E-1EDB50E6830F}"/>
    <cellStyle name="20% - Énfasis1 5 3 3 2" xfId="12390" xr:uid="{EE468466-11DD-4267-8713-FD3CBF6A892D}"/>
    <cellStyle name="20% - Énfasis1 5 3 3 2 2" xfId="27802" xr:uid="{FCE7D1DC-4485-4D7D-BC39-F487597DAFA8}"/>
    <cellStyle name="20% - Énfasis1 5 3 3 2 2 2" xfId="35290" xr:uid="{BB250BA8-4A48-46F9-A365-69B964D6EAE0}"/>
    <cellStyle name="20% - Énfasis1 5 3 3 2 3" xfId="35289" xr:uid="{3FC2D6AD-2B43-4E9F-8440-4478D3E4AC71}"/>
    <cellStyle name="20% - Énfasis1 5 3 3 3" xfId="20097" xr:uid="{74EF5663-6795-4E5E-BF45-E632A792DEF2}"/>
    <cellStyle name="20% - Énfasis1 5 3 3 3 2" xfId="35291" xr:uid="{6E4C4BD8-3BD6-44EC-854D-6FFF2FC9E9CA}"/>
    <cellStyle name="20% - Énfasis1 5 3 3 4" xfId="35288" xr:uid="{8DF70BAA-2C7B-4560-BEAA-3FEE82FCE68E}"/>
    <cellStyle name="20% - Énfasis1 5 3 4" xfId="8667" xr:uid="{A388D910-D442-4F9A-B493-443FCDFFD767}"/>
    <cellStyle name="20% - Énfasis1 5 3 4 2" xfId="24080" xr:uid="{A3AC30BF-862F-475B-9120-FD921BF51C6A}"/>
    <cellStyle name="20% - Énfasis1 5 3 4 2 2" xfId="35293" xr:uid="{51D03F59-3F1F-4C00-A418-AA2726EE7CA4}"/>
    <cellStyle name="20% - Énfasis1 5 3 4 3" xfId="35292" xr:uid="{682B894B-C6D9-4084-BC7D-8EFF2430AFD8}"/>
    <cellStyle name="20% - Énfasis1 5 3 5" xfId="16375" xr:uid="{E320D056-009B-4FB0-8C51-B5DC2BA1837E}"/>
    <cellStyle name="20% - Énfasis1 5 3 5 2" xfId="35294" xr:uid="{495162FD-C479-4DED-811A-48669E853EF2}"/>
    <cellStyle name="20% - Énfasis1 5 3 6" xfId="35279" xr:uid="{DBB37B9C-F6F4-4B06-A158-758C5FE55FAF}"/>
    <cellStyle name="20% - Énfasis1 5 4" xfId="1777" xr:uid="{BD1EE7F0-1AF2-403F-BD9E-89F444880D3C}"/>
    <cellStyle name="20% - Énfasis1 5 4 2" xfId="5509" xr:uid="{05C7C9BB-A4E9-471C-B2C7-A868A474878F}"/>
    <cellStyle name="20% - Énfasis1 5 4 2 2" xfId="13217" xr:uid="{A0D05D33-88D4-45EE-AD03-06DBE45623E7}"/>
    <cellStyle name="20% - Énfasis1 5 4 2 2 2" xfId="28629" xr:uid="{6F62CEC6-973B-40CF-8A3D-8FFCCB37F4D9}"/>
    <cellStyle name="20% - Énfasis1 5 4 2 2 2 2" xfId="35298" xr:uid="{C81F0EA3-AE1B-4698-93D6-4B58ECF32A12}"/>
    <cellStyle name="20% - Énfasis1 5 4 2 2 3" xfId="35297" xr:uid="{272B597C-404A-4898-A025-BF78E0708071}"/>
    <cellStyle name="20% - Énfasis1 5 4 2 3" xfId="20924" xr:uid="{3646DBDB-DB2B-4203-B17F-7DCCAF943083}"/>
    <cellStyle name="20% - Énfasis1 5 4 2 3 2" xfId="35299" xr:uid="{55F8DEAA-618D-4BE7-A9DB-2AE0333550A9}"/>
    <cellStyle name="20% - Énfasis1 5 4 2 4" xfId="35296" xr:uid="{14674D39-7FFD-4624-8D37-4D44CA3232F1}"/>
    <cellStyle name="20% - Énfasis1 5 4 3" xfId="9488" xr:uid="{CFCCC77A-98E7-4ED7-A17D-E52F76E6748F}"/>
    <cellStyle name="20% - Énfasis1 5 4 3 2" xfId="24901" xr:uid="{B0B95541-948C-4972-B605-D702D89A7D60}"/>
    <cellStyle name="20% - Énfasis1 5 4 3 2 2" xfId="35301" xr:uid="{644F7665-CD5E-44BC-84B8-B65011827CB5}"/>
    <cellStyle name="20% - Énfasis1 5 4 3 3" xfId="35300" xr:uid="{66812359-5AA9-4F49-A5BB-271330279A7C}"/>
    <cellStyle name="20% - Énfasis1 5 4 4" xfId="17196" xr:uid="{7799B304-BBF1-4374-B7D3-20684E4C861A}"/>
    <cellStyle name="20% - Énfasis1 5 4 4 2" xfId="35302" xr:uid="{03B65FF7-8E77-401F-8753-AE7D5A90A538}"/>
    <cellStyle name="20% - Énfasis1 5 4 5" xfId="35295" xr:uid="{3E2078A7-7569-4C50-9783-2CB1A5B92C73}"/>
    <cellStyle name="20% - Énfasis1 5 5" xfId="4030" xr:uid="{7AB5B2F3-ED33-4E00-A6E0-C25843F746E7}"/>
    <cellStyle name="20% - Énfasis1 5 5 2" xfId="11738" xr:uid="{853DFE54-D04D-444A-B044-3445084776A5}"/>
    <cellStyle name="20% - Énfasis1 5 5 2 2" xfId="27150" xr:uid="{CC420B9F-A8FF-45A0-A6E2-20C20CB1C740}"/>
    <cellStyle name="20% - Énfasis1 5 5 2 2 2" xfId="35305" xr:uid="{1A9156A8-FCDA-4F31-9943-B5F34BEDE113}"/>
    <cellStyle name="20% - Énfasis1 5 5 2 3" xfId="35304" xr:uid="{75AA3130-DD8F-4DF7-8369-799EFECFCD0B}"/>
    <cellStyle name="20% - Énfasis1 5 5 3" xfId="19445" xr:uid="{D24FD2BB-EA34-4273-A65B-D1FE04ABA728}"/>
    <cellStyle name="20% - Énfasis1 5 5 3 2" xfId="35306" xr:uid="{52F71B81-5A48-4286-9D0A-D52EA6D40F8E}"/>
    <cellStyle name="20% - Énfasis1 5 5 4" xfId="35303" xr:uid="{09E0489B-9AB4-44EE-8EF1-6436981B89AF}"/>
    <cellStyle name="20% - Énfasis1 5 6" xfId="8029" xr:uid="{1DD304AF-989F-448C-8A3C-3A85387B26A3}"/>
    <cellStyle name="20% - Énfasis1 5 6 2" xfId="23442" xr:uid="{4754CFE0-E9BF-430B-BD20-DA8940DEE20B}"/>
    <cellStyle name="20% - Énfasis1 5 6 2 2" xfId="35308" xr:uid="{7E1DCE94-98C0-4A52-A592-5EC46DB8CE0B}"/>
    <cellStyle name="20% - Énfasis1 5 6 3" xfId="35307" xr:uid="{0EEF5907-4384-4F1B-8D0D-4283F7D80A66}"/>
    <cellStyle name="20% - Énfasis1 5 7" xfId="15737" xr:uid="{450CEF26-E8E8-41CE-A5D2-2355467A598C}"/>
    <cellStyle name="20% - Énfasis1 5 7 2" xfId="35309" xr:uid="{579EFB86-1E0A-46A0-A5A7-2A90D7A5EF23}"/>
    <cellStyle name="20% - Énfasis1 5 8" xfId="35246" xr:uid="{D88CFF76-35F2-4564-8470-2029C8C68A89}"/>
    <cellStyle name="20% - Énfasis1 6" xfId="301" xr:uid="{BF085895-51ED-4FEE-8BB0-806FA094C102}"/>
    <cellStyle name="20% - Énfasis1 6 2" xfId="504" xr:uid="{2AC7BB46-E0E7-439F-B33B-55207B275FE1}"/>
    <cellStyle name="20% - Énfasis1 6 2 2" xfId="1165" xr:uid="{1B734CFD-A6F4-4829-BAF5-C713F167A563}"/>
    <cellStyle name="20% - Énfasis1 6 2 2 2" xfId="2633" xr:uid="{CDBCEE44-FBA6-4205-BA03-36BE5C99DB55}"/>
    <cellStyle name="20% - Énfasis1 6 2 2 2 2" xfId="6365" xr:uid="{94129008-3278-4DC3-840B-983B1AE517B4}"/>
    <cellStyle name="20% - Énfasis1 6 2 2 2 2 2" xfId="14073" xr:uid="{893792C3-C97E-4DEA-9356-E0E41E94B8C3}"/>
    <cellStyle name="20% - Énfasis1 6 2 2 2 2 2 2" xfId="29485" xr:uid="{13D861E1-EFBB-48A2-AD33-D31ED9597676}"/>
    <cellStyle name="20% - Énfasis1 6 2 2 2 2 2 2 2" xfId="35316" xr:uid="{B3BC7EF1-2CC7-4AF8-9380-A9F8F0DA8722}"/>
    <cellStyle name="20% - Énfasis1 6 2 2 2 2 2 3" xfId="35315" xr:uid="{F0DB3357-E925-40BB-9507-40234361AD05}"/>
    <cellStyle name="20% - Énfasis1 6 2 2 2 2 3" xfId="21780" xr:uid="{051A66CE-7588-4ADB-BD0B-0A6233269237}"/>
    <cellStyle name="20% - Énfasis1 6 2 2 2 2 3 2" xfId="35317" xr:uid="{CEBB16FB-2ECA-443A-A5F1-FA98A06DDD2D}"/>
    <cellStyle name="20% - Énfasis1 6 2 2 2 2 4" xfId="35314" xr:uid="{1AD46E86-8AF3-4C98-ADBF-BDB2E5477762}"/>
    <cellStyle name="20% - Énfasis1 6 2 2 2 3" xfId="10344" xr:uid="{12FE5E32-2D5F-46E4-A1B9-41DDFFB6A1F4}"/>
    <cellStyle name="20% - Énfasis1 6 2 2 2 3 2" xfId="25757" xr:uid="{8BEB25CC-8D98-4CC9-A228-B029963CAB8C}"/>
    <cellStyle name="20% - Énfasis1 6 2 2 2 3 2 2" xfId="35319" xr:uid="{95290B60-917B-4F6F-9CE6-69724AA89895}"/>
    <cellStyle name="20% - Énfasis1 6 2 2 2 3 3" xfId="35318" xr:uid="{4F575289-E5AC-4A23-BE78-7F01BB624A7C}"/>
    <cellStyle name="20% - Énfasis1 6 2 2 2 4" xfId="18052" xr:uid="{8D9C33A1-8356-4E58-998D-6670988839AC}"/>
    <cellStyle name="20% - Énfasis1 6 2 2 2 4 2" xfId="35320" xr:uid="{4FE04E61-507D-4384-9AC1-A742E479969B}"/>
    <cellStyle name="20% - Énfasis1 6 2 2 2 5" xfId="35313" xr:uid="{2F793BE5-2B39-46A4-A060-A997AF666607}"/>
    <cellStyle name="20% - Énfasis1 6 2 2 3" xfId="4902" xr:uid="{4CEFEB40-DD8F-4628-9664-4A01E4A86FF2}"/>
    <cellStyle name="20% - Énfasis1 6 2 2 3 2" xfId="12610" xr:uid="{5FA4CF12-65C2-406C-979B-1550A736B040}"/>
    <cellStyle name="20% - Énfasis1 6 2 2 3 2 2" xfId="28022" xr:uid="{B5308B30-5E2F-4A92-81D5-2692DF5A8F5E}"/>
    <cellStyle name="20% - Énfasis1 6 2 2 3 2 2 2" xfId="35323" xr:uid="{0EE223C7-31D4-4FD4-B8EC-353F37047737}"/>
    <cellStyle name="20% - Énfasis1 6 2 2 3 2 3" xfId="35322" xr:uid="{6AAC22E6-5650-420C-A709-D5F4658A12A1}"/>
    <cellStyle name="20% - Énfasis1 6 2 2 3 3" xfId="20317" xr:uid="{037A892D-365A-4E79-B471-67F0B72836DA}"/>
    <cellStyle name="20% - Énfasis1 6 2 2 3 3 2" xfId="35324" xr:uid="{F6B789BC-CA75-4DE6-A5CD-381A50F9B8C1}"/>
    <cellStyle name="20% - Énfasis1 6 2 2 3 4" xfId="35321" xr:uid="{8546714F-3F5C-4F44-AB3B-9B7494CE6021}"/>
    <cellStyle name="20% - Énfasis1 6 2 2 4" xfId="8885" xr:uid="{4CAC40D6-6777-41CA-B947-C5DED18B566B}"/>
    <cellStyle name="20% - Énfasis1 6 2 2 4 2" xfId="24298" xr:uid="{EE1BA69D-9E6E-4137-852F-E20A58DDA8B1}"/>
    <cellStyle name="20% - Énfasis1 6 2 2 4 2 2" xfId="35326" xr:uid="{C3A751AE-1CC9-42B0-B6A9-BEADE62B9373}"/>
    <cellStyle name="20% - Énfasis1 6 2 2 4 3" xfId="35325" xr:uid="{2727DDF4-0876-4D13-BB73-50BA84940068}"/>
    <cellStyle name="20% - Énfasis1 6 2 2 5" xfId="16593" xr:uid="{904E5076-0C1C-4A24-BAB7-AE6F7DBD957D}"/>
    <cellStyle name="20% - Énfasis1 6 2 2 5 2" xfId="35327" xr:uid="{6121DBEC-15E3-4313-8B5E-F0E1345EE50E}"/>
    <cellStyle name="20% - Énfasis1 6 2 2 6" xfId="35312" xr:uid="{9359D841-44FE-45BF-8264-87A088A74A55}"/>
    <cellStyle name="20% - Énfasis1 6 2 3" xfId="1995" xr:uid="{8185F402-DEE9-4BAF-A859-564BB1452B18}"/>
    <cellStyle name="20% - Énfasis1 6 2 3 2" xfId="5727" xr:uid="{BF9FCFA8-6CEE-4036-B91A-DEA36EE0BE44}"/>
    <cellStyle name="20% - Énfasis1 6 2 3 2 2" xfId="13435" xr:uid="{BEFB0F4E-439E-4DA4-8EA6-8B3DACC543F2}"/>
    <cellStyle name="20% - Énfasis1 6 2 3 2 2 2" xfId="28847" xr:uid="{244C7550-B99C-4477-B3CA-41B1445C2BF0}"/>
    <cellStyle name="20% - Énfasis1 6 2 3 2 2 2 2" xfId="35331" xr:uid="{2CFDFEF5-3BDF-42FC-B821-992527CA4110}"/>
    <cellStyle name="20% - Énfasis1 6 2 3 2 2 3" xfId="35330" xr:uid="{052A86A9-F395-41C6-B02F-396130B88CE2}"/>
    <cellStyle name="20% - Énfasis1 6 2 3 2 3" xfId="21142" xr:uid="{D0404705-3FF8-4377-AF46-9FEDC704A4C1}"/>
    <cellStyle name="20% - Énfasis1 6 2 3 2 3 2" xfId="35332" xr:uid="{3ABCB487-DB92-46BC-8DBA-FA423E0E497F}"/>
    <cellStyle name="20% - Énfasis1 6 2 3 2 4" xfId="35329" xr:uid="{3F242FC2-3082-4313-9261-62B155998A9D}"/>
    <cellStyle name="20% - Énfasis1 6 2 3 3" xfId="9706" xr:uid="{9A866583-41A7-4A6C-9261-8E325368A833}"/>
    <cellStyle name="20% - Énfasis1 6 2 3 3 2" xfId="25119" xr:uid="{C882179F-20BD-458A-9FA8-086AABC62F9E}"/>
    <cellStyle name="20% - Énfasis1 6 2 3 3 2 2" xfId="35334" xr:uid="{7A9184B2-4660-43A1-B9F1-12C3BB16186B}"/>
    <cellStyle name="20% - Énfasis1 6 2 3 3 3" xfId="35333" xr:uid="{86FB52E5-E397-487A-962C-DB80B7C01253}"/>
    <cellStyle name="20% - Énfasis1 6 2 3 4" xfId="17414" xr:uid="{5699BF72-2E9A-4F46-B1FE-ABE0D5178593}"/>
    <cellStyle name="20% - Énfasis1 6 2 3 4 2" xfId="35335" xr:uid="{174C9C77-EE3A-4F43-81FD-F17B3EDFA40D}"/>
    <cellStyle name="20% - Énfasis1 6 2 3 5" xfId="35328" xr:uid="{7081D7BC-E2F4-4E14-A3E6-45D8A0737416}"/>
    <cellStyle name="20% - Énfasis1 6 2 4" xfId="4250" xr:uid="{73859429-F7A7-4FBC-A5DD-321E3FC282C4}"/>
    <cellStyle name="20% - Énfasis1 6 2 4 2" xfId="11958" xr:uid="{B31BF983-6602-4142-93AB-37E47D4AC883}"/>
    <cellStyle name="20% - Énfasis1 6 2 4 2 2" xfId="27370" xr:uid="{646BFF48-9D73-4861-BA0A-DBD2BC4BFBC1}"/>
    <cellStyle name="20% - Énfasis1 6 2 4 2 2 2" xfId="35338" xr:uid="{5F2D6D66-A7CC-4754-B921-C3177B8980E7}"/>
    <cellStyle name="20% - Énfasis1 6 2 4 2 3" xfId="35337" xr:uid="{9C60C34D-9FF4-4770-A395-0457BD62335D}"/>
    <cellStyle name="20% - Énfasis1 6 2 4 3" xfId="19665" xr:uid="{3D385FCA-FDB4-4494-97FC-5057F31BC80D}"/>
    <cellStyle name="20% - Énfasis1 6 2 4 3 2" xfId="35339" xr:uid="{7F5D0295-AF58-40EC-B5F5-0CAC7DADFEE1}"/>
    <cellStyle name="20% - Énfasis1 6 2 4 4" xfId="35336" xr:uid="{B7316E8C-3C07-4E1E-896E-36322C0C1227}"/>
    <cellStyle name="20% - Énfasis1 6 2 5" xfId="8247" xr:uid="{4C8089DD-4D65-4B6C-B374-FF986CD0BE4E}"/>
    <cellStyle name="20% - Énfasis1 6 2 5 2" xfId="23660" xr:uid="{802328A1-8705-47D5-97F1-5274CC3A76BE}"/>
    <cellStyle name="20% - Énfasis1 6 2 5 2 2" xfId="35341" xr:uid="{0D03BE6B-9E84-462C-AE8F-0CA94015FE85}"/>
    <cellStyle name="20% - Énfasis1 6 2 5 3" xfId="35340" xr:uid="{A2D4F205-3D7C-41DF-88F2-8D865D17CE66}"/>
    <cellStyle name="20% - Énfasis1 6 2 6" xfId="15955" xr:uid="{66657B13-251D-4A7B-81F1-99E16AFA7C19}"/>
    <cellStyle name="20% - Énfasis1 6 2 6 2" xfId="35342" xr:uid="{403F7383-99B8-4DBE-8610-24BD1CFF257F}"/>
    <cellStyle name="20% - Énfasis1 6 2 7" xfId="35311" xr:uid="{92D590B4-679A-4361-B435-637B90A1630E}"/>
    <cellStyle name="20% - Énfasis1 6 3" xfId="965" xr:uid="{19B500D7-B254-46D8-B185-787D0C6860C7}"/>
    <cellStyle name="20% - Énfasis1 6 3 2" xfId="2435" xr:uid="{A6845378-D037-4F04-B68C-140E690F767D}"/>
    <cellStyle name="20% - Énfasis1 6 3 2 2" xfId="6167" xr:uid="{61118B7C-6732-4B8E-8B4F-B314ECD77437}"/>
    <cellStyle name="20% - Énfasis1 6 3 2 2 2" xfId="13875" xr:uid="{7EF29E0E-1AE5-4A9D-8563-637C59425365}"/>
    <cellStyle name="20% - Énfasis1 6 3 2 2 2 2" xfId="29287" xr:uid="{A1A6054A-CA24-408A-BCAB-B7D8B502A961}"/>
    <cellStyle name="20% - Énfasis1 6 3 2 2 2 2 2" xfId="35347" xr:uid="{5266D03A-8615-4CB6-A18F-6CCC628AD457}"/>
    <cellStyle name="20% - Énfasis1 6 3 2 2 2 3" xfId="35346" xr:uid="{38C61845-52AB-4B8F-8C35-AA9EE2CA31C0}"/>
    <cellStyle name="20% - Énfasis1 6 3 2 2 3" xfId="21582" xr:uid="{536BA289-D6B7-4511-85EB-94B9803DFFE7}"/>
    <cellStyle name="20% - Énfasis1 6 3 2 2 3 2" xfId="35348" xr:uid="{2091C249-223F-4E0F-AB6A-091A972BB9D6}"/>
    <cellStyle name="20% - Énfasis1 6 3 2 2 4" xfId="35345" xr:uid="{205A8FE6-41BD-4A8D-AB11-91EE3B5432F1}"/>
    <cellStyle name="20% - Énfasis1 6 3 2 3" xfId="10146" xr:uid="{1C5E6110-C37E-4B95-ACDF-318AB7269A82}"/>
    <cellStyle name="20% - Énfasis1 6 3 2 3 2" xfId="25559" xr:uid="{81F81729-5B00-4BDE-8D12-08E730889443}"/>
    <cellStyle name="20% - Énfasis1 6 3 2 3 2 2" xfId="35350" xr:uid="{2B42C9D6-300A-4C3E-9FC1-C152935DFAF6}"/>
    <cellStyle name="20% - Énfasis1 6 3 2 3 3" xfId="35349" xr:uid="{FA655727-0852-4728-A70B-3D1A79C865ED}"/>
    <cellStyle name="20% - Énfasis1 6 3 2 4" xfId="17854" xr:uid="{BC949C7E-885A-4FF8-9AC6-6D5CE3868A5F}"/>
    <cellStyle name="20% - Énfasis1 6 3 2 4 2" xfId="35351" xr:uid="{E4C8F447-FF70-451A-834F-4A22CA907A7B}"/>
    <cellStyle name="20% - Énfasis1 6 3 2 5" xfId="35344" xr:uid="{D2C120A4-4D81-4514-9929-BEA2B479FD6F}"/>
    <cellStyle name="20% - Énfasis1 6 3 3" xfId="4702" xr:uid="{3FE7971B-B677-4368-AB63-9CD31FDD272C}"/>
    <cellStyle name="20% - Énfasis1 6 3 3 2" xfId="12410" xr:uid="{6B12EE05-7855-4586-9A4E-C9C04BC30CFF}"/>
    <cellStyle name="20% - Énfasis1 6 3 3 2 2" xfId="27822" xr:uid="{6CFEC476-F4C8-41DC-BE3B-E0A76635F1BA}"/>
    <cellStyle name="20% - Énfasis1 6 3 3 2 2 2" xfId="35354" xr:uid="{8652791D-0CF3-4945-8F14-14E59F58850D}"/>
    <cellStyle name="20% - Énfasis1 6 3 3 2 3" xfId="35353" xr:uid="{C045AA38-BB3C-414D-A314-7BA5B29842CB}"/>
    <cellStyle name="20% - Énfasis1 6 3 3 3" xfId="20117" xr:uid="{E22D796F-2305-4307-9B0E-81527D018D7E}"/>
    <cellStyle name="20% - Énfasis1 6 3 3 3 2" xfId="35355" xr:uid="{A7E47B0C-5A68-4EA5-993A-8667FC1BA566}"/>
    <cellStyle name="20% - Énfasis1 6 3 3 4" xfId="35352" xr:uid="{1A2A0BDB-6718-4F80-857B-321740814D15}"/>
    <cellStyle name="20% - Énfasis1 6 3 4" xfId="8687" xr:uid="{A87C897D-15BE-45ED-8322-AC1687425B9F}"/>
    <cellStyle name="20% - Énfasis1 6 3 4 2" xfId="24100" xr:uid="{9B780C24-2568-4A4C-BEAA-81B979F70C93}"/>
    <cellStyle name="20% - Énfasis1 6 3 4 2 2" xfId="35357" xr:uid="{61A56FC1-D217-4233-A886-CA88B43428FF}"/>
    <cellStyle name="20% - Énfasis1 6 3 4 3" xfId="35356" xr:uid="{B5565D04-A804-47E7-B93E-1CDEC1D5921A}"/>
    <cellStyle name="20% - Énfasis1 6 3 5" xfId="16395" xr:uid="{6394E210-43EE-46C2-B99D-4E14F563AB85}"/>
    <cellStyle name="20% - Énfasis1 6 3 5 2" xfId="35358" xr:uid="{775E1BF0-78FE-461E-BFE6-83D6D1326584}"/>
    <cellStyle name="20% - Énfasis1 6 3 6" xfId="35343" xr:uid="{3705C793-EABB-4D43-9E43-278F16C50D63}"/>
    <cellStyle name="20% - Énfasis1 6 4" xfId="1797" xr:uid="{A4CBA7D7-738B-4174-923B-E1CEB28352FD}"/>
    <cellStyle name="20% - Énfasis1 6 4 2" xfId="5529" xr:uid="{93D5EF3A-8DAF-42E2-B032-07DAA617A68F}"/>
    <cellStyle name="20% - Énfasis1 6 4 2 2" xfId="13237" xr:uid="{934A4B84-CAC4-4922-9467-C0D5F278D871}"/>
    <cellStyle name="20% - Énfasis1 6 4 2 2 2" xfId="28649" xr:uid="{654155ED-9334-4EA3-B5FB-0DAB27375885}"/>
    <cellStyle name="20% - Énfasis1 6 4 2 2 2 2" xfId="35362" xr:uid="{CB0F1B01-EB93-41E0-8424-6F4A967A658E}"/>
    <cellStyle name="20% - Énfasis1 6 4 2 2 3" xfId="35361" xr:uid="{E6B3197A-EDC9-428A-9DB6-21D7094ABC7F}"/>
    <cellStyle name="20% - Énfasis1 6 4 2 3" xfId="20944" xr:uid="{6A79E7CE-30C9-48DB-986C-1012720281C5}"/>
    <cellStyle name="20% - Énfasis1 6 4 2 3 2" xfId="35363" xr:uid="{6764C486-7506-4515-A688-0EA53A6CD430}"/>
    <cellStyle name="20% - Énfasis1 6 4 2 4" xfId="35360" xr:uid="{2061D329-5EE8-408E-AEAC-0B4B8858F8EE}"/>
    <cellStyle name="20% - Énfasis1 6 4 3" xfId="9508" xr:uid="{33FA2CA4-404E-4135-A659-DAD1BD33E27D}"/>
    <cellStyle name="20% - Énfasis1 6 4 3 2" xfId="24921" xr:uid="{AB122F38-42DF-494E-A256-1083A1A62939}"/>
    <cellStyle name="20% - Énfasis1 6 4 3 2 2" xfId="35365" xr:uid="{353662F4-2228-4CCF-9973-7B39EED15527}"/>
    <cellStyle name="20% - Énfasis1 6 4 3 3" xfId="35364" xr:uid="{43FAC7FD-31AD-4A94-BB89-96928B9BF6E7}"/>
    <cellStyle name="20% - Énfasis1 6 4 4" xfId="17216" xr:uid="{B4596563-413E-444F-B36C-83534E8ABC35}"/>
    <cellStyle name="20% - Énfasis1 6 4 4 2" xfId="35366" xr:uid="{C0DC17E1-4522-44BD-B06E-7CE979DDE1E4}"/>
    <cellStyle name="20% - Énfasis1 6 4 5" xfId="35359" xr:uid="{C3E4F3CA-D646-4524-A344-2FA82E4A6D7E}"/>
    <cellStyle name="20% - Énfasis1 6 5" xfId="4050" xr:uid="{CABA3E7E-549D-4F22-96F4-6C331FC51D4E}"/>
    <cellStyle name="20% - Énfasis1 6 5 2" xfId="11758" xr:uid="{161F1848-59F8-4CE4-896A-39E573CD6535}"/>
    <cellStyle name="20% - Énfasis1 6 5 2 2" xfId="27170" xr:uid="{6CF32BE2-AF3D-404E-9926-B96A56CAC10B}"/>
    <cellStyle name="20% - Énfasis1 6 5 2 2 2" xfId="35369" xr:uid="{AFE73E50-9712-4203-BCD6-74BA7A828A8B}"/>
    <cellStyle name="20% - Énfasis1 6 5 2 3" xfId="35368" xr:uid="{B3F02D0A-F0FD-42AE-931E-2E25D9E7B650}"/>
    <cellStyle name="20% - Énfasis1 6 5 3" xfId="19465" xr:uid="{A71251D3-CA27-486B-A63B-FB61E30D2C87}"/>
    <cellStyle name="20% - Énfasis1 6 5 3 2" xfId="35370" xr:uid="{BAA55270-DA77-4B4F-BB7E-72DBE40A4C7C}"/>
    <cellStyle name="20% - Énfasis1 6 5 4" xfId="35367" xr:uid="{6AC80633-EBD9-4462-93B6-A425550370BA}"/>
    <cellStyle name="20% - Énfasis1 6 6" xfId="8049" xr:uid="{E9117809-2A39-4780-9319-54786D5767E6}"/>
    <cellStyle name="20% - Énfasis1 6 6 2" xfId="23462" xr:uid="{99642A80-7BF3-4F01-8FB3-AE0C21C07E14}"/>
    <cellStyle name="20% - Énfasis1 6 6 2 2" xfId="35372" xr:uid="{F742BD57-72BD-436D-8A4D-0A82947D433C}"/>
    <cellStyle name="20% - Énfasis1 6 6 3" xfId="35371" xr:uid="{AC81ABB0-0291-42E4-A455-74C0B45F2F75}"/>
    <cellStyle name="20% - Énfasis1 6 7" xfId="15757" xr:uid="{859E48EC-6A85-4939-A8B6-7E4DB1DC130C}"/>
    <cellStyle name="20% - Énfasis1 6 7 2" xfId="35373" xr:uid="{7A5E84A2-E3C4-41EF-87CC-0FC253B7A12C}"/>
    <cellStyle name="20% - Énfasis1 6 8" xfId="35310" xr:uid="{9C73FDFD-5C2E-4784-91D4-329B9DBEFA1E}"/>
    <cellStyle name="20% - Énfasis1 7" xfId="524" xr:uid="{F301C3D3-06D0-4D29-900F-1FE989B9CB64}"/>
    <cellStyle name="20% - Énfasis1 7 2" xfId="1185" xr:uid="{AE84C4A4-2931-45C9-AB28-C496899EC956}"/>
    <cellStyle name="20% - Énfasis1 7 2 2" xfId="2653" xr:uid="{5C4F631F-C836-4489-8946-8707A083A407}"/>
    <cellStyle name="20% - Énfasis1 7 2 2 2" xfId="6385" xr:uid="{5BBEDCDD-DAF6-41E9-B769-A9C78FEDE264}"/>
    <cellStyle name="20% - Énfasis1 7 2 2 2 2" xfId="14093" xr:uid="{0B9A7CBF-C6C7-4549-81FC-E6B23419A309}"/>
    <cellStyle name="20% - Énfasis1 7 2 2 2 2 2" xfId="29505" xr:uid="{9A74ACA1-4BD1-4EED-84C0-A16EA540DD32}"/>
    <cellStyle name="20% - Énfasis1 7 2 2 2 2 2 2" xfId="35379" xr:uid="{B72049CE-92E4-4454-B8C1-7FA86BE10310}"/>
    <cellStyle name="20% - Énfasis1 7 2 2 2 2 3" xfId="35378" xr:uid="{F726AE19-4FC6-44DC-8AE7-F310200F1703}"/>
    <cellStyle name="20% - Énfasis1 7 2 2 2 3" xfId="21800" xr:uid="{05052423-4A33-4B03-A184-E4FCD4CA671A}"/>
    <cellStyle name="20% - Énfasis1 7 2 2 2 3 2" xfId="35380" xr:uid="{0026FF68-7DA0-43DE-84DF-1DF46FC53204}"/>
    <cellStyle name="20% - Énfasis1 7 2 2 2 4" xfId="35377" xr:uid="{577CC263-ED80-4BFC-A2D8-E057C010AA41}"/>
    <cellStyle name="20% - Énfasis1 7 2 2 3" xfId="10364" xr:uid="{B058BB7B-C2B1-48BB-8CF0-9D6FB00EAD39}"/>
    <cellStyle name="20% - Énfasis1 7 2 2 3 2" xfId="25777" xr:uid="{5E8DEE48-4793-44B0-92EF-ADFD1CF34140}"/>
    <cellStyle name="20% - Énfasis1 7 2 2 3 2 2" xfId="35382" xr:uid="{9FA8AA33-814A-4F7C-A557-1F00E3907B04}"/>
    <cellStyle name="20% - Énfasis1 7 2 2 3 3" xfId="35381" xr:uid="{FD538B39-337A-4F39-B446-CB04D578488E}"/>
    <cellStyle name="20% - Énfasis1 7 2 2 4" xfId="18072" xr:uid="{4507762A-6BD3-4FEE-96A3-C79CF78D6988}"/>
    <cellStyle name="20% - Énfasis1 7 2 2 4 2" xfId="35383" xr:uid="{9F1D5E39-A649-4141-B0CE-A4FEC1EA844D}"/>
    <cellStyle name="20% - Énfasis1 7 2 2 5" xfId="35376" xr:uid="{B5443BEE-0FE0-412C-9DFA-91A80848AF74}"/>
    <cellStyle name="20% - Énfasis1 7 2 3" xfId="4922" xr:uid="{49C322B7-4533-47E6-91C8-5FC83E41B647}"/>
    <cellStyle name="20% - Énfasis1 7 2 3 2" xfId="12630" xr:uid="{BDF6E43C-9D01-4158-A9E8-C6E2D77C8EC9}"/>
    <cellStyle name="20% - Énfasis1 7 2 3 2 2" xfId="28042" xr:uid="{310735E1-CF47-47CD-945C-2595758D4BFA}"/>
    <cellStyle name="20% - Énfasis1 7 2 3 2 2 2" xfId="35386" xr:uid="{6CA3BD31-986A-46CF-9F28-3CCA1F42932A}"/>
    <cellStyle name="20% - Énfasis1 7 2 3 2 3" xfId="35385" xr:uid="{BB3A0928-4835-4361-A94F-2C8EA2B6EE64}"/>
    <cellStyle name="20% - Énfasis1 7 2 3 3" xfId="20337" xr:uid="{71DE71E1-BC51-44EC-BB5D-9067ECB3A72D}"/>
    <cellStyle name="20% - Énfasis1 7 2 3 3 2" xfId="35387" xr:uid="{65E549AD-185F-49F5-80B7-1A2B4C43D103}"/>
    <cellStyle name="20% - Énfasis1 7 2 3 4" xfId="35384" xr:uid="{FD30A53F-DA70-4861-BD3F-E1BB5E9BE8F9}"/>
    <cellStyle name="20% - Énfasis1 7 2 4" xfId="8905" xr:uid="{F1A9A46C-951B-432E-80BF-8931EF1FBA10}"/>
    <cellStyle name="20% - Énfasis1 7 2 4 2" xfId="24318" xr:uid="{E30476FD-B54A-4648-9A45-C42C4F6C4CDF}"/>
    <cellStyle name="20% - Énfasis1 7 2 4 2 2" xfId="35389" xr:uid="{8B619664-5E8B-4A3B-B285-B626013EC902}"/>
    <cellStyle name="20% - Énfasis1 7 2 4 3" xfId="35388" xr:uid="{272B1D84-3615-428D-909A-73BFD9A6518B}"/>
    <cellStyle name="20% - Énfasis1 7 2 5" xfId="16613" xr:uid="{DB9DC635-9AF7-4082-B122-E341A6B237B1}"/>
    <cellStyle name="20% - Énfasis1 7 2 5 2" xfId="35390" xr:uid="{A1EBE530-ECE4-4A16-882F-9AB6D2B0F5F6}"/>
    <cellStyle name="20% - Énfasis1 7 2 6" xfId="35375" xr:uid="{D5252B97-90EA-4A66-9AA0-5C1AABAEE73B}"/>
    <cellStyle name="20% - Énfasis1 7 3" xfId="2015" xr:uid="{990F0E7A-F01E-4D17-A830-3E387B44DFF0}"/>
    <cellStyle name="20% - Énfasis1 7 3 2" xfId="5747" xr:uid="{F1718EC7-0183-4C98-942B-7A47AD47A9ED}"/>
    <cellStyle name="20% - Énfasis1 7 3 2 2" xfId="13455" xr:uid="{C48C481E-68A6-4F9A-A650-ED7AF8A7612F}"/>
    <cellStyle name="20% - Énfasis1 7 3 2 2 2" xfId="28867" xr:uid="{A992EC1E-0ECE-4A0C-8C18-808069925C0D}"/>
    <cellStyle name="20% - Énfasis1 7 3 2 2 2 2" xfId="35394" xr:uid="{F047A3BA-08D2-436F-A394-B4F095DA6021}"/>
    <cellStyle name="20% - Énfasis1 7 3 2 2 3" xfId="35393" xr:uid="{4CBDBDC9-ABFB-46ED-AB0A-C66A9E46819D}"/>
    <cellStyle name="20% - Énfasis1 7 3 2 3" xfId="21162" xr:uid="{FF1DA48F-FE29-4529-AE7C-9CB10B49CAD8}"/>
    <cellStyle name="20% - Énfasis1 7 3 2 3 2" xfId="35395" xr:uid="{5202D390-CBB8-45E3-AFBE-E56B9FA48787}"/>
    <cellStyle name="20% - Énfasis1 7 3 2 4" xfId="35392" xr:uid="{86C63805-35BD-4DEE-8608-21A6DB319A58}"/>
    <cellStyle name="20% - Énfasis1 7 3 3" xfId="9726" xr:uid="{E14D79FA-1711-4934-9B7D-6ED54AC2BADC}"/>
    <cellStyle name="20% - Énfasis1 7 3 3 2" xfId="25139" xr:uid="{9BD8675B-7A2F-4F25-8456-5742B069B647}"/>
    <cellStyle name="20% - Énfasis1 7 3 3 2 2" xfId="35397" xr:uid="{563F622F-32B0-4459-BCD2-6C83854D6087}"/>
    <cellStyle name="20% - Énfasis1 7 3 3 3" xfId="35396" xr:uid="{98780F7E-D3E6-4B1C-B091-1C56EB5EF914}"/>
    <cellStyle name="20% - Énfasis1 7 3 4" xfId="17434" xr:uid="{156ABB67-5417-41C4-86C8-93A4A59C413D}"/>
    <cellStyle name="20% - Énfasis1 7 3 4 2" xfId="35398" xr:uid="{F116D432-5EBA-4835-BB43-2F237A3105E8}"/>
    <cellStyle name="20% - Énfasis1 7 3 5" xfId="35391" xr:uid="{E6D7F1D5-BFCF-4ECA-A806-9658EA726AB8}"/>
    <cellStyle name="20% - Énfasis1 7 4" xfId="4270" xr:uid="{40AE1C8C-72E8-438F-A462-2639592BEA2F}"/>
    <cellStyle name="20% - Énfasis1 7 4 2" xfId="11978" xr:uid="{985FBDEA-C521-433E-B106-E8B71B73C91D}"/>
    <cellStyle name="20% - Énfasis1 7 4 2 2" xfId="27390" xr:uid="{575A7AA3-429D-4DCC-89EB-CF0A84A896A8}"/>
    <cellStyle name="20% - Énfasis1 7 4 2 2 2" xfId="35401" xr:uid="{88D5DBF7-4A33-45B1-B7B1-C9DC6F1C044E}"/>
    <cellStyle name="20% - Énfasis1 7 4 2 3" xfId="35400" xr:uid="{F5DB78E9-E76C-4C23-9E78-56F7B04506C1}"/>
    <cellStyle name="20% - Énfasis1 7 4 3" xfId="19685" xr:uid="{015441E2-4151-4F2C-843D-E5EDC343B40E}"/>
    <cellStyle name="20% - Énfasis1 7 4 3 2" xfId="35402" xr:uid="{9EED6198-3AB9-4552-81AC-5886E78ABE12}"/>
    <cellStyle name="20% - Énfasis1 7 4 4" xfId="35399" xr:uid="{273D1EFC-9514-4DDC-8A4C-D529A9DD2620}"/>
    <cellStyle name="20% - Énfasis1 7 5" xfId="8267" xr:uid="{BD1961CC-CF48-4217-A0A5-99BA1C658C0A}"/>
    <cellStyle name="20% - Énfasis1 7 5 2" xfId="23680" xr:uid="{DA7D824B-7F69-4853-8F67-553720FE032F}"/>
    <cellStyle name="20% - Énfasis1 7 5 2 2" xfId="35404" xr:uid="{F25A65A1-5063-4586-A9D4-C0E1FB668528}"/>
    <cellStyle name="20% - Énfasis1 7 5 3" xfId="35403" xr:uid="{01160E27-33F7-4549-A8CD-FF5E962AF18B}"/>
    <cellStyle name="20% - Énfasis1 7 6" xfId="15975" xr:uid="{99F62C55-6EBB-47F5-A916-C9B2130BDB7A}"/>
    <cellStyle name="20% - Énfasis1 7 6 2" xfId="35405" xr:uid="{3B74F7BB-77BF-4505-AFCE-774058EBFE4C}"/>
    <cellStyle name="20% - Énfasis1 7 7" xfId="35374" xr:uid="{C2DAECA7-1270-4207-AE1B-D70EF3CF1DC4}"/>
    <cellStyle name="20% - Énfasis1 8" xfId="544" xr:uid="{2D0D85A5-6A9A-4F70-A73F-61BB4AB1F8D2}"/>
    <cellStyle name="20% - Énfasis1 8 2" xfId="1205" xr:uid="{018C6EA8-392B-4597-879D-D42B29404B77}"/>
    <cellStyle name="20% - Énfasis1 8 2 2" xfId="2673" xr:uid="{A4090B0E-5077-464C-97D8-0D153461E128}"/>
    <cellStyle name="20% - Énfasis1 8 2 2 2" xfId="6405" xr:uid="{8A9F543E-D444-48E2-8F00-C55911432B41}"/>
    <cellStyle name="20% - Énfasis1 8 2 2 2 2" xfId="14113" xr:uid="{F54F5BBB-9554-405D-9C9A-6F1E37FED16B}"/>
    <cellStyle name="20% - Énfasis1 8 2 2 2 2 2" xfId="29525" xr:uid="{9516ABC6-4F73-469F-903E-F5773FBD3DC8}"/>
    <cellStyle name="20% - Énfasis1 8 2 2 2 2 2 2" xfId="35411" xr:uid="{50699FAA-E9E6-4299-98E3-BA6E3C35085A}"/>
    <cellStyle name="20% - Énfasis1 8 2 2 2 2 3" xfId="35410" xr:uid="{8F366C4D-4FB1-421A-BE9E-0B2468FD3720}"/>
    <cellStyle name="20% - Énfasis1 8 2 2 2 3" xfId="21820" xr:uid="{AA7A7E5F-43D1-4401-B56A-DF6174DB3D96}"/>
    <cellStyle name="20% - Énfasis1 8 2 2 2 3 2" xfId="35412" xr:uid="{85398351-43F1-49D7-9601-AE9B684A7BFF}"/>
    <cellStyle name="20% - Énfasis1 8 2 2 2 4" xfId="35409" xr:uid="{07CCA844-1300-4B38-9AE1-C305B765733E}"/>
    <cellStyle name="20% - Énfasis1 8 2 2 3" xfId="10384" xr:uid="{D0A60726-5917-4B11-9B02-2B962D68995D}"/>
    <cellStyle name="20% - Énfasis1 8 2 2 3 2" xfId="25797" xr:uid="{4C4F13C5-6E3A-4566-BDB4-B113C47B3894}"/>
    <cellStyle name="20% - Énfasis1 8 2 2 3 2 2" xfId="35414" xr:uid="{55EE5845-54C4-440A-9819-57F16B63602B}"/>
    <cellStyle name="20% - Énfasis1 8 2 2 3 3" xfId="35413" xr:uid="{97D117A4-612D-4A99-B659-C4C6EFC57A90}"/>
    <cellStyle name="20% - Énfasis1 8 2 2 4" xfId="18092" xr:uid="{53CFD0C3-5FE9-43D8-9219-56A8772C2D2A}"/>
    <cellStyle name="20% - Énfasis1 8 2 2 4 2" xfId="35415" xr:uid="{0F6CDF9D-A74F-42F0-B70F-A9AB37E51964}"/>
    <cellStyle name="20% - Énfasis1 8 2 2 5" xfId="35408" xr:uid="{9A6F7F72-ED5B-4A72-8AAE-E77298580BCE}"/>
    <cellStyle name="20% - Énfasis1 8 2 3" xfId="4942" xr:uid="{78E58749-0F52-4182-A08F-3E3213916E7A}"/>
    <cellStyle name="20% - Énfasis1 8 2 3 2" xfId="12650" xr:uid="{33526982-9B14-4DED-88C4-465EA68F35E3}"/>
    <cellStyle name="20% - Énfasis1 8 2 3 2 2" xfId="28062" xr:uid="{58A86D00-4CB9-4F7F-A416-7F89A39CCE95}"/>
    <cellStyle name="20% - Énfasis1 8 2 3 2 2 2" xfId="35418" xr:uid="{E5196D0E-73C1-498E-8F5E-CEFC38F1952D}"/>
    <cellStyle name="20% - Énfasis1 8 2 3 2 3" xfId="35417" xr:uid="{AF45F587-D910-4405-AF34-C3472CF342C8}"/>
    <cellStyle name="20% - Énfasis1 8 2 3 3" xfId="20357" xr:uid="{24CF6A5A-A843-4E18-872C-5FAFAC78CA12}"/>
    <cellStyle name="20% - Énfasis1 8 2 3 3 2" xfId="35419" xr:uid="{2F3A64DA-6E3B-45CF-B2F3-73C21C1ABB71}"/>
    <cellStyle name="20% - Énfasis1 8 2 3 4" xfId="35416" xr:uid="{9BB93232-F986-427E-8F60-DEE5E3C2CB4E}"/>
    <cellStyle name="20% - Énfasis1 8 2 4" xfId="8925" xr:uid="{07AA1AF0-7A60-40BD-8EE4-75413F30CB08}"/>
    <cellStyle name="20% - Énfasis1 8 2 4 2" xfId="24338" xr:uid="{AE307D98-6EC0-4CD1-B16C-54A30282B176}"/>
    <cellStyle name="20% - Énfasis1 8 2 4 2 2" xfId="35421" xr:uid="{0C8DE242-59B9-4703-9828-2F0E3A2027F1}"/>
    <cellStyle name="20% - Énfasis1 8 2 4 3" xfId="35420" xr:uid="{13D438C2-3A6D-4475-A02D-28EF3BECEB84}"/>
    <cellStyle name="20% - Énfasis1 8 2 5" xfId="16633" xr:uid="{A8E8621B-A186-40C3-BDD0-9D35688CC2C2}"/>
    <cellStyle name="20% - Énfasis1 8 2 5 2" xfId="35422" xr:uid="{DFA0869B-74B4-41E8-9EB6-A3D3FE746D7D}"/>
    <cellStyle name="20% - Énfasis1 8 2 6" xfId="35407" xr:uid="{C626A3F3-A42D-4B39-9E2B-4E896A18F9D4}"/>
    <cellStyle name="20% - Énfasis1 8 3" xfId="2035" xr:uid="{1D1F0104-D4EB-4259-89AD-603698FC3999}"/>
    <cellStyle name="20% - Énfasis1 8 3 2" xfId="5767" xr:uid="{C113F534-4FAA-4BE9-993D-97DDCB0A0416}"/>
    <cellStyle name="20% - Énfasis1 8 3 2 2" xfId="13475" xr:uid="{2C383206-7E0E-4D04-A6AD-3874699B4ACF}"/>
    <cellStyle name="20% - Énfasis1 8 3 2 2 2" xfId="28887" xr:uid="{2CD4B708-A2D2-48E9-803E-85337EDF636E}"/>
    <cellStyle name="20% - Énfasis1 8 3 2 2 2 2" xfId="35426" xr:uid="{8871910E-2527-4554-9276-E3A746C07C9F}"/>
    <cellStyle name="20% - Énfasis1 8 3 2 2 3" xfId="35425" xr:uid="{D53E0CA3-9CFB-43E9-A26C-BF7C18DAC9DA}"/>
    <cellStyle name="20% - Énfasis1 8 3 2 3" xfId="21182" xr:uid="{D3240EA4-128D-4DAC-92E3-F9F60230A497}"/>
    <cellStyle name="20% - Énfasis1 8 3 2 3 2" xfId="35427" xr:uid="{F494BFE8-CD85-451D-9A4F-DB528944C32D}"/>
    <cellStyle name="20% - Énfasis1 8 3 2 4" xfId="35424" xr:uid="{667D3E8E-3F49-4A95-89BF-49EA12A92638}"/>
    <cellStyle name="20% - Énfasis1 8 3 3" xfId="9746" xr:uid="{37746622-A730-4212-8006-857D74BAF459}"/>
    <cellStyle name="20% - Énfasis1 8 3 3 2" xfId="25159" xr:uid="{8BCA6665-297C-4E32-8D99-073495A168D1}"/>
    <cellStyle name="20% - Énfasis1 8 3 3 2 2" xfId="35429" xr:uid="{D6DF7C7F-1414-4215-9086-DA03AFD7C2E4}"/>
    <cellStyle name="20% - Énfasis1 8 3 3 3" xfId="35428" xr:uid="{42B5D825-BC58-4426-B4FC-E23E0EFA2B5C}"/>
    <cellStyle name="20% - Énfasis1 8 3 4" xfId="17454" xr:uid="{BC97E8D2-6188-4908-9C2E-D562E7AF01B6}"/>
    <cellStyle name="20% - Énfasis1 8 3 4 2" xfId="35430" xr:uid="{077387BC-B066-4E34-BB80-4C86BDCE096E}"/>
    <cellStyle name="20% - Énfasis1 8 3 5" xfId="35423" xr:uid="{C5E418C2-DC22-4B0F-8AFE-0B528288FAD6}"/>
    <cellStyle name="20% - Énfasis1 8 4" xfId="4290" xr:uid="{F5E451E0-B4E2-4D88-8C73-74961F8D9636}"/>
    <cellStyle name="20% - Énfasis1 8 4 2" xfId="11998" xr:uid="{743E4C9F-9937-4CE9-9513-4D70CD925C6D}"/>
    <cellStyle name="20% - Énfasis1 8 4 2 2" xfId="27410" xr:uid="{528086C8-1A9D-4F8D-8E67-7C62084FF652}"/>
    <cellStyle name="20% - Énfasis1 8 4 2 2 2" xfId="35433" xr:uid="{E1625655-4B1D-4CDB-A172-126264D8E31B}"/>
    <cellStyle name="20% - Énfasis1 8 4 2 3" xfId="35432" xr:uid="{C7692BEB-C3BD-4779-B273-94246995F375}"/>
    <cellStyle name="20% - Énfasis1 8 4 3" xfId="19705" xr:uid="{1D81DBAB-F4DD-41A5-9C69-AE8464E12038}"/>
    <cellStyle name="20% - Énfasis1 8 4 3 2" xfId="35434" xr:uid="{F50CF459-DBA3-4C87-98FD-681CAD8D3A97}"/>
    <cellStyle name="20% - Énfasis1 8 4 4" xfId="35431" xr:uid="{D5DF174F-3246-449B-BC8F-BC16A5E66943}"/>
    <cellStyle name="20% - Énfasis1 8 5" xfId="8287" xr:uid="{099B3F21-DB20-4F02-83BD-328B52D8CCD7}"/>
    <cellStyle name="20% - Énfasis1 8 5 2" xfId="23700" xr:uid="{421ECE31-1697-4006-A7CD-6E8D297D45E1}"/>
    <cellStyle name="20% - Énfasis1 8 5 2 2" xfId="35436" xr:uid="{9BA86FF7-C971-4DC1-8D6B-57DCEFC03A5A}"/>
    <cellStyle name="20% - Énfasis1 8 5 3" xfId="35435" xr:uid="{FD094E94-5864-4C52-987A-0279204A8359}"/>
    <cellStyle name="20% - Énfasis1 8 6" xfId="15995" xr:uid="{563B2C23-F6C1-4376-82B0-694D4855B98A}"/>
    <cellStyle name="20% - Énfasis1 8 6 2" xfId="35437" xr:uid="{2F2B77F6-21CB-41E5-BE58-7510E2DAB1B4}"/>
    <cellStyle name="20% - Énfasis1 8 7" xfId="35406" xr:uid="{0649C3FB-9270-42A4-96F3-CDBEC76E0AA8}"/>
    <cellStyle name="20% - Énfasis1 9" xfId="564" xr:uid="{5C960A68-933B-4AB1-A15D-E3BFED3CE3C7}"/>
    <cellStyle name="20% - Énfasis1 9 2" xfId="1225" xr:uid="{286B6756-500F-4B18-AFE2-A75CA82C683D}"/>
    <cellStyle name="20% - Énfasis1 9 2 2" xfId="2693" xr:uid="{6C5B9842-7729-483E-8DF5-A4354020EE31}"/>
    <cellStyle name="20% - Énfasis1 9 2 2 2" xfId="6425" xr:uid="{A4A4472B-0DCF-4C6C-B53B-E19B3CB30917}"/>
    <cellStyle name="20% - Énfasis1 9 2 2 2 2" xfId="14133" xr:uid="{AC3A30C5-2C92-43E0-8CD1-1B68358D5A57}"/>
    <cellStyle name="20% - Énfasis1 9 2 2 2 2 2" xfId="29545" xr:uid="{33AD4539-C4CC-4726-8065-0E64D5F51CA0}"/>
    <cellStyle name="20% - Énfasis1 9 2 2 2 2 2 2" xfId="35443" xr:uid="{B1E28CFF-98E9-4E12-8A54-B542B1BE766D}"/>
    <cellStyle name="20% - Énfasis1 9 2 2 2 2 3" xfId="35442" xr:uid="{6F031125-5BB8-41EA-8D7D-DAF13CDB256B}"/>
    <cellStyle name="20% - Énfasis1 9 2 2 2 3" xfId="21840" xr:uid="{125CA498-3DBD-4795-B746-593AE1063358}"/>
    <cellStyle name="20% - Énfasis1 9 2 2 2 3 2" xfId="35444" xr:uid="{9EECEAF6-F4F7-4C3C-A2CE-C0BB88240AB9}"/>
    <cellStyle name="20% - Énfasis1 9 2 2 2 4" xfId="35441" xr:uid="{FD5B3C99-02D1-4378-AAE6-416E58388211}"/>
    <cellStyle name="20% - Énfasis1 9 2 2 3" xfId="10404" xr:uid="{357A71E2-70DB-4BF0-ABE8-2DE8C3719934}"/>
    <cellStyle name="20% - Énfasis1 9 2 2 3 2" xfId="25817" xr:uid="{EB9D82D4-F2AA-4C4E-947C-9F4D15547246}"/>
    <cellStyle name="20% - Énfasis1 9 2 2 3 2 2" xfId="35446" xr:uid="{075DC1D0-C5F6-4A2F-AF0C-62F945A880E6}"/>
    <cellStyle name="20% - Énfasis1 9 2 2 3 3" xfId="35445" xr:uid="{03C8A7C5-E752-429F-84E1-AADB5480086A}"/>
    <cellStyle name="20% - Énfasis1 9 2 2 4" xfId="18112" xr:uid="{98201FF1-383E-4DDB-8B0F-1918153707A4}"/>
    <cellStyle name="20% - Énfasis1 9 2 2 4 2" xfId="35447" xr:uid="{D9E34104-9142-4E20-8F8E-889A12622AC7}"/>
    <cellStyle name="20% - Énfasis1 9 2 2 5" xfId="35440" xr:uid="{155BBD08-D241-4953-A39A-E8C4A1002E80}"/>
    <cellStyle name="20% - Énfasis1 9 2 3" xfId="4962" xr:uid="{2765914E-EDD5-4F77-9512-C24CA9F4CC76}"/>
    <cellStyle name="20% - Énfasis1 9 2 3 2" xfId="12670" xr:uid="{2A286F90-A93F-469F-8D9C-BFBA1710AEF9}"/>
    <cellStyle name="20% - Énfasis1 9 2 3 2 2" xfId="28082" xr:uid="{6A3C0898-A0B2-4850-B75F-41F0A72871BA}"/>
    <cellStyle name="20% - Énfasis1 9 2 3 2 2 2" xfId="35450" xr:uid="{1555C8CB-5BD8-47DF-9700-FE40C87D3AF3}"/>
    <cellStyle name="20% - Énfasis1 9 2 3 2 3" xfId="35449" xr:uid="{28F42AAF-CA91-4936-9FBD-8BBA64B7B6C6}"/>
    <cellStyle name="20% - Énfasis1 9 2 3 3" xfId="20377" xr:uid="{A75F2A4C-D4E0-41C5-B4CC-17B00A89C259}"/>
    <cellStyle name="20% - Énfasis1 9 2 3 3 2" xfId="35451" xr:uid="{5B43E1E3-D468-4FBA-B099-77DF5608266D}"/>
    <cellStyle name="20% - Énfasis1 9 2 3 4" xfId="35448" xr:uid="{F4225D7C-137D-436E-B358-7B6D4A0F7D70}"/>
    <cellStyle name="20% - Énfasis1 9 2 4" xfId="8945" xr:uid="{6F66B685-2EE8-414E-992A-9C00CC3E9E7D}"/>
    <cellStyle name="20% - Énfasis1 9 2 4 2" xfId="24358" xr:uid="{21D7FF85-7586-4349-90A4-42A45FE45B23}"/>
    <cellStyle name="20% - Énfasis1 9 2 4 2 2" xfId="35453" xr:uid="{13C20C09-3BF8-46C0-8A92-1340AB8D1F92}"/>
    <cellStyle name="20% - Énfasis1 9 2 4 3" xfId="35452" xr:uid="{AACF6DDE-A13D-40FB-9D0B-108F0F671985}"/>
    <cellStyle name="20% - Énfasis1 9 2 5" xfId="16653" xr:uid="{AB8B5D70-B5EF-447F-9866-86771FD6933B}"/>
    <cellStyle name="20% - Énfasis1 9 2 5 2" xfId="35454" xr:uid="{F78FA873-8AF7-4DE4-98B0-CC54BB087ED6}"/>
    <cellStyle name="20% - Énfasis1 9 2 6" xfId="35439" xr:uid="{4A33DA90-0034-4576-8277-5B84CC8EB950}"/>
    <cellStyle name="20% - Énfasis1 9 3" xfId="2055" xr:uid="{A05E0DBF-D63D-4A68-BBA3-DB2322257D37}"/>
    <cellStyle name="20% - Énfasis1 9 3 2" xfId="5787" xr:uid="{0129F1C1-6665-4DA7-965E-C1656F4DB69F}"/>
    <cellStyle name="20% - Énfasis1 9 3 2 2" xfId="13495" xr:uid="{A4AFB00E-0606-4741-A7F7-FDDF70E0E70D}"/>
    <cellStyle name="20% - Énfasis1 9 3 2 2 2" xfId="28907" xr:uid="{55F00C01-4D9A-48D2-B4D0-14D89CBF1AEE}"/>
    <cellStyle name="20% - Énfasis1 9 3 2 2 2 2" xfId="35458" xr:uid="{95052844-5C30-4506-847F-0A9D09D0AA41}"/>
    <cellStyle name="20% - Énfasis1 9 3 2 2 3" xfId="35457" xr:uid="{65DCDE2F-CB06-4CB3-9708-D44D780E8A06}"/>
    <cellStyle name="20% - Énfasis1 9 3 2 3" xfId="21202" xr:uid="{CF19E150-9E17-4B0D-B9D4-6BF591493F14}"/>
    <cellStyle name="20% - Énfasis1 9 3 2 3 2" xfId="35459" xr:uid="{E04A8603-858E-45C8-B56E-D55049C5C4E9}"/>
    <cellStyle name="20% - Énfasis1 9 3 2 4" xfId="35456" xr:uid="{28825537-55B8-497A-B776-4B22DC208E2A}"/>
    <cellStyle name="20% - Énfasis1 9 3 3" xfId="9766" xr:uid="{415DB11F-980B-44F5-A432-C2456047E07B}"/>
    <cellStyle name="20% - Énfasis1 9 3 3 2" xfId="25179" xr:uid="{3F7BD315-4F8D-4DE5-8F4A-57190A0A0F29}"/>
    <cellStyle name="20% - Énfasis1 9 3 3 2 2" xfId="35461" xr:uid="{C3D8BBC2-4A1C-4BA9-A76B-1A3AB7EFB097}"/>
    <cellStyle name="20% - Énfasis1 9 3 3 3" xfId="35460" xr:uid="{8E64232E-E3E5-4297-9A2D-963CDB57694B}"/>
    <cellStyle name="20% - Énfasis1 9 3 4" xfId="17474" xr:uid="{41438C77-D881-415B-B060-6F8DFD6C4EF0}"/>
    <cellStyle name="20% - Énfasis1 9 3 4 2" xfId="35462" xr:uid="{D0EE544F-8488-4688-B5CB-3C28E13422B4}"/>
    <cellStyle name="20% - Énfasis1 9 3 5" xfId="35455" xr:uid="{E8FB6ED1-2FFB-4C28-BDC7-767696FAFD87}"/>
    <cellStyle name="20% - Énfasis1 9 4" xfId="4310" xr:uid="{47DE5F5B-7A47-4B4D-B76E-E42675A0E544}"/>
    <cellStyle name="20% - Énfasis1 9 4 2" xfId="12018" xr:uid="{E5B4A3E0-A62C-4BCA-8E0F-C75346210D04}"/>
    <cellStyle name="20% - Énfasis1 9 4 2 2" xfId="27430" xr:uid="{565E88D7-5337-4E4D-B73D-963290E8AAD2}"/>
    <cellStyle name="20% - Énfasis1 9 4 2 2 2" xfId="35465" xr:uid="{D4C7F2A8-A2EA-460D-85C9-C3B59AED6476}"/>
    <cellStyle name="20% - Énfasis1 9 4 2 3" xfId="35464" xr:uid="{03D4FE56-2A8E-4801-AFD1-8EAFBF1A6938}"/>
    <cellStyle name="20% - Énfasis1 9 4 3" xfId="19725" xr:uid="{5D62FD8B-C4E6-4D03-B3BA-D2D53A604AEF}"/>
    <cellStyle name="20% - Énfasis1 9 4 3 2" xfId="35466" xr:uid="{778014EC-70EA-426F-B2FB-A5CAFFD21D58}"/>
    <cellStyle name="20% - Énfasis1 9 4 4" xfId="35463" xr:uid="{464DF349-0032-4D30-A471-D4FB2C7DCD08}"/>
    <cellStyle name="20% - Énfasis1 9 5" xfId="8307" xr:uid="{10F00174-F1C8-4285-B7E7-692883B80897}"/>
    <cellStyle name="20% - Énfasis1 9 5 2" xfId="23720" xr:uid="{F99BD8A0-3D42-4BAA-BC64-A07A83319057}"/>
    <cellStyle name="20% - Énfasis1 9 5 2 2" xfId="35468" xr:uid="{5F384F21-8851-4CCB-A3AD-4A1AFC561A6E}"/>
    <cellStyle name="20% - Énfasis1 9 5 3" xfId="35467" xr:uid="{3BCF6A51-C54E-4174-AEE4-5E31603B9476}"/>
    <cellStyle name="20% - Énfasis1 9 6" xfId="16015" xr:uid="{CFCBC8DA-DB21-48E3-9EB4-E6F9FE17DA04}"/>
    <cellStyle name="20% - Énfasis1 9 6 2" xfId="35469" xr:uid="{82AB64B2-E753-4D91-ACB6-C30A6F609A89}"/>
    <cellStyle name="20% - Énfasis1 9 7" xfId="35438" xr:uid="{3374A616-58F5-4BA2-A506-613A5EACE352}"/>
    <cellStyle name="20% - Énfasis2" xfId="25" builtinId="34" customBuiltin="1"/>
    <cellStyle name="20% - Énfasis2 10" xfId="587" xr:uid="{52CB270B-FD2E-423E-B8E9-DBF0198FD96F}"/>
    <cellStyle name="20% - Énfasis2 10 2" xfId="1248" xr:uid="{63C45258-4BD3-4A92-97C5-529231A90B68}"/>
    <cellStyle name="20% - Énfasis2 10 2 2" xfId="2716" xr:uid="{21B3BA97-11B4-4FDB-97F3-187D4D272A49}"/>
    <cellStyle name="20% - Énfasis2 10 2 2 2" xfId="6448" xr:uid="{74F07392-29BF-4E6C-89E2-8A5A843D52AB}"/>
    <cellStyle name="20% - Énfasis2 10 2 2 2 2" xfId="14156" xr:uid="{19D8811F-0689-4D07-9295-8DF70BECC088}"/>
    <cellStyle name="20% - Énfasis2 10 2 2 2 2 2" xfId="29568" xr:uid="{8D86BFD2-3BEF-42CF-838D-9E986613AFB3}"/>
    <cellStyle name="20% - Énfasis2 10 2 2 2 2 2 2" xfId="35475" xr:uid="{EFCC1F64-F7CF-48D6-97D8-C5C7601BF36F}"/>
    <cellStyle name="20% - Énfasis2 10 2 2 2 2 3" xfId="35474" xr:uid="{2A8E55BE-CC70-43F5-BE96-EC16C8240B44}"/>
    <cellStyle name="20% - Énfasis2 10 2 2 2 3" xfId="21863" xr:uid="{5729D340-3D1F-4F28-8FF7-CF133A881A7C}"/>
    <cellStyle name="20% - Énfasis2 10 2 2 2 3 2" xfId="35476" xr:uid="{03BC69CD-7997-4C49-B6C8-FEF698EE2999}"/>
    <cellStyle name="20% - Énfasis2 10 2 2 2 4" xfId="35473" xr:uid="{8946AF2F-C17D-4733-A425-588B00834782}"/>
    <cellStyle name="20% - Énfasis2 10 2 2 3" xfId="10427" xr:uid="{9877B857-B947-4B68-BA35-C0C854707A3A}"/>
    <cellStyle name="20% - Énfasis2 10 2 2 3 2" xfId="25840" xr:uid="{2E944137-2814-4B3A-B53D-2A780DD19C3B}"/>
    <cellStyle name="20% - Énfasis2 10 2 2 3 2 2" xfId="35478" xr:uid="{427371A7-EF38-4496-A593-E7A3937C0E41}"/>
    <cellStyle name="20% - Énfasis2 10 2 2 3 3" xfId="35477" xr:uid="{0C9D5890-F8E6-4EB1-848C-CBAF903650D0}"/>
    <cellStyle name="20% - Énfasis2 10 2 2 4" xfId="18135" xr:uid="{07B5BAC6-CC80-4109-913E-B0DDB2A833C5}"/>
    <cellStyle name="20% - Énfasis2 10 2 2 4 2" xfId="35479" xr:uid="{E4316931-076E-4B74-8426-31840F1ACA81}"/>
    <cellStyle name="20% - Énfasis2 10 2 2 5" xfId="35472" xr:uid="{26B3FBD3-02B1-4B54-8E7A-8652757589A2}"/>
    <cellStyle name="20% - Énfasis2 10 2 3" xfId="4985" xr:uid="{6A8BA536-B074-4D4C-A048-5FA6728F3C04}"/>
    <cellStyle name="20% - Énfasis2 10 2 3 2" xfId="12693" xr:uid="{E04431DD-81D2-49E9-A826-5C3DCA16B626}"/>
    <cellStyle name="20% - Énfasis2 10 2 3 2 2" xfId="28105" xr:uid="{52581C37-1628-4848-98AF-9209E7F0E5BD}"/>
    <cellStyle name="20% - Énfasis2 10 2 3 2 2 2" xfId="35482" xr:uid="{CA6956DD-BCC8-476F-A354-7B98158C99ED}"/>
    <cellStyle name="20% - Énfasis2 10 2 3 2 3" xfId="35481" xr:uid="{DE1FCF52-55B9-4069-9D41-97269DFB9144}"/>
    <cellStyle name="20% - Énfasis2 10 2 3 3" xfId="20400" xr:uid="{FC61AF8C-9120-4C54-9571-88FECD519318}"/>
    <cellStyle name="20% - Énfasis2 10 2 3 3 2" xfId="35483" xr:uid="{AAB9DAAA-6B0C-4236-A097-7A8290EC0B06}"/>
    <cellStyle name="20% - Énfasis2 10 2 3 4" xfId="35480" xr:uid="{2547DFA8-5817-40B6-A99B-377202D92558}"/>
    <cellStyle name="20% - Énfasis2 10 2 4" xfId="8968" xr:uid="{59BBA7F2-9CBA-448F-BDE1-7685E6E9CF5D}"/>
    <cellStyle name="20% - Énfasis2 10 2 4 2" xfId="24381" xr:uid="{891836C6-FFDA-4E30-8EC3-A0182D5CAC2E}"/>
    <cellStyle name="20% - Énfasis2 10 2 4 2 2" xfId="35485" xr:uid="{33AA6420-4AAB-422D-AEB3-02C999D413E1}"/>
    <cellStyle name="20% - Énfasis2 10 2 4 3" xfId="35484" xr:uid="{BF268F24-A29E-404A-8921-3DA0F5D99BD2}"/>
    <cellStyle name="20% - Énfasis2 10 2 5" xfId="16676" xr:uid="{19E219FD-61F9-4A78-8D11-1A260B538194}"/>
    <cellStyle name="20% - Énfasis2 10 2 5 2" xfId="35486" xr:uid="{C11FB892-A9F8-44DC-AB6A-16DE45213FDE}"/>
    <cellStyle name="20% - Énfasis2 10 2 6" xfId="35471" xr:uid="{021C8E16-A8EA-4AED-9823-118D1F6D0D3F}"/>
    <cellStyle name="20% - Énfasis2 10 3" xfId="2078" xr:uid="{3AACB5B0-30D4-4A81-8223-BC9B5195CA24}"/>
    <cellStyle name="20% - Énfasis2 10 3 2" xfId="5810" xr:uid="{3C0CD7AA-7A91-4644-A55E-3515763302B3}"/>
    <cellStyle name="20% - Énfasis2 10 3 2 2" xfId="13518" xr:uid="{5B9616FF-B507-4053-8A75-0FBCA30BC4B8}"/>
    <cellStyle name="20% - Énfasis2 10 3 2 2 2" xfId="28930" xr:uid="{E6BAE19E-0285-49EB-A611-601D86F60EE1}"/>
    <cellStyle name="20% - Énfasis2 10 3 2 2 2 2" xfId="35490" xr:uid="{CDB92AAE-C97A-4E83-BEF5-826F851C9483}"/>
    <cellStyle name="20% - Énfasis2 10 3 2 2 3" xfId="35489" xr:uid="{3A4B6648-D6B9-4463-8F4B-C18A148BD4DA}"/>
    <cellStyle name="20% - Énfasis2 10 3 2 3" xfId="21225" xr:uid="{EB14B584-72AE-4099-8F1A-3FD02B6863F6}"/>
    <cellStyle name="20% - Énfasis2 10 3 2 3 2" xfId="35491" xr:uid="{EEB8D00A-E2DF-4118-8CA6-2415FD180ECE}"/>
    <cellStyle name="20% - Énfasis2 10 3 2 4" xfId="35488" xr:uid="{CB3CDE1D-DA70-42DC-9FEC-8BBE46B6DAE1}"/>
    <cellStyle name="20% - Énfasis2 10 3 3" xfId="9789" xr:uid="{D383CABE-651C-4300-A07C-DA01BB61F4B0}"/>
    <cellStyle name="20% - Énfasis2 10 3 3 2" xfId="25202" xr:uid="{D9930D3A-923A-43BB-A5FA-4FE39E087B8B}"/>
    <cellStyle name="20% - Énfasis2 10 3 3 2 2" xfId="35493" xr:uid="{FF682F5E-58AB-4C5D-B6E0-C6D279E96B04}"/>
    <cellStyle name="20% - Énfasis2 10 3 3 3" xfId="35492" xr:uid="{228A0F54-B93A-4178-9F57-C1237C2EA1E3}"/>
    <cellStyle name="20% - Énfasis2 10 3 4" xfId="17497" xr:uid="{F172A2C4-0B5A-458D-8EF4-7585D05556AE}"/>
    <cellStyle name="20% - Énfasis2 10 3 4 2" xfId="35494" xr:uid="{9CD9A387-D47C-4B2C-A60A-BE4CA5F50A32}"/>
    <cellStyle name="20% - Énfasis2 10 3 5" xfId="35487" xr:uid="{7959034E-E7F6-49AE-B4FD-4114F671AD9E}"/>
    <cellStyle name="20% - Énfasis2 10 4" xfId="4333" xr:uid="{29CB391E-6BF5-4E25-80B6-32336B0C3E7D}"/>
    <cellStyle name="20% - Énfasis2 10 4 2" xfId="12041" xr:uid="{84A24825-DD16-4536-9C9E-804B230E0907}"/>
    <cellStyle name="20% - Énfasis2 10 4 2 2" xfId="27453" xr:uid="{1A975103-9A18-493A-B71C-745369A12C3F}"/>
    <cellStyle name="20% - Énfasis2 10 4 2 2 2" xfId="35497" xr:uid="{72C575BA-4997-47B2-A8E6-B56F7C1A4E84}"/>
    <cellStyle name="20% - Énfasis2 10 4 2 3" xfId="35496" xr:uid="{51B23C3A-E33F-4FD5-BDC4-35131FEC3266}"/>
    <cellStyle name="20% - Énfasis2 10 4 3" xfId="19748" xr:uid="{E186CDC8-8FAB-43BE-B85F-5B09C79DD5A9}"/>
    <cellStyle name="20% - Énfasis2 10 4 3 2" xfId="35498" xr:uid="{1BA5C23F-52AF-41B8-8EBA-A8AAD66C64DB}"/>
    <cellStyle name="20% - Énfasis2 10 4 4" xfId="35495" xr:uid="{83669A83-9BB6-4733-A51B-5241E88A02CF}"/>
    <cellStyle name="20% - Énfasis2 10 5" xfId="8330" xr:uid="{A0E82A85-3BE8-43A9-8CB7-7CEB18FF3DBB}"/>
    <cellStyle name="20% - Énfasis2 10 5 2" xfId="23743" xr:uid="{333B1EB1-9CE6-471F-8197-9C5E715A518D}"/>
    <cellStyle name="20% - Énfasis2 10 5 2 2" xfId="35500" xr:uid="{72D94FCC-9755-4C16-BF75-9C720F99852F}"/>
    <cellStyle name="20% - Énfasis2 10 5 3" xfId="35499" xr:uid="{DC6F964A-2680-47F1-BAA7-BA3361AF8EB3}"/>
    <cellStyle name="20% - Énfasis2 10 6" xfId="16038" xr:uid="{D24DF9B8-54A0-4F84-9AFB-DA3A629D730B}"/>
    <cellStyle name="20% - Énfasis2 10 6 2" xfId="35501" xr:uid="{FEDB88C1-92E7-4038-943C-35A2D8EAD2C1}"/>
    <cellStyle name="20% - Énfasis2 10 7" xfId="35470" xr:uid="{53B1F670-E9F0-434F-AD9B-626518C88081}"/>
    <cellStyle name="20% - Énfasis2 11" xfId="608" xr:uid="{E2C6D48E-724C-433F-A163-D46453B4FA37}"/>
    <cellStyle name="20% - Énfasis2 11 2" xfId="1269" xr:uid="{FC6846CC-7349-45E0-859B-450E41FBAD99}"/>
    <cellStyle name="20% - Énfasis2 11 2 2" xfId="2736" xr:uid="{7B54874E-DF44-4E56-AC08-354AD8BE45F1}"/>
    <cellStyle name="20% - Énfasis2 11 2 2 2" xfId="6468" xr:uid="{07D9BD3F-0618-47FD-AF45-A40E34BD2E79}"/>
    <cellStyle name="20% - Énfasis2 11 2 2 2 2" xfId="14176" xr:uid="{6E85626B-70A6-42B7-A34D-54546A8FCF41}"/>
    <cellStyle name="20% - Énfasis2 11 2 2 2 2 2" xfId="29588" xr:uid="{4EFFC1C8-D703-4CBE-AA6E-933E4901A76E}"/>
    <cellStyle name="20% - Énfasis2 11 2 2 2 2 2 2" xfId="35507" xr:uid="{CD1FB5C1-0F2E-434A-8E6F-4962E4B4BA94}"/>
    <cellStyle name="20% - Énfasis2 11 2 2 2 2 3" xfId="35506" xr:uid="{C14894FF-9447-47DA-9AA3-52E13A1C1681}"/>
    <cellStyle name="20% - Énfasis2 11 2 2 2 3" xfId="21883" xr:uid="{3449BEB3-9D4A-46D0-9E99-D6437A138C99}"/>
    <cellStyle name="20% - Énfasis2 11 2 2 2 3 2" xfId="35508" xr:uid="{B716FAFE-DAAC-4B70-8950-573CD81E9333}"/>
    <cellStyle name="20% - Énfasis2 11 2 2 2 4" xfId="35505" xr:uid="{64BBD051-AB80-44D0-BEBA-827B1C951E89}"/>
    <cellStyle name="20% - Énfasis2 11 2 2 3" xfId="10447" xr:uid="{2A6595B4-FBCE-4920-9F18-E54537ABC89B}"/>
    <cellStyle name="20% - Énfasis2 11 2 2 3 2" xfId="25860" xr:uid="{4168CA9D-475E-40A6-9F21-0B33A07536F6}"/>
    <cellStyle name="20% - Énfasis2 11 2 2 3 2 2" xfId="35510" xr:uid="{25B18F6F-DB23-4A35-9CB6-F049EF8FDFAF}"/>
    <cellStyle name="20% - Énfasis2 11 2 2 3 3" xfId="35509" xr:uid="{1504C5B5-C035-4D98-8427-10EA6596F493}"/>
    <cellStyle name="20% - Énfasis2 11 2 2 4" xfId="18155" xr:uid="{AB50B76A-2E49-414A-AE16-5CD9A1D760F3}"/>
    <cellStyle name="20% - Énfasis2 11 2 2 4 2" xfId="35511" xr:uid="{7428FB65-CECD-4063-8328-8F37DBFEE31A}"/>
    <cellStyle name="20% - Énfasis2 11 2 2 5" xfId="35504" xr:uid="{0F0409AD-B479-4623-8C38-7AEAB57A6E1E}"/>
    <cellStyle name="20% - Énfasis2 11 2 3" xfId="5005" xr:uid="{EEFC0D2C-D1C3-40FD-B08F-6A925DBB49F8}"/>
    <cellStyle name="20% - Énfasis2 11 2 3 2" xfId="12713" xr:uid="{D7F7D78F-2C1E-462D-89A9-B5767E5AE643}"/>
    <cellStyle name="20% - Énfasis2 11 2 3 2 2" xfId="28125" xr:uid="{4E279AD1-99A2-481D-ABA2-92304A973256}"/>
    <cellStyle name="20% - Énfasis2 11 2 3 2 2 2" xfId="35514" xr:uid="{BD1B566E-9757-4354-B411-A7A6283A75DE}"/>
    <cellStyle name="20% - Énfasis2 11 2 3 2 3" xfId="35513" xr:uid="{B66E6CFA-696E-43F3-99A1-F86409625052}"/>
    <cellStyle name="20% - Énfasis2 11 2 3 3" xfId="20420" xr:uid="{A61A959F-5B55-4F77-921B-86A36EDA1E70}"/>
    <cellStyle name="20% - Énfasis2 11 2 3 3 2" xfId="35515" xr:uid="{BB87BD38-3223-4F60-8741-44AE4988FEA4}"/>
    <cellStyle name="20% - Énfasis2 11 2 3 4" xfId="35512" xr:uid="{DA9A821A-19C7-4DB2-9DB6-86F698295C89}"/>
    <cellStyle name="20% - Énfasis2 11 2 4" xfId="8988" xr:uid="{B2B677AA-62C3-4A40-AE2B-BB1B1AFC1318}"/>
    <cellStyle name="20% - Énfasis2 11 2 4 2" xfId="24401" xr:uid="{229F51BA-3593-4385-ADD0-D5DFDD6E4542}"/>
    <cellStyle name="20% - Énfasis2 11 2 4 2 2" xfId="35517" xr:uid="{25B62530-5BB8-43BD-AEDE-B4ABD821F569}"/>
    <cellStyle name="20% - Énfasis2 11 2 4 3" xfId="35516" xr:uid="{0F7D0546-D638-4D8E-AADB-2F37C0223366}"/>
    <cellStyle name="20% - Énfasis2 11 2 5" xfId="16696" xr:uid="{26DA6675-7753-428E-8B1D-F1D75536977E}"/>
    <cellStyle name="20% - Énfasis2 11 2 5 2" xfId="35518" xr:uid="{E4887CF9-D027-4BA0-9B47-D4BDAC36AE83}"/>
    <cellStyle name="20% - Énfasis2 11 2 6" xfId="35503" xr:uid="{23E60BDF-4210-4F89-9F43-B9A3128CC56E}"/>
    <cellStyle name="20% - Énfasis2 11 3" xfId="2098" xr:uid="{3DA9A581-11EA-4965-AF7B-FF08AF6D7A62}"/>
    <cellStyle name="20% - Énfasis2 11 3 2" xfId="5830" xr:uid="{6E82F2AF-D950-4F3D-8522-EC5FAED44766}"/>
    <cellStyle name="20% - Énfasis2 11 3 2 2" xfId="13538" xr:uid="{CACA9A4D-4C54-4E77-9CB6-E3F19180E0AB}"/>
    <cellStyle name="20% - Énfasis2 11 3 2 2 2" xfId="28950" xr:uid="{366F1622-1E39-494E-9A28-2513B2B491E6}"/>
    <cellStyle name="20% - Énfasis2 11 3 2 2 2 2" xfId="35522" xr:uid="{8A5724E3-FF17-4D72-857B-06431033A041}"/>
    <cellStyle name="20% - Énfasis2 11 3 2 2 3" xfId="35521" xr:uid="{52A1E6C1-14EB-4687-8247-96D15D080899}"/>
    <cellStyle name="20% - Énfasis2 11 3 2 3" xfId="21245" xr:uid="{3B8146D5-5471-441A-80DE-0E6CCD436145}"/>
    <cellStyle name="20% - Énfasis2 11 3 2 3 2" xfId="35523" xr:uid="{7F6CA591-4A12-456E-882D-4EF57C307C39}"/>
    <cellStyle name="20% - Énfasis2 11 3 2 4" xfId="35520" xr:uid="{4FDE0719-397B-416D-81AC-8D5D204F347D}"/>
    <cellStyle name="20% - Énfasis2 11 3 3" xfId="9809" xr:uid="{871CFB0D-ADA2-4879-AB5D-EC6AD2AB4F7E}"/>
    <cellStyle name="20% - Énfasis2 11 3 3 2" xfId="25222" xr:uid="{63D57515-83D3-4FD8-AC86-BC0DA376F336}"/>
    <cellStyle name="20% - Énfasis2 11 3 3 2 2" xfId="35525" xr:uid="{9BCC6156-327C-4E6B-A62C-382E60EBFD5D}"/>
    <cellStyle name="20% - Énfasis2 11 3 3 3" xfId="35524" xr:uid="{938C702F-8993-48C9-B69D-B3858600B6B0}"/>
    <cellStyle name="20% - Énfasis2 11 3 4" xfId="17517" xr:uid="{AEBC080D-7FC4-4C82-A2D3-30C742658146}"/>
    <cellStyle name="20% - Énfasis2 11 3 4 2" xfId="35526" xr:uid="{CF44B6ED-4BF2-421C-BA6D-C15DB530AF91}"/>
    <cellStyle name="20% - Énfasis2 11 3 5" xfId="35519" xr:uid="{B0CE9552-AE71-49C9-ADF7-7485E2C1A373}"/>
    <cellStyle name="20% - Énfasis2 11 4" xfId="4353" xr:uid="{2B2007F6-4C3B-4CEF-8676-7319BACC3C2C}"/>
    <cellStyle name="20% - Énfasis2 11 4 2" xfId="12061" xr:uid="{A4AE6619-28BA-4326-997D-0F361446062E}"/>
    <cellStyle name="20% - Énfasis2 11 4 2 2" xfId="27473" xr:uid="{F344B624-83A9-4467-8A6D-5FD6EB682356}"/>
    <cellStyle name="20% - Énfasis2 11 4 2 2 2" xfId="35529" xr:uid="{F1EB9735-6950-4DDE-AB8C-9006C2216DF2}"/>
    <cellStyle name="20% - Énfasis2 11 4 2 3" xfId="35528" xr:uid="{10113C6B-3FE0-40E9-8BB7-9995F2967856}"/>
    <cellStyle name="20% - Énfasis2 11 4 3" xfId="19768" xr:uid="{BCBE6522-4F1F-4B90-B26E-F4AC6586325D}"/>
    <cellStyle name="20% - Énfasis2 11 4 3 2" xfId="35530" xr:uid="{7FBEE859-1C32-4230-86F8-ED19E2DAB720}"/>
    <cellStyle name="20% - Énfasis2 11 4 4" xfId="35527" xr:uid="{FAB83426-9D1A-47AC-B68A-C70C01F33CEB}"/>
    <cellStyle name="20% - Énfasis2 11 5" xfId="8350" xr:uid="{276CC426-9279-416F-89B2-BF6C40963F2F}"/>
    <cellStyle name="20% - Énfasis2 11 5 2" xfId="23763" xr:uid="{70A65DCB-8E36-4583-AFE9-DB446DA3EAFC}"/>
    <cellStyle name="20% - Énfasis2 11 5 2 2" xfId="35532" xr:uid="{B2DDCE05-182A-4312-BCD8-A454407CE94B}"/>
    <cellStyle name="20% - Énfasis2 11 5 3" xfId="35531" xr:uid="{74533835-586A-43E4-80DE-D7F74CD2D46F}"/>
    <cellStyle name="20% - Énfasis2 11 6" xfId="16058" xr:uid="{34635FF0-6F67-4AF2-A5AD-1FBADECED3D1}"/>
    <cellStyle name="20% - Énfasis2 11 6 2" xfId="35533" xr:uid="{45D4CF43-7F74-44A1-B223-C296C57F4D3F}"/>
    <cellStyle name="20% - Énfasis2 11 7" xfId="35502" xr:uid="{37264FB8-9A11-45BA-B457-1C0C7D38AD01}"/>
    <cellStyle name="20% - Énfasis2 12" xfId="628" xr:uid="{4E2F97E5-06CC-45CD-A8BD-D2D15BC08AF8}"/>
    <cellStyle name="20% - Énfasis2 12 2" xfId="1289" xr:uid="{27298CBC-1F66-48EB-A78D-62D8333988B2}"/>
    <cellStyle name="20% - Énfasis2 12 2 2" xfId="2756" xr:uid="{2D72172A-6477-4CB3-A039-CB88E40B4B19}"/>
    <cellStyle name="20% - Énfasis2 12 2 2 2" xfId="6488" xr:uid="{E1F69447-D28F-4A44-BE2C-2FD7B2C37286}"/>
    <cellStyle name="20% - Énfasis2 12 2 2 2 2" xfId="14196" xr:uid="{46A8E7C3-743F-493B-968E-A96CFF87A036}"/>
    <cellStyle name="20% - Énfasis2 12 2 2 2 2 2" xfId="29608" xr:uid="{1259BD2B-0301-4E11-8AFF-D9C8D8EF55AD}"/>
    <cellStyle name="20% - Énfasis2 12 2 2 2 2 2 2" xfId="35539" xr:uid="{D45CAE09-AE77-4CFA-BC26-D31AAFA0FB27}"/>
    <cellStyle name="20% - Énfasis2 12 2 2 2 2 3" xfId="35538" xr:uid="{D4E9D150-5DFA-43FE-B851-8FD7EF484130}"/>
    <cellStyle name="20% - Énfasis2 12 2 2 2 3" xfId="21903" xr:uid="{417A65E7-955C-433C-A038-921C8213A2D6}"/>
    <cellStyle name="20% - Énfasis2 12 2 2 2 3 2" xfId="35540" xr:uid="{293B8D4D-BC0A-4A6A-B21B-264768242E2C}"/>
    <cellStyle name="20% - Énfasis2 12 2 2 2 4" xfId="35537" xr:uid="{1F0B3867-ABB7-45CA-A5BE-99A566D5AF69}"/>
    <cellStyle name="20% - Énfasis2 12 2 2 3" xfId="10467" xr:uid="{D917D484-DDA5-4ADF-BAE9-7620EC017DA6}"/>
    <cellStyle name="20% - Énfasis2 12 2 2 3 2" xfId="25880" xr:uid="{E5AF9A97-3C58-4E41-AB40-AE753F2F66F1}"/>
    <cellStyle name="20% - Énfasis2 12 2 2 3 2 2" xfId="35542" xr:uid="{879111E4-3B36-43D8-B420-06452A83218A}"/>
    <cellStyle name="20% - Énfasis2 12 2 2 3 3" xfId="35541" xr:uid="{DD3DD8A4-918F-4C02-98FA-88DC817A7FCE}"/>
    <cellStyle name="20% - Énfasis2 12 2 2 4" xfId="18175" xr:uid="{00610208-BBEE-4C41-A468-8E187643127F}"/>
    <cellStyle name="20% - Énfasis2 12 2 2 4 2" xfId="35543" xr:uid="{A27C133D-F05C-4397-A281-FB7D2486D915}"/>
    <cellStyle name="20% - Énfasis2 12 2 2 5" xfId="35536" xr:uid="{3DDA2F68-5AFF-4265-9C27-FAA3AC4C8F6E}"/>
    <cellStyle name="20% - Énfasis2 12 2 3" xfId="5025" xr:uid="{A312C070-6B3F-47B2-9171-FB49261C6D54}"/>
    <cellStyle name="20% - Énfasis2 12 2 3 2" xfId="12733" xr:uid="{E6CA7FA7-7435-43B2-8D18-A60E1E777C02}"/>
    <cellStyle name="20% - Énfasis2 12 2 3 2 2" xfId="28145" xr:uid="{A8C77F99-193D-453E-9615-B4B95013EC87}"/>
    <cellStyle name="20% - Énfasis2 12 2 3 2 2 2" xfId="35546" xr:uid="{E6236D16-0AB3-43AA-A019-7AE3322D1026}"/>
    <cellStyle name="20% - Énfasis2 12 2 3 2 3" xfId="35545" xr:uid="{EC8814BD-B217-40E5-BD30-FC89EDC63A27}"/>
    <cellStyle name="20% - Énfasis2 12 2 3 3" xfId="20440" xr:uid="{720EEA82-5152-43D4-BB7D-98E138E4135B}"/>
    <cellStyle name="20% - Énfasis2 12 2 3 3 2" xfId="35547" xr:uid="{5C4149C3-4C54-44CD-A331-760C87D77C62}"/>
    <cellStyle name="20% - Énfasis2 12 2 3 4" xfId="35544" xr:uid="{2E9E5D02-EB69-4947-A3B5-E13F0A98D793}"/>
    <cellStyle name="20% - Énfasis2 12 2 4" xfId="9008" xr:uid="{444863E6-9996-46A2-BE42-B7EB4B428960}"/>
    <cellStyle name="20% - Énfasis2 12 2 4 2" xfId="24421" xr:uid="{BD60C105-DEF1-4E7B-8516-B1B550FCCD7B}"/>
    <cellStyle name="20% - Énfasis2 12 2 4 2 2" xfId="35549" xr:uid="{AE677B83-2B56-41C6-9678-5A9F20E8818F}"/>
    <cellStyle name="20% - Énfasis2 12 2 4 3" xfId="35548" xr:uid="{C991AD81-DD75-4E69-B159-4BF81CC6A532}"/>
    <cellStyle name="20% - Énfasis2 12 2 5" xfId="16716" xr:uid="{A56E2677-5578-451B-B0D6-7A3FB83A060C}"/>
    <cellStyle name="20% - Énfasis2 12 2 5 2" xfId="35550" xr:uid="{FD506C6E-0DBE-4B89-BDEF-C16393F70DFB}"/>
    <cellStyle name="20% - Énfasis2 12 2 6" xfId="35535" xr:uid="{BF8C0FE5-7746-41D8-88F4-00F4E7258C0B}"/>
    <cellStyle name="20% - Énfasis2 12 3" xfId="2118" xr:uid="{FC05450C-C329-414A-98AB-2FFF6CF9F391}"/>
    <cellStyle name="20% - Énfasis2 12 3 2" xfId="5850" xr:uid="{5D7E6CB6-CDFF-4461-8794-4EDB59E783B9}"/>
    <cellStyle name="20% - Énfasis2 12 3 2 2" xfId="13558" xr:uid="{9F38B7CF-BCC7-4451-8AE3-5E0D4F5AAEAA}"/>
    <cellStyle name="20% - Énfasis2 12 3 2 2 2" xfId="28970" xr:uid="{BB3F5E7F-192D-4F3D-9A0B-DADDAADFB39E}"/>
    <cellStyle name="20% - Énfasis2 12 3 2 2 2 2" xfId="35554" xr:uid="{0084B90C-9055-4DDB-8D45-0B13A08B5CED}"/>
    <cellStyle name="20% - Énfasis2 12 3 2 2 3" xfId="35553" xr:uid="{A798A9B2-FA50-43AA-87DD-DF99A0934857}"/>
    <cellStyle name="20% - Énfasis2 12 3 2 3" xfId="21265" xr:uid="{BFD2360B-590F-475C-85B0-A640212D08D4}"/>
    <cellStyle name="20% - Énfasis2 12 3 2 3 2" xfId="35555" xr:uid="{1433E65E-8EBF-4FF5-806A-050787A244B6}"/>
    <cellStyle name="20% - Énfasis2 12 3 2 4" xfId="35552" xr:uid="{EAB487DC-BC19-4113-96C1-DEAE79CB03EA}"/>
    <cellStyle name="20% - Énfasis2 12 3 3" xfId="9829" xr:uid="{8EEDDEE0-A005-479C-B665-ED0573FCE5E4}"/>
    <cellStyle name="20% - Énfasis2 12 3 3 2" xfId="25242" xr:uid="{8EAD474C-F26E-4E65-8291-54404B16ED62}"/>
    <cellStyle name="20% - Énfasis2 12 3 3 2 2" xfId="35557" xr:uid="{3D75B72B-F3ED-42BE-85E1-364AFA7A1ECF}"/>
    <cellStyle name="20% - Énfasis2 12 3 3 3" xfId="35556" xr:uid="{B512C74B-29CC-4D30-886E-E076F7AE6263}"/>
    <cellStyle name="20% - Énfasis2 12 3 4" xfId="17537" xr:uid="{39E341CF-5A28-4DFE-A5EA-AF3062635893}"/>
    <cellStyle name="20% - Énfasis2 12 3 4 2" xfId="35558" xr:uid="{FBF01247-F7B4-4A0A-8D37-E37C990B0492}"/>
    <cellStyle name="20% - Énfasis2 12 3 5" xfId="35551" xr:uid="{E8279FA1-42D6-4BD4-919F-FAFFFA4FE64F}"/>
    <cellStyle name="20% - Énfasis2 12 4" xfId="4373" xr:uid="{495BD654-C15A-41C7-A2E6-E5C4886BF4E0}"/>
    <cellStyle name="20% - Énfasis2 12 4 2" xfId="12081" xr:uid="{84092725-DBBB-4734-9FC4-74919C43F112}"/>
    <cellStyle name="20% - Énfasis2 12 4 2 2" xfId="27493" xr:uid="{68155244-3601-4098-BECE-857F1BE8273F}"/>
    <cellStyle name="20% - Énfasis2 12 4 2 2 2" xfId="35561" xr:uid="{4DF90908-F097-41D6-83D8-F13A38C3191B}"/>
    <cellStyle name="20% - Énfasis2 12 4 2 3" xfId="35560" xr:uid="{56F14369-D1AF-4C55-8CF1-DECF35F1FC66}"/>
    <cellStyle name="20% - Énfasis2 12 4 3" xfId="19788" xr:uid="{BB32C6BB-E548-4220-A4EC-C30359F2A42A}"/>
    <cellStyle name="20% - Énfasis2 12 4 3 2" xfId="35562" xr:uid="{21A39FC5-A11E-48D6-9491-F39E6AD61390}"/>
    <cellStyle name="20% - Énfasis2 12 4 4" xfId="35559" xr:uid="{C48BD3EF-2B2A-48F5-9414-4EE9AF809752}"/>
    <cellStyle name="20% - Énfasis2 12 5" xfId="8370" xr:uid="{F9AC4338-0F67-4D95-BA4F-E754245C8B13}"/>
    <cellStyle name="20% - Énfasis2 12 5 2" xfId="23783" xr:uid="{CA076BE9-6033-40A7-9CAE-B2E10EDFF535}"/>
    <cellStyle name="20% - Énfasis2 12 5 2 2" xfId="35564" xr:uid="{5B9D59E5-FE8E-49A1-B835-6C76FA223E48}"/>
    <cellStyle name="20% - Énfasis2 12 5 3" xfId="35563" xr:uid="{944CA873-5D89-4A71-937B-60147B0B8E9B}"/>
    <cellStyle name="20% - Énfasis2 12 6" xfId="16078" xr:uid="{A6456C83-EFF3-40CD-8E56-157AB70A7D96}"/>
    <cellStyle name="20% - Énfasis2 12 6 2" xfId="35565" xr:uid="{7197063C-B982-41B6-ACC8-A2357254F845}"/>
    <cellStyle name="20% - Énfasis2 12 7" xfId="35534" xr:uid="{8B092CAA-BDD6-473F-9CA5-C3805AD33066}"/>
    <cellStyle name="20% - Énfasis2 13" xfId="649" xr:uid="{19887374-3293-46F7-9C04-691E60C8F56B}"/>
    <cellStyle name="20% - Énfasis2 13 2" xfId="1310" xr:uid="{12569418-18DB-4461-8936-A1577AE87CA2}"/>
    <cellStyle name="20% - Énfasis2 13 2 2" xfId="2777" xr:uid="{A7785116-0E53-4342-BA6E-F6356A4C0A49}"/>
    <cellStyle name="20% - Énfasis2 13 2 2 2" xfId="6509" xr:uid="{7C689240-9654-47E4-9CDF-74B8B4A1D339}"/>
    <cellStyle name="20% - Énfasis2 13 2 2 2 2" xfId="14217" xr:uid="{FC2DF9A1-177D-4301-9202-8CCB586DCAB4}"/>
    <cellStyle name="20% - Énfasis2 13 2 2 2 2 2" xfId="29629" xr:uid="{412A83FA-EA41-470D-B970-3D89B864C69D}"/>
    <cellStyle name="20% - Énfasis2 13 2 2 2 2 2 2" xfId="35571" xr:uid="{152E6D25-0DBF-4430-B249-163D8082FFF3}"/>
    <cellStyle name="20% - Énfasis2 13 2 2 2 2 3" xfId="35570" xr:uid="{7E00947D-84CD-48B3-999E-91684C29D53C}"/>
    <cellStyle name="20% - Énfasis2 13 2 2 2 3" xfId="21924" xr:uid="{239B04AE-1554-4A0E-B259-1E1AEE1BAE21}"/>
    <cellStyle name="20% - Énfasis2 13 2 2 2 3 2" xfId="35572" xr:uid="{F669AC1C-8C9F-4327-9584-8D70C6155211}"/>
    <cellStyle name="20% - Énfasis2 13 2 2 2 4" xfId="35569" xr:uid="{B7E148B3-51F1-4197-B52C-CB002D5E5261}"/>
    <cellStyle name="20% - Énfasis2 13 2 2 3" xfId="10488" xr:uid="{32CB3872-FA42-47DB-A8CC-DF1AF404B4BC}"/>
    <cellStyle name="20% - Énfasis2 13 2 2 3 2" xfId="25901" xr:uid="{B1A3D80B-F309-459E-A53B-18ADE42E7CAA}"/>
    <cellStyle name="20% - Énfasis2 13 2 2 3 2 2" xfId="35574" xr:uid="{6AC40442-AC68-4265-AF2D-0FA1BDED06DE}"/>
    <cellStyle name="20% - Énfasis2 13 2 2 3 3" xfId="35573" xr:uid="{E88090B8-E3F4-4DC4-8071-0368BD613379}"/>
    <cellStyle name="20% - Énfasis2 13 2 2 4" xfId="18196" xr:uid="{CA965E24-4114-43FA-8DB8-F272EA40B446}"/>
    <cellStyle name="20% - Énfasis2 13 2 2 4 2" xfId="35575" xr:uid="{15123B3D-9E7B-4FAB-AE8E-AD11951896D5}"/>
    <cellStyle name="20% - Énfasis2 13 2 2 5" xfId="35568" xr:uid="{F59227D8-0FE2-4625-BF56-590A671A3D1A}"/>
    <cellStyle name="20% - Énfasis2 13 2 3" xfId="5046" xr:uid="{B4464891-3362-4393-B661-DE2EC99F4C6B}"/>
    <cellStyle name="20% - Énfasis2 13 2 3 2" xfId="12754" xr:uid="{DF892B86-FC3B-4223-80BF-ACBB1D2708D8}"/>
    <cellStyle name="20% - Énfasis2 13 2 3 2 2" xfId="28166" xr:uid="{675394DA-4C34-4EF2-8FF3-A440A5B07CA3}"/>
    <cellStyle name="20% - Énfasis2 13 2 3 2 2 2" xfId="35578" xr:uid="{F2E54DFA-E3C0-4B51-AA9C-2F9B3D9499EA}"/>
    <cellStyle name="20% - Énfasis2 13 2 3 2 3" xfId="35577" xr:uid="{E79195B3-FD58-471A-99F3-95099257132C}"/>
    <cellStyle name="20% - Énfasis2 13 2 3 3" xfId="20461" xr:uid="{A985874F-6964-4160-9D47-CD4EC869F4F5}"/>
    <cellStyle name="20% - Énfasis2 13 2 3 3 2" xfId="35579" xr:uid="{FE609AA2-DBEA-4520-894C-1F13744B81C9}"/>
    <cellStyle name="20% - Énfasis2 13 2 3 4" xfId="35576" xr:uid="{1435F875-60BA-4FD6-B6AA-A77FAC5D9421}"/>
    <cellStyle name="20% - Énfasis2 13 2 4" xfId="9029" xr:uid="{C601AD00-49A7-4505-9D94-9361B5FF6479}"/>
    <cellStyle name="20% - Énfasis2 13 2 4 2" xfId="24442" xr:uid="{F7970ABB-1CFE-476D-AD5B-3662CE9AA3E1}"/>
    <cellStyle name="20% - Énfasis2 13 2 4 2 2" xfId="35581" xr:uid="{DE5EB04A-626A-4B5A-A7A5-3A0397E5F9E3}"/>
    <cellStyle name="20% - Énfasis2 13 2 4 3" xfId="35580" xr:uid="{C097B25E-DE83-4CC2-8CFA-3337EA7B7672}"/>
    <cellStyle name="20% - Énfasis2 13 2 5" xfId="16737" xr:uid="{8C1F10DD-3800-4E97-837C-3FF6939D9E37}"/>
    <cellStyle name="20% - Énfasis2 13 2 5 2" xfId="35582" xr:uid="{45369D9D-4FC8-4C19-9734-517FAFA01556}"/>
    <cellStyle name="20% - Énfasis2 13 2 6" xfId="35567" xr:uid="{3C2424DB-A3CB-47ED-AB0E-687048E85038}"/>
    <cellStyle name="20% - Énfasis2 13 3" xfId="2139" xr:uid="{4F72F42D-2C69-4D24-87AB-61FFEBD7C041}"/>
    <cellStyle name="20% - Énfasis2 13 3 2" xfId="5871" xr:uid="{514DC09C-BB79-4CD8-ACE0-CE06C4DCEFDD}"/>
    <cellStyle name="20% - Énfasis2 13 3 2 2" xfId="13579" xr:uid="{96098D9A-9455-4F16-AD53-92B9AEB0B153}"/>
    <cellStyle name="20% - Énfasis2 13 3 2 2 2" xfId="28991" xr:uid="{A40E895A-C37F-47CD-BDC8-CB4B662A1F43}"/>
    <cellStyle name="20% - Énfasis2 13 3 2 2 2 2" xfId="35586" xr:uid="{B794290C-AC9B-45C9-82AD-338EAFBD56DD}"/>
    <cellStyle name="20% - Énfasis2 13 3 2 2 3" xfId="35585" xr:uid="{72A2CF90-66D3-4778-9FD3-31CDDC1BDC76}"/>
    <cellStyle name="20% - Énfasis2 13 3 2 3" xfId="21286" xr:uid="{411DA133-3754-4BBF-AF77-DB512CCF39C8}"/>
    <cellStyle name="20% - Énfasis2 13 3 2 3 2" xfId="35587" xr:uid="{0A1DE4C2-4A5D-42B3-84F7-8C1923230522}"/>
    <cellStyle name="20% - Énfasis2 13 3 2 4" xfId="35584" xr:uid="{89A9B56C-9335-44B6-8339-C765961A1A10}"/>
    <cellStyle name="20% - Énfasis2 13 3 3" xfId="9850" xr:uid="{9A6017A9-273E-4ED2-A904-F6ED49B30A01}"/>
    <cellStyle name="20% - Énfasis2 13 3 3 2" xfId="25263" xr:uid="{04291074-3458-4F06-9C9B-30543B549D23}"/>
    <cellStyle name="20% - Énfasis2 13 3 3 2 2" xfId="35589" xr:uid="{D898BD96-8A9A-46C7-A42F-CBAF36D93250}"/>
    <cellStyle name="20% - Énfasis2 13 3 3 3" xfId="35588" xr:uid="{C548E4DB-D182-4B0E-A9D7-48CE5967B301}"/>
    <cellStyle name="20% - Énfasis2 13 3 4" xfId="17558" xr:uid="{2D77C31E-CDC3-4663-AF8F-CE93E7B38D48}"/>
    <cellStyle name="20% - Énfasis2 13 3 4 2" xfId="35590" xr:uid="{34029751-C54D-4FAA-B272-13B2B56DAF96}"/>
    <cellStyle name="20% - Énfasis2 13 3 5" xfId="35583" xr:uid="{7C0A9E6B-5E92-496E-8E10-43391333C915}"/>
    <cellStyle name="20% - Énfasis2 13 4" xfId="4394" xr:uid="{CB0DB696-A0A9-4E2C-8C5C-1F170CB4B3FD}"/>
    <cellStyle name="20% - Énfasis2 13 4 2" xfId="12102" xr:uid="{3722AFDA-DCB7-4ED7-86D0-9019A5DA127B}"/>
    <cellStyle name="20% - Énfasis2 13 4 2 2" xfId="27514" xr:uid="{F1165D47-963B-472E-8493-6DF058D38C82}"/>
    <cellStyle name="20% - Énfasis2 13 4 2 2 2" xfId="35593" xr:uid="{4EC0A837-AFCB-4075-BA4F-6B224896241B}"/>
    <cellStyle name="20% - Énfasis2 13 4 2 3" xfId="35592" xr:uid="{8F1EE319-578E-430A-9574-684150251611}"/>
    <cellStyle name="20% - Énfasis2 13 4 3" xfId="19809" xr:uid="{ABD99C5F-52ED-4598-B0C0-90076C7BD6BC}"/>
    <cellStyle name="20% - Énfasis2 13 4 3 2" xfId="35594" xr:uid="{205685F1-0603-460F-91FE-2C4522886F36}"/>
    <cellStyle name="20% - Énfasis2 13 4 4" xfId="35591" xr:uid="{F49A31C8-67CB-4FDC-8EE3-0BBA6A7AAB28}"/>
    <cellStyle name="20% - Énfasis2 13 5" xfId="8391" xr:uid="{F0840DDD-9B47-41C9-9EC2-3B67CD153265}"/>
    <cellStyle name="20% - Énfasis2 13 5 2" xfId="23804" xr:uid="{EF15F178-4BC3-4B25-89F7-D52C14C0122C}"/>
    <cellStyle name="20% - Énfasis2 13 5 2 2" xfId="35596" xr:uid="{5F2A393C-8D17-4CA0-B76B-B67C575C793B}"/>
    <cellStyle name="20% - Énfasis2 13 5 3" xfId="35595" xr:uid="{D23AF7EB-AB49-419C-A980-F35605F9FA9F}"/>
    <cellStyle name="20% - Énfasis2 13 6" xfId="16099" xr:uid="{C14F01BD-125D-4BD9-83A8-9DD5E6E1FBC5}"/>
    <cellStyle name="20% - Énfasis2 13 6 2" xfId="35597" xr:uid="{036369BB-AE02-41A4-A3A7-F1BDC62181B0}"/>
    <cellStyle name="20% - Énfasis2 13 7" xfId="35566" xr:uid="{4D8D6429-4F30-4A28-B41E-17E3972E002F}"/>
    <cellStyle name="20% - Énfasis2 14" xfId="669" xr:uid="{671EC65F-C369-4460-8A32-00A86EF6CB00}"/>
    <cellStyle name="20% - Énfasis2 14 2" xfId="1330" xr:uid="{B949E912-149F-4BC5-B246-B36FC524F58F}"/>
    <cellStyle name="20% - Énfasis2 14 2 2" xfId="2797" xr:uid="{A61AB138-537F-4032-97D9-2B5A964EE107}"/>
    <cellStyle name="20% - Énfasis2 14 2 2 2" xfId="6529" xr:uid="{77F093B5-6CB4-436E-B865-2A24AEB338ED}"/>
    <cellStyle name="20% - Énfasis2 14 2 2 2 2" xfId="14237" xr:uid="{6FD1575F-7A23-4542-81EB-D432900EF698}"/>
    <cellStyle name="20% - Énfasis2 14 2 2 2 2 2" xfId="29649" xr:uid="{7E3F3D5A-E138-4504-A609-59B87C7F6147}"/>
    <cellStyle name="20% - Énfasis2 14 2 2 2 2 2 2" xfId="35603" xr:uid="{3ABAB57A-ABF1-46C0-9690-DB039C42AFAE}"/>
    <cellStyle name="20% - Énfasis2 14 2 2 2 2 3" xfId="35602" xr:uid="{FC7CA1C8-FF8F-4341-B87A-77EE89900A06}"/>
    <cellStyle name="20% - Énfasis2 14 2 2 2 3" xfId="21944" xr:uid="{0C01FAE4-15B9-4296-A164-F53C170CF12A}"/>
    <cellStyle name="20% - Énfasis2 14 2 2 2 3 2" xfId="35604" xr:uid="{2913E5D4-BE8B-4C65-BEA6-41ECBBCD7875}"/>
    <cellStyle name="20% - Énfasis2 14 2 2 2 4" xfId="35601" xr:uid="{49F07890-58FA-44E8-8B51-14CB54707A4B}"/>
    <cellStyle name="20% - Énfasis2 14 2 2 3" xfId="10508" xr:uid="{59866538-CC56-4EBB-8ECD-F6C7412502C6}"/>
    <cellStyle name="20% - Énfasis2 14 2 2 3 2" xfId="25921" xr:uid="{06611C93-2C17-4904-A843-2B9C8FD0B4C5}"/>
    <cellStyle name="20% - Énfasis2 14 2 2 3 2 2" xfId="35606" xr:uid="{54B7E343-C6FE-476C-80BC-142EBE22541E}"/>
    <cellStyle name="20% - Énfasis2 14 2 2 3 3" xfId="35605" xr:uid="{60F726CF-3CBF-4E03-AC15-9ED3245643A9}"/>
    <cellStyle name="20% - Énfasis2 14 2 2 4" xfId="18216" xr:uid="{7D804558-C604-49A3-A36F-1DFF8D2E40AD}"/>
    <cellStyle name="20% - Énfasis2 14 2 2 4 2" xfId="35607" xr:uid="{3F31ECEE-4394-4C61-AF92-FD46C0BBBE78}"/>
    <cellStyle name="20% - Énfasis2 14 2 2 5" xfId="35600" xr:uid="{A733A687-73B4-40EC-8F66-F69FC66EE140}"/>
    <cellStyle name="20% - Énfasis2 14 2 3" xfId="5066" xr:uid="{95EF7CDE-4AC4-453E-9317-55E6525D250C}"/>
    <cellStyle name="20% - Énfasis2 14 2 3 2" xfId="12774" xr:uid="{C95C3117-F787-490C-8816-67AA067F338B}"/>
    <cellStyle name="20% - Énfasis2 14 2 3 2 2" xfId="28186" xr:uid="{A089F9E1-5FE2-47A6-B352-DA549492BB4D}"/>
    <cellStyle name="20% - Énfasis2 14 2 3 2 2 2" xfId="35610" xr:uid="{5CD8AFE6-4DCC-46EF-95CF-85A94D248463}"/>
    <cellStyle name="20% - Énfasis2 14 2 3 2 3" xfId="35609" xr:uid="{82E7BFBA-1C73-4CA6-A5C6-5DB644F759E0}"/>
    <cellStyle name="20% - Énfasis2 14 2 3 3" xfId="20481" xr:uid="{D155C650-372B-4BAD-A834-A217024AF835}"/>
    <cellStyle name="20% - Énfasis2 14 2 3 3 2" xfId="35611" xr:uid="{988B29E0-7D37-43FB-A9C1-9E64BEB7AA23}"/>
    <cellStyle name="20% - Énfasis2 14 2 3 4" xfId="35608" xr:uid="{A3FA102D-F735-4D8B-BBE2-9FB6E555F036}"/>
    <cellStyle name="20% - Énfasis2 14 2 4" xfId="9049" xr:uid="{E41ED4ED-B06E-446A-B36C-C75B8D55FBCC}"/>
    <cellStyle name="20% - Énfasis2 14 2 4 2" xfId="24462" xr:uid="{FE903E20-6BB8-46B2-AAFE-2E3A22708EE3}"/>
    <cellStyle name="20% - Énfasis2 14 2 4 2 2" xfId="35613" xr:uid="{FF0B5103-E4C7-43A0-9D61-5E610E71A483}"/>
    <cellStyle name="20% - Énfasis2 14 2 4 3" xfId="35612" xr:uid="{C3C51A56-A903-4AFC-8411-D48BE3749BCB}"/>
    <cellStyle name="20% - Énfasis2 14 2 5" xfId="16757" xr:uid="{D0609D3C-B7B5-4661-903A-A20C394BC8F2}"/>
    <cellStyle name="20% - Énfasis2 14 2 5 2" xfId="35614" xr:uid="{D76DA5E3-4B87-4AE6-B935-30933ABEE3EC}"/>
    <cellStyle name="20% - Énfasis2 14 2 6" xfId="35599" xr:uid="{D3C1E0A7-73B2-40F2-8520-4C19749EDFC4}"/>
    <cellStyle name="20% - Énfasis2 14 3" xfId="2159" xr:uid="{AB213D7D-9103-4A6D-A4F4-BE5CED86C156}"/>
    <cellStyle name="20% - Énfasis2 14 3 2" xfId="5891" xr:uid="{C110625A-4614-4757-BAD1-DAA89B12B495}"/>
    <cellStyle name="20% - Énfasis2 14 3 2 2" xfId="13599" xr:uid="{D35287D7-4353-4549-A196-BFF709C6865D}"/>
    <cellStyle name="20% - Énfasis2 14 3 2 2 2" xfId="29011" xr:uid="{3304885B-1ABA-4C74-9786-994ED8750165}"/>
    <cellStyle name="20% - Énfasis2 14 3 2 2 2 2" xfId="35618" xr:uid="{46E42FA4-B81C-4BCD-8045-A59E78EC2117}"/>
    <cellStyle name="20% - Énfasis2 14 3 2 2 3" xfId="35617" xr:uid="{D5E0BD3B-C169-4A65-994E-94AB9A4FDB62}"/>
    <cellStyle name="20% - Énfasis2 14 3 2 3" xfId="21306" xr:uid="{1F3DCB69-26BC-453A-A55F-05166068F92F}"/>
    <cellStyle name="20% - Énfasis2 14 3 2 3 2" xfId="35619" xr:uid="{0119B979-A870-4790-9153-BF7AE9517D21}"/>
    <cellStyle name="20% - Énfasis2 14 3 2 4" xfId="35616" xr:uid="{057BEF7F-D076-48FF-B8E0-748E9AFBB6B4}"/>
    <cellStyle name="20% - Énfasis2 14 3 3" xfId="9870" xr:uid="{5676B173-B17B-4923-8DEF-40FC7E75F003}"/>
    <cellStyle name="20% - Énfasis2 14 3 3 2" xfId="25283" xr:uid="{32F4C504-933B-4869-A621-90C7D99CC5C2}"/>
    <cellStyle name="20% - Énfasis2 14 3 3 2 2" xfId="35621" xr:uid="{86140E76-D0DF-4DDA-92A4-FD332B2FB42F}"/>
    <cellStyle name="20% - Énfasis2 14 3 3 3" xfId="35620" xr:uid="{522AE90F-4CA5-4538-B1A3-3BF6C1DEEF94}"/>
    <cellStyle name="20% - Énfasis2 14 3 4" xfId="17578" xr:uid="{0BEC42F6-E434-4137-A7AD-0B9B5C58A6AE}"/>
    <cellStyle name="20% - Énfasis2 14 3 4 2" xfId="35622" xr:uid="{1C557533-71C1-42E2-8515-572BEAEC4190}"/>
    <cellStyle name="20% - Énfasis2 14 3 5" xfId="35615" xr:uid="{5E046D32-2540-40CD-906F-9409BB90F1F2}"/>
    <cellStyle name="20% - Énfasis2 14 4" xfId="4414" xr:uid="{D6DF00A0-3C87-4B4B-B480-761C37F0300E}"/>
    <cellStyle name="20% - Énfasis2 14 4 2" xfId="12122" xr:uid="{5B78C2CC-0D2E-44E1-96B7-8A65A8E6CFAE}"/>
    <cellStyle name="20% - Énfasis2 14 4 2 2" xfId="27534" xr:uid="{02CEC954-B6EB-46B0-8FDE-F4015DB13774}"/>
    <cellStyle name="20% - Énfasis2 14 4 2 2 2" xfId="35625" xr:uid="{E87C1BD1-EF6D-4930-84F8-20C58E01C81D}"/>
    <cellStyle name="20% - Énfasis2 14 4 2 3" xfId="35624" xr:uid="{E6A197AD-250F-4AD2-BD0F-15807A48FE7A}"/>
    <cellStyle name="20% - Énfasis2 14 4 3" xfId="19829" xr:uid="{AAD41B63-7E65-4D1A-BFDA-DD66621D070C}"/>
    <cellStyle name="20% - Énfasis2 14 4 3 2" xfId="35626" xr:uid="{43D68168-6BA2-4146-AC94-C913C02F5D8F}"/>
    <cellStyle name="20% - Énfasis2 14 4 4" xfId="35623" xr:uid="{DDF0A699-77F9-45EA-A6D6-228CD104A3CD}"/>
    <cellStyle name="20% - Énfasis2 14 5" xfId="8411" xr:uid="{A3E68D84-45FA-4876-8BBC-B73E6B0AF736}"/>
    <cellStyle name="20% - Énfasis2 14 5 2" xfId="23824" xr:uid="{E45B4FC2-CD0D-48D3-875B-04525919343F}"/>
    <cellStyle name="20% - Énfasis2 14 5 2 2" xfId="35628" xr:uid="{0D11860B-06B7-464B-BFD8-ABC4D6ADDF72}"/>
    <cellStyle name="20% - Énfasis2 14 5 3" xfId="35627" xr:uid="{EA5C6F32-F415-41F1-91C7-8B3951E4E698}"/>
    <cellStyle name="20% - Énfasis2 14 6" xfId="16119" xr:uid="{22CFD0E0-576B-4983-AEE9-D2CAB642DAF2}"/>
    <cellStyle name="20% - Énfasis2 14 6 2" xfId="35629" xr:uid="{D5BD9656-ECF6-4259-A7E9-1047F02C1B68}"/>
    <cellStyle name="20% - Énfasis2 14 7" xfId="35598" xr:uid="{C644602A-AFE7-406D-8B05-0571499E4B6E}"/>
    <cellStyle name="20% - Énfasis2 15" xfId="689" xr:uid="{3E3BE584-BA41-4B40-9EC1-31F0718BD955}"/>
    <cellStyle name="20% - Énfasis2 15 2" xfId="1350" xr:uid="{6FFF8E53-CC9C-42D4-8BEB-CED0F355C1C1}"/>
    <cellStyle name="20% - Énfasis2 15 2 2" xfId="2817" xr:uid="{B451DA38-C163-4397-971C-DBFBA654C319}"/>
    <cellStyle name="20% - Énfasis2 15 2 2 2" xfId="6549" xr:uid="{9AFEA674-AD40-4D4A-8848-D0F84BEFD8E4}"/>
    <cellStyle name="20% - Énfasis2 15 2 2 2 2" xfId="14257" xr:uid="{6BA6A70B-1DF2-4F95-B911-AFEC88959A50}"/>
    <cellStyle name="20% - Énfasis2 15 2 2 2 2 2" xfId="29669" xr:uid="{625F5AEB-AB0E-44B6-8477-36E425B3CA0D}"/>
    <cellStyle name="20% - Énfasis2 15 2 2 2 2 2 2" xfId="35635" xr:uid="{3E4307F9-0310-4CA6-9C05-157958A62ADC}"/>
    <cellStyle name="20% - Énfasis2 15 2 2 2 2 3" xfId="35634" xr:uid="{52D7ED97-261C-4ED0-A7EB-38345353AFC9}"/>
    <cellStyle name="20% - Énfasis2 15 2 2 2 3" xfId="21964" xr:uid="{0D17F2CF-AFD0-43F0-8B36-183976C4B061}"/>
    <cellStyle name="20% - Énfasis2 15 2 2 2 3 2" xfId="35636" xr:uid="{E4D4556F-1575-4FEF-965E-30B8A5A3175D}"/>
    <cellStyle name="20% - Énfasis2 15 2 2 2 4" xfId="35633" xr:uid="{D7670B20-EDE1-46C7-8D8E-FDEB59A0AEE2}"/>
    <cellStyle name="20% - Énfasis2 15 2 2 3" xfId="10528" xr:uid="{046E280E-B950-475F-BA50-49A3660362C3}"/>
    <cellStyle name="20% - Énfasis2 15 2 2 3 2" xfId="25941" xr:uid="{626EAE1B-4E84-4086-9C73-697238FB9856}"/>
    <cellStyle name="20% - Énfasis2 15 2 2 3 2 2" xfId="35638" xr:uid="{EAACA920-2C83-4AE6-B100-EDF00836B562}"/>
    <cellStyle name="20% - Énfasis2 15 2 2 3 3" xfId="35637" xr:uid="{9F216E7F-86E7-436C-B00C-477F0078FA80}"/>
    <cellStyle name="20% - Énfasis2 15 2 2 4" xfId="18236" xr:uid="{3BD24A24-D7D3-41A0-876A-8D00B666B36A}"/>
    <cellStyle name="20% - Énfasis2 15 2 2 4 2" xfId="35639" xr:uid="{E11881FD-F9E5-489C-A5DE-A4076B03E964}"/>
    <cellStyle name="20% - Énfasis2 15 2 2 5" xfId="35632" xr:uid="{D5B2F947-6560-4CE7-9323-73946E78760B}"/>
    <cellStyle name="20% - Énfasis2 15 2 3" xfId="5086" xr:uid="{8FC5A439-F35E-47F9-8A12-C9D3E337D01B}"/>
    <cellStyle name="20% - Énfasis2 15 2 3 2" xfId="12794" xr:uid="{33E3C1D9-73FD-425D-8A81-6A6EF6F9CF39}"/>
    <cellStyle name="20% - Énfasis2 15 2 3 2 2" xfId="28206" xr:uid="{F4132365-16F7-4F7F-9A48-AEB12A5689ED}"/>
    <cellStyle name="20% - Énfasis2 15 2 3 2 2 2" xfId="35642" xr:uid="{45233871-DF3D-4F04-A624-0AB42BE06FAF}"/>
    <cellStyle name="20% - Énfasis2 15 2 3 2 3" xfId="35641" xr:uid="{916257E7-00E0-41B3-B72E-04B55FC30E1E}"/>
    <cellStyle name="20% - Énfasis2 15 2 3 3" xfId="20501" xr:uid="{69C21679-2409-485D-AF23-80EE022C4DB2}"/>
    <cellStyle name="20% - Énfasis2 15 2 3 3 2" xfId="35643" xr:uid="{B152567F-BC0A-472E-B0D3-7A5BBD86E632}"/>
    <cellStyle name="20% - Énfasis2 15 2 3 4" xfId="35640" xr:uid="{642BCB28-927C-4815-90AD-C6723A331C24}"/>
    <cellStyle name="20% - Énfasis2 15 2 4" xfId="9069" xr:uid="{E4BAC1F4-78DA-45FF-8333-ACE389431406}"/>
    <cellStyle name="20% - Énfasis2 15 2 4 2" xfId="24482" xr:uid="{8782B120-760A-4EEC-985B-B2D7AA589C18}"/>
    <cellStyle name="20% - Énfasis2 15 2 4 2 2" xfId="35645" xr:uid="{95CA8DF9-6CB8-478D-9437-FD3D91BDC2F7}"/>
    <cellStyle name="20% - Énfasis2 15 2 4 3" xfId="35644" xr:uid="{41E9DFDE-9084-4188-B7DE-AF1773D57D48}"/>
    <cellStyle name="20% - Énfasis2 15 2 5" xfId="16777" xr:uid="{4F206036-FFC2-492D-AA28-5D79FBC8AB7F}"/>
    <cellStyle name="20% - Énfasis2 15 2 5 2" xfId="35646" xr:uid="{87DBF216-9F04-4274-A7D7-74C511BDAA06}"/>
    <cellStyle name="20% - Énfasis2 15 2 6" xfId="35631" xr:uid="{E378F242-D80E-421A-9B30-6758F99DF478}"/>
    <cellStyle name="20% - Énfasis2 15 3" xfId="2179" xr:uid="{A90D56B4-BA78-4FFD-B543-D1FEE32B8592}"/>
    <cellStyle name="20% - Énfasis2 15 3 2" xfId="5911" xr:uid="{7E1D3BDF-7E62-4FED-BB3E-028AE56A8CA9}"/>
    <cellStyle name="20% - Énfasis2 15 3 2 2" xfId="13619" xr:uid="{1FE55AF0-87A7-43E3-B456-1D7BE0874C29}"/>
    <cellStyle name="20% - Énfasis2 15 3 2 2 2" xfId="29031" xr:uid="{6CBE7471-2FE0-4F36-8C44-FB45C3749091}"/>
    <cellStyle name="20% - Énfasis2 15 3 2 2 2 2" xfId="35650" xr:uid="{D6E55752-24FA-42BB-9556-5BB1A1DAEECA}"/>
    <cellStyle name="20% - Énfasis2 15 3 2 2 3" xfId="35649" xr:uid="{1A6CC9B1-6457-4E4C-9C3E-6BF5F96FAFE9}"/>
    <cellStyle name="20% - Énfasis2 15 3 2 3" xfId="21326" xr:uid="{7B416E54-BDCE-48C1-9D80-69638E077B9A}"/>
    <cellStyle name="20% - Énfasis2 15 3 2 3 2" xfId="35651" xr:uid="{93F7DAF0-ABF9-4D70-AE2B-C352EA17F8E9}"/>
    <cellStyle name="20% - Énfasis2 15 3 2 4" xfId="35648" xr:uid="{0B3E5F70-EFDA-495E-8621-2329B7829118}"/>
    <cellStyle name="20% - Énfasis2 15 3 3" xfId="9890" xr:uid="{555A3F4C-EE04-499B-B261-5FF28D0F1DE6}"/>
    <cellStyle name="20% - Énfasis2 15 3 3 2" xfId="25303" xr:uid="{41B48BD9-432D-45A4-BAA3-78D15A409F70}"/>
    <cellStyle name="20% - Énfasis2 15 3 3 2 2" xfId="35653" xr:uid="{FE8C3DAC-B680-46D5-B8F3-0088BAF70D61}"/>
    <cellStyle name="20% - Énfasis2 15 3 3 3" xfId="35652" xr:uid="{AFBF9633-AA70-40EE-B4CA-7546BFDC54B5}"/>
    <cellStyle name="20% - Énfasis2 15 3 4" xfId="17598" xr:uid="{4037A706-2137-4529-A3B4-5AB8FFFF1FF3}"/>
    <cellStyle name="20% - Énfasis2 15 3 4 2" xfId="35654" xr:uid="{B79C6F22-3B73-4A3D-A6BE-5D2DD3957C86}"/>
    <cellStyle name="20% - Énfasis2 15 3 5" xfId="35647" xr:uid="{4DF957B4-1AEA-4206-9227-70A8EF338739}"/>
    <cellStyle name="20% - Énfasis2 15 4" xfId="4434" xr:uid="{D7BBDB62-ABAF-4533-9C98-DF4C5EC96861}"/>
    <cellStyle name="20% - Énfasis2 15 4 2" xfId="12142" xr:uid="{0A7C5205-8E3D-46A3-9E50-8C63EB9EA8D5}"/>
    <cellStyle name="20% - Énfasis2 15 4 2 2" xfId="27554" xr:uid="{52157E63-D26C-4BCF-9A80-FAB64C39BC1E}"/>
    <cellStyle name="20% - Énfasis2 15 4 2 2 2" xfId="35657" xr:uid="{BC3F81C9-F7E3-4935-8AC4-D202C74A3699}"/>
    <cellStyle name="20% - Énfasis2 15 4 2 3" xfId="35656" xr:uid="{8BDDA261-1CC1-4267-BD19-DD4009F29DFD}"/>
    <cellStyle name="20% - Énfasis2 15 4 3" xfId="19849" xr:uid="{951C6029-117C-4E7F-8197-3350096ED160}"/>
    <cellStyle name="20% - Énfasis2 15 4 3 2" xfId="35658" xr:uid="{8839C483-AA09-43AF-830C-B44958DEB05D}"/>
    <cellStyle name="20% - Énfasis2 15 4 4" xfId="35655" xr:uid="{805B1B4E-F117-4A30-B316-B8D8625D5C66}"/>
    <cellStyle name="20% - Énfasis2 15 5" xfId="8431" xr:uid="{FB25A1AD-21BE-4205-B55F-2A8FA7766950}"/>
    <cellStyle name="20% - Énfasis2 15 5 2" xfId="23844" xr:uid="{477D7FDB-01B3-4EB5-BB89-27BA831063C4}"/>
    <cellStyle name="20% - Énfasis2 15 5 2 2" xfId="35660" xr:uid="{2E52736F-9B71-48F5-B74D-8B5B7B7A1F7B}"/>
    <cellStyle name="20% - Énfasis2 15 5 3" xfId="35659" xr:uid="{23D29103-71E8-49D3-93FD-42AB25DBFD86}"/>
    <cellStyle name="20% - Énfasis2 15 6" xfId="16139" xr:uid="{1CB2C9A0-6A55-4F00-A3F3-80214C820F5A}"/>
    <cellStyle name="20% - Énfasis2 15 6 2" xfId="35661" xr:uid="{BAD0BD63-8ED4-4327-A028-70189E328C25}"/>
    <cellStyle name="20% - Énfasis2 15 7" xfId="35630" xr:uid="{3CF5622B-63A7-4C51-9BC7-71B395F4E910}"/>
    <cellStyle name="20% - Énfasis2 16" xfId="710" xr:uid="{5E22A049-3AAA-4A7B-97D2-90D6826674B9}"/>
    <cellStyle name="20% - Énfasis2 16 2" xfId="1371" xr:uid="{16506114-4AE7-4F37-8F92-0407C1D81569}"/>
    <cellStyle name="20% - Énfasis2 16 2 2" xfId="2838" xr:uid="{0CB53B7D-7E2F-4C68-8C28-3FDED15FF52B}"/>
    <cellStyle name="20% - Énfasis2 16 2 2 2" xfId="6570" xr:uid="{8BB9EB8F-0147-474C-87E2-2BED17FA05E8}"/>
    <cellStyle name="20% - Énfasis2 16 2 2 2 2" xfId="14278" xr:uid="{D8C9176A-9327-4502-A62D-A8F9BF0C87E3}"/>
    <cellStyle name="20% - Énfasis2 16 2 2 2 2 2" xfId="29690" xr:uid="{2689D591-5B84-49F6-B908-5C0583E307A3}"/>
    <cellStyle name="20% - Énfasis2 16 2 2 2 2 2 2" xfId="35667" xr:uid="{77DFE8C8-1397-4A6A-B623-D01C1A96E412}"/>
    <cellStyle name="20% - Énfasis2 16 2 2 2 2 3" xfId="35666" xr:uid="{405EE833-9044-4AD2-A1DC-8A82A7ABF49A}"/>
    <cellStyle name="20% - Énfasis2 16 2 2 2 3" xfId="21985" xr:uid="{AAD64B94-FE88-48F6-A809-087B9341A86B}"/>
    <cellStyle name="20% - Énfasis2 16 2 2 2 3 2" xfId="35668" xr:uid="{253679EB-735C-4483-823F-6AC40389A6DE}"/>
    <cellStyle name="20% - Énfasis2 16 2 2 2 4" xfId="35665" xr:uid="{9B9DCECC-6282-4488-954E-8C1251F16F07}"/>
    <cellStyle name="20% - Énfasis2 16 2 2 3" xfId="10549" xr:uid="{72316202-B3BD-44B9-AA29-FAE83F155741}"/>
    <cellStyle name="20% - Énfasis2 16 2 2 3 2" xfId="25962" xr:uid="{A446F779-F72F-48F7-9C66-3C5384DE58DE}"/>
    <cellStyle name="20% - Énfasis2 16 2 2 3 2 2" xfId="35670" xr:uid="{4D4244BA-62F9-4C2F-91D0-74745EBC2D91}"/>
    <cellStyle name="20% - Énfasis2 16 2 2 3 3" xfId="35669" xr:uid="{0E8E4AD8-E373-4E44-94DF-E5C4C12D6858}"/>
    <cellStyle name="20% - Énfasis2 16 2 2 4" xfId="18257" xr:uid="{78F3C4B5-6B31-404C-A7AD-A184566ABD3E}"/>
    <cellStyle name="20% - Énfasis2 16 2 2 4 2" xfId="35671" xr:uid="{A37BFE3E-40E4-42F5-B0BD-E10EFBA75D9C}"/>
    <cellStyle name="20% - Énfasis2 16 2 2 5" xfId="35664" xr:uid="{B34E2159-EB4B-400E-B45D-65691FA73345}"/>
    <cellStyle name="20% - Énfasis2 16 2 3" xfId="5107" xr:uid="{07D51FA3-05F3-45FD-8177-12290FF8188A}"/>
    <cellStyle name="20% - Énfasis2 16 2 3 2" xfId="12815" xr:uid="{FA3BFA2A-37B1-4D45-9B08-3AABB8AC7D83}"/>
    <cellStyle name="20% - Énfasis2 16 2 3 2 2" xfId="28227" xr:uid="{E911A3CB-D289-44EB-9071-902112ABF36B}"/>
    <cellStyle name="20% - Énfasis2 16 2 3 2 2 2" xfId="35674" xr:uid="{BB9C7DCA-C4C1-4220-83E4-9AEA0E7D3F29}"/>
    <cellStyle name="20% - Énfasis2 16 2 3 2 3" xfId="35673" xr:uid="{2ED8FEBA-7881-4493-A34C-4CFCFD136317}"/>
    <cellStyle name="20% - Énfasis2 16 2 3 3" xfId="20522" xr:uid="{AA8C273C-FAA0-4F2F-9471-89E132A5F4BA}"/>
    <cellStyle name="20% - Énfasis2 16 2 3 3 2" xfId="35675" xr:uid="{9BC44A31-0AA5-4529-8E77-6118F8DF2FD0}"/>
    <cellStyle name="20% - Énfasis2 16 2 3 4" xfId="35672" xr:uid="{130BCD43-0FAB-4481-AFF7-D55A973858AD}"/>
    <cellStyle name="20% - Énfasis2 16 2 4" xfId="9090" xr:uid="{0D5A6EC8-36AC-4667-A396-307DC8D3306D}"/>
    <cellStyle name="20% - Énfasis2 16 2 4 2" xfId="24503" xr:uid="{BE8EF5BD-99B6-4F0A-896C-95CD58DF807E}"/>
    <cellStyle name="20% - Énfasis2 16 2 4 2 2" xfId="35677" xr:uid="{1BA7C7B7-9B0C-43A8-B778-23BD51D3F1F7}"/>
    <cellStyle name="20% - Énfasis2 16 2 4 3" xfId="35676" xr:uid="{1D9CA7AB-2472-458F-9EA0-E4E332719F7D}"/>
    <cellStyle name="20% - Énfasis2 16 2 5" xfId="16798" xr:uid="{357829D6-9446-444F-B005-930EBE77784C}"/>
    <cellStyle name="20% - Énfasis2 16 2 5 2" xfId="35678" xr:uid="{1D1CC21D-1B9F-45F2-8600-D8AA3BABAAB9}"/>
    <cellStyle name="20% - Énfasis2 16 2 6" xfId="35663" xr:uid="{96A94FED-3F0D-4980-8B5B-E40F195BCFBE}"/>
    <cellStyle name="20% - Énfasis2 16 3" xfId="2200" xr:uid="{FA172527-73C0-4E1D-97F7-A3FA69EE6433}"/>
    <cellStyle name="20% - Énfasis2 16 3 2" xfId="5932" xr:uid="{5239CE1C-FE96-4679-8ADF-2140B8245FB7}"/>
    <cellStyle name="20% - Énfasis2 16 3 2 2" xfId="13640" xr:uid="{26BA19B9-92CC-4299-ACB6-5E984613BB0A}"/>
    <cellStyle name="20% - Énfasis2 16 3 2 2 2" xfId="29052" xr:uid="{0B1A41F5-F4A5-4C98-8A44-BC886E794F61}"/>
    <cellStyle name="20% - Énfasis2 16 3 2 2 2 2" xfId="35682" xr:uid="{40A034CE-AB69-40E6-A00C-0F993776C730}"/>
    <cellStyle name="20% - Énfasis2 16 3 2 2 3" xfId="35681" xr:uid="{56B468FE-DC2C-489D-A3D6-F3A72777B466}"/>
    <cellStyle name="20% - Énfasis2 16 3 2 3" xfId="21347" xr:uid="{9256D879-FF8E-4000-85D0-ECC7305B9808}"/>
    <cellStyle name="20% - Énfasis2 16 3 2 3 2" xfId="35683" xr:uid="{0861CCA7-F27E-4A26-90C5-C98CB4F64531}"/>
    <cellStyle name="20% - Énfasis2 16 3 2 4" xfId="35680" xr:uid="{D846B83B-7E65-48FB-9DCB-8C8A28DE21D5}"/>
    <cellStyle name="20% - Énfasis2 16 3 3" xfId="9911" xr:uid="{37B2A26A-7A15-4DE5-8201-42A9A98FCAD3}"/>
    <cellStyle name="20% - Énfasis2 16 3 3 2" xfId="25324" xr:uid="{54DA8B21-E948-4C4C-B6D7-A6FB528121AC}"/>
    <cellStyle name="20% - Énfasis2 16 3 3 2 2" xfId="35685" xr:uid="{12C1841D-7FAF-4759-9B18-DF504F1F6598}"/>
    <cellStyle name="20% - Énfasis2 16 3 3 3" xfId="35684" xr:uid="{42D98509-1A02-42F4-805C-C0822DBA786A}"/>
    <cellStyle name="20% - Énfasis2 16 3 4" xfId="17619" xr:uid="{1E964193-869D-4435-92BC-B76DF3F6109D}"/>
    <cellStyle name="20% - Énfasis2 16 3 4 2" xfId="35686" xr:uid="{5C52885F-D0C8-45F1-A192-DFC460D9E6A5}"/>
    <cellStyle name="20% - Énfasis2 16 3 5" xfId="35679" xr:uid="{5DC51700-9E65-490B-B9BE-466D8E5C89DD}"/>
    <cellStyle name="20% - Énfasis2 16 4" xfId="4455" xr:uid="{AB55E67A-646F-445F-AA1E-A592577A2DDF}"/>
    <cellStyle name="20% - Énfasis2 16 4 2" xfId="12163" xr:uid="{F5B7930A-1752-4214-8C43-8276998D961F}"/>
    <cellStyle name="20% - Énfasis2 16 4 2 2" xfId="27575" xr:uid="{82E229AB-7EBB-4F8A-BAF4-1E2595C52EF9}"/>
    <cellStyle name="20% - Énfasis2 16 4 2 2 2" xfId="35689" xr:uid="{42875854-1CC5-4FAC-97BD-7B4AB2A29335}"/>
    <cellStyle name="20% - Énfasis2 16 4 2 3" xfId="35688" xr:uid="{B2B8BC1B-0DF9-4993-B384-48D6110A417A}"/>
    <cellStyle name="20% - Énfasis2 16 4 3" xfId="19870" xr:uid="{D4ECE829-B628-4738-9BD3-11ADE0899248}"/>
    <cellStyle name="20% - Énfasis2 16 4 3 2" xfId="35690" xr:uid="{F1A97506-FACC-4096-8F5A-9FBE75D5F0E2}"/>
    <cellStyle name="20% - Énfasis2 16 4 4" xfId="35687" xr:uid="{FE521343-6EAD-4E5C-BF5C-2AC06EA14585}"/>
    <cellStyle name="20% - Énfasis2 16 5" xfId="8452" xr:uid="{DC33A24B-55D5-4971-8D03-81B768B5BC7F}"/>
    <cellStyle name="20% - Énfasis2 16 5 2" xfId="23865" xr:uid="{54AB9AED-4003-434A-952B-0BE899A0B0EF}"/>
    <cellStyle name="20% - Énfasis2 16 5 2 2" xfId="35692" xr:uid="{39A8567A-AED9-460D-B715-6E6B8A18DE83}"/>
    <cellStyle name="20% - Énfasis2 16 5 3" xfId="35691" xr:uid="{2E8988AA-61C5-4100-9CF8-396B433D5055}"/>
    <cellStyle name="20% - Énfasis2 16 6" xfId="16160" xr:uid="{C4D4AA14-008D-4FD1-B133-77F9DC47D9DB}"/>
    <cellStyle name="20% - Énfasis2 16 6 2" xfId="35693" xr:uid="{276E9C97-4400-4263-A452-E38CF6075229}"/>
    <cellStyle name="20% - Énfasis2 16 7" xfId="35662" xr:uid="{EFF24317-452E-4D97-90AA-1AF020E6913E}"/>
    <cellStyle name="20% - Énfasis2 17" xfId="730" xr:uid="{F18B7A4F-D442-4AAA-8129-6DBE5B64ACF5}"/>
    <cellStyle name="20% - Énfasis2 17 2" xfId="1391" xr:uid="{2DF845C4-AACF-4539-B4B9-092D483207FA}"/>
    <cellStyle name="20% - Énfasis2 17 2 2" xfId="2858" xr:uid="{B2848C8F-E8C4-4AB6-851C-F7F9186355BA}"/>
    <cellStyle name="20% - Énfasis2 17 2 2 2" xfId="6590" xr:uid="{C67130BB-4BB8-4BDE-98DA-9F7067841174}"/>
    <cellStyle name="20% - Énfasis2 17 2 2 2 2" xfId="14298" xr:uid="{04A42B84-0354-47E5-8D0D-0051EF43D71A}"/>
    <cellStyle name="20% - Énfasis2 17 2 2 2 2 2" xfId="29710" xr:uid="{6C62E755-38F1-404F-8968-25FB410F2C36}"/>
    <cellStyle name="20% - Énfasis2 17 2 2 2 2 2 2" xfId="35699" xr:uid="{2FD26C86-7903-40C2-A5A2-CA40798921DB}"/>
    <cellStyle name="20% - Énfasis2 17 2 2 2 2 3" xfId="35698" xr:uid="{48EEEF56-9429-4BAB-9D96-D2F6D5B442A6}"/>
    <cellStyle name="20% - Énfasis2 17 2 2 2 3" xfId="22005" xr:uid="{C9C9ED3C-2C61-4EDE-8514-7F116E5E463A}"/>
    <cellStyle name="20% - Énfasis2 17 2 2 2 3 2" xfId="35700" xr:uid="{F29F3E70-5FB0-45E7-8051-80BDAA1F3F10}"/>
    <cellStyle name="20% - Énfasis2 17 2 2 2 4" xfId="35697" xr:uid="{5551F26E-5BF2-445C-91EB-B64B12B75AC1}"/>
    <cellStyle name="20% - Énfasis2 17 2 2 3" xfId="10569" xr:uid="{0D4519DD-911E-473F-BA2A-F55B8C903432}"/>
    <cellStyle name="20% - Énfasis2 17 2 2 3 2" xfId="25982" xr:uid="{788A1048-94D0-4129-9F40-C72C8FC7EA30}"/>
    <cellStyle name="20% - Énfasis2 17 2 2 3 2 2" xfId="35702" xr:uid="{4A88AA3B-47D4-4719-AABA-A56C8A40EE3D}"/>
    <cellStyle name="20% - Énfasis2 17 2 2 3 3" xfId="35701" xr:uid="{C5E6A0C8-8943-4ABA-8083-58B9BC96EFCC}"/>
    <cellStyle name="20% - Énfasis2 17 2 2 4" xfId="18277" xr:uid="{2C269728-D128-45D0-862B-9B8EF09F6817}"/>
    <cellStyle name="20% - Énfasis2 17 2 2 4 2" xfId="35703" xr:uid="{956689CA-23D4-4EDE-8148-118F0C28E0C9}"/>
    <cellStyle name="20% - Énfasis2 17 2 2 5" xfId="35696" xr:uid="{A6875DE7-A25C-47B9-B0E9-298C42A1CA53}"/>
    <cellStyle name="20% - Énfasis2 17 2 3" xfId="5127" xr:uid="{91118A52-696F-4DCD-9AEF-8C90C2B02083}"/>
    <cellStyle name="20% - Énfasis2 17 2 3 2" xfId="12835" xr:uid="{D27607C7-BB9B-4B98-AE42-B59846E9BB35}"/>
    <cellStyle name="20% - Énfasis2 17 2 3 2 2" xfId="28247" xr:uid="{388C52A1-75F7-45C8-9A95-A5EBE7EE3E8A}"/>
    <cellStyle name="20% - Énfasis2 17 2 3 2 2 2" xfId="35706" xr:uid="{EDF91EB6-78DE-496C-BF49-6A025E1D5BF1}"/>
    <cellStyle name="20% - Énfasis2 17 2 3 2 3" xfId="35705" xr:uid="{9F2B76EB-49A8-4FEB-90ED-4DBDA0F0616A}"/>
    <cellStyle name="20% - Énfasis2 17 2 3 3" xfId="20542" xr:uid="{977580EF-F100-42E4-BC9E-8C44285F0576}"/>
    <cellStyle name="20% - Énfasis2 17 2 3 3 2" xfId="35707" xr:uid="{B145B51D-DD41-4337-A721-678D2F5103DF}"/>
    <cellStyle name="20% - Énfasis2 17 2 3 4" xfId="35704" xr:uid="{F8A53469-8672-4B46-B07E-23A9942C676A}"/>
    <cellStyle name="20% - Énfasis2 17 2 4" xfId="9110" xr:uid="{05779E9F-A9BD-45E9-A160-05860B6AA4A5}"/>
    <cellStyle name="20% - Énfasis2 17 2 4 2" xfId="24523" xr:uid="{7253B13E-381B-46DF-BBC6-6383993AB97D}"/>
    <cellStyle name="20% - Énfasis2 17 2 4 2 2" xfId="35709" xr:uid="{8FFBE8B7-BB98-4F3C-B85B-AEB879E24298}"/>
    <cellStyle name="20% - Énfasis2 17 2 4 3" xfId="35708" xr:uid="{A6DBA958-3A02-46F8-947F-8D4E44A6FBBD}"/>
    <cellStyle name="20% - Énfasis2 17 2 5" xfId="16818" xr:uid="{77152BB3-0DF8-4EDB-BAD2-BC66D2A801B0}"/>
    <cellStyle name="20% - Énfasis2 17 2 5 2" xfId="35710" xr:uid="{F2D3D703-0A61-42FD-891C-231BCCCFE4EF}"/>
    <cellStyle name="20% - Énfasis2 17 2 6" xfId="35695" xr:uid="{A4104608-E90B-4781-9780-A3CE714A87DD}"/>
    <cellStyle name="20% - Énfasis2 17 3" xfId="2220" xr:uid="{4B8E85F6-EBE5-4A79-954F-1893F59D9E5E}"/>
    <cellStyle name="20% - Énfasis2 17 3 2" xfId="5952" xr:uid="{945A4AF9-E9E9-4711-9574-DACF481ED436}"/>
    <cellStyle name="20% - Énfasis2 17 3 2 2" xfId="13660" xr:uid="{37C2C698-3A95-478D-9033-60190800B7F6}"/>
    <cellStyle name="20% - Énfasis2 17 3 2 2 2" xfId="29072" xr:uid="{64262112-0F2F-4D9F-B1D7-D42A140ACC9D}"/>
    <cellStyle name="20% - Énfasis2 17 3 2 2 2 2" xfId="35714" xr:uid="{B04B655D-BA74-478F-BAF6-31238A825620}"/>
    <cellStyle name="20% - Énfasis2 17 3 2 2 3" xfId="35713" xr:uid="{FCDCF71A-042B-4273-8508-05310428B40B}"/>
    <cellStyle name="20% - Énfasis2 17 3 2 3" xfId="21367" xr:uid="{F08EF1A9-CFE7-4983-8EF6-5458B24D976E}"/>
    <cellStyle name="20% - Énfasis2 17 3 2 3 2" xfId="35715" xr:uid="{2BA9E040-4010-4DEF-865C-F0665E737E27}"/>
    <cellStyle name="20% - Énfasis2 17 3 2 4" xfId="35712" xr:uid="{8F662ECF-F862-4AB8-94B8-4FF9F1306F5D}"/>
    <cellStyle name="20% - Énfasis2 17 3 3" xfId="9931" xr:uid="{F431AD4E-9395-4D1B-88B0-442F65EF43D2}"/>
    <cellStyle name="20% - Énfasis2 17 3 3 2" xfId="25344" xr:uid="{01796503-4603-4DD5-9806-86B813EDAA7C}"/>
    <cellStyle name="20% - Énfasis2 17 3 3 2 2" xfId="35717" xr:uid="{346189B0-097C-4EDE-A409-85B8033106AB}"/>
    <cellStyle name="20% - Énfasis2 17 3 3 3" xfId="35716" xr:uid="{B86D4766-D3A4-4764-8275-F4D9C4725369}"/>
    <cellStyle name="20% - Énfasis2 17 3 4" xfId="17639" xr:uid="{99701394-0C4D-4273-98EC-E9A38B5A949B}"/>
    <cellStyle name="20% - Énfasis2 17 3 4 2" xfId="35718" xr:uid="{9AF4728F-AFE8-43E6-8333-A49AAB76F3C5}"/>
    <cellStyle name="20% - Énfasis2 17 3 5" xfId="35711" xr:uid="{AD5EF65B-6345-4DC5-9793-33B95CFF1300}"/>
    <cellStyle name="20% - Énfasis2 17 4" xfId="4475" xr:uid="{362C6156-A5F4-4AB5-A768-BD42F33ACDF6}"/>
    <cellStyle name="20% - Énfasis2 17 4 2" xfId="12183" xr:uid="{9111343E-DFDC-4AC7-989F-FAD41C37A6C8}"/>
    <cellStyle name="20% - Énfasis2 17 4 2 2" xfId="27595" xr:uid="{94B8C0FB-0C58-4BEE-9F87-F4E3082FE4E0}"/>
    <cellStyle name="20% - Énfasis2 17 4 2 2 2" xfId="35721" xr:uid="{0241BDDF-5DB9-4119-8555-1AC8587FAE0A}"/>
    <cellStyle name="20% - Énfasis2 17 4 2 3" xfId="35720" xr:uid="{983B1056-47B6-4677-A022-FAD59B3C8E19}"/>
    <cellStyle name="20% - Énfasis2 17 4 3" xfId="19890" xr:uid="{811D6ECC-D3B3-49AB-A379-967CFBD41856}"/>
    <cellStyle name="20% - Énfasis2 17 4 3 2" xfId="35722" xr:uid="{F0CD9381-9472-458C-B234-305E237EB091}"/>
    <cellStyle name="20% - Énfasis2 17 4 4" xfId="35719" xr:uid="{7D69BF8F-6A5D-4D41-AF38-453A317B40C7}"/>
    <cellStyle name="20% - Énfasis2 17 5" xfId="8472" xr:uid="{10ED9797-43CA-4AC3-9DE0-FBB385C138F8}"/>
    <cellStyle name="20% - Énfasis2 17 5 2" xfId="23885" xr:uid="{0A867FE1-62CB-49C9-B218-773F97B1EB0B}"/>
    <cellStyle name="20% - Énfasis2 17 5 2 2" xfId="35724" xr:uid="{95151F08-A97E-40EE-8102-B46904F326F2}"/>
    <cellStyle name="20% - Énfasis2 17 5 3" xfId="35723" xr:uid="{51C70E62-6276-442F-B77B-F3A90DA8CC23}"/>
    <cellStyle name="20% - Énfasis2 17 6" xfId="16180" xr:uid="{E131E6F3-3590-4992-86FE-D16861B77BB0}"/>
    <cellStyle name="20% - Énfasis2 17 6 2" xfId="35725" xr:uid="{0A6513FA-B1F7-4822-AD37-A3EDEC043DB1}"/>
    <cellStyle name="20% - Énfasis2 17 7" xfId="35694" xr:uid="{D3BE167B-FC8A-4A49-B101-F23D4D8B2FB7}"/>
    <cellStyle name="20% - Énfasis2 18" xfId="750" xr:uid="{7F13BA55-FB0E-45F5-B718-42C28DBC8524}"/>
    <cellStyle name="20% - Énfasis2 18 2" xfId="1411" xr:uid="{1FD2DCC7-4DE4-4496-B82A-8BAFC40F2321}"/>
    <cellStyle name="20% - Énfasis2 18 2 2" xfId="2878" xr:uid="{A5192319-D5E9-4C4F-88D9-68846741E8CE}"/>
    <cellStyle name="20% - Énfasis2 18 2 2 2" xfId="6610" xr:uid="{33170B6D-47DD-4A7C-825B-99BE51FC4B50}"/>
    <cellStyle name="20% - Énfasis2 18 2 2 2 2" xfId="14318" xr:uid="{123C2778-A13F-4113-9675-78DA598FF568}"/>
    <cellStyle name="20% - Énfasis2 18 2 2 2 2 2" xfId="29730" xr:uid="{CFF9CB7C-F87A-457C-9C24-FC0EB7640A37}"/>
    <cellStyle name="20% - Énfasis2 18 2 2 2 2 2 2" xfId="35731" xr:uid="{D86E8C12-6EC3-4CA2-9B01-C33E5532BEA4}"/>
    <cellStyle name="20% - Énfasis2 18 2 2 2 2 3" xfId="35730" xr:uid="{D24FF7EE-809F-4EEB-BD43-E17EEFE59A15}"/>
    <cellStyle name="20% - Énfasis2 18 2 2 2 3" xfId="22025" xr:uid="{42C15362-ED5E-4369-AF54-1639FA33D8FE}"/>
    <cellStyle name="20% - Énfasis2 18 2 2 2 3 2" xfId="35732" xr:uid="{AF1CA2A7-8C20-4AAE-A316-B50E230D6AD2}"/>
    <cellStyle name="20% - Énfasis2 18 2 2 2 4" xfId="35729" xr:uid="{FF96FBF7-EDA1-44EF-AE96-776CD15CA12B}"/>
    <cellStyle name="20% - Énfasis2 18 2 2 3" xfId="10589" xr:uid="{EAA5E0E9-0102-4FFA-9B1D-0825376EE6A5}"/>
    <cellStyle name="20% - Énfasis2 18 2 2 3 2" xfId="26002" xr:uid="{3B7B0D19-2D9E-4A7E-9AC4-3277D10541B3}"/>
    <cellStyle name="20% - Énfasis2 18 2 2 3 2 2" xfId="35734" xr:uid="{FF07A23A-8076-49FF-BCD2-09B2DDECC378}"/>
    <cellStyle name="20% - Énfasis2 18 2 2 3 3" xfId="35733" xr:uid="{EC149EC0-6100-489D-9F89-6F32815CDD91}"/>
    <cellStyle name="20% - Énfasis2 18 2 2 4" xfId="18297" xr:uid="{AA093822-1F23-4D75-BEB8-4AB420993C63}"/>
    <cellStyle name="20% - Énfasis2 18 2 2 4 2" xfId="35735" xr:uid="{64F6938A-90E3-42F2-8156-F5471001E8C6}"/>
    <cellStyle name="20% - Énfasis2 18 2 2 5" xfId="35728" xr:uid="{662728F7-C4D5-4B67-B1A5-9332119E225A}"/>
    <cellStyle name="20% - Énfasis2 18 2 3" xfId="5147" xr:uid="{1CBB7562-D284-4917-84B6-83CA0AFDD6FD}"/>
    <cellStyle name="20% - Énfasis2 18 2 3 2" xfId="12855" xr:uid="{599E1C1E-99DD-4787-BC65-0572673DBC76}"/>
    <cellStyle name="20% - Énfasis2 18 2 3 2 2" xfId="28267" xr:uid="{938245F4-8D47-422D-851F-694B97C8DC94}"/>
    <cellStyle name="20% - Énfasis2 18 2 3 2 2 2" xfId="35738" xr:uid="{30BBE7FC-BCCB-4158-ADE6-DC316C5A191C}"/>
    <cellStyle name="20% - Énfasis2 18 2 3 2 3" xfId="35737" xr:uid="{D1590F85-69D0-4F27-8CF4-724B836C0664}"/>
    <cellStyle name="20% - Énfasis2 18 2 3 3" xfId="20562" xr:uid="{B2609949-FEF6-4CCC-8408-62DBB4D18AAB}"/>
    <cellStyle name="20% - Énfasis2 18 2 3 3 2" xfId="35739" xr:uid="{0E4D2636-EFE8-4A74-8928-5642BFAF5ED0}"/>
    <cellStyle name="20% - Énfasis2 18 2 3 4" xfId="35736" xr:uid="{1EE2A260-B9CE-4EC7-AB6C-AB4102BC33D1}"/>
    <cellStyle name="20% - Énfasis2 18 2 4" xfId="9130" xr:uid="{9AFE8F7E-5E9C-4731-B027-29B3B1A923BD}"/>
    <cellStyle name="20% - Énfasis2 18 2 4 2" xfId="24543" xr:uid="{76CDC4EA-8B89-4853-A7DB-3BA2D046F6C3}"/>
    <cellStyle name="20% - Énfasis2 18 2 4 2 2" xfId="35741" xr:uid="{46A1358F-FCEB-4F9C-9FA0-FA50ED99319B}"/>
    <cellStyle name="20% - Énfasis2 18 2 4 3" xfId="35740" xr:uid="{AE84DE08-2830-491E-92BA-6B1EB68204C5}"/>
    <cellStyle name="20% - Énfasis2 18 2 5" xfId="16838" xr:uid="{CBF69535-404C-492D-86FA-DF7E9C51B2DA}"/>
    <cellStyle name="20% - Énfasis2 18 2 5 2" xfId="35742" xr:uid="{25270444-A152-467F-AB01-5CF5708E5A40}"/>
    <cellStyle name="20% - Énfasis2 18 2 6" xfId="35727" xr:uid="{2CB9818D-49EF-4A08-BE99-DE83B5217974}"/>
    <cellStyle name="20% - Énfasis2 18 3" xfId="2240" xr:uid="{960121EE-FDE5-49D8-A9E4-13A033DBD123}"/>
    <cellStyle name="20% - Énfasis2 18 3 2" xfId="5972" xr:uid="{8B2C4EFF-9BD5-480D-AC5B-8D5BB9C2BB25}"/>
    <cellStyle name="20% - Énfasis2 18 3 2 2" xfId="13680" xr:uid="{BF26DBBB-D514-41BB-AAE8-EDD6EA79522D}"/>
    <cellStyle name="20% - Énfasis2 18 3 2 2 2" xfId="29092" xr:uid="{075B9276-80FB-4FF2-BFE7-BDEBF6C3A748}"/>
    <cellStyle name="20% - Énfasis2 18 3 2 2 2 2" xfId="35746" xr:uid="{48EA101C-4729-4491-A84E-870CD1D0C0C3}"/>
    <cellStyle name="20% - Énfasis2 18 3 2 2 3" xfId="35745" xr:uid="{C0FC5E66-5289-4A80-9059-EB9C83B4C60C}"/>
    <cellStyle name="20% - Énfasis2 18 3 2 3" xfId="21387" xr:uid="{790E7BC4-4FFE-4D11-8F3B-E477D464F85A}"/>
    <cellStyle name="20% - Énfasis2 18 3 2 3 2" xfId="35747" xr:uid="{971E1F31-73D7-4117-B4DF-287F366E7621}"/>
    <cellStyle name="20% - Énfasis2 18 3 2 4" xfId="35744" xr:uid="{587F0FFB-C752-4A32-92C1-1E6B64F0FE1E}"/>
    <cellStyle name="20% - Énfasis2 18 3 3" xfId="9951" xr:uid="{0F31109E-8D09-4F81-B653-8E037727A650}"/>
    <cellStyle name="20% - Énfasis2 18 3 3 2" xfId="25364" xr:uid="{A195B257-E735-4A21-B5BA-5C126CE75035}"/>
    <cellStyle name="20% - Énfasis2 18 3 3 2 2" xfId="35749" xr:uid="{65756E4D-2209-43E6-8521-FC369C1B233D}"/>
    <cellStyle name="20% - Énfasis2 18 3 3 3" xfId="35748" xr:uid="{F28779E1-B4DE-43B1-B80C-9B3449A0D7D6}"/>
    <cellStyle name="20% - Énfasis2 18 3 4" xfId="17659" xr:uid="{BE29B07D-9F57-40CD-ADC2-002BA1E34FC4}"/>
    <cellStyle name="20% - Énfasis2 18 3 4 2" xfId="35750" xr:uid="{2C8B1800-FC31-4937-9641-55908FDC93B2}"/>
    <cellStyle name="20% - Énfasis2 18 3 5" xfId="35743" xr:uid="{0B4C9BC8-9CBB-4A9D-9E34-7E4C79B78D4B}"/>
    <cellStyle name="20% - Énfasis2 18 4" xfId="4495" xr:uid="{233DCF17-716B-49EF-8B1B-0B8677A8476F}"/>
    <cellStyle name="20% - Énfasis2 18 4 2" xfId="12203" xr:uid="{A4C30A2E-8153-49BF-B490-2ABFA086E26F}"/>
    <cellStyle name="20% - Énfasis2 18 4 2 2" xfId="27615" xr:uid="{E6A55176-8556-4A52-8B4D-BF0C7499DC16}"/>
    <cellStyle name="20% - Énfasis2 18 4 2 2 2" xfId="35753" xr:uid="{E43258C2-7790-4167-A262-6D34080C8D64}"/>
    <cellStyle name="20% - Énfasis2 18 4 2 3" xfId="35752" xr:uid="{EA6FB868-834A-4AD9-878E-27E82A967741}"/>
    <cellStyle name="20% - Énfasis2 18 4 3" xfId="19910" xr:uid="{59C030EE-F2C7-40E2-9D07-18D893F6463B}"/>
    <cellStyle name="20% - Énfasis2 18 4 3 2" xfId="35754" xr:uid="{6BEC0388-C994-403A-BBEC-13B438725110}"/>
    <cellStyle name="20% - Énfasis2 18 4 4" xfId="35751" xr:uid="{1266A94A-DF56-44F9-A52B-3CDE32B0CA70}"/>
    <cellStyle name="20% - Énfasis2 18 5" xfId="8492" xr:uid="{BE63257F-D15B-41AA-AB80-6DACDAD4E8D7}"/>
    <cellStyle name="20% - Énfasis2 18 5 2" xfId="23905" xr:uid="{BC72ABC2-9DCE-4EBA-BC9F-3C49F82EAC33}"/>
    <cellStyle name="20% - Énfasis2 18 5 2 2" xfId="35756" xr:uid="{63194F05-414E-45D6-8211-DAC65A74A53C}"/>
    <cellStyle name="20% - Énfasis2 18 5 3" xfId="35755" xr:uid="{4FE0CD8B-6212-41AC-9785-E610DF72FE87}"/>
    <cellStyle name="20% - Énfasis2 18 6" xfId="16200" xr:uid="{E4C872D0-DADA-4208-9EF1-E8A808A9B5FA}"/>
    <cellStyle name="20% - Énfasis2 18 6 2" xfId="35757" xr:uid="{7103FA4D-CD57-483F-932D-7569F68DAE2C}"/>
    <cellStyle name="20% - Énfasis2 18 7" xfId="35726" xr:uid="{1CB1502A-2801-4335-B366-A7C36218C6B9}"/>
    <cellStyle name="20% - Énfasis2 19" xfId="769" xr:uid="{A18790EE-DBF8-45D4-A6F0-71A1708FB56A}"/>
    <cellStyle name="20% - Énfasis2 19 2" xfId="2259" xr:uid="{D433F6CC-D725-4B56-B907-5EA91B446928}"/>
    <cellStyle name="20% - Énfasis2 19 2 2" xfId="5991" xr:uid="{A1180809-B322-409E-B0D6-7FD4C7C4DA98}"/>
    <cellStyle name="20% - Énfasis2 19 2 2 2" xfId="13699" xr:uid="{59688F15-FBEB-4C48-9715-ECBC2D9B53DF}"/>
    <cellStyle name="20% - Énfasis2 19 2 2 2 2" xfId="29111" xr:uid="{5A3A0DC3-92A3-451A-8C77-662226338175}"/>
    <cellStyle name="20% - Énfasis2 19 2 2 2 2 2" xfId="35762" xr:uid="{585687A0-8C12-4F60-8B29-6554510F5780}"/>
    <cellStyle name="20% - Énfasis2 19 2 2 2 3" xfId="35761" xr:uid="{21E608A0-1FE3-4D3B-AC32-76330308777C}"/>
    <cellStyle name="20% - Énfasis2 19 2 2 3" xfId="21406" xr:uid="{3A2A7514-D77C-4098-9B5A-547D66DCCFB8}"/>
    <cellStyle name="20% - Énfasis2 19 2 2 3 2" xfId="35763" xr:uid="{25377251-7F78-43B5-9761-E9A9E21D2330}"/>
    <cellStyle name="20% - Énfasis2 19 2 2 4" xfId="35760" xr:uid="{1EEB6FC2-2DE3-4113-8F6E-8443F83D84AA}"/>
    <cellStyle name="20% - Énfasis2 19 2 3" xfId="9970" xr:uid="{E42AC873-6B77-4723-85CC-6F7C6436E7AB}"/>
    <cellStyle name="20% - Énfasis2 19 2 3 2" xfId="25383" xr:uid="{574E4474-5A56-48E4-8A66-B97E9AD39B54}"/>
    <cellStyle name="20% - Énfasis2 19 2 3 2 2" xfId="35765" xr:uid="{46E251BC-54BF-4939-90A1-08FC4CEB9CFF}"/>
    <cellStyle name="20% - Énfasis2 19 2 3 3" xfId="35764" xr:uid="{C0C91A1D-8D41-49D2-ABFB-C48D1EBFCC83}"/>
    <cellStyle name="20% - Énfasis2 19 2 4" xfId="17678" xr:uid="{CE62F94E-F1DF-4555-8003-9B72E86418AC}"/>
    <cellStyle name="20% - Énfasis2 19 2 4 2" xfId="35766" xr:uid="{8C5CC40B-7CB1-40D8-BA2C-3CBE88EEA698}"/>
    <cellStyle name="20% - Énfasis2 19 2 5" xfId="35759" xr:uid="{DA9F8F69-37E0-4A0C-AF43-4D350F306839}"/>
    <cellStyle name="20% - Énfasis2 19 3" xfId="4514" xr:uid="{0AD11BD0-98CA-4120-8FA9-93597ABC091E}"/>
    <cellStyle name="20% - Énfasis2 19 3 2" xfId="12222" xr:uid="{5F4340F3-429A-4CEE-859F-80C2504A7C02}"/>
    <cellStyle name="20% - Énfasis2 19 3 2 2" xfId="27634" xr:uid="{A341B5C0-5902-432E-B5D5-96236AA3E9C5}"/>
    <cellStyle name="20% - Énfasis2 19 3 2 2 2" xfId="35769" xr:uid="{92261D05-A6C1-436B-BADE-29015094C9B0}"/>
    <cellStyle name="20% - Énfasis2 19 3 2 3" xfId="35768" xr:uid="{1E26EDDC-F8ED-445A-8DF8-985035366A53}"/>
    <cellStyle name="20% - Énfasis2 19 3 3" xfId="19929" xr:uid="{2F5E4E56-41F3-42E9-B99F-E69D72D782C6}"/>
    <cellStyle name="20% - Énfasis2 19 3 3 2" xfId="35770" xr:uid="{6484B005-F54E-48D8-B008-B4B952C1358C}"/>
    <cellStyle name="20% - Énfasis2 19 3 4" xfId="35767" xr:uid="{5CF87BCC-0E04-4E66-B41B-26E22E2D728F}"/>
    <cellStyle name="20% - Énfasis2 19 4" xfId="8511" xr:uid="{C99BE56B-49C1-41CA-AA05-32DA0E3D68BA}"/>
    <cellStyle name="20% - Énfasis2 19 4 2" xfId="23924" xr:uid="{2E74ADB4-5965-44F9-B620-80093CB8BA9D}"/>
    <cellStyle name="20% - Énfasis2 19 4 2 2" xfId="35772" xr:uid="{001C7A68-5418-4A42-8505-887B6C4322CB}"/>
    <cellStyle name="20% - Énfasis2 19 4 3" xfId="35771" xr:uid="{180AC2CB-E254-4637-AF94-39D5D49F292A}"/>
    <cellStyle name="20% - Énfasis2 19 5" xfId="16219" xr:uid="{CA1E490C-7B50-4B56-9CCB-3B6860B905DC}"/>
    <cellStyle name="20% - Énfasis2 19 5 2" xfId="35773" xr:uid="{981821DE-A609-4D95-B051-9A5EA3D08B2B}"/>
    <cellStyle name="20% - Énfasis2 19 6" xfId="35758" xr:uid="{E80E0AEE-7CFD-47A2-A032-D89BCEA6BFCB}"/>
    <cellStyle name="20% - Énfasis2 2" xfId="172" xr:uid="{2B761C9A-6EE5-4313-BE2B-E2B229AD198F}"/>
    <cellStyle name="20% - Énfasis2 2 2" xfId="382" xr:uid="{6465DDF3-510E-4B80-957E-DC12DF35476A}"/>
    <cellStyle name="20% - Énfasis2 2 2 2" xfId="1044" xr:uid="{B2186EFD-175A-480B-A252-553D28EDE331}"/>
    <cellStyle name="20% - Énfasis2 2 2 2 2" xfId="2512" xr:uid="{69F18E60-12D6-43AE-9A86-6F0F8F43235B}"/>
    <cellStyle name="20% - Énfasis2 2 2 2 2 2" xfId="6244" xr:uid="{0D737B08-BC98-4FA7-9E1E-84FC1F49BA9B}"/>
    <cellStyle name="20% - Énfasis2 2 2 2 2 2 2" xfId="13952" xr:uid="{18CFE8D1-2396-41A1-8FDC-D07C8FA75046}"/>
    <cellStyle name="20% - Énfasis2 2 2 2 2 2 2 2" xfId="29364" xr:uid="{8AE3132F-5A83-404B-A6B5-E697736A4EFA}"/>
    <cellStyle name="20% - Énfasis2 2 2 2 2 2 2 2 2" xfId="35780" xr:uid="{5D19D08F-6591-4B71-851C-62902A1BF27E}"/>
    <cellStyle name="20% - Énfasis2 2 2 2 2 2 2 3" xfId="35779" xr:uid="{DBEF397C-2B7B-4D3B-884E-0AE942F111CA}"/>
    <cellStyle name="20% - Énfasis2 2 2 2 2 2 3" xfId="21659" xr:uid="{81359748-6C90-45EE-8D9C-345388A20545}"/>
    <cellStyle name="20% - Énfasis2 2 2 2 2 2 3 2" xfId="35781" xr:uid="{0C03F257-01B5-47C0-B3FC-DF93A71944AD}"/>
    <cellStyle name="20% - Énfasis2 2 2 2 2 2 4" xfId="35778" xr:uid="{09CD2C9D-8054-4FF9-A5F5-B4B6A3B9527B}"/>
    <cellStyle name="20% - Énfasis2 2 2 2 2 3" xfId="10223" xr:uid="{DCE7BA6C-231A-4C5D-B3E1-88AE3CFE44C9}"/>
    <cellStyle name="20% - Énfasis2 2 2 2 2 3 2" xfId="25636" xr:uid="{B8572554-E018-4CA1-B797-918D2F740FEC}"/>
    <cellStyle name="20% - Énfasis2 2 2 2 2 3 2 2" xfId="35783" xr:uid="{287D6C63-8C61-4960-B20D-3C0486FC5F13}"/>
    <cellStyle name="20% - Énfasis2 2 2 2 2 3 3" xfId="35782" xr:uid="{06D221C9-56D3-4C43-A927-2C23FEBB3B1E}"/>
    <cellStyle name="20% - Énfasis2 2 2 2 2 4" xfId="17931" xr:uid="{C8227ADD-06EB-4B22-B600-B337A1823ADE}"/>
    <cellStyle name="20% - Énfasis2 2 2 2 2 4 2" xfId="35784" xr:uid="{A2B25F94-E636-48F5-BBD0-F13482273CAC}"/>
    <cellStyle name="20% - Énfasis2 2 2 2 2 5" xfId="35777" xr:uid="{62DA43F6-F383-4D47-B5AC-7964400C65F7}"/>
    <cellStyle name="20% - Énfasis2 2 2 2 3" xfId="4781" xr:uid="{7259FE63-4D19-439B-839C-00CD72675576}"/>
    <cellStyle name="20% - Énfasis2 2 2 2 3 2" xfId="12489" xr:uid="{0D1E01BA-DEE4-4182-B201-E5C25F621636}"/>
    <cellStyle name="20% - Énfasis2 2 2 2 3 2 2" xfId="27901" xr:uid="{E70B7A21-AAE3-4F94-8461-D1F2B75584E5}"/>
    <cellStyle name="20% - Énfasis2 2 2 2 3 2 2 2" xfId="35787" xr:uid="{478A13B5-DD12-4CF4-A272-FD0418F87944}"/>
    <cellStyle name="20% - Énfasis2 2 2 2 3 2 3" xfId="35786" xr:uid="{B59D0D35-9BB3-4649-8B34-08766C00C49D}"/>
    <cellStyle name="20% - Énfasis2 2 2 2 3 3" xfId="20196" xr:uid="{3A687436-81E4-4B51-AF39-F6C4C2E23F90}"/>
    <cellStyle name="20% - Énfasis2 2 2 2 3 3 2" xfId="35788" xr:uid="{B4389E3B-BC39-4294-94E6-B216C434E6D4}"/>
    <cellStyle name="20% - Énfasis2 2 2 2 3 4" xfId="35785" xr:uid="{9542B628-6D02-4163-8CE0-45D9D2E80B66}"/>
    <cellStyle name="20% - Énfasis2 2 2 2 4" xfId="8764" xr:uid="{1FC7489D-02E6-45BD-BB0E-ACF62DEAB3A7}"/>
    <cellStyle name="20% - Énfasis2 2 2 2 4 2" xfId="24177" xr:uid="{D8BC0D61-C43B-458D-9330-41663A21FC20}"/>
    <cellStyle name="20% - Énfasis2 2 2 2 4 2 2" xfId="35790" xr:uid="{F1EE4042-E3F5-455C-90D8-F312AABB68CC}"/>
    <cellStyle name="20% - Énfasis2 2 2 2 4 3" xfId="35789" xr:uid="{4392891D-691F-4AC4-90E9-B0789FB22AFB}"/>
    <cellStyle name="20% - Énfasis2 2 2 2 5" xfId="16472" xr:uid="{8729F186-667A-4043-8C8F-91017465B079}"/>
    <cellStyle name="20% - Énfasis2 2 2 2 5 2" xfId="35791" xr:uid="{68BDB41B-2E2E-49A6-B016-4CCE923E9F80}"/>
    <cellStyle name="20% - Énfasis2 2 2 2 6" xfId="35776" xr:uid="{7430C61F-F866-4A71-892E-4F98F2FD72DD}"/>
    <cellStyle name="20% - Énfasis2 2 2 3" xfId="1874" xr:uid="{1C57B367-C2A2-4406-A125-90B2AE614446}"/>
    <cellStyle name="20% - Énfasis2 2 2 3 2" xfId="5606" xr:uid="{8A98475E-2C5A-4F3D-85FD-66336AA6851D}"/>
    <cellStyle name="20% - Énfasis2 2 2 3 2 2" xfId="13314" xr:uid="{5035F54F-860C-48C2-B8B3-98F1438182F1}"/>
    <cellStyle name="20% - Énfasis2 2 2 3 2 2 2" xfId="28726" xr:uid="{EBBE17C8-281F-4CE5-9AAB-17C500E3D7C1}"/>
    <cellStyle name="20% - Énfasis2 2 2 3 2 2 2 2" xfId="35795" xr:uid="{B9544957-5367-4648-88A1-7B8788B736C5}"/>
    <cellStyle name="20% - Énfasis2 2 2 3 2 2 3" xfId="35794" xr:uid="{44A714E3-036B-41B4-A54D-A02E26297969}"/>
    <cellStyle name="20% - Énfasis2 2 2 3 2 3" xfId="21021" xr:uid="{B76FD240-E136-4CD2-B164-4286F7ECB194}"/>
    <cellStyle name="20% - Énfasis2 2 2 3 2 3 2" xfId="35796" xr:uid="{78A65063-5441-447A-8059-3BF3C84AD389}"/>
    <cellStyle name="20% - Énfasis2 2 2 3 2 4" xfId="35793" xr:uid="{72C89E72-CA9A-4167-9017-3B1D576E9188}"/>
    <cellStyle name="20% - Énfasis2 2 2 3 3" xfId="9585" xr:uid="{68702AC6-F752-41ED-8015-167B4D573E51}"/>
    <cellStyle name="20% - Énfasis2 2 2 3 3 2" xfId="24998" xr:uid="{BB29A9E3-810F-4B5B-93B9-76A617B0088C}"/>
    <cellStyle name="20% - Énfasis2 2 2 3 3 2 2" xfId="35798" xr:uid="{880F56A1-E467-49C2-A2A5-CEF9500CF019}"/>
    <cellStyle name="20% - Énfasis2 2 2 3 3 3" xfId="35797" xr:uid="{224A4D8B-6DAD-4EAD-A27D-E7CB88F6AC08}"/>
    <cellStyle name="20% - Énfasis2 2 2 3 4" xfId="17293" xr:uid="{0178270F-9E80-4C49-9EA2-81AF7789B96D}"/>
    <cellStyle name="20% - Énfasis2 2 2 3 4 2" xfId="35799" xr:uid="{DD99B24F-B241-4013-95AC-29BF82469CBE}"/>
    <cellStyle name="20% - Énfasis2 2 2 3 5" xfId="35792" xr:uid="{F5E31F50-1866-43AE-89FA-F2C6CEC1234E}"/>
    <cellStyle name="20% - Énfasis2 2 2 4" xfId="4129" xr:uid="{875EC6B8-9AB1-4B56-B073-BC055175FB48}"/>
    <cellStyle name="20% - Énfasis2 2 2 4 2" xfId="11837" xr:uid="{69244FAE-16A8-4061-BC53-1CF1CE3F0485}"/>
    <cellStyle name="20% - Énfasis2 2 2 4 2 2" xfId="27249" xr:uid="{854A4C1A-5217-4E6B-AC39-42A9EDF98312}"/>
    <cellStyle name="20% - Énfasis2 2 2 4 2 2 2" xfId="35802" xr:uid="{C74EB230-2CAD-477E-AF53-1AE48CD5EC2A}"/>
    <cellStyle name="20% - Énfasis2 2 2 4 2 3" xfId="35801" xr:uid="{330F988E-5F12-40D1-8A37-2E5FDB03D930}"/>
    <cellStyle name="20% - Énfasis2 2 2 4 3" xfId="19544" xr:uid="{C8E11204-BA3C-49DF-93A9-EDDBA4E67BD0}"/>
    <cellStyle name="20% - Énfasis2 2 2 4 3 2" xfId="35803" xr:uid="{9F494E51-A226-41D5-BB99-E9DBA7F1A6E4}"/>
    <cellStyle name="20% - Énfasis2 2 2 4 4" xfId="35800" xr:uid="{E2AF8803-E1F7-4F79-BF8E-8C0DCE9D936B}"/>
    <cellStyle name="20% - Énfasis2 2 2 5" xfId="8126" xr:uid="{3D54410D-88D5-4C12-99CF-7052B75DD0C8}"/>
    <cellStyle name="20% - Énfasis2 2 2 5 2" xfId="23539" xr:uid="{AA863E78-6DCA-4A85-A457-7A58CB064192}"/>
    <cellStyle name="20% - Énfasis2 2 2 5 2 2" xfId="35805" xr:uid="{CD1B4195-59AA-42FD-B3EA-48666361F53D}"/>
    <cellStyle name="20% - Énfasis2 2 2 5 3" xfId="35804" xr:uid="{83F10B6F-6573-4B02-8840-A6F02617A971}"/>
    <cellStyle name="20% - Énfasis2 2 2 6" xfId="15834" xr:uid="{06CB6FC8-EC1F-4BEB-B344-86FE572AA4BE}"/>
    <cellStyle name="20% - Énfasis2 2 2 6 2" xfId="35806" xr:uid="{BC20D059-1B69-46C7-92B9-B3EA85A853A2}"/>
    <cellStyle name="20% - Énfasis2 2 2 7" xfId="35775" xr:uid="{AEC156A9-C4CA-455B-B550-D3842F74DCC9}"/>
    <cellStyle name="20% - Énfasis2 2 3" xfId="839" xr:uid="{CB8599F8-73CB-4CC9-BBED-8AD596FE9998}"/>
    <cellStyle name="20% - Énfasis2 2 3 2" xfId="2314" xr:uid="{98B5E4DC-15C0-42FD-A477-FD3EC43E6FB5}"/>
    <cellStyle name="20% - Énfasis2 2 3 2 2" xfId="6046" xr:uid="{BCCB70DD-3ACA-4B07-8880-2E7D03D0DEED}"/>
    <cellStyle name="20% - Énfasis2 2 3 2 2 2" xfId="13754" xr:uid="{7BD83E76-5798-4D41-88FF-3A53285BDC9B}"/>
    <cellStyle name="20% - Énfasis2 2 3 2 2 2 2" xfId="29166" xr:uid="{5E382174-915A-46A5-8B96-4D41EE3C38DB}"/>
    <cellStyle name="20% - Énfasis2 2 3 2 2 2 2 2" xfId="35811" xr:uid="{226A9AD2-07E5-4986-8481-AF495399B142}"/>
    <cellStyle name="20% - Énfasis2 2 3 2 2 2 3" xfId="35810" xr:uid="{E502538B-1E46-457B-9EED-C588A4263B2A}"/>
    <cellStyle name="20% - Énfasis2 2 3 2 2 3" xfId="21461" xr:uid="{01CA3CF5-4001-4ADD-ACC3-04A38647BC53}"/>
    <cellStyle name="20% - Énfasis2 2 3 2 2 3 2" xfId="35812" xr:uid="{C27E8046-CB6B-468A-8612-849CA780CF55}"/>
    <cellStyle name="20% - Énfasis2 2 3 2 2 4" xfId="35809" xr:uid="{5EF4027A-FD80-4DBB-B7CA-4FAB54862315}"/>
    <cellStyle name="20% - Énfasis2 2 3 2 3" xfId="10025" xr:uid="{37208020-76CD-4138-AC00-63B497CDA943}"/>
    <cellStyle name="20% - Énfasis2 2 3 2 3 2" xfId="25438" xr:uid="{5B4B19D0-A04A-45B2-BD24-55AE42932F55}"/>
    <cellStyle name="20% - Énfasis2 2 3 2 3 2 2" xfId="35814" xr:uid="{5AC7C546-19B4-4453-AC07-C28C3B733D0D}"/>
    <cellStyle name="20% - Énfasis2 2 3 2 3 3" xfId="35813" xr:uid="{698EA54F-E4A9-4485-B684-F0FE29A0BA35}"/>
    <cellStyle name="20% - Énfasis2 2 3 2 4" xfId="17733" xr:uid="{009573EF-88BA-48DA-80DA-5C0C1678CE90}"/>
    <cellStyle name="20% - Énfasis2 2 3 2 4 2" xfId="35815" xr:uid="{57350DAF-6B3A-4E17-9296-030AC2BA8D87}"/>
    <cellStyle name="20% - Énfasis2 2 3 2 5" xfId="35808" xr:uid="{A6685701-9EC4-4291-B5FC-281D16A707FC}"/>
    <cellStyle name="20% - Énfasis2 2 3 3" xfId="4576" xr:uid="{0E2F9C6D-2725-40A3-9B92-471EA7DA7698}"/>
    <cellStyle name="20% - Énfasis2 2 3 3 2" xfId="12284" xr:uid="{BC9BD3D2-A8BC-4969-BB76-003CE9A683F5}"/>
    <cellStyle name="20% - Énfasis2 2 3 3 2 2" xfId="27696" xr:uid="{B75AB44B-6B39-4D29-BF32-26E1B7C89750}"/>
    <cellStyle name="20% - Énfasis2 2 3 3 2 2 2" xfId="35818" xr:uid="{4AB64AE5-8687-40C2-85C6-0D4DE3C44ECA}"/>
    <cellStyle name="20% - Énfasis2 2 3 3 2 3" xfId="35817" xr:uid="{359352B9-826C-4065-ACDF-E9385119844C}"/>
    <cellStyle name="20% - Énfasis2 2 3 3 3" xfId="19991" xr:uid="{0D3ED704-B914-43B5-A442-4436DD702D9A}"/>
    <cellStyle name="20% - Énfasis2 2 3 3 3 2" xfId="35819" xr:uid="{13012860-0505-4719-9ABD-A7BE88E5055D}"/>
    <cellStyle name="20% - Énfasis2 2 3 3 4" xfId="35816" xr:uid="{A4E0BFEC-BDF7-415F-A172-346603E2ABD4}"/>
    <cellStyle name="20% - Énfasis2 2 3 4" xfId="8566" xr:uid="{C1E39A1B-7DF9-47D4-94ED-1F7FB1B455FE}"/>
    <cellStyle name="20% - Énfasis2 2 3 4 2" xfId="23979" xr:uid="{FCABF000-F113-49C8-8E5B-684727EDF14B}"/>
    <cellStyle name="20% - Énfasis2 2 3 4 2 2" xfId="35821" xr:uid="{9384A19E-D526-4F4F-B1CF-6A4198B6EB08}"/>
    <cellStyle name="20% - Énfasis2 2 3 4 3" xfId="35820" xr:uid="{748C1ACF-9FE7-422B-81ED-41C09CCF0016}"/>
    <cellStyle name="20% - Énfasis2 2 3 5" xfId="16274" xr:uid="{9DB6DBA6-2AA5-4CE6-AE2F-775215EF558F}"/>
    <cellStyle name="20% - Énfasis2 2 3 5 2" xfId="35822" xr:uid="{01887446-B65A-49D3-AB17-DF0D90F67669}"/>
    <cellStyle name="20% - Énfasis2 2 3 6" xfId="35807" xr:uid="{6FE6DE08-272C-49EB-8662-997E1972248E}"/>
    <cellStyle name="20% - Énfasis2 2 4" xfId="1676" xr:uid="{CC52040A-AB45-478E-AD04-5EE8F3BBC282}"/>
    <cellStyle name="20% - Énfasis2 2 4 2" xfId="5408" xr:uid="{59959F88-A4B1-405C-B84C-5298B1355A47}"/>
    <cellStyle name="20% - Énfasis2 2 4 2 2" xfId="13116" xr:uid="{70AF9D96-F9EC-43F2-9E60-BAB312795897}"/>
    <cellStyle name="20% - Énfasis2 2 4 2 2 2" xfId="28528" xr:uid="{520974C8-D7E8-4E86-B8EC-4D53EA5CE2D3}"/>
    <cellStyle name="20% - Énfasis2 2 4 2 2 2 2" xfId="35826" xr:uid="{26892DB4-46CB-4BB1-8F5E-B161047139FA}"/>
    <cellStyle name="20% - Énfasis2 2 4 2 2 3" xfId="35825" xr:uid="{530D3397-E4F0-438E-933D-EF987798B1F6}"/>
    <cellStyle name="20% - Énfasis2 2 4 2 3" xfId="20823" xr:uid="{B746D379-6515-47A8-ABF1-79975E415621}"/>
    <cellStyle name="20% - Énfasis2 2 4 2 3 2" xfId="35827" xr:uid="{E1D34B79-8A93-46E4-A964-EF2853D49169}"/>
    <cellStyle name="20% - Énfasis2 2 4 2 4" xfId="35824" xr:uid="{B3920BD9-EE55-4B75-A17B-96D24D3E7C9F}"/>
    <cellStyle name="20% - Énfasis2 2 4 3" xfId="9387" xr:uid="{E460D2E9-6060-4D29-932D-BB88E062ED3A}"/>
    <cellStyle name="20% - Énfasis2 2 4 3 2" xfId="24800" xr:uid="{466DB947-0B49-436E-967C-333156F57428}"/>
    <cellStyle name="20% - Énfasis2 2 4 3 2 2" xfId="35829" xr:uid="{518DDB6C-25D1-4F5C-A98A-235BFC3CA8B9}"/>
    <cellStyle name="20% - Énfasis2 2 4 3 3" xfId="35828" xr:uid="{CF81F14D-04C7-4A39-AE0F-FDD2D9299F07}"/>
    <cellStyle name="20% - Énfasis2 2 4 4" xfId="17095" xr:uid="{738E02F7-5EF5-4E37-BBF5-9E4E501A8A25}"/>
    <cellStyle name="20% - Énfasis2 2 4 4 2" xfId="35830" xr:uid="{9A0A83BA-DF0F-4F9D-9F28-D3FEF2A059DB}"/>
    <cellStyle name="20% - Énfasis2 2 4 5" xfId="35823" xr:uid="{6D4BCEB3-D3A7-43F2-8C3C-45FBE58E6D14}"/>
    <cellStyle name="20% - Énfasis2 2 5" xfId="3924" xr:uid="{E9E7F8FF-AB75-4DCA-92C3-3C9CA18D5D60}"/>
    <cellStyle name="20% - Énfasis2 2 5 2" xfId="11632" xr:uid="{545C32A0-7F8D-48F3-A911-021045E19E05}"/>
    <cellStyle name="20% - Énfasis2 2 5 2 2" xfId="27044" xr:uid="{34610684-3FC4-43D9-8039-F372C4ABE3CD}"/>
    <cellStyle name="20% - Énfasis2 2 5 2 2 2" xfId="35833" xr:uid="{006443FB-4CB4-4042-B85D-ED151C044483}"/>
    <cellStyle name="20% - Énfasis2 2 5 2 3" xfId="35832" xr:uid="{B2B5913F-E797-4902-848B-7ED016EBADDF}"/>
    <cellStyle name="20% - Énfasis2 2 5 3" xfId="19339" xr:uid="{DC6519B8-ACC4-4120-BC97-E350FF2DB68D}"/>
    <cellStyle name="20% - Énfasis2 2 5 3 2" xfId="35834" xr:uid="{871D0774-3644-495D-A081-8E563DE5EB95}"/>
    <cellStyle name="20% - Énfasis2 2 5 4" xfId="35831" xr:uid="{ACEE79CC-196F-41E5-9396-F9D4D66465B5}"/>
    <cellStyle name="20% - Énfasis2 2 6" xfId="7928" xr:uid="{962E9057-F255-4E86-B9E8-10B9534B7E08}"/>
    <cellStyle name="20% - Énfasis2 2 6 2" xfId="23341" xr:uid="{DD2994F5-C55B-4675-8A2E-7B6AFD086427}"/>
    <cellStyle name="20% - Énfasis2 2 6 2 2" xfId="35836" xr:uid="{4914C2C1-3E7A-4C83-B0D0-05481EA1328E}"/>
    <cellStyle name="20% - Énfasis2 2 6 3" xfId="35835" xr:uid="{30B61469-48AF-4223-8E39-EB8D974CEC11}"/>
    <cellStyle name="20% - Énfasis2 2 7" xfId="15636" xr:uid="{4A86A550-50A4-413F-AF19-9920839B73A3}"/>
    <cellStyle name="20% - Énfasis2 2 7 2" xfId="35837" xr:uid="{44A98FD6-8626-466A-A992-AE56FB33E2BD}"/>
    <cellStyle name="20% - Énfasis2 2 8" xfId="35774" xr:uid="{8C0118B9-D49D-44EB-8CAC-6955919B9C3B}"/>
    <cellStyle name="20% - Énfasis2 20" xfId="1433" xr:uid="{F9C82BE4-2169-49D8-8C7C-C112A90D2D93}"/>
    <cellStyle name="20% - Énfasis2 20 2" xfId="2898" xr:uid="{E08852D0-C495-444F-A061-0816C6334B5B}"/>
    <cellStyle name="20% - Énfasis2 20 2 2" xfId="6630" xr:uid="{76F5E84D-3EA3-4111-92F3-94FD3E6E4835}"/>
    <cellStyle name="20% - Énfasis2 20 2 2 2" xfId="14338" xr:uid="{98465C6D-DB28-4AAE-A4AF-44E20DA15F45}"/>
    <cellStyle name="20% - Énfasis2 20 2 2 2 2" xfId="29750" xr:uid="{CCA3E4F6-8404-463C-9B3F-941039196CDD}"/>
    <cellStyle name="20% - Énfasis2 20 2 2 2 2 2" xfId="35842" xr:uid="{BF7BD304-A2ED-45BE-AC9F-E2C0F0444E17}"/>
    <cellStyle name="20% - Énfasis2 20 2 2 2 3" xfId="35841" xr:uid="{CDDF0615-7788-4708-A199-E3CB1746A4C1}"/>
    <cellStyle name="20% - Énfasis2 20 2 2 3" xfId="22045" xr:uid="{7AD16BFF-4AFC-4166-BD94-5628EB88178D}"/>
    <cellStyle name="20% - Énfasis2 20 2 2 3 2" xfId="35843" xr:uid="{0DC69487-9827-442C-AF2B-56E5A9254B01}"/>
    <cellStyle name="20% - Énfasis2 20 2 2 4" xfId="35840" xr:uid="{6DABE7AD-29A7-4956-AA7E-EDF13B35C90C}"/>
    <cellStyle name="20% - Énfasis2 20 2 3" xfId="10609" xr:uid="{63DF3A12-C8B1-4DA3-B76B-53545F756E5A}"/>
    <cellStyle name="20% - Énfasis2 20 2 3 2" xfId="26022" xr:uid="{2D9E19D2-A675-461B-A1A2-6C8EA36631FC}"/>
    <cellStyle name="20% - Énfasis2 20 2 3 2 2" xfId="35845" xr:uid="{A8A43BFD-9E03-4D06-8C79-68E06387A776}"/>
    <cellStyle name="20% - Énfasis2 20 2 3 3" xfId="35844" xr:uid="{F89CA824-14E6-4E2A-B4FE-F8BD7AB07094}"/>
    <cellStyle name="20% - Énfasis2 20 2 4" xfId="18317" xr:uid="{1D15DD16-D348-48DD-BA3D-EACA707774F0}"/>
    <cellStyle name="20% - Énfasis2 20 2 4 2" xfId="35846" xr:uid="{347429AB-F8AD-4FA8-B92E-342A416C2EFB}"/>
    <cellStyle name="20% - Énfasis2 20 2 5" xfId="35839" xr:uid="{37C8706C-8B17-492B-A60F-3F998C1E8275}"/>
    <cellStyle name="20% - Énfasis2 20 3" xfId="5169" xr:uid="{5E706D5A-B93D-4F6C-A66D-CB0CC0CAF58A}"/>
    <cellStyle name="20% - Énfasis2 20 3 2" xfId="12877" xr:uid="{432ABEEA-5907-40CA-91E7-883EDFE6CF61}"/>
    <cellStyle name="20% - Énfasis2 20 3 2 2" xfId="28289" xr:uid="{4753E96E-C5F4-4A6B-844B-FB12EEA7A22D}"/>
    <cellStyle name="20% - Énfasis2 20 3 2 2 2" xfId="35849" xr:uid="{B1786CDF-57C6-480B-BF6B-0985576EFEEF}"/>
    <cellStyle name="20% - Énfasis2 20 3 2 3" xfId="35848" xr:uid="{0C58CD01-4FD2-4582-A282-A0484B6A6E62}"/>
    <cellStyle name="20% - Énfasis2 20 3 3" xfId="20584" xr:uid="{3059B0F2-93A8-4CF6-8877-16AFAFBD73B4}"/>
    <cellStyle name="20% - Énfasis2 20 3 3 2" xfId="35850" xr:uid="{F1A3DB80-D68F-4977-8B20-CBB0116C5044}"/>
    <cellStyle name="20% - Énfasis2 20 3 4" xfId="35847" xr:uid="{98C7AFD9-542E-4A7A-9D3E-C9DB904AE7D9}"/>
    <cellStyle name="20% - Énfasis2 20 4" xfId="9150" xr:uid="{494E2859-818F-468B-A06A-558915207D4D}"/>
    <cellStyle name="20% - Énfasis2 20 4 2" xfId="24563" xr:uid="{8CB7B0DD-1B37-4B29-918F-392EC22B87C7}"/>
    <cellStyle name="20% - Énfasis2 20 4 2 2" xfId="35852" xr:uid="{1F428B40-4EB8-4AC7-BA19-E300B5C914FF}"/>
    <cellStyle name="20% - Énfasis2 20 4 3" xfId="35851" xr:uid="{73F41E96-616A-40B6-8E1F-EE7B526C0DB7}"/>
    <cellStyle name="20% - Énfasis2 20 5" xfId="16858" xr:uid="{16083F86-C5D3-49F8-B650-189E3C198920}"/>
    <cellStyle name="20% - Énfasis2 20 5 2" xfId="35853" xr:uid="{0C07F182-27D4-407B-80DA-31685F5F262A}"/>
    <cellStyle name="20% - Énfasis2 20 6" xfId="35838" xr:uid="{C8FC4387-8603-4CDF-8AB0-F7783F1966D5}"/>
    <cellStyle name="20% - Énfasis2 21" xfId="1453" xr:uid="{774C42A8-23E0-4368-8437-60A012EB9D93}"/>
    <cellStyle name="20% - Énfasis2 21 2" xfId="2918" xr:uid="{ED721C9E-D8B9-4FC6-AAB6-CE8947D5E6E5}"/>
    <cellStyle name="20% - Énfasis2 21 2 2" xfId="6650" xr:uid="{F66D9D21-073A-425E-A43A-4FE4EC94BE3E}"/>
    <cellStyle name="20% - Énfasis2 21 2 2 2" xfId="14358" xr:uid="{8D41B2E8-F302-488B-B78B-8399E99BC8DD}"/>
    <cellStyle name="20% - Énfasis2 21 2 2 2 2" xfId="29770" xr:uid="{075D0320-B268-4B33-A6E8-E07237537496}"/>
    <cellStyle name="20% - Énfasis2 21 2 2 2 2 2" xfId="35858" xr:uid="{BB2782BA-CF61-4BCE-B275-C9216BB0CE5C}"/>
    <cellStyle name="20% - Énfasis2 21 2 2 2 3" xfId="35857" xr:uid="{114AA5DD-A375-40F5-A51C-0D3782973BB5}"/>
    <cellStyle name="20% - Énfasis2 21 2 2 3" xfId="22065" xr:uid="{06411841-8CFD-4520-97F4-46435B5DEB1C}"/>
    <cellStyle name="20% - Énfasis2 21 2 2 3 2" xfId="35859" xr:uid="{579FCA1B-065E-4303-A090-578342A1F3B9}"/>
    <cellStyle name="20% - Énfasis2 21 2 2 4" xfId="35856" xr:uid="{18D57C04-076F-4505-9D6A-7BDB518A17BD}"/>
    <cellStyle name="20% - Énfasis2 21 2 3" xfId="10629" xr:uid="{32DC0FCF-A5C0-44DD-B9C3-E5336F1F2FFD}"/>
    <cellStyle name="20% - Énfasis2 21 2 3 2" xfId="26042" xr:uid="{D6A5C761-08E4-40E0-8593-96CF61EDA914}"/>
    <cellStyle name="20% - Énfasis2 21 2 3 2 2" xfId="35861" xr:uid="{D59D6E78-B52E-43F6-970C-25BC26F518A9}"/>
    <cellStyle name="20% - Énfasis2 21 2 3 3" xfId="35860" xr:uid="{F725E37A-84FF-4763-8FF5-D3CE14686980}"/>
    <cellStyle name="20% - Énfasis2 21 2 4" xfId="18337" xr:uid="{5A1F46BE-3DBC-4AE0-A2A2-E3CA1834A467}"/>
    <cellStyle name="20% - Énfasis2 21 2 4 2" xfId="35862" xr:uid="{5ABD5C80-FCFD-4E7D-99F1-28E8E76BCA21}"/>
    <cellStyle name="20% - Énfasis2 21 2 5" xfId="35855" xr:uid="{F2B70680-4E34-4985-BDE5-5E8CBADEB2D0}"/>
    <cellStyle name="20% - Énfasis2 21 3" xfId="5189" xr:uid="{3119A93E-A86B-4F9A-BA37-E1896338102B}"/>
    <cellStyle name="20% - Énfasis2 21 3 2" xfId="12897" xr:uid="{DC2AE08F-4170-400B-AD24-CF1D132040E5}"/>
    <cellStyle name="20% - Énfasis2 21 3 2 2" xfId="28309" xr:uid="{B4721459-C99E-421A-97CA-2A5DC3ACB96D}"/>
    <cellStyle name="20% - Énfasis2 21 3 2 2 2" xfId="35865" xr:uid="{D732363D-5E53-43D2-8617-5A8ABBF5491C}"/>
    <cellStyle name="20% - Énfasis2 21 3 2 3" xfId="35864" xr:uid="{BD713BEA-5150-43E5-B18A-D228F08D31FB}"/>
    <cellStyle name="20% - Énfasis2 21 3 3" xfId="20604" xr:uid="{3624126A-E202-4A2C-A80A-7BB1618B1E36}"/>
    <cellStyle name="20% - Énfasis2 21 3 3 2" xfId="35866" xr:uid="{E9D0FCD8-F0BB-471F-A201-B36F9D4C6103}"/>
    <cellStyle name="20% - Énfasis2 21 3 4" xfId="35863" xr:uid="{EEAC3547-0189-499A-838B-1DFF14FF71E0}"/>
    <cellStyle name="20% - Énfasis2 21 4" xfId="9170" xr:uid="{29770992-5E34-4ECD-8510-6159851DA360}"/>
    <cellStyle name="20% - Énfasis2 21 4 2" xfId="24583" xr:uid="{896EA78E-74F2-453C-986C-5E7A26CD89AD}"/>
    <cellStyle name="20% - Énfasis2 21 4 2 2" xfId="35868" xr:uid="{0409EEE9-C019-485F-88A4-634C8649FA76}"/>
    <cellStyle name="20% - Énfasis2 21 4 3" xfId="35867" xr:uid="{1F9FD73A-8B0D-49DC-A3B2-835F5F405339}"/>
    <cellStyle name="20% - Énfasis2 21 5" xfId="16878" xr:uid="{167A3617-C08D-4821-9013-67B2CDB0BBAE}"/>
    <cellStyle name="20% - Énfasis2 21 5 2" xfId="35869" xr:uid="{DF36612A-3FC2-4ADE-8C57-517F7D205A65}"/>
    <cellStyle name="20% - Énfasis2 21 6" xfId="35854" xr:uid="{3369D517-EA09-44CB-9D37-325F8277252C}"/>
    <cellStyle name="20% - Énfasis2 22" xfId="1473" xr:uid="{E191F703-FA55-435E-9A9E-200B0EF4ED67}"/>
    <cellStyle name="20% - Énfasis2 22 2" xfId="2938" xr:uid="{C7C986E0-0DFF-476E-8644-F41AE8FBCF9F}"/>
    <cellStyle name="20% - Énfasis2 22 2 2" xfId="6670" xr:uid="{FF93D572-2D6E-4C84-A554-8FBB18BBEB66}"/>
    <cellStyle name="20% - Énfasis2 22 2 2 2" xfId="14378" xr:uid="{F2722198-6407-43CC-9755-74E6E64CF52F}"/>
    <cellStyle name="20% - Énfasis2 22 2 2 2 2" xfId="29790" xr:uid="{6045E834-C1B7-4A14-AAE9-9B11107BBA59}"/>
    <cellStyle name="20% - Énfasis2 22 2 2 2 2 2" xfId="35874" xr:uid="{85B89A8D-FA34-4286-AC5A-A3C97C8B66DB}"/>
    <cellStyle name="20% - Énfasis2 22 2 2 2 3" xfId="35873" xr:uid="{19A6946A-90F5-46A6-A5D0-F21FE62293A6}"/>
    <cellStyle name="20% - Énfasis2 22 2 2 3" xfId="22085" xr:uid="{6F2F0051-C41B-4652-9ACF-1B21E3D65C54}"/>
    <cellStyle name="20% - Énfasis2 22 2 2 3 2" xfId="35875" xr:uid="{7A6CA7DE-71D9-4E9B-B137-CC5BC2F1F9DD}"/>
    <cellStyle name="20% - Énfasis2 22 2 2 4" xfId="35872" xr:uid="{DE39B797-2E81-4A1D-A14F-D6807C865766}"/>
    <cellStyle name="20% - Énfasis2 22 2 3" xfId="10649" xr:uid="{A691F009-5B8D-4986-87AA-501DE3D3B107}"/>
    <cellStyle name="20% - Énfasis2 22 2 3 2" xfId="26062" xr:uid="{44B05261-3AEB-4E84-AF0B-2F26C502F269}"/>
    <cellStyle name="20% - Énfasis2 22 2 3 2 2" xfId="35877" xr:uid="{ABDA94EB-99BC-4A54-AD8F-FE081CAD2C8C}"/>
    <cellStyle name="20% - Énfasis2 22 2 3 3" xfId="35876" xr:uid="{AAC7C7A7-1DAE-4616-A563-C1391766D5B8}"/>
    <cellStyle name="20% - Énfasis2 22 2 4" xfId="18357" xr:uid="{6DC8D5CE-7939-4FC4-B3B3-AFC423451BF1}"/>
    <cellStyle name="20% - Énfasis2 22 2 4 2" xfId="35878" xr:uid="{C613D7DA-7A7E-43B1-8581-9C908458D5C3}"/>
    <cellStyle name="20% - Énfasis2 22 2 5" xfId="35871" xr:uid="{5AFC21CE-D5CF-4D1B-A1B9-945362AEA53E}"/>
    <cellStyle name="20% - Énfasis2 22 3" xfId="5209" xr:uid="{F0D9EF5F-7993-44A4-A334-B52A26B42898}"/>
    <cellStyle name="20% - Énfasis2 22 3 2" xfId="12917" xr:uid="{81CB8E1E-CBED-4E5F-A48C-0694FB9F503A}"/>
    <cellStyle name="20% - Énfasis2 22 3 2 2" xfId="28329" xr:uid="{DFC59A08-01C6-45BF-96EF-B2B726662885}"/>
    <cellStyle name="20% - Énfasis2 22 3 2 2 2" xfId="35881" xr:uid="{D9EA518D-E82A-4E1C-913D-3870D47E4550}"/>
    <cellStyle name="20% - Énfasis2 22 3 2 3" xfId="35880" xr:uid="{620F5F43-0C0F-4D1B-964A-B3EF79210E1F}"/>
    <cellStyle name="20% - Énfasis2 22 3 3" xfId="20624" xr:uid="{F97148D7-3583-4007-BDF7-160A68CF12D8}"/>
    <cellStyle name="20% - Énfasis2 22 3 3 2" xfId="35882" xr:uid="{FDE9C15A-1B21-4FEC-B33A-44FD76F4923C}"/>
    <cellStyle name="20% - Énfasis2 22 3 4" xfId="35879" xr:uid="{7E6FCC89-7B07-471E-87BA-BE199F25E16E}"/>
    <cellStyle name="20% - Énfasis2 22 4" xfId="9190" xr:uid="{0E15FD47-8FB6-42BD-BCB8-CE96B2A80D05}"/>
    <cellStyle name="20% - Énfasis2 22 4 2" xfId="24603" xr:uid="{5E709F88-94D3-462A-B49C-2619E36577E4}"/>
    <cellStyle name="20% - Énfasis2 22 4 2 2" xfId="35884" xr:uid="{413263AB-1C5C-46DB-930C-E26CA8380E43}"/>
    <cellStyle name="20% - Énfasis2 22 4 3" xfId="35883" xr:uid="{04116653-2662-4443-BDBC-D27FC95AAB57}"/>
    <cellStyle name="20% - Énfasis2 22 5" xfId="16898" xr:uid="{2C46F6D0-D856-4BF6-A9C3-35AB10EFD1E5}"/>
    <cellStyle name="20% - Énfasis2 22 5 2" xfId="35885" xr:uid="{E4E4B4D8-447C-4299-AF3A-1989251BBC4D}"/>
    <cellStyle name="20% - Énfasis2 22 6" xfId="35870" xr:uid="{A4F47278-4081-4A7C-BAAE-D5A884AF9A1D}"/>
    <cellStyle name="20% - Énfasis2 23" xfId="1493" xr:uid="{2AE39EFC-B510-4F29-8951-F2B74BE6D2E7}"/>
    <cellStyle name="20% - Énfasis2 23 2" xfId="2958" xr:uid="{E01E20F8-A1F8-4871-8CAE-D25B99EDECC9}"/>
    <cellStyle name="20% - Énfasis2 23 2 2" xfId="6690" xr:uid="{16AEBEE5-0F1D-4415-9CCF-61A55FA48EC7}"/>
    <cellStyle name="20% - Énfasis2 23 2 2 2" xfId="14398" xr:uid="{0F81421C-86BB-4AC9-A6F8-779F73F38570}"/>
    <cellStyle name="20% - Énfasis2 23 2 2 2 2" xfId="29810" xr:uid="{D55EF2ED-269C-4028-88D9-43FD96B7518C}"/>
    <cellStyle name="20% - Énfasis2 23 2 2 2 2 2" xfId="35890" xr:uid="{34F8ED81-A471-40D7-98DE-3CD9D50FE68A}"/>
    <cellStyle name="20% - Énfasis2 23 2 2 2 3" xfId="35889" xr:uid="{7047DE65-765E-4EFE-9419-0E95D39EA678}"/>
    <cellStyle name="20% - Énfasis2 23 2 2 3" xfId="22105" xr:uid="{432DFDAE-16A6-4853-8B18-DB1A1DC22872}"/>
    <cellStyle name="20% - Énfasis2 23 2 2 3 2" xfId="35891" xr:uid="{C9ED362E-D50B-48C5-B91B-5E579BCA7128}"/>
    <cellStyle name="20% - Énfasis2 23 2 2 4" xfId="35888" xr:uid="{CA36E8CD-5B99-4BE5-863F-BC418C50C2EE}"/>
    <cellStyle name="20% - Énfasis2 23 2 3" xfId="10669" xr:uid="{3EEA34E8-9A96-4672-BC32-95C3BC44ECE4}"/>
    <cellStyle name="20% - Énfasis2 23 2 3 2" xfId="26082" xr:uid="{842C1A72-7239-455C-9B93-02EB94CCAA5E}"/>
    <cellStyle name="20% - Énfasis2 23 2 3 2 2" xfId="35893" xr:uid="{68311A14-2108-401D-8898-9BC0C906C253}"/>
    <cellStyle name="20% - Énfasis2 23 2 3 3" xfId="35892" xr:uid="{D0BD843F-B97A-48F3-A052-D75094EC62AA}"/>
    <cellStyle name="20% - Énfasis2 23 2 4" xfId="18377" xr:uid="{BD73D361-86B9-4652-A180-2D45E2D8FBCA}"/>
    <cellStyle name="20% - Énfasis2 23 2 4 2" xfId="35894" xr:uid="{8DCB05CF-3544-451B-BFAC-DA6ADC1CFD4A}"/>
    <cellStyle name="20% - Énfasis2 23 2 5" xfId="35887" xr:uid="{BDBDC2DD-92AD-4E48-820B-94E513DB8AC7}"/>
    <cellStyle name="20% - Énfasis2 23 3" xfId="5229" xr:uid="{71C68C15-C16F-437D-BDAD-F7463D7C8B0E}"/>
    <cellStyle name="20% - Énfasis2 23 3 2" xfId="12937" xr:uid="{A2DEA282-454B-4005-9499-E6DE4E5D9CDD}"/>
    <cellStyle name="20% - Énfasis2 23 3 2 2" xfId="28349" xr:uid="{832841ED-6D42-4A3A-9129-E30684719FD8}"/>
    <cellStyle name="20% - Énfasis2 23 3 2 2 2" xfId="35897" xr:uid="{888F4E40-B883-481E-B912-B63BF413E293}"/>
    <cellStyle name="20% - Énfasis2 23 3 2 3" xfId="35896" xr:uid="{36B35022-A9C1-42D0-A3D0-2C77D7547898}"/>
    <cellStyle name="20% - Énfasis2 23 3 3" xfId="20644" xr:uid="{A0E8EC59-1F53-41E4-85EA-6C3393E91312}"/>
    <cellStyle name="20% - Énfasis2 23 3 3 2" xfId="35898" xr:uid="{3071ACB7-D0A2-4718-A403-A94A6E2FFA5A}"/>
    <cellStyle name="20% - Énfasis2 23 3 4" xfId="35895" xr:uid="{036D6003-8118-49DC-849F-F7D8F7CD531C}"/>
    <cellStyle name="20% - Énfasis2 23 4" xfId="9210" xr:uid="{DB75670B-A0AF-45FB-8179-12DD891774A7}"/>
    <cellStyle name="20% - Énfasis2 23 4 2" xfId="24623" xr:uid="{E624696F-C7A8-4EF8-8808-1DC2939D5846}"/>
    <cellStyle name="20% - Énfasis2 23 4 2 2" xfId="35900" xr:uid="{82A82D03-0BD3-4073-964E-27DC26D1E0BE}"/>
    <cellStyle name="20% - Énfasis2 23 4 3" xfId="35899" xr:uid="{5228FC63-7AC9-4206-B487-8758DF174FA5}"/>
    <cellStyle name="20% - Énfasis2 23 5" xfId="16918" xr:uid="{49C31376-C0D2-46F3-B3B8-623B1E36C3E8}"/>
    <cellStyle name="20% - Énfasis2 23 5 2" xfId="35901" xr:uid="{346DFD43-4946-4252-8130-EB94668B74D4}"/>
    <cellStyle name="20% - Énfasis2 23 6" xfId="35886" xr:uid="{CDD4D06C-5C7F-4D79-A2AA-5A3FC0B00273}"/>
    <cellStyle name="20% - Énfasis2 24" xfId="1513" xr:uid="{28393101-49FF-4731-8595-9889E74E8950}"/>
    <cellStyle name="20% - Énfasis2 24 2" xfId="2978" xr:uid="{EB54562D-8701-4F7A-8030-6A8E36C890A0}"/>
    <cellStyle name="20% - Énfasis2 24 2 2" xfId="6710" xr:uid="{A985F662-3547-4433-94ED-E735C7EFE8C8}"/>
    <cellStyle name="20% - Énfasis2 24 2 2 2" xfId="14418" xr:uid="{E04245C4-D8C9-4595-99A1-204D31013837}"/>
    <cellStyle name="20% - Énfasis2 24 2 2 2 2" xfId="29830" xr:uid="{753AEFFC-CFBF-4796-8A60-DF181FCF3BC0}"/>
    <cellStyle name="20% - Énfasis2 24 2 2 2 2 2" xfId="35906" xr:uid="{2D63BE9C-A108-499F-BADD-D74842F00D54}"/>
    <cellStyle name="20% - Énfasis2 24 2 2 2 3" xfId="35905" xr:uid="{D203D048-CD3D-4006-8F31-4C2ACDC6390B}"/>
    <cellStyle name="20% - Énfasis2 24 2 2 3" xfId="22125" xr:uid="{F0F4BC00-0689-4E2E-BAFE-AC580D70AA6F}"/>
    <cellStyle name="20% - Énfasis2 24 2 2 3 2" xfId="35907" xr:uid="{8545CA7C-BF02-41A2-A455-C9F5D717FF2C}"/>
    <cellStyle name="20% - Énfasis2 24 2 2 4" xfId="35904" xr:uid="{1C584512-1C55-4733-8AAE-94804E19A8D7}"/>
    <cellStyle name="20% - Énfasis2 24 2 3" xfId="10689" xr:uid="{985CDB7D-AE4C-44B3-AB3B-1BE33679C2ED}"/>
    <cellStyle name="20% - Énfasis2 24 2 3 2" xfId="26102" xr:uid="{E3A5EFF4-48E6-499E-BE65-3B3EAF1D0DDC}"/>
    <cellStyle name="20% - Énfasis2 24 2 3 2 2" xfId="35909" xr:uid="{2CB564E0-B7B0-49BD-8CF9-0A55F97A0BA2}"/>
    <cellStyle name="20% - Énfasis2 24 2 3 3" xfId="35908" xr:uid="{5F69CD0A-5AA2-4918-AB65-3435A191EF42}"/>
    <cellStyle name="20% - Énfasis2 24 2 4" xfId="18397" xr:uid="{829C7092-B64C-4DE5-895E-AD20E2CBDE61}"/>
    <cellStyle name="20% - Énfasis2 24 2 4 2" xfId="35910" xr:uid="{614F4870-0639-4794-B8CF-DCBFAA5BD324}"/>
    <cellStyle name="20% - Énfasis2 24 2 5" xfId="35903" xr:uid="{1BD91383-2D7F-42E8-8E60-9FA7C76BB63F}"/>
    <cellStyle name="20% - Énfasis2 24 3" xfId="5249" xr:uid="{8935444C-F04D-49D0-9020-64798643BCB6}"/>
    <cellStyle name="20% - Énfasis2 24 3 2" xfId="12957" xr:uid="{00D83190-FC4F-40F7-BDA8-F070C7D23FB4}"/>
    <cellStyle name="20% - Énfasis2 24 3 2 2" xfId="28369" xr:uid="{BF36B26E-4977-482C-A323-8AEAD369A7A4}"/>
    <cellStyle name="20% - Énfasis2 24 3 2 2 2" xfId="35913" xr:uid="{91806007-D8C8-497E-BC71-CCE00C7FD8D6}"/>
    <cellStyle name="20% - Énfasis2 24 3 2 3" xfId="35912" xr:uid="{D7123930-ACEE-4E7E-AB20-F3BA26290E51}"/>
    <cellStyle name="20% - Énfasis2 24 3 3" xfId="20664" xr:uid="{A9772156-BAD9-44A7-A602-184E78EC4EB6}"/>
    <cellStyle name="20% - Énfasis2 24 3 3 2" xfId="35914" xr:uid="{B3047A20-7E55-48F0-B2D5-9C3FAA115DF9}"/>
    <cellStyle name="20% - Énfasis2 24 3 4" xfId="35911" xr:uid="{ABFA78FD-8904-4836-9A9B-0CAA7955799F}"/>
    <cellStyle name="20% - Énfasis2 24 4" xfId="9230" xr:uid="{B2E872D4-FE68-42D9-A9B5-34849F81BF58}"/>
    <cellStyle name="20% - Énfasis2 24 4 2" xfId="24643" xr:uid="{EDA5CAA6-2871-482F-8CB6-1778C253FEF6}"/>
    <cellStyle name="20% - Énfasis2 24 4 2 2" xfId="35916" xr:uid="{28DDBCA0-C5C5-4EEE-B451-E1111438AE9D}"/>
    <cellStyle name="20% - Énfasis2 24 4 3" xfId="35915" xr:uid="{8EA32F77-8157-4102-B38D-DC9AB6663366}"/>
    <cellStyle name="20% - Énfasis2 24 5" xfId="16938" xr:uid="{906CAD83-23AB-4897-9014-E238E30C8CC9}"/>
    <cellStyle name="20% - Énfasis2 24 5 2" xfId="35917" xr:uid="{5B823DC5-BC1A-45F7-8BD1-427E18DD823B}"/>
    <cellStyle name="20% - Énfasis2 24 6" xfId="35902" xr:uid="{BC864FA5-B8DA-4F6D-87E3-F5C3D6D661CB}"/>
    <cellStyle name="20% - Énfasis2 25" xfId="1533" xr:uid="{D879DA4A-8454-49F4-AFFA-4A0153855FA2}"/>
    <cellStyle name="20% - Énfasis2 25 2" xfId="2998" xr:uid="{E32C0210-AA78-4297-9027-3E32888E9AD8}"/>
    <cellStyle name="20% - Énfasis2 25 2 2" xfId="6730" xr:uid="{66AAAF64-3D44-43EC-865F-BD516E444F9D}"/>
    <cellStyle name="20% - Énfasis2 25 2 2 2" xfId="14438" xr:uid="{0B11D304-58C3-425A-B00D-3B5AAED5D8BE}"/>
    <cellStyle name="20% - Énfasis2 25 2 2 2 2" xfId="29850" xr:uid="{D6392C17-E854-40FF-9E78-8E708DC71C1D}"/>
    <cellStyle name="20% - Énfasis2 25 2 2 2 2 2" xfId="35922" xr:uid="{5F4ED508-6930-4C52-84FF-89C626C9C667}"/>
    <cellStyle name="20% - Énfasis2 25 2 2 2 3" xfId="35921" xr:uid="{44394A04-BC7A-43FF-8CCC-B9497FC71C6A}"/>
    <cellStyle name="20% - Énfasis2 25 2 2 3" xfId="22145" xr:uid="{AC658EB1-3FF0-441A-8309-7AD6F0F5C9F4}"/>
    <cellStyle name="20% - Énfasis2 25 2 2 3 2" xfId="35923" xr:uid="{E3D40487-0CF4-4DA4-8EEA-7C6FCC5B4BB6}"/>
    <cellStyle name="20% - Énfasis2 25 2 2 4" xfId="35920" xr:uid="{2948903A-BE55-49FA-B64C-95780C24F58D}"/>
    <cellStyle name="20% - Énfasis2 25 2 3" xfId="10709" xr:uid="{6433995B-F993-42FF-A822-C4602B61736D}"/>
    <cellStyle name="20% - Énfasis2 25 2 3 2" xfId="26122" xr:uid="{ABDFC218-53D2-435B-A7D4-E5D04F9DBA09}"/>
    <cellStyle name="20% - Énfasis2 25 2 3 2 2" xfId="35925" xr:uid="{874B57DA-DB6F-4B58-AB84-C595F39DB06E}"/>
    <cellStyle name="20% - Énfasis2 25 2 3 3" xfId="35924" xr:uid="{973AA83D-C0D4-4500-ADA8-F78EDC30FFA1}"/>
    <cellStyle name="20% - Énfasis2 25 2 4" xfId="18417" xr:uid="{6CE2EB14-7268-42F7-B822-517B3138B106}"/>
    <cellStyle name="20% - Énfasis2 25 2 4 2" xfId="35926" xr:uid="{06F91F8E-525F-4CAA-8317-F9420E1F039D}"/>
    <cellStyle name="20% - Énfasis2 25 2 5" xfId="35919" xr:uid="{CECD4622-E00A-4950-B3DF-5BE2092376ED}"/>
    <cellStyle name="20% - Énfasis2 25 3" xfId="5269" xr:uid="{B21BDE1E-ECD2-4A82-888D-94AC190B88EF}"/>
    <cellStyle name="20% - Énfasis2 25 3 2" xfId="12977" xr:uid="{6994477A-66AA-4C5D-A368-647874D064B5}"/>
    <cellStyle name="20% - Énfasis2 25 3 2 2" xfId="28389" xr:uid="{7011C3FB-CAE2-47E1-94CC-82130E2D68AA}"/>
    <cellStyle name="20% - Énfasis2 25 3 2 2 2" xfId="35929" xr:uid="{F36CD056-BEBF-4254-92E7-EC5A7D4762D5}"/>
    <cellStyle name="20% - Énfasis2 25 3 2 3" xfId="35928" xr:uid="{BF6BAF65-9871-469A-A85D-25EB8DCB5280}"/>
    <cellStyle name="20% - Énfasis2 25 3 3" xfId="20684" xr:uid="{D3B27442-9398-49F4-862D-B5327C2A6C9D}"/>
    <cellStyle name="20% - Énfasis2 25 3 3 2" xfId="35930" xr:uid="{53533974-84FB-4B65-ABDA-7241B562DB3E}"/>
    <cellStyle name="20% - Énfasis2 25 3 4" xfId="35927" xr:uid="{24D2EBCC-F5C7-49B0-B243-5F0C2DF3F0D1}"/>
    <cellStyle name="20% - Énfasis2 25 4" xfId="9250" xr:uid="{4E52BB44-5257-45E3-8470-30F13834BB96}"/>
    <cellStyle name="20% - Énfasis2 25 4 2" xfId="24663" xr:uid="{DD88B452-B682-42E7-9987-51FA6D04D11F}"/>
    <cellStyle name="20% - Énfasis2 25 4 2 2" xfId="35932" xr:uid="{6E31B456-F666-4437-90FB-304C8CE8F202}"/>
    <cellStyle name="20% - Énfasis2 25 4 3" xfId="35931" xr:uid="{6CE519A0-84F3-4AD1-B26C-CA271F1BCAF5}"/>
    <cellStyle name="20% - Énfasis2 25 5" xfId="16958" xr:uid="{941B2511-6E4E-4935-930F-78E9BC1057CE}"/>
    <cellStyle name="20% - Énfasis2 25 5 2" xfId="35933" xr:uid="{D75B729E-4FF9-41C3-93F6-7C16479DF37A}"/>
    <cellStyle name="20% - Énfasis2 25 6" xfId="35918" xr:uid="{D6BAD7B8-B3FF-45B9-99CE-30866729106E}"/>
    <cellStyle name="20% - Énfasis2 26" xfId="1553" xr:uid="{B16BE070-D5B4-4998-ADA9-1779BA8BEFA1}"/>
    <cellStyle name="20% - Énfasis2 26 2" xfId="3018" xr:uid="{9112CDF3-B1E3-4EA5-9C97-BC435AA170B2}"/>
    <cellStyle name="20% - Énfasis2 26 2 2" xfId="6750" xr:uid="{25853F89-6932-4FA5-967F-0297FF099431}"/>
    <cellStyle name="20% - Énfasis2 26 2 2 2" xfId="14458" xr:uid="{42A0351E-E472-45AB-A17F-1730E66BFB25}"/>
    <cellStyle name="20% - Énfasis2 26 2 2 2 2" xfId="29870" xr:uid="{A4230E39-07C0-4B19-84DD-323CE6DB6A98}"/>
    <cellStyle name="20% - Énfasis2 26 2 2 2 2 2" xfId="35938" xr:uid="{8F9EE4AF-5DC1-423C-9BA3-9D949F8674AA}"/>
    <cellStyle name="20% - Énfasis2 26 2 2 2 3" xfId="35937" xr:uid="{0C2D4C42-0E20-413E-9252-03D56B2EBF4D}"/>
    <cellStyle name="20% - Énfasis2 26 2 2 3" xfId="22165" xr:uid="{078BFB24-FA9B-47B9-A6BB-16CD309DCF30}"/>
    <cellStyle name="20% - Énfasis2 26 2 2 3 2" xfId="35939" xr:uid="{55428066-9C38-43F0-AAF7-2E55541E618F}"/>
    <cellStyle name="20% - Énfasis2 26 2 2 4" xfId="35936" xr:uid="{B963FDD4-6FEB-4E45-B92B-CE60875501B9}"/>
    <cellStyle name="20% - Énfasis2 26 2 3" xfId="10729" xr:uid="{DCC73D28-8347-4D84-BF04-FDD8904C5229}"/>
    <cellStyle name="20% - Énfasis2 26 2 3 2" xfId="26142" xr:uid="{BDA283C6-3A3E-4903-8F45-31F2E8D9B9E5}"/>
    <cellStyle name="20% - Énfasis2 26 2 3 2 2" xfId="35941" xr:uid="{04679C34-67F1-4B5E-9081-F364E9C8FCAD}"/>
    <cellStyle name="20% - Énfasis2 26 2 3 3" xfId="35940" xr:uid="{8F925F66-7578-4BDD-8EFF-40129F1F99CF}"/>
    <cellStyle name="20% - Énfasis2 26 2 4" xfId="18437" xr:uid="{298D5A98-CAA4-42A0-82E6-EEF018B012BD}"/>
    <cellStyle name="20% - Énfasis2 26 2 4 2" xfId="35942" xr:uid="{4CDC0EF9-9621-4621-87BC-99CB1A25618C}"/>
    <cellStyle name="20% - Énfasis2 26 2 5" xfId="35935" xr:uid="{33D7E087-C860-4E67-813F-9A7E19662AD2}"/>
    <cellStyle name="20% - Énfasis2 26 3" xfId="5289" xr:uid="{FB5B25CD-E237-46A8-AE02-D139830332EF}"/>
    <cellStyle name="20% - Énfasis2 26 3 2" xfId="12997" xr:uid="{3907273F-D128-46E5-B115-6433FF2FC75A}"/>
    <cellStyle name="20% - Énfasis2 26 3 2 2" xfId="28409" xr:uid="{F2C0739F-E259-47AB-918C-1F424426B1FD}"/>
    <cellStyle name="20% - Énfasis2 26 3 2 2 2" xfId="35945" xr:uid="{0BC4E0CD-21A5-4AF3-A4BD-0982C9DC17C8}"/>
    <cellStyle name="20% - Énfasis2 26 3 2 3" xfId="35944" xr:uid="{F76BCA8F-9057-4F6B-A510-7C87BBDDF03A}"/>
    <cellStyle name="20% - Énfasis2 26 3 3" xfId="20704" xr:uid="{E2686623-0057-4BE2-8957-253CE9CD2584}"/>
    <cellStyle name="20% - Énfasis2 26 3 3 2" xfId="35946" xr:uid="{7029D8A2-662E-4AC9-B428-3CF33FA5D685}"/>
    <cellStyle name="20% - Énfasis2 26 3 4" xfId="35943" xr:uid="{46A6633C-632C-4993-B86F-E6D2BF4CCF95}"/>
    <cellStyle name="20% - Énfasis2 26 4" xfId="9270" xr:uid="{97FDE08D-0B16-45CD-BE6D-3AB74C4CB4E0}"/>
    <cellStyle name="20% - Énfasis2 26 4 2" xfId="24683" xr:uid="{B01B46AE-11FB-442F-A3B7-297E1B2853A2}"/>
    <cellStyle name="20% - Énfasis2 26 4 2 2" xfId="35948" xr:uid="{25BE54DF-7128-43B0-BE67-08118DBF2684}"/>
    <cellStyle name="20% - Énfasis2 26 4 3" xfId="35947" xr:uid="{639D872D-6A61-498A-AFB1-CB739B910304}"/>
    <cellStyle name="20% - Énfasis2 26 5" xfId="16978" xr:uid="{0A0A3424-7861-46C8-8CD3-B82B68DFF696}"/>
    <cellStyle name="20% - Énfasis2 26 5 2" xfId="35949" xr:uid="{D386F5E3-7936-4DB0-8A91-29ECF4705469}"/>
    <cellStyle name="20% - Énfasis2 26 6" xfId="35934" xr:uid="{1DCE4E8E-38A4-4012-A278-E7C3A316930C}"/>
    <cellStyle name="20% - Énfasis2 27" xfId="1573" xr:uid="{6839A819-3A1D-498C-900C-6597C5BD5539}"/>
    <cellStyle name="20% - Énfasis2 27 2" xfId="3038" xr:uid="{B426736D-FC10-48A9-89E5-1F5668D82C39}"/>
    <cellStyle name="20% - Énfasis2 27 2 2" xfId="6770" xr:uid="{BF6FE7DB-8E59-4BAA-846D-D485DBBB5BA6}"/>
    <cellStyle name="20% - Énfasis2 27 2 2 2" xfId="14478" xr:uid="{82DE171C-5BA5-4F57-BC15-CA88BFFF3B97}"/>
    <cellStyle name="20% - Énfasis2 27 2 2 2 2" xfId="29890" xr:uid="{B2668BD4-596D-422C-AB96-EED2D9B7DD26}"/>
    <cellStyle name="20% - Énfasis2 27 2 2 2 2 2" xfId="35954" xr:uid="{E1D79FBB-E774-4683-88B1-7147514766EF}"/>
    <cellStyle name="20% - Énfasis2 27 2 2 2 3" xfId="35953" xr:uid="{F5A429B4-D1E9-4A15-A196-6A4476F49DDC}"/>
    <cellStyle name="20% - Énfasis2 27 2 2 3" xfId="22185" xr:uid="{659D6850-9B39-482E-84AF-45D4015D1D59}"/>
    <cellStyle name="20% - Énfasis2 27 2 2 3 2" xfId="35955" xr:uid="{94E681FF-79F2-4D67-AF74-28FEC097AC39}"/>
    <cellStyle name="20% - Énfasis2 27 2 2 4" xfId="35952" xr:uid="{5C784E67-1E00-4045-9669-4CE43915BB58}"/>
    <cellStyle name="20% - Énfasis2 27 2 3" xfId="10749" xr:uid="{498AD95B-0BBA-4710-AF23-5EE8B96EA265}"/>
    <cellStyle name="20% - Énfasis2 27 2 3 2" xfId="26162" xr:uid="{864A2E2C-40C0-4577-978B-7259CC034EEE}"/>
    <cellStyle name="20% - Énfasis2 27 2 3 2 2" xfId="35957" xr:uid="{A78EBE53-F0CD-4163-A722-F849785E4D8D}"/>
    <cellStyle name="20% - Énfasis2 27 2 3 3" xfId="35956" xr:uid="{41334606-72FB-403B-90F2-13C4986D2FF1}"/>
    <cellStyle name="20% - Énfasis2 27 2 4" xfId="18457" xr:uid="{840BBFCF-8DC1-4C04-B425-333E66027931}"/>
    <cellStyle name="20% - Énfasis2 27 2 4 2" xfId="35958" xr:uid="{6860FFEF-722B-41C7-8594-B44590956D65}"/>
    <cellStyle name="20% - Énfasis2 27 2 5" xfId="35951" xr:uid="{AFBEBF6E-F570-4540-B48C-0F82DE811B0B}"/>
    <cellStyle name="20% - Énfasis2 27 3" xfId="5309" xr:uid="{1435003A-C031-484E-B66C-739CCB8040C2}"/>
    <cellStyle name="20% - Énfasis2 27 3 2" xfId="13017" xr:uid="{BB022914-9FB2-4A73-8756-2CCAD660CA50}"/>
    <cellStyle name="20% - Énfasis2 27 3 2 2" xfId="28429" xr:uid="{5EF1D22A-B02E-4464-AA4C-EF9CA90B7C67}"/>
    <cellStyle name="20% - Énfasis2 27 3 2 2 2" xfId="35961" xr:uid="{6A5C47FF-7E04-40D4-AA2D-B449FE3B1636}"/>
    <cellStyle name="20% - Énfasis2 27 3 2 3" xfId="35960" xr:uid="{D1E444AF-1082-4BA7-8022-F7753C6ED6B7}"/>
    <cellStyle name="20% - Énfasis2 27 3 3" xfId="20724" xr:uid="{30FED67E-9FD2-4E36-BB77-E722ADB4209A}"/>
    <cellStyle name="20% - Énfasis2 27 3 3 2" xfId="35962" xr:uid="{FA0B5B12-F866-4C9E-99B0-E22BFE97C770}"/>
    <cellStyle name="20% - Énfasis2 27 3 4" xfId="35959" xr:uid="{10D4538D-E12D-4268-802F-98837A6725DB}"/>
    <cellStyle name="20% - Énfasis2 27 4" xfId="9290" xr:uid="{7C20F125-5ACF-41C1-BB1F-F14382ED38C2}"/>
    <cellStyle name="20% - Énfasis2 27 4 2" xfId="24703" xr:uid="{B1C40396-3B3D-4F15-A7D9-88E56AD3BA40}"/>
    <cellStyle name="20% - Énfasis2 27 4 2 2" xfId="35964" xr:uid="{94B5362E-9B28-4E30-BCFF-8D8EF600B0E3}"/>
    <cellStyle name="20% - Énfasis2 27 4 3" xfId="35963" xr:uid="{9D64452F-AC93-43E4-9A80-D8060D10DBA5}"/>
    <cellStyle name="20% - Énfasis2 27 5" xfId="16998" xr:uid="{2E210FF5-90F0-4403-A2C9-7FE86B9273EE}"/>
    <cellStyle name="20% - Énfasis2 27 5 2" xfId="35965" xr:uid="{9AD72B99-DB0E-4565-B64C-A776841349D9}"/>
    <cellStyle name="20% - Énfasis2 27 6" xfId="35950" xr:uid="{712F789A-2E6F-48BF-93E9-84120F43E108}"/>
    <cellStyle name="20% - Énfasis2 28" xfId="1594" xr:uid="{F4AFF790-7F83-49C0-A55A-6A356D922E82}"/>
    <cellStyle name="20% - Énfasis2 28 2" xfId="3059" xr:uid="{427FBDF6-6C76-4D5C-BD41-FC5BD7D275FF}"/>
    <cellStyle name="20% - Énfasis2 28 2 2" xfId="6791" xr:uid="{622D69B9-1213-4DEB-BA18-0ABDC6787442}"/>
    <cellStyle name="20% - Énfasis2 28 2 2 2" xfId="14499" xr:uid="{497DF667-85B1-4C7C-93F7-A415513696F3}"/>
    <cellStyle name="20% - Énfasis2 28 2 2 2 2" xfId="29911" xr:uid="{85276299-D08B-4D21-8238-2384ED71CB66}"/>
    <cellStyle name="20% - Énfasis2 28 2 2 2 2 2" xfId="35970" xr:uid="{335B8772-BC8F-43DD-B575-222B08980869}"/>
    <cellStyle name="20% - Énfasis2 28 2 2 2 3" xfId="35969" xr:uid="{3E12E531-1860-4EB8-9A3B-2CB13819C643}"/>
    <cellStyle name="20% - Énfasis2 28 2 2 3" xfId="22206" xr:uid="{6805CA44-C26B-41A8-A8C3-0A96F27938A0}"/>
    <cellStyle name="20% - Énfasis2 28 2 2 3 2" xfId="35971" xr:uid="{6A82DAAD-8D4F-456F-83FA-A7694287B68A}"/>
    <cellStyle name="20% - Énfasis2 28 2 2 4" xfId="35968" xr:uid="{2C5DF240-6433-45F3-925A-B254033FF513}"/>
    <cellStyle name="20% - Énfasis2 28 2 3" xfId="10770" xr:uid="{3C596F12-FDD5-4661-862E-CFAB96298CF7}"/>
    <cellStyle name="20% - Énfasis2 28 2 3 2" xfId="26183" xr:uid="{B913EA26-2159-4956-AA6C-572BB1412A30}"/>
    <cellStyle name="20% - Énfasis2 28 2 3 2 2" xfId="35973" xr:uid="{52DFFB62-F4C0-4479-9955-156BB2B80D5E}"/>
    <cellStyle name="20% - Énfasis2 28 2 3 3" xfId="35972" xr:uid="{F54114BB-7BED-49F6-B5D5-F535F2710EF2}"/>
    <cellStyle name="20% - Énfasis2 28 2 4" xfId="18478" xr:uid="{C500D4E2-D61B-4236-8211-7455AEA24013}"/>
    <cellStyle name="20% - Énfasis2 28 2 4 2" xfId="35974" xr:uid="{2E252678-522E-46D4-BC5A-0CDC6D52A52B}"/>
    <cellStyle name="20% - Énfasis2 28 2 5" xfId="35967" xr:uid="{974A0F4C-7B37-4FA6-AE03-1E791B53B6C4}"/>
    <cellStyle name="20% - Énfasis2 28 3" xfId="5330" xr:uid="{B2D5EDEA-DD30-41A5-8BDB-DC203A45234B}"/>
    <cellStyle name="20% - Énfasis2 28 3 2" xfId="13038" xr:uid="{7C636C2F-0C30-4108-97AC-76A82F3236DB}"/>
    <cellStyle name="20% - Énfasis2 28 3 2 2" xfId="28450" xr:uid="{DBB36F40-2156-4AA2-87E6-791EA3843FAD}"/>
    <cellStyle name="20% - Énfasis2 28 3 2 2 2" xfId="35977" xr:uid="{3FDFF7D4-F842-4722-8D75-99680412ACD7}"/>
    <cellStyle name="20% - Énfasis2 28 3 2 3" xfId="35976" xr:uid="{98043549-3770-4BB9-A6E2-4D44FF9E3386}"/>
    <cellStyle name="20% - Énfasis2 28 3 3" xfId="20745" xr:uid="{9D7C1627-FD70-4D70-AD96-0A1E56C9766A}"/>
    <cellStyle name="20% - Énfasis2 28 3 3 2" xfId="35978" xr:uid="{B21410F0-572D-4BAC-A178-76889E84BED0}"/>
    <cellStyle name="20% - Énfasis2 28 3 4" xfId="35975" xr:uid="{F5ED4BCC-F0FA-4A5C-B028-AB0741614054}"/>
    <cellStyle name="20% - Énfasis2 28 4" xfId="9311" xr:uid="{CB88E2CB-E149-4869-B062-FADA9EF1B440}"/>
    <cellStyle name="20% - Énfasis2 28 4 2" xfId="24724" xr:uid="{CB16CBBD-F67D-4B26-98ED-A86BA680E6B7}"/>
    <cellStyle name="20% - Énfasis2 28 4 2 2" xfId="35980" xr:uid="{6A51F596-994D-4EAD-93C8-64C36835F3EE}"/>
    <cellStyle name="20% - Énfasis2 28 4 3" xfId="35979" xr:uid="{060E328E-2E2F-4E0C-8E93-1FCE9ADEFFA0}"/>
    <cellStyle name="20% - Énfasis2 28 5" xfId="17019" xr:uid="{AC61732D-5C9D-4D97-84C1-603EE6D08E62}"/>
    <cellStyle name="20% - Énfasis2 28 5 2" xfId="35981" xr:uid="{52E25B26-5C4C-43EC-A416-720C8317AF53}"/>
    <cellStyle name="20% - Énfasis2 28 6" xfId="35966" xr:uid="{C2F379DA-7C23-4DFA-A06A-A372B519A51D}"/>
    <cellStyle name="20% - Énfasis2 29" xfId="3079" xr:uid="{2DE47DC6-FE2B-4D83-A082-E6D0D33F98C0}"/>
    <cellStyle name="20% - Énfasis2 29 2" xfId="6811" xr:uid="{D54D6995-847F-4D0A-BC44-E086131F4E82}"/>
    <cellStyle name="20% - Énfasis2 29 2 2" xfId="14519" xr:uid="{84554636-F30E-466D-9DA3-B6CD266B526C}"/>
    <cellStyle name="20% - Énfasis2 29 2 2 2" xfId="29931" xr:uid="{F1502003-7AA9-422C-835B-811E2E669BF6}"/>
    <cellStyle name="20% - Énfasis2 29 2 2 2 2" xfId="35985" xr:uid="{2BBC9B15-5757-43A0-AE76-CB72942E39FD}"/>
    <cellStyle name="20% - Énfasis2 29 2 2 3" xfId="35984" xr:uid="{25EFB7B9-B5ED-4219-8026-52449D69E4B6}"/>
    <cellStyle name="20% - Énfasis2 29 2 3" xfId="22226" xr:uid="{DBC2628D-B8AB-41E6-8D75-BD7AEF917877}"/>
    <cellStyle name="20% - Énfasis2 29 2 3 2" xfId="35986" xr:uid="{C4D83FD3-502D-41C4-A5E4-BE5A5E57353C}"/>
    <cellStyle name="20% - Énfasis2 29 2 4" xfId="35983" xr:uid="{1976C554-685D-41D9-9749-73EE44670804}"/>
    <cellStyle name="20% - Énfasis2 29 3" xfId="10790" xr:uid="{0D63E1BC-CC12-4005-ACF1-4207DDF52C73}"/>
    <cellStyle name="20% - Énfasis2 29 3 2" xfId="26203" xr:uid="{1F433F2B-560E-4CC5-B5B4-BF142BA5A230}"/>
    <cellStyle name="20% - Énfasis2 29 3 2 2" xfId="35988" xr:uid="{F3087334-0C26-4682-A8D5-D2A8D40C2F9A}"/>
    <cellStyle name="20% - Énfasis2 29 3 3" xfId="35987" xr:uid="{944C5D45-73DE-48C5-B2E9-BDCBED29BE8D}"/>
    <cellStyle name="20% - Énfasis2 29 4" xfId="18498" xr:uid="{D7EC7BE2-9116-4B02-82F4-4A187F1B4B73}"/>
    <cellStyle name="20% - Énfasis2 29 4 2" xfId="35989" xr:uid="{698C4C01-0467-4190-8668-0E140BC7A2D9}"/>
    <cellStyle name="20% - Énfasis2 29 5" xfId="35982" xr:uid="{598D6D33-8F19-430F-A5F3-4737351E9545}"/>
    <cellStyle name="20% - Énfasis2 3" xfId="241" xr:uid="{1C4CCEFC-E535-4DF3-8C86-42A017C7304B}"/>
    <cellStyle name="20% - Énfasis2 3 2" xfId="443" xr:uid="{75FBF12E-6056-4476-8672-EC102EF43848}"/>
    <cellStyle name="20% - Énfasis2 3 2 2" xfId="1104" xr:uid="{294EE454-0410-42AB-9153-A8931B528F16}"/>
    <cellStyle name="20% - Énfasis2 3 2 2 2" xfId="2572" xr:uid="{9EDD9AD7-75E3-41FA-B6A4-741E854244A0}"/>
    <cellStyle name="20% - Énfasis2 3 2 2 2 2" xfId="6304" xr:uid="{CFF0540A-98BA-49C7-B7CB-F1EC3696E37B}"/>
    <cellStyle name="20% - Énfasis2 3 2 2 2 2 2" xfId="14012" xr:uid="{D7E9C3AA-5BD2-45E2-8410-15F1BD20996E}"/>
    <cellStyle name="20% - Énfasis2 3 2 2 2 2 2 2" xfId="29424" xr:uid="{7567DA29-6891-4C56-8EA4-BB41290FBF48}"/>
    <cellStyle name="20% - Énfasis2 3 2 2 2 2 2 2 2" xfId="35996" xr:uid="{215B0C22-6864-4079-85DB-F8456380DB97}"/>
    <cellStyle name="20% - Énfasis2 3 2 2 2 2 2 3" xfId="35995" xr:uid="{97AF0BDD-F49C-4F59-8A06-2192F1B011AD}"/>
    <cellStyle name="20% - Énfasis2 3 2 2 2 2 3" xfId="21719" xr:uid="{76B231EB-5668-496A-BBE3-D1C1285B6754}"/>
    <cellStyle name="20% - Énfasis2 3 2 2 2 2 3 2" xfId="35997" xr:uid="{5CF98AA6-0086-45DB-B369-74F2193A8138}"/>
    <cellStyle name="20% - Énfasis2 3 2 2 2 2 4" xfId="35994" xr:uid="{AB157519-7798-4969-81A0-9B8B4BFA3300}"/>
    <cellStyle name="20% - Énfasis2 3 2 2 2 3" xfId="10283" xr:uid="{85BE564F-07EA-4569-903E-C8D0FBE72A8D}"/>
    <cellStyle name="20% - Énfasis2 3 2 2 2 3 2" xfId="25696" xr:uid="{BDC29A88-310C-41D5-AD72-99FF6701C2FB}"/>
    <cellStyle name="20% - Énfasis2 3 2 2 2 3 2 2" xfId="35999" xr:uid="{F6DB91FC-966B-4461-98B5-4D6631BA4BA7}"/>
    <cellStyle name="20% - Énfasis2 3 2 2 2 3 3" xfId="35998" xr:uid="{B0044B6E-7850-42A2-81BD-BF73E6B06CEC}"/>
    <cellStyle name="20% - Énfasis2 3 2 2 2 4" xfId="17991" xr:uid="{C5741E03-8101-4D26-A081-60C4256D5E56}"/>
    <cellStyle name="20% - Énfasis2 3 2 2 2 4 2" xfId="36000" xr:uid="{B2851D32-45FD-46D2-826B-2FE2AB15FEEC}"/>
    <cellStyle name="20% - Énfasis2 3 2 2 2 5" xfId="35993" xr:uid="{1D86E0E4-C93D-4C08-B9C4-E693A29ED401}"/>
    <cellStyle name="20% - Énfasis2 3 2 2 3" xfId="4841" xr:uid="{D7C04778-9645-4944-840B-647DC5F16E55}"/>
    <cellStyle name="20% - Énfasis2 3 2 2 3 2" xfId="12549" xr:uid="{87FB4CB4-9219-42CF-892F-EC53973BF1C6}"/>
    <cellStyle name="20% - Énfasis2 3 2 2 3 2 2" xfId="27961" xr:uid="{DA0DEFF7-51BF-41AC-90CA-CA40F4657561}"/>
    <cellStyle name="20% - Énfasis2 3 2 2 3 2 2 2" xfId="36003" xr:uid="{523E4C42-9AF9-4878-A525-4A234343E378}"/>
    <cellStyle name="20% - Énfasis2 3 2 2 3 2 3" xfId="36002" xr:uid="{89402F51-0EC7-4A6D-8ECE-840B9D8488E0}"/>
    <cellStyle name="20% - Énfasis2 3 2 2 3 3" xfId="20256" xr:uid="{784583A0-C5A7-4738-A112-669C19BC698A}"/>
    <cellStyle name="20% - Énfasis2 3 2 2 3 3 2" xfId="36004" xr:uid="{08F72268-E326-47EF-89B0-EED8B28E70A2}"/>
    <cellStyle name="20% - Énfasis2 3 2 2 3 4" xfId="36001" xr:uid="{89CF8612-633F-450E-AF7C-FA0B65C5FDC2}"/>
    <cellStyle name="20% - Énfasis2 3 2 2 4" xfId="8824" xr:uid="{4CB4D990-36C9-4277-A8C2-1987E1CF7047}"/>
    <cellStyle name="20% - Énfasis2 3 2 2 4 2" xfId="24237" xr:uid="{EE11A442-B751-411B-A949-6856CE33262F}"/>
    <cellStyle name="20% - Énfasis2 3 2 2 4 2 2" xfId="36006" xr:uid="{30CD3136-F07D-4488-82FB-691A47A7E0F1}"/>
    <cellStyle name="20% - Énfasis2 3 2 2 4 3" xfId="36005" xr:uid="{AD73511B-5455-4A8B-92B9-AF86DEF3BFB3}"/>
    <cellStyle name="20% - Énfasis2 3 2 2 5" xfId="16532" xr:uid="{024FE952-4CCF-4BFC-8D7F-B537735CFB6D}"/>
    <cellStyle name="20% - Énfasis2 3 2 2 5 2" xfId="36007" xr:uid="{525E6A29-58C1-4F5D-9F72-5D031D8B4FE0}"/>
    <cellStyle name="20% - Énfasis2 3 2 2 6" xfId="35992" xr:uid="{38B14337-5149-488D-ABCF-E0C12B57B3C3}"/>
    <cellStyle name="20% - Énfasis2 3 2 3" xfId="1934" xr:uid="{EB6C129D-BC48-496D-8132-6D531C6B9A02}"/>
    <cellStyle name="20% - Énfasis2 3 2 3 2" xfId="5666" xr:uid="{81670C5A-0ACE-4AF2-BF06-5A8B2C7D05C5}"/>
    <cellStyle name="20% - Énfasis2 3 2 3 2 2" xfId="13374" xr:uid="{0E21522D-185E-4F08-8DFB-90C197AB641A}"/>
    <cellStyle name="20% - Énfasis2 3 2 3 2 2 2" xfId="28786" xr:uid="{5D2F182C-A1BC-404F-82AA-688B2BB82083}"/>
    <cellStyle name="20% - Énfasis2 3 2 3 2 2 2 2" xfId="36011" xr:uid="{9780E17E-F511-43DC-AD2E-9C60A4FE1384}"/>
    <cellStyle name="20% - Énfasis2 3 2 3 2 2 3" xfId="36010" xr:uid="{3ED6AD95-C4B9-4F05-9318-33CA7715F565}"/>
    <cellStyle name="20% - Énfasis2 3 2 3 2 3" xfId="21081" xr:uid="{9DABE52F-5B03-4F95-ACB4-1C0F506DFFD7}"/>
    <cellStyle name="20% - Énfasis2 3 2 3 2 3 2" xfId="36012" xr:uid="{F394AFA3-CA78-4E2D-B160-360890EE962C}"/>
    <cellStyle name="20% - Énfasis2 3 2 3 2 4" xfId="36009" xr:uid="{0E6735A6-2BFB-4B7C-A9F4-49F774022A87}"/>
    <cellStyle name="20% - Énfasis2 3 2 3 3" xfId="9645" xr:uid="{2EBEFC00-395A-4BA0-B74F-A6B127470D8A}"/>
    <cellStyle name="20% - Énfasis2 3 2 3 3 2" xfId="25058" xr:uid="{36D7F29F-8321-4146-A06B-9B8881C5AEE7}"/>
    <cellStyle name="20% - Énfasis2 3 2 3 3 2 2" xfId="36014" xr:uid="{A99B0FFC-2E29-4CBD-A708-9F28CF09688E}"/>
    <cellStyle name="20% - Énfasis2 3 2 3 3 3" xfId="36013" xr:uid="{77CF2CB6-EB66-4E7C-B71F-6E053D21AFAA}"/>
    <cellStyle name="20% - Énfasis2 3 2 3 4" xfId="17353" xr:uid="{D1A60A7B-3B93-4BE1-9134-EA9051637B04}"/>
    <cellStyle name="20% - Énfasis2 3 2 3 4 2" xfId="36015" xr:uid="{79CE6C8F-93C9-4C2F-83BE-C9908E3EAB24}"/>
    <cellStyle name="20% - Énfasis2 3 2 3 5" xfId="36008" xr:uid="{DE36FFF8-1164-41F6-83FC-34F7EA270EFC}"/>
    <cellStyle name="20% - Énfasis2 3 2 4" xfId="4189" xr:uid="{61C4DE1E-F800-43B1-A60C-19CAFBC4CD18}"/>
    <cellStyle name="20% - Énfasis2 3 2 4 2" xfId="11897" xr:uid="{FE84D42C-3910-4D1A-8E67-76DFCA1EC603}"/>
    <cellStyle name="20% - Énfasis2 3 2 4 2 2" xfId="27309" xr:uid="{8AAF2C70-F254-43AD-BC2C-25CEFDB1DCA6}"/>
    <cellStyle name="20% - Énfasis2 3 2 4 2 2 2" xfId="36018" xr:uid="{A87E6368-0C0B-4355-BFA9-2E1D45234D58}"/>
    <cellStyle name="20% - Énfasis2 3 2 4 2 3" xfId="36017" xr:uid="{442B0A65-CB86-40A6-95FA-71F773850356}"/>
    <cellStyle name="20% - Énfasis2 3 2 4 3" xfId="19604" xr:uid="{CEBB7EEA-424F-4039-92F1-3B3FA6324732}"/>
    <cellStyle name="20% - Énfasis2 3 2 4 3 2" xfId="36019" xr:uid="{29A0A92E-CF43-4C6A-A7D9-8CD901B02BEC}"/>
    <cellStyle name="20% - Énfasis2 3 2 4 4" xfId="36016" xr:uid="{4DFBF54E-D490-4B39-AE03-52F1FAA7F0D0}"/>
    <cellStyle name="20% - Énfasis2 3 2 5" xfId="8186" xr:uid="{6FC332F5-7795-40B2-AEB3-0FE174EF1720}"/>
    <cellStyle name="20% - Énfasis2 3 2 5 2" xfId="23599" xr:uid="{728C07AA-4644-407E-90BE-1FD123F47BBA}"/>
    <cellStyle name="20% - Énfasis2 3 2 5 2 2" xfId="36021" xr:uid="{34ADA3EC-A5A6-417E-881E-DDB0E26B6A48}"/>
    <cellStyle name="20% - Énfasis2 3 2 5 3" xfId="36020" xr:uid="{E7F31C89-1B7F-44E0-AE93-341883A4EAF8}"/>
    <cellStyle name="20% - Énfasis2 3 2 6" xfId="15894" xr:uid="{F3EF9C69-7A7E-42C6-AF34-E616238AA740}"/>
    <cellStyle name="20% - Énfasis2 3 2 6 2" xfId="36022" xr:uid="{AED1F7A3-AE6D-4AA2-A8C7-7272211503F9}"/>
    <cellStyle name="20% - Énfasis2 3 2 7" xfId="35991" xr:uid="{267D313D-5559-4200-94F3-38C727B0E51B}"/>
    <cellStyle name="20% - Énfasis2 3 3" xfId="904" xr:uid="{00293BE9-E01E-4E4D-B512-F8AD135871E1}"/>
    <cellStyle name="20% - Énfasis2 3 3 2" xfId="2374" xr:uid="{3A32928B-61BB-4872-990F-BA80EF89B634}"/>
    <cellStyle name="20% - Énfasis2 3 3 2 2" xfId="6106" xr:uid="{C613F0D1-03ED-441D-8EA5-41C53C344423}"/>
    <cellStyle name="20% - Énfasis2 3 3 2 2 2" xfId="13814" xr:uid="{A7F2BD3F-C398-46BC-91FC-21FF87006754}"/>
    <cellStyle name="20% - Énfasis2 3 3 2 2 2 2" xfId="29226" xr:uid="{B9CD992C-9EC7-4E8B-8919-D2683F957C67}"/>
    <cellStyle name="20% - Énfasis2 3 3 2 2 2 2 2" xfId="36027" xr:uid="{538A905F-2619-45CC-8C98-27864D16FFCB}"/>
    <cellStyle name="20% - Énfasis2 3 3 2 2 2 3" xfId="36026" xr:uid="{23A2D4E6-94A2-4DF7-895C-D4ED89820322}"/>
    <cellStyle name="20% - Énfasis2 3 3 2 2 3" xfId="21521" xr:uid="{33F19A50-9C44-4020-9214-FFF1594E4636}"/>
    <cellStyle name="20% - Énfasis2 3 3 2 2 3 2" xfId="36028" xr:uid="{B2B05045-1583-41AF-A927-91BD55AFB6FA}"/>
    <cellStyle name="20% - Énfasis2 3 3 2 2 4" xfId="36025" xr:uid="{EB9004D8-DFDF-44C2-8BE6-4B39174C12F1}"/>
    <cellStyle name="20% - Énfasis2 3 3 2 3" xfId="10085" xr:uid="{B99B902E-CA99-4AC6-B5A2-CCCD8E250B85}"/>
    <cellStyle name="20% - Énfasis2 3 3 2 3 2" xfId="25498" xr:uid="{EFAB7731-5FC3-4ABB-8D35-E3672D4DE84A}"/>
    <cellStyle name="20% - Énfasis2 3 3 2 3 2 2" xfId="36030" xr:uid="{B6F494A2-6E99-4E68-A039-5F0456179217}"/>
    <cellStyle name="20% - Énfasis2 3 3 2 3 3" xfId="36029" xr:uid="{772EC3A2-72E1-48E3-9D26-7E57E1E77663}"/>
    <cellStyle name="20% - Énfasis2 3 3 2 4" xfId="17793" xr:uid="{C0E4417E-A6B3-4684-B493-61E0046AD380}"/>
    <cellStyle name="20% - Énfasis2 3 3 2 4 2" xfId="36031" xr:uid="{F17798F6-38B4-4531-99FB-548A9BFF3634}"/>
    <cellStyle name="20% - Énfasis2 3 3 2 5" xfId="36024" xr:uid="{4C825F1D-F1FA-4B90-8BBD-330C6D65A230}"/>
    <cellStyle name="20% - Énfasis2 3 3 3" xfId="4641" xr:uid="{0EC65CEB-B9E2-4382-AEA3-D3CE567DEC87}"/>
    <cellStyle name="20% - Énfasis2 3 3 3 2" xfId="12349" xr:uid="{FCB22F0D-925F-4FD6-8751-3B4E4851D47A}"/>
    <cellStyle name="20% - Énfasis2 3 3 3 2 2" xfId="27761" xr:uid="{4CFE66D9-A886-435B-957B-B32D548825DF}"/>
    <cellStyle name="20% - Énfasis2 3 3 3 2 2 2" xfId="36034" xr:uid="{EC62A31D-A931-4464-897D-EAA659851702}"/>
    <cellStyle name="20% - Énfasis2 3 3 3 2 3" xfId="36033" xr:uid="{77618D05-6AC8-4E0A-AEFA-D3B2C10323D4}"/>
    <cellStyle name="20% - Énfasis2 3 3 3 3" xfId="20056" xr:uid="{F9CEC5C6-E00C-4F51-B105-4AE725636111}"/>
    <cellStyle name="20% - Énfasis2 3 3 3 3 2" xfId="36035" xr:uid="{D44524B4-1820-4693-AAA5-527CE154A5AA}"/>
    <cellStyle name="20% - Énfasis2 3 3 3 4" xfId="36032" xr:uid="{9FB1BE48-4B26-463F-9CDB-30442FA2BA03}"/>
    <cellStyle name="20% - Énfasis2 3 3 4" xfId="8626" xr:uid="{61B76A1B-3B69-4C10-B88D-BE7601C2257B}"/>
    <cellStyle name="20% - Énfasis2 3 3 4 2" xfId="24039" xr:uid="{F3856FD8-C601-4BE2-9746-4021188ED7C7}"/>
    <cellStyle name="20% - Énfasis2 3 3 4 2 2" xfId="36037" xr:uid="{E58F16D8-5CAE-4CFF-B53F-D9805286BD67}"/>
    <cellStyle name="20% - Énfasis2 3 3 4 3" xfId="36036" xr:uid="{E72E2C60-5143-4684-AC3A-C6E2597063D8}"/>
    <cellStyle name="20% - Énfasis2 3 3 5" xfId="16334" xr:uid="{C3A2CAEC-BFFD-4EC4-B72F-F765218B7EBE}"/>
    <cellStyle name="20% - Énfasis2 3 3 5 2" xfId="36038" xr:uid="{6216BD8D-6C8B-4096-B0CB-759738592EA6}"/>
    <cellStyle name="20% - Énfasis2 3 3 6" xfId="36023" xr:uid="{36211593-3958-4EA3-9C85-4E84E43E90FE}"/>
    <cellStyle name="20% - Énfasis2 3 4" xfId="1736" xr:uid="{B36C4437-5418-4A27-8267-21DA69EEC73B}"/>
    <cellStyle name="20% - Énfasis2 3 4 2" xfId="5468" xr:uid="{E2FC3BBA-9D97-4D91-9523-443D1CBB6F55}"/>
    <cellStyle name="20% - Énfasis2 3 4 2 2" xfId="13176" xr:uid="{7473AC13-4DA7-4E0E-ADB1-0394CCDBB9FC}"/>
    <cellStyle name="20% - Énfasis2 3 4 2 2 2" xfId="28588" xr:uid="{7B179BC0-79C9-4A88-B347-7869865C9A8D}"/>
    <cellStyle name="20% - Énfasis2 3 4 2 2 2 2" xfId="36042" xr:uid="{8D6999BB-FB7B-44F0-B765-F0353E3B21FB}"/>
    <cellStyle name="20% - Énfasis2 3 4 2 2 3" xfId="36041" xr:uid="{0C2F10F0-F872-4486-852C-F3E6FA2B7D4E}"/>
    <cellStyle name="20% - Énfasis2 3 4 2 3" xfId="20883" xr:uid="{9ACEA056-F547-4398-B4F6-DB41EDE0CB71}"/>
    <cellStyle name="20% - Énfasis2 3 4 2 3 2" xfId="36043" xr:uid="{0F82C365-0E10-4E2F-89EA-1E6BEA91C58F}"/>
    <cellStyle name="20% - Énfasis2 3 4 2 4" xfId="36040" xr:uid="{1A7CF8BE-5445-4FA9-974C-1FCC42DE81DA}"/>
    <cellStyle name="20% - Énfasis2 3 4 3" xfId="9447" xr:uid="{603ABA06-002D-4AE4-9868-AB91D177489A}"/>
    <cellStyle name="20% - Énfasis2 3 4 3 2" xfId="24860" xr:uid="{39080FDF-E075-4913-9712-9CC5F2B7A7E8}"/>
    <cellStyle name="20% - Énfasis2 3 4 3 2 2" xfId="36045" xr:uid="{0BD1E52D-8ACD-47CF-9BD0-3812DAF6183E}"/>
    <cellStyle name="20% - Énfasis2 3 4 3 3" xfId="36044" xr:uid="{01A135A1-5564-48CF-85EE-06E8BC75F747}"/>
    <cellStyle name="20% - Énfasis2 3 4 4" xfId="17155" xr:uid="{A2489B35-49CF-4B0E-9C35-DB800A6F37C8}"/>
    <cellStyle name="20% - Énfasis2 3 4 4 2" xfId="36046" xr:uid="{A290DCEF-993E-4F24-A588-CC02E6BA0DA8}"/>
    <cellStyle name="20% - Énfasis2 3 4 5" xfId="36039" xr:uid="{30BB4174-D562-48CF-A3F1-8F551ECACF7D}"/>
    <cellStyle name="20% - Énfasis2 3 5" xfId="3989" xr:uid="{C3093D0C-94E3-4D0A-A7FE-7CC44224C3C6}"/>
    <cellStyle name="20% - Énfasis2 3 5 2" xfId="11697" xr:uid="{4626C3EA-2DE6-4B87-A938-740A24F86301}"/>
    <cellStyle name="20% - Énfasis2 3 5 2 2" xfId="27109" xr:uid="{520F4BF0-6784-402D-B4D3-28A10DC719DB}"/>
    <cellStyle name="20% - Énfasis2 3 5 2 2 2" xfId="36049" xr:uid="{C8CA1BE4-155D-4D6B-A9FF-57C007C17222}"/>
    <cellStyle name="20% - Énfasis2 3 5 2 3" xfId="36048" xr:uid="{4F26C0B7-7FA9-4592-A7ED-AD8A5108A5EE}"/>
    <cellStyle name="20% - Énfasis2 3 5 3" xfId="19404" xr:uid="{4B465EC7-7D37-42E0-A0D4-89AE62D4E352}"/>
    <cellStyle name="20% - Énfasis2 3 5 3 2" xfId="36050" xr:uid="{E1713272-1F9D-43C4-9DC7-FEF01BA5E784}"/>
    <cellStyle name="20% - Énfasis2 3 5 4" xfId="36047" xr:uid="{0287C587-EA90-45D5-B99A-431112DF14ED}"/>
    <cellStyle name="20% - Énfasis2 3 6" xfId="7988" xr:uid="{D00A4BC1-D757-4470-9852-F2ECCC88770F}"/>
    <cellStyle name="20% - Énfasis2 3 6 2" xfId="23401" xr:uid="{A1FFECA5-449D-444B-9D5C-04F35CD8A2FF}"/>
    <cellStyle name="20% - Énfasis2 3 6 2 2" xfId="36052" xr:uid="{98D5160E-8690-418E-B8DC-B1D6B005B69B}"/>
    <cellStyle name="20% - Énfasis2 3 6 3" xfId="36051" xr:uid="{76ED4137-4BC8-4647-A70A-E7057A87A2D3}"/>
    <cellStyle name="20% - Énfasis2 3 7" xfId="15696" xr:uid="{03D16FCF-2BCE-4DA9-AC76-D60218744AD5}"/>
    <cellStyle name="20% - Énfasis2 3 7 2" xfId="36053" xr:uid="{96675810-A2FF-43EC-8CF9-C5C1FAC15592}"/>
    <cellStyle name="20% - Énfasis2 3 8" xfId="35990" xr:uid="{B6DC200B-B107-41B4-81D7-AEFF68F62A57}"/>
    <cellStyle name="20% - Énfasis2 30" xfId="3099" xr:uid="{EF871035-03AB-4A71-A319-26830D6C2F55}"/>
    <cellStyle name="20% - Énfasis2 30 2" xfId="6831" xr:uid="{FB4C2A8E-E0F3-475B-A323-1B770CD18F12}"/>
    <cellStyle name="20% - Énfasis2 30 2 2" xfId="14539" xr:uid="{7E1438EA-6C3E-4FEB-B4B7-628D6C098B5A}"/>
    <cellStyle name="20% - Énfasis2 30 2 2 2" xfId="29951" xr:uid="{E9934CBE-22B7-4992-910B-D2F0250D802A}"/>
    <cellStyle name="20% - Énfasis2 30 2 2 2 2" xfId="36057" xr:uid="{6CA103EB-3E48-4035-9777-A59B1EFAE89C}"/>
    <cellStyle name="20% - Énfasis2 30 2 2 3" xfId="36056" xr:uid="{25DB717E-FB0D-4640-8CBE-2ED1420EBF30}"/>
    <cellStyle name="20% - Énfasis2 30 2 3" xfId="22246" xr:uid="{0E5CED1C-992F-4C5B-B32B-DB8A7B0A47C6}"/>
    <cellStyle name="20% - Énfasis2 30 2 3 2" xfId="36058" xr:uid="{3B162117-77CA-4B35-89A9-12C5C2565587}"/>
    <cellStyle name="20% - Énfasis2 30 2 4" xfId="36055" xr:uid="{E6E94562-33E2-4FE7-BC18-C841CBF089E9}"/>
    <cellStyle name="20% - Énfasis2 30 3" xfId="10810" xr:uid="{96FC115E-03BF-42C8-8AF3-9B7B107EB437}"/>
    <cellStyle name="20% - Énfasis2 30 3 2" xfId="26223" xr:uid="{B1F74ECF-073B-4AB9-A00B-A3D37EFB5D38}"/>
    <cellStyle name="20% - Énfasis2 30 3 2 2" xfId="36060" xr:uid="{CBAC7042-C0CD-43D8-93D7-97B46A512997}"/>
    <cellStyle name="20% - Énfasis2 30 3 3" xfId="36059" xr:uid="{21B57C7D-670E-4718-9B4D-931F04DD1242}"/>
    <cellStyle name="20% - Énfasis2 30 4" xfId="18518" xr:uid="{16770AF5-77B5-4661-837D-7ABA1CF2DA27}"/>
    <cellStyle name="20% - Énfasis2 30 4 2" xfId="36061" xr:uid="{C5CC3974-36C3-4802-86DC-A6744EB67865}"/>
    <cellStyle name="20% - Énfasis2 30 5" xfId="36054" xr:uid="{81DE7811-0F7E-41EB-87EA-5C4F96928614}"/>
    <cellStyle name="20% - Énfasis2 31" xfId="3119" xr:uid="{222D72D2-00DE-4039-BF74-58AE68C02024}"/>
    <cellStyle name="20% - Énfasis2 31 2" xfId="6851" xr:uid="{95DFD73B-923D-45E0-A602-1732565B8A99}"/>
    <cellStyle name="20% - Énfasis2 31 2 2" xfId="14559" xr:uid="{AF6F1C45-BB4A-4BD2-8400-A17FDF1E95BF}"/>
    <cellStyle name="20% - Énfasis2 31 2 2 2" xfId="29971" xr:uid="{4EFF4D91-08D6-4108-BED0-D9E2E75A77F5}"/>
    <cellStyle name="20% - Énfasis2 31 2 2 2 2" xfId="36065" xr:uid="{4A58389C-7F1C-4B79-A7BA-DAE86E20E54B}"/>
    <cellStyle name="20% - Énfasis2 31 2 2 3" xfId="36064" xr:uid="{97A59EED-6C2F-4A38-A2CE-5589A924ADED}"/>
    <cellStyle name="20% - Énfasis2 31 2 3" xfId="22266" xr:uid="{77136D6D-8A86-4BE3-AE77-946843C81F79}"/>
    <cellStyle name="20% - Énfasis2 31 2 3 2" xfId="36066" xr:uid="{A2457A0E-12D9-4D40-A91A-9E47F7C83C09}"/>
    <cellStyle name="20% - Énfasis2 31 2 4" xfId="36063" xr:uid="{94D79B6F-75E1-4DA6-8F2A-75BD5D4EB3CF}"/>
    <cellStyle name="20% - Énfasis2 31 3" xfId="10830" xr:uid="{CAF7D21C-557D-4F62-8D24-52B7933276FA}"/>
    <cellStyle name="20% - Énfasis2 31 3 2" xfId="26243" xr:uid="{46B0F488-7A31-4515-8A41-B92336011325}"/>
    <cellStyle name="20% - Énfasis2 31 3 2 2" xfId="36068" xr:uid="{9CD9A344-448C-45B6-92DD-097E233A2FD9}"/>
    <cellStyle name="20% - Énfasis2 31 3 3" xfId="36067" xr:uid="{2AE288DB-048E-4226-85AD-4CF4FD72B6B2}"/>
    <cellStyle name="20% - Énfasis2 31 4" xfId="18538" xr:uid="{B0DF0956-A1FD-4B48-B62A-63F367A0298B}"/>
    <cellStyle name="20% - Énfasis2 31 4 2" xfId="36069" xr:uid="{4361E1DF-859D-4D93-B065-7BB69F198A11}"/>
    <cellStyle name="20% - Énfasis2 31 5" xfId="36062" xr:uid="{19BFFC67-D148-46AC-93EA-8A4E83D9EA95}"/>
    <cellStyle name="20% - Énfasis2 32" xfId="3139" xr:uid="{6FF19239-3621-44F0-9CAF-AEA868792111}"/>
    <cellStyle name="20% - Énfasis2 32 2" xfId="6871" xr:uid="{C797FCC8-704F-41BC-8677-EF80CBD5357E}"/>
    <cellStyle name="20% - Énfasis2 32 2 2" xfId="14579" xr:uid="{454762AD-1998-44A4-96FC-5C13F3291923}"/>
    <cellStyle name="20% - Énfasis2 32 2 2 2" xfId="29991" xr:uid="{604E1439-447F-4A0A-9C48-6276A5BA4190}"/>
    <cellStyle name="20% - Énfasis2 32 2 2 2 2" xfId="36073" xr:uid="{57E04D30-B7BE-4B30-8951-9C343E50E88F}"/>
    <cellStyle name="20% - Énfasis2 32 2 2 3" xfId="36072" xr:uid="{D18401E2-8FF9-4B04-8EBA-F4DEADF858F0}"/>
    <cellStyle name="20% - Énfasis2 32 2 3" xfId="22286" xr:uid="{3256356B-BA11-469E-9D8D-01990F9AF4C9}"/>
    <cellStyle name="20% - Énfasis2 32 2 3 2" xfId="36074" xr:uid="{71E005E2-0B30-4BCB-A800-BBA298FD0A0F}"/>
    <cellStyle name="20% - Énfasis2 32 2 4" xfId="36071" xr:uid="{E5F9AD2C-1207-4691-A1D5-7807B60001B8}"/>
    <cellStyle name="20% - Énfasis2 32 3" xfId="10850" xr:uid="{7CE492AD-D1CB-42D3-9E05-435D130FC396}"/>
    <cellStyle name="20% - Énfasis2 32 3 2" xfId="26263" xr:uid="{10EED019-1447-44D3-BF6E-AF6F46DB8347}"/>
    <cellStyle name="20% - Énfasis2 32 3 2 2" xfId="36076" xr:uid="{5EA10D5C-4D8C-49D0-999B-5AA0FA41CADB}"/>
    <cellStyle name="20% - Énfasis2 32 3 3" xfId="36075" xr:uid="{EB0B3C48-0B98-45B6-899A-7EFA20EA22F3}"/>
    <cellStyle name="20% - Énfasis2 32 4" xfId="18558" xr:uid="{7126BBB4-61D7-40DB-8A1A-BBF2F9FC430E}"/>
    <cellStyle name="20% - Énfasis2 32 4 2" xfId="36077" xr:uid="{17A54BE6-64CE-42DD-891C-F10C282F9EE3}"/>
    <cellStyle name="20% - Énfasis2 32 5" xfId="36070" xr:uid="{2FC826EB-27AC-4ABB-B0F0-EDB03919B8A7}"/>
    <cellStyle name="20% - Énfasis2 33" xfId="3159" xr:uid="{EE3537D9-3CA4-47FB-9EA3-214602BF3463}"/>
    <cellStyle name="20% - Énfasis2 33 2" xfId="6891" xr:uid="{DFCBA8B6-18E7-4E90-8FAB-C9845170A4F8}"/>
    <cellStyle name="20% - Énfasis2 33 2 2" xfId="14599" xr:uid="{4892D1F2-99B9-4CD2-90CA-99D6912319EB}"/>
    <cellStyle name="20% - Énfasis2 33 2 2 2" xfId="30011" xr:uid="{D828CF8B-FB4F-472E-892F-3BD65C24AB92}"/>
    <cellStyle name="20% - Énfasis2 33 2 2 2 2" xfId="36081" xr:uid="{DCA95721-F33A-41D2-ABE2-22D961AABA39}"/>
    <cellStyle name="20% - Énfasis2 33 2 2 3" xfId="36080" xr:uid="{6EA4C84E-C41C-4DCF-9B47-BF9E98C188AB}"/>
    <cellStyle name="20% - Énfasis2 33 2 3" xfId="22306" xr:uid="{D4B26C43-A703-48A5-97AE-4CD0C9987E89}"/>
    <cellStyle name="20% - Énfasis2 33 2 3 2" xfId="36082" xr:uid="{A7A07388-1436-4325-8AF2-28BB657D1615}"/>
    <cellStyle name="20% - Énfasis2 33 2 4" xfId="36079" xr:uid="{2E2E042F-3F7C-4398-8D4C-7AB8D4B4E115}"/>
    <cellStyle name="20% - Énfasis2 33 3" xfId="10870" xr:uid="{5CA0186A-1A7D-4699-8FD9-66990AF08377}"/>
    <cellStyle name="20% - Énfasis2 33 3 2" xfId="26283" xr:uid="{D66BF2D5-F6A2-47FE-B2FB-4096BF81F504}"/>
    <cellStyle name="20% - Énfasis2 33 3 2 2" xfId="36084" xr:uid="{0C5A11B7-96CD-4D5B-AF10-ACEC93971C01}"/>
    <cellStyle name="20% - Énfasis2 33 3 3" xfId="36083" xr:uid="{7D377852-A4D9-450E-A293-E6E1A73F5A5B}"/>
    <cellStyle name="20% - Énfasis2 33 4" xfId="18578" xr:uid="{50316CB0-FA50-4BE4-B7F9-79BF67F15F0F}"/>
    <cellStyle name="20% - Énfasis2 33 4 2" xfId="36085" xr:uid="{2E20D951-A615-4928-B4D9-14E15D21DD57}"/>
    <cellStyle name="20% - Énfasis2 33 5" xfId="36078" xr:uid="{772FDC2B-F8D3-4D5F-BF9D-81D3D3C01405}"/>
    <cellStyle name="20% - Énfasis2 34" xfId="3179" xr:uid="{4DD61C8C-1768-4036-8261-96B655E6E02A}"/>
    <cellStyle name="20% - Énfasis2 34 2" xfId="6911" xr:uid="{13D9881E-6D1D-4A11-B89C-B24570B11E78}"/>
    <cellStyle name="20% - Énfasis2 34 2 2" xfId="14619" xr:uid="{A64FD3EB-3EF7-48F3-8002-D527B67FB153}"/>
    <cellStyle name="20% - Énfasis2 34 2 2 2" xfId="30031" xr:uid="{952A4B91-9CDA-4447-B256-FE2E2D04DC92}"/>
    <cellStyle name="20% - Énfasis2 34 2 2 2 2" xfId="36089" xr:uid="{4FB508CC-1E4B-40EF-BDA0-07DCA364F27F}"/>
    <cellStyle name="20% - Énfasis2 34 2 2 3" xfId="36088" xr:uid="{BD81ABC4-6D4C-4159-B000-C600826800A5}"/>
    <cellStyle name="20% - Énfasis2 34 2 3" xfId="22326" xr:uid="{D9882542-8D68-468F-B2D5-EF0DC3D94614}"/>
    <cellStyle name="20% - Énfasis2 34 2 3 2" xfId="36090" xr:uid="{1A8D93C0-F210-4AFD-B1EF-FCC84AE10348}"/>
    <cellStyle name="20% - Énfasis2 34 2 4" xfId="36087" xr:uid="{EC584C04-899B-406B-9D39-5B42ED4D0A68}"/>
    <cellStyle name="20% - Énfasis2 34 3" xfId="10890" xr:uid="{DB0D8DDD-919F-4267-81D0-A2D1290FE3CC}"/>
    <cellStyle name="20% - Énfasis2 34 3 2" xfId="26303" xr:uid="{EBA5D95E-0218-47DF-B8D0-F1B53B2CB1AD}"/>
    <cellStyle name="20% - Énfasis2 34 3 2 2" xfId="36092" xr:uid="{DFC4D202-AB54-4D63-8B55-55D17C06D423}"/>
    <cellStyle name="20% - Énfasis2 34 3 3" xfId="36091" xr:uid="{80F5DEDD-388A-4D97-A03C-179F1F8A5F7E}"/>
    <cellStyle name="20% - Énfasis2 34 4" xfId="18598" xr:uid="{EFD2D16D-2BA3-40F4-9347-E748FDC83C6A}"/>
    <cellStyle name="20% - Énfasis2 34 4 2" xfId="36093" xr:uid="{030C55EF-ADF6-40F7-85D1-92E7602588A9}"/>
    <cellStyle name="20% - Énfasis2 34 5" xfId="36086" xr:uid="{84C47695-4143-451C-B450-582E0CDE429E}"/>
    <cellStyle name="20% - Énfasis2 35" xfId="3199" xr:uid="{79BD3365-D34C-402A-8EAD-7A9D049ED5E7}"/>
    <cellStyle name="20% - Énfasis2 35 2" xfId="6931" xr:uid="{AC9A51E3-0780-4E7F-9821-BC69A1CD7015}"/>
    <cellStyle name="20% - Énfasis2 35 2 2" xfId="14639" xr:uid="{3693D6FD-BC11-488C-AC8A-B610E0ACE108}"/>
    <cellStyle name="20% - Énfasis2 35 2 2 2" xfId="30051" xr:uid="{E1BC5564-943F-4EBF-B551-3BA82BF3A02F}"/>
    <cellStyle name="20% - Énfasis2 35 2 2 2 2" xfId="36097" xr:uid="{0EC1BCF7-2A42-45A6-BC84-1AC1894E1384}"/>
    <cellStyle name="20% - Énfasis2 35 2 2 3" xfId="36096" xr:uid="{EB1F885D-5AFA-4DBB-8FCD-C5B4F4429FE8}"/>
    <cellStyle name="20% - Énfasis2 35 2 3" xfId="22346" xr:uid="{F002EB6B-C9CF-4F84-9F37-6850C317FAA1}"/>
    <cellStyle name="20% - Énfasis2 35 2 3 2" xfId="36098" xr:uid="{7AFB91C4-9C62-4F97-9034-0CA742920822}"/>
    <cellStyle name="20% - Énfasis2 35 2 4" xfId="36095" xr:uid="{A9F7CFF4-3957-44CC-9CAF-7F25EC2414FB}"/>
    <cellStyle name="20% - Énfasis2 35 3" xfId="10910" xr:uid="{5B60E783-2997-4B5E-A3B5-2A25902D769F}"/>
    <cellStyle name="20% - Énfasis2 35 3 2" xfId="26323" xr:uid="{5C1BAC3E-5C16-43DB-802C-AA9935CEF558}"/>
    <cellStyle name="20% - Énfasis2 35 3 2 2" xfId="36100" xr:uid="{4E4F004B-D1B2-48B1-BFC3-0A61E81DB269}"/>
    <cellStyle name="20% - Énfasis2 35 3 3" xfId="36099" xr:uid="{D19413C8-0257-4641-85C9-211988F020C2}"/>
    <cellStyle name="20% - Énfasis2 35 4" xfId="18618" xr:uid="{FF4446A3-E04B-4779-A2E8-7EF1A0C4BB75}"/>
    <cellStyle name="20% - Énfasis2 35 4 2" xfId="36101" xr:uid="{B4338940-1DCB-4F33-9EFD-CC86348563CA}"/>
    <cellStyle name="20% - Énfasis2 35 5" xfId="36094" xr:uid="{B406CA62-D4BF-464C-AAB0-1D79A7617498}"/>
    <cellStyle name="20% - Énfasis2 36" xfId="3219" xr:uid="{FD3F5797-AFC5-4F49-9D0E-5A64C3297EAE}"/>
    <cellStyle name="20% - Énfasis2 36 2" xfId="6951" xr:uid="{B1A16A13-76AE-476F-BF53-7F180A2A107D}"/>
    <cellStyle name="20% - Énfasis2 36 2 2" xfId="14659" xr:uid="{842FE97A-084B-4C3C-A5B9-F71C2FD6DF90}"/>
    <cellStyle name="20% - Énfasis2 36 2 2 2" xfId="30071" xr:uid="{C695E2E1-7F8E-49C6-8978-973C58002782}"/>
    <cellStyle name="20% - Énfasis2 36 2 2 2 2" xfId="36105" xr:uid="{69C03DDC-1C61-46F6-8386-2821B2605D50}"/>
    <cellStyle name="20% - Énfasis2 36 2 2 3" xfId="36104" xr:uid="{8BFDAC83-4B50-499E-AAEA-630CC35CB3C7}"/>
    <cellStyle name="20% - Énfasis2 36 2 3" xfId="22366" xr:uid="{E17A7A4F-8688-4613-882C-1197B030CD30}"/>
    <cellStyle name="20% - Énfasis2 36 2 3 2" xfId="36106" xr:uid="{8FC62FB2-9AD8-4BEE-B3DE-E205AF430646}"/>
    <cellStyle name="20% - Énfasis2 36 2 4" xfId="36103" xr:uid="{FD96FA5B-4590-441B-A422-0A55A8C2EF3F}"/>
    <cellStyle name="20% - Énfasis2 36 3" xfId="10930" xr:uid="{D0EA5B7A-7E8F-44C2-8DE4-F14BA393CB05}"/>
    <cellStyle name="20% - Énfasis2 36 3 2" xfId="26343" xr:uid="{94B194C5-22FB-4B0D-BD9E-D5D33B0ABC64}"/>
    <cellStyle name="20% - Énfasis2 36 3 2 2" xfId="36108" xr:uid="{8CD1299A-62F6-4E2A-B445-EC948D21E34F}"/>
    <cellStyle name="20% - Énfasis2 36 3 3" xfId="36107" xr:uid="{9828EB04-CE90-4D8F-94E5-BF00CB0436A7}"/>
    <cellStyle name="20% - Énfasis2 36 4" xfId="18638" xr:uid="{DD67A0F1-467F-449E-ADB1-8811B883AEA4}"/>
    <cellStyle name="20% - Énfasis2 36 4 2" xfId="36109" xr:uid="{C05DBEC3-EF2B-4E5E-A310-BEDB9053B2E7}"/>
    <cellStyle name="20% - Énfasis2 36 5" xfId="36102" xr:uid="{A14DB902-5CCA-4DD9-8FDB-4E2E4239DEA4}"/>
    <cellStyle name="20% - Énfasis2 37" xfId="3239" xr:uid="{A99C5A46-AF6C-4CB3-B5DC-5E4F14950B98}"/>
    <cellStyle name="20% - Énfasis2 37 2" xfId="6971" xr:uid="{FEDB12D3-B975-4663-8ADE-30C518A3145E}"/>
    <cellStyle name="20% - Énfasis2 37 2 2" xfId="14679" xr:uid="{FAD43E65-C5F4-4C9B-BD43-DCA8139A57CD}"/>
    <cellStyle name="20% - Énfasis2 37 2 2 2" xfId="30091" xr:uid="{989EA48A-DD66-4DE0-9F6E-21941C2900A6}"/>
    <cellStyle name="20% - Énfasis2 37 2 2 2 2" xfId="36113" xr:uid="{5DDB2DEB-74F0-4063-9454-E45EBA580070}"/>
    <cellStyle name="20% - Énfasis2 37 2 2 3" xfId="36112" xr:uid="{9C8A23ED-2CB0-4BB6-8FFF-285C03D02E5C}"/>
    <cellStyle name="20% - Énfasis2 37 2 3" xfId="22386" xr:uid="{19382BA6-63B6-474F-BF87-94D917E1E636}"/>
    <cellStyle name="20% - Énfasis2 37 2 3 2" xfId="36114" xr:uid="{C7D0DC5A-4394-487C-9D33-F7E7A17351D9}"/>
    <cellStyle name="20% - Énfasis2 37 2 4" xfId="36111" xr:uid="{E113717B-FF5C-490E-848D-881B74F7F3DF}"/>
    <cellStyle name="20% - Énfasis2 37 3" xfId="10950" xr:uid="{12894F5E-2687-4F9C-9F51-B07521849F58}"/>
    <cellStyle name="20% - Énfasis2 37 3 2" xfId="26363" xr:uid="{BCC320D9-D88F-4029-8682-43F4934BA3B4}"/>
    <cellStyle name="20% - Énfasis2 37 3 2 2" xfId="36116" xr:uid="{0428B744-B62C-4279-9741-2461044B2E0A}"/>
    <cellStyle name="20% - Énfasis2 37 3 3" xfId="36115" xr:uid="{8D5CD143-F109-4383-ADA2-B3949BFD49BD}"/>
    <cellStyle name="20% - Énfasis2 37 4" xfId="18658" xr:uid="{8C21270D-8E2D-4D72-9506-9B70CB90B9C4}"/>
    <cellStyle name="20% - Énfasis2 37 4 2" xfId="36117" xr:uid="{D32EA32F-7231-4584-AEFF-61292D3E171E}"/>
    <cellStyle name="20% - Énfasis2 37 5" xfId="36110" xr:uid="{A21B6A3C-A589-4E69-9BC1-D11171598ECD}"/>
    <cellStyle name="20% - Énfasis2 38" xfId="3259" xr:uid="{7CA9F7C6-A8D0-4D1E-86DC-006D5A07B016}"/>
    <cellStyle name="20% - Énfasis2 38 2" xfId="6991" xr:uid="{F44604AF-0997-4AA2-87FB-DC602C0EE7DC}"/>
    <cellStyle name="20% - Énfasis2 38 2 2" xfId="14699" xr:uid="{7C371809-4EFC-4808-9974-EC602A3064CA}"/>
    <cellStyle name="20% - Énfasis2 38 2 2 2" xfId="30111" xr:uid="{D0D896B0-C689-43D8-8485-78A228A8C8EF}"/>
    <cellStyle name="20% - Énfasis2 38 2 2 2 2" xfId="36121" xr:uid="{F89ECD9F-97E0-4D35-8476-204D765FA9FA}"/>
    <cellStyle name="20% - Énfasis2 38 2 2 3" xfId="36120" xr:uid="{C05512C2-6097-4AFA-A03D-C67DACA9E153}"/>
    <cellStyle name="20% - Énfasis2 38 2 3" xfId="22406" xr:uid="{8C9DA57B-8366-4E93-8596-AB5E282C3DFD}"/>
    <cellStyle name="20% - Énfasis2 38 2 3 2" xfId="36122" xr:uid="{05B72E8A-4762-4196-9AB6-6DCD931E780C}"/>
    <cellStyle name="20% - Énfasis2 38 2 4" xfId="36119" xr:uid="{729B6BC4-734A-43AD-B383-99AE218EF056}"/>
    <cellStyle name="20% - Énfasis2 38 3" xfId="10970" xr:uid="{F76D538C-F581-49ED-99D2-DAEDCD21FDF3}"/>
    <cellStyle name="20% - Énfasis2 38 3 2" xfId="26383" xr:uid="{D1AB2D5B-4FFE-43C1-AB9B-B12689569F66}"/>
    <cellStyle name="20% - Énfasis2 38 3 2 2" xfId="36124" xr:uid="{FEFAAC8F-F4F4-4580-8A69-134D66E39F46}"/>
    <cellStyle name="20% - Énfasis2 38 3 3" xfId="36123" xr:uid="{81905B07-940F-4B07-AADF-0DBE8D530B51}"/>
    <cellStyle name="20% - Énfasis2 38 4" xfId="18678" xr:uid="{A371EF0B-D0AE-447A-9441-A2C593C0E864}"/>
    <cellStyle name="20% - Énfasis2 38 4 2" xfId="36125" xr:uid="{5B544B43-5645-471C-BEFB-722F6C008E33}"/>
    <cellStyle name="20% - Énfasis2 38 5" xfId="36118" xr:uid="{EBB8E53F-4075-4EE3-855F-1B73DE6A2B4C}"/>
    <cellStyle name="20% - Énfasis2 39" xfId="3279" xr:uid="{4C084AD9-95DC-4602-A532-767C78B81B8D}"/>
    <cellStyle name="20% - Énfasis2 39 2" xfId="7011" xr:uid="{40A3D78F-CC9F-434C-BD59-316D4FA741CA}"/>
    <cellStyle name="20% - Énfasis2 39 2 2" xfId="14719" xr:uid="{151C151A-CFF2-4EE2-AC99-78DECD408D6F}"/>
    <cellStyle name="20% - Énfasis2 39 2 2 2" xfId="30131" xr:uid="{66F8C8CD-C80F-45A3-A934-C5C62731AA5F}"/>
    <cellStyle name="20% - Énfasis2 39 2 2 2 2" xfId="36129" xr:uid="{9DFF1A91-D988-42C4-A029-4A7FAE40BB36}"/>
    <cellStyle name="20% - Énfasis2 39 2 2 3" xfId="36128" xr:uid="{31400D72-5F60-4D50-9713-E1737BA85106}"/>
    <cellStyle name="20% - Énfasis2 39 2 3" xfId="22426" xr:uid="{CD123087-D151-43E1-A342-44EF75F75DF3}"/>
    <cellStyle name="20% - Énfasis2 39 2 3 2" xfId="36130" xr:uid="{E16102BA-15E2-4B26-B4EB-05C21D15816E}"/>
    <cellStyle name="20% - Énfasis2 39 2 4" xfId="36127" xr:uid="{8E2F54F4-142C-430C-8324-14EB30217558}"/>
    <cellStyle name="20% - Énfasis2 39 3" xfId="10990" xr:uid="{5178BEC5-BE73-4E7C-AF6B-8B6BF2B4BEE5}"/>
    <cellStyle name="20% - Énfasis2 39 3 2" xfId="26403" xr:uid="{01921550-FF32-4E4F-B9F8-F7438BA5D660}"/>
    <cellStyle name="20% - Énfasis2 39 3 2 2" xfId="36132" xr:uid="{8C4B1D09-28F8-4643-83B3-19BEB9106003}"/>
    <cellStyle name="20% - Énfasis2 39 3 3" xfId="36131" xr:uid="{C772ED27-A431-4E35-884F-2FE1FE291B62}"/>
    <cellStyle name="20% - Énfasis2 39 4" xfId="18698" xr:uid="{8894B300-1351-409F-88B2-4C59C1E29C48}"/>
    <cellStyle name="20% - Énfasis2 39 4 2" xfId="36133" xr:uid="{2EEC27BC-F077-420A-9D66-8BD56B73ACBF}"/>
    <cellStyle name="20% - Énfasis2 39 5" xfId="36126" xr:uid="{2AC5A8A4-10DF-4E41-9AAB-D87D00B728E1}"/>
    <cellStyle name="20% - Énfasis2 4" xfId="265" xr:uid="{B0A2E9EB-E04C-4257-9CA2-2E6B385F8DB9}"/>
    <cellStyle name="20% - Énfasis2 4 2" xfId="468" xr:uid="{60E9B90E-4C20-4359-9AAF-B3DB5D1E839B}"/>
    <cellStyle name="20% - Énfasis2 4 2 2" xfId="1129" xr:uid="{814C4F90-6104-42FB-9779-7AD364A91872}"/>
    <cellStyle name="20% - Énfasis2 4 2 2 2" xfId="2597" xr:uid="{A45F5CF2-76D0-4E71-AA37-4D5C98D71C2B}"/>
    <cellStyle name="20% - Énfasis2 4 2 2 2 2" xfId="6329" xr:uid="{B7AFC7AF-1C3B-4030-B47E-7FE9528BDED0}"/>
    <cellStyle name="20% - Énfasis2 4 2 2 2 2 2" xfId="14037" xr:uid="{814DB513-7EB3-48BD-9A27-49C481EFEC1E}"/>
    <cellStyle name="20% - Énfasis2 4 2 2 2 2 2 2" xfId="29449" xr:uid="{C2045005-D581-42DA-8708-1C56FF3EF1FD}"/>
    <cellStyle name="20% - Énfasis2 4 2 2 2 2 2 2 2" xfId="36140" xr:uid="{04A46E8F-0F23-4036-BB44-566C948B4339}"/>
    <cellStyle name="20% - Énfasis2 4 2 2 2 2 2 3" xfId="36139" xr:uid="{D57C0182-D434-4D37-8557-575A8CE26802}"/>
    <cellStyle name="20% - Énfasis2 4 2 2 2 2 3" xfId="21744" xr:uid="{9A3AFAD2-531E-43F1-985F-F8FD8FDB3BF3}"/>
    <cellStyle name="20% - Énfasis2 4 2 2 2 2 3 2" xfId="36141" xr:uid="{1ADFABDD-C8D9-4454-9DC2-8CBB88134B48}"/>
    <cellStyle name="20% - Énfasis2 4 2 2 2 2 4" xfId="36138" xr:uid="{EC7C6039-3A62-43ED-92C1-059E762AA7B5}"/>
    <cellStyle name="20% - Énfasis2 4 2 2 2 3" xfId="10308" xr:uid="{71ED4F8D-3FA3-4F0F-8931-3DCB662FBABF}"/>
    <cellStyle name="20% - Énfasis2 4 2 2 2 3 2" xfId="25721" xr:uid="{E145447E-31C7-4F36-92CC-FE81AA52215C}"/>
    <cellStyle name="20% - Énfasis2 4 2 2 2 3 2 2" xfId="36143" xr:uid="{CB1ABD89-1380-4C0F-9DBD-9D6E0A00EBCD}"/>
    <cellStyle name="20% - Énfasis2 4 2 2 2 3 3" xfId="36142" xr:uid="{E2F45ED0-667E-4DAE-9EE6-783EE2F5463F}"/>
    <cellStyle name="20% - Énfasis2 4 2 2 2 4" xfId="18016" xr:uid="{F46561CE-D225-4580-9F59-635EC64426A6}"/>
    <cellStyle name="20% - Énfasis2 4 2 2 2 4 2" xfId="36144" xr:uid="{0D6DC28A-42E5-4498-8843-9254D8044380}"/>
    <cellStyle name="20% - Énfasis2 4 2 2 2 5" xfId="36137" xr:uid="{0B4D2094-D877-4E93-B883-3CC5110799B1}"/>
    <cellStyle name="20% - Énfasis2 4 2 2 3" xfId="4866" xr:uid="{B4F72C86-FD88-4B5D-9448-77B7F5C14635}"/>
    <cellStyle name="20% - Énfasis2 4 2 2 3 2" xfId="12574" xr:uid="{DC1713D9-FFA8-4D95-8866-A5FA8E2E9640}"/>
    <cellStyle name="20% - Énfasis2 4 2 2 3 2 2" xfId="27986" xr:uid="{363BCDD7-2F33-4686-BAFF-FFC3E0CBFF8A}"/>
    <cellStyle name="20% - Énfasis2 4 2 2 3 2 2 2" xfId="36147" xr:uid="{6C9615DF-00AE-4564-90EE-296B302BFDAC}"/>
    <cellStyle name="20% - Énfasis2 4 2 2 3 2 3" xfId="36146" xr:uid="{B285B400-9134-4C9B-9FA1-190AADC35829}"/>
    <cellStyle name="20% - Énfasis2 4 2 2 3 3" xfId="20281" xr:uid="{6D648756-48BF-46F0-BF6A-BAA894686F01}"/>
    <cellStyle name="20% - Énfasis2 4 2 2 3 3 2" xfId="36148" xr:uid="{2F7EF0CD-9904-4B1C-9C19-FC858F680C4F}"/>
    <cellStyle name="20% - Énfasis2 4 2 2 3 4" xfId="36145" xr:uid="{AB82DDF8-82D1-4812-B4F1-54DD61532579}"/>
    <cellStyle name="20% - Énfasis2 4 2 2 4" xfId="8849" xr:uid="{452DD8FD-B59D-44E0-AABF-BE4AA4FF3216}"/>
    <cellStyle name="20% - Énfasis2 4 2 2 4 2" xfId="24262" xr:uid="{CD998ABB-64D5-4262-975A-39E6E31A39DE}"/>
    <cellStyle name="20% - Énfasis2 4 2 2 4 2 2" xfId="36150" xr:uid="{DBB143A3-CAD3-413B-8E22-A3FC4B56FA50}"/>
    <cellStyle name="20% - Énfasis2 4 2 2 4 3" xfId="36149" xr:uid="{733762C8-28FA-4F91-91CB-A679CF71B47C}"/>
    <cellStyle name="20% - Énfasis2 4 2 2 5" xfId="16557" xr:uid="{6364EFA0-AB15-4519-8F56-3B97C5EA5986}"/>
    <cellStyle name="20% - Énfasis2 4 2 2 5 2" xfId="36151" xr:uid="{AC961BCC-12E3-4A22-B67A-95C3EF244C8A}"/>
    <cellStyle name="20% - Énfasis2 4 2 2 6" xfId="36136" xr:uid="{5F4FE76B-A9CD-4214-8431-87407A3E6D78}"/>
    <cellStyle name="20% - Énfasis2 4 2 3" xfId="1959" xr:uid="{CD042A72-F9A1-439C-B33F-DBD03FC76198}"/>
    <cellStyle name="20% - Énfasis2 4 2 3 2" xfId="5691" xr:uid="{D86DC474-6D68-41F5-9F8D-363DB0592413}"/>
    <cellStyle name="20% - Énfasis2 4 2 3 2 2" xfId="13399" xr:uid="{93BE413D-7EF9-4D12-88B5-950D2D777F89}"/>
    <cellStyle name="20% - Énfasis2 4 2 3 2 2 2" xfId="28811" xr:uid="{A8456661-1F84-461D-AAB6-11A0832C2A38}"/>
    <cellStyle name="20% - Énfasis2 4 2 3 2 2 2 2" xfId="36155" xr:uid="{C4BDCBB0-C5A1-4220-9184-1F63B90BBC6C}"/>
    <cellStyle name="20% - Énfasis2 4 2 3 2 2 3" xfId="36154" xr:uid="{DD73DA45-5BDF-4B9F-90D1-EC5FF7932243}"/>
    <cellStyle name="20% - Énfasis2 4 2 3 2 3" xfId="21106" xr:uid="{5209FD3F-6BFD-48F7-A11E-BD10E1AFED76}"/>
    <cellStyle name="20% - Énfasis2 4 2 3 2 3 2" xfId="36156" xr:uid="{4309B7A7-FC61-4E79-82DC-3D7BE1C3C5D4}"/>
    <cellStyle name="20% - Énfasis2 4 2 3 2 4" xfId="36153" xr:uid="{1AA955F5-0222-4A8B-AE78-2DF65177CBD1}"/>
    <cellStyle name="20% - Énfasis2 4 2 3 3" xfId="9670" xr:uid="{8BEEB1C9-BE83-4797-BDC1-D797AD7F80A3}"/>
    <cellStyle name="20% - Énfasis2 4 2 3 3 2" xfId="25083" xr:uid="{8DA56EFF-B3EC-4A74-8F76-C6383C74B09D}"/>
    <cellStyle name="20% - Énfasis2 4 2 3 3 2 2" xfId="36158" xr:uid="{DD01C44B-CBB2-4B2F-BFE4-833BB37DBCE3}"/>
    <cellStyle name="20% - Énfasis2 4 2 3 3 3" xfId="36157" xr:uid="{0CA1BAE7-C13B-4832-A372-BF4209EE3E1D}"/>
    <cellStyle name="20% - Énfasis2 4 2 3 4" xfId="17378" xr:uid="{8880B2AC-1742-4EDC-8CFC-AE6594BE9C69}"/>
    <cellStyle name="20% - Énfasis2 4 2 3 4 2" xfId="36159" xr:uid="{E9359FCD-EA32-4184-B645-3870CE1DA698}"/>
    <cellStyle name="20% - Énfasis2 4 2 3 5" xfId="36152" xr:uid="{80F6863A-002A-4383-A28D-12B984F0207C}"/>
    <cellStyle name="20% - Énfasis2 4 2 4" xfId="4214" xr:uid="{3DB5DEBC-08B4-454B-A987-F598D5E1525C}"/>
    <cellStyle name="20% - Énfasis2 4 2 4 2" xfId="11922" xr:uid="{1892388D-0DCD-464C-907A-00C66991E018}"/>
    <cellStyle name="20% - Énfasis2 4 2 4 2 2" xfId="27334" xr:uid="{B974CF85-F298-4C50-84BD-6BEFF8D2E7AE}"/>
    <cellStyle name="20% - Énfasis2 4 2 4 2 2 2" xfId="36162" xr:uid="{56778717-BFF3-4BD6-96FF-3CC188F7B8DD}"/>
    <cellStyle name="20% - Énfasis2 4 2 4 2 3" xfId="36161" xr:uid="{CB98AA2D-C3F9-43A0-8DC0-FC0081F7F673}"/>
    <cellStyle name="20% - Énfasis2 4 2 4 3" xfId="19629" xr:uid="{141F20FA-11D3-4585-9A70-71BFD4A83947}"/>
    <cellStyle name="20% - Énfasis2 4 2 4 3 2" xfId="36163" xr:uid="{1F6E5D04-BE1C-49F6-9466-580813BD117A}"/>
    <cellStyle name="20% - Énfasis2 4 2 4 4" xfId="36160" xr:uid="{775FECDF-8540-4C95-9E13-F20C792ED990}"/>
    <cellStyle name="20% - Énfasis2 4 2 5" xfId="8211" xr:uid="{28483EDB-0B07-46D8-B967-B9769FDA66C5}"/>
    <cellStyle name="20% - Énfasis2 4 2 5 2" xfId="23624" xr:uid="{8D40F9AD-20D7-4786-934A-5BDD1F882C5C}"/>
    <cellStyle name="20% - Énfasis2 4 2 5 2 2" xfId="36165" xr:uid="{49D9F1AA-5765-4495-9552-5AC6C0A3A875}"/>
    <cellStyle name="20% - Énfasis2 4 2 5 3" xfId="36164" xr:uid="{57F95C5A-1523-4A31-B201-F9C204068EA8}"/>
    <cellStyle name="20% - Énfasis2 4 2 6" xfId="15919" xr:uid="{8E5EC577-D1E1-4A92-AB88-A44D9C4B4B1F}"/>
    <cellStyle name="20% - Énfasis2 4 2 6 2" xfId="36166" xr:uid="{6BF89B40-6396-432A-9FD2-601288D3741E}"/>
    <cellStyle name="20% - Énfasis2 4 2 7" xfId="36135" xr:uid="{C2024E31-0195-45B2-9FC3-6AEF70EC1C45}"/>
    <cellStyle name="20% - Énfasis2 4 3" xfId="929" xr:uid="{091F9D56-4367-4D33-864E-43278D1AF5E0}"/>
    <cellStyle name="20% - Énfasis2 4 3 2" xfId="2399" xr:uid="{7E6F4B67-1F8B-40FB-8C0F-C5205355E779}"/>
    <cellStyle name="20% - Énfasis2 4 3 2 2" xfId="6131" xr:uid="{7AF38576-D0F2-45E0-A70F-A23AF0EC1EA8}"/>
    <cellStyle name="20% - Énfasis2 4 3 2 2 2" xfId="13839" xr:uid="{BFD0598C-2B41-4984-8D33-E91C69603E79}"/>
    <cellStyle name="20% - Énfasis2 4 3 2 2 2 2" xfId="29251" xr:uid="{0E39A87E-EE42-40C4-8DA6-544A304B5182}"/>
    <cellStyle name="20% - Énfasis2 4 3 2 2 2 2 2" xfId="36171" xr:uid="{78DA4D41-A330-4A5F-9396-E598B07CC2A1}"/>
    <cellStyle name="20% - Énfasis2 4 3 2 2 2 3" xfId="36170" xr:uid="{46A2E04B-11D1-47C3-B363-29974099A514}"/>
    <cellStyle name="20% - Énfasis2 4 3 2 2 3" xfId="21546" xr:uid="{A39A4B65-6561-44E2-9FA0-5DF59D1A4A1F}"/>
    <cellStyle name="20% - Énfasis2 4 3 2 2 3 2" xfId="36172" xr:uid="{1F26D17A-98C6-4847-AEC6-F40359974482}"/>
    <cellStyle name="20% - Énfasis2 4 3 2 2 4" xfId="36169" xr:uid="{628F74D6-F8E4-4007-8EBD-5FD3A1EBD362}"/>
    <cellStyle name="20% - Énfasis2 4 3 2 3" xfId="10110" xr:uid="{F24093A6-8513-4B28-B15F-B67075579685}"/>
    <cellStyle name="20% - Énfasis2 4 3 2 3 2" xfId="25523" xr:uid="{ADDF4138-8888-4FBE-89C5-A7C3421ED55F}"/>
    <cellStyle name="20% - Énfasis2 4 3 2 3 2 2" xfId="36174" xr:uid="{C7D17DF5-8A24-4012-8167-FBF4ED23D651}"/>
    <cellStyle name="20% - Énfasis2 4 3 2 3 3" xfId="36173" xr:uid="{1294AC1A-5065-45E0-A37C-1536865CAEB2}"/>
    <cellStyle name="20% - Énfasis2 4 3 2 4" xfId="17818" xr:uid="{91C0AC0D-63F3-4318-8983-4CD42E2C63A5}"/>
    <cellStyle name="20% - Énfasis2 4 3 2 4 2" xfId="36175" xr:uid="{D8B6EAB4-8FEC-4CD1-BC0D-235752542560}"/>
    <cellStyle name="20% - Énfasis2 4 3 2 5" xfId="36168" xr:uid="{C2CD0154-3746-4D77-8581-5E41C9347138}"/>
    <cellStyle name="20% - Énfasis2 4 3 3" xfId="4666" xr:uid="{E1367005-C64F-48F6-A891-479A8365190D}"/>
    <cellStyle name="20% - Énfasis2 4 3 3 2" xfId="12374" xr:uid="{B178336E-C423-47C7-A570-9AE0C3A140FF}"/>
    <cellStyle name="20% - Énfasis2 4 3 3 2 2" xfId="27786" xr:uid="{03E75B4B-24A1-4147-A8D5-B3950D6951D4}"/>
    <cellStyle name="20% - Énfasis2 4 3 3 2 2 2" xfId="36178" xr:uid="{7E81F714-221C-4FB8-A229-84E8E8E7BC4C}"/>
    <cellStyle name="20% - Énfasis2 4 3 3 2 3" xfId="36177" xr:uid="{EB599E25-C9EC-4E65-BAE3-76B0DC041274}"/>
    <cellStyle name="20% - Énfasis2 4 3 3 3" xfId="20081" xr:uid="{C8FC4E53-8B8B-4AA6-8FCF-F40DCC5608EA}"/>
    <cellStyle name="20% - Énfasis2 4 3 3 3 2" xfId="36179" xr:uid="{E3C6AF45-5A5A-4543-A0FF-D4ECBEE615AC}"/>
    <cellStyle name="20% - Énfasis2 4 3 3 4" xfId="36176" xr:uid="{F7B3914B-C576-419F-89A4-440D6BBAC41F}"/>
    <cellStyle name="20% - Énfasis2 4 3 4" xfId="8651" xr:uid="{9D231A07-E989-4C97-8822-C68B46D290BB}"/>
    <cellStyle name="20% - Énfasis2 4 3 4 2" xfId="24064" xr:uid="{AEE5C285-738B-4A59-9621-DB8BE7F853ED}"/>
    <cellStyle name="20% - Énfasis2 4 3 4 2 2" xfId="36181" xr:uid="{C60C562B-9743-498D-B653-8D9CD49DD177}"/>
    <cellStyle name="20% - Énfasis2 4 3 4 3" xfId="36180" xr:uid="{38D41ADB-E006-41DE-9216-E2ABB27479FE}"/>
    <cellStyle name="20% - Énfasis2 4 3 5" xfId="16359" xr:uid="{7456E29D-8847-48DE-A594-1DFEA4AD43FE}"/>
    <cellStyle name="20% - Énfasis2 4 3 5 2" xfId="36182" xr:uid="{6AD9F3DD-8D5E-44F0-A2A1-EC17064447ED}"/>
    <cellStyle name="20% - Énfasis2 4 3 6" xfId="36167" xr:uid="{137B9CF9-58A1-48E7-B754-65F7F6F85978}"/>
    <cellStyle name="20% - Énfasis2 4 4" xfId="1761" xr:uid="{7496511C-913E-4642-BFDF-F6FE02CAA673}"/>
    <cellStyle name="20% - Énfasis2 4 4 2" xfId="5493" xr:uid="{016C97E7-6D15-4034-B2E4-475273916FCD}"/>
    <cellStyle name="20% - Énfasis2 4 4 2 2" xfId="13201" xr:uid="{45DCD770-E7BA-4B48-A51C-74661FD93DE9}"/>
    <cellStyle name="20% - Énfasis2 4 4 2 2 2" xfId="28613" xr:uid="{9856DC15-4D43-426A-8FB5-CE1D77C30263}"/>
    <cellStyle name="20% - Énfasis2 4 4 2 2 2 2" xfId="36186" xr:uid="{BE895124-4242-49A0-8F85-5490BE0AD791}"/>
    <cellStyle name="20% - Énfasis2 4 4 2 2 3" xfId="36185" xr:uid="{3620A3A3-130D-41C4-AA4F-475504CCE27A}"/>
    <cellStyle name="20% - Énfasis2 4 4 2 3" xfId="20908" xr:uid="{6D40549B-75C7-4F5B-9604-20790D066C2B}"/>
    <cellStyle name="20% - Énfasis2 4 4 2 3 2" xfId="36187" xr:uid="{FD1D3297-924D-434C-BA77-CE36144FF621}"/>
    <cellStyle name="20% - Énfasis2 4 4 2 4" xfId="36184" xr:uid="{3613A246-21C1-4900-89F8-F1122F18693A}"/>
    <cellStyle name="20% - Énfasis2 4 4 3" xfId="9472" xr:uid="{7059DCAC-5C6A-4CB7-AD7F-6C031D6A1816}"/>
    <cellStyle name="20% - Énfasis2 4 4 3 2" xfId="24885" xr:uid="{6596687F-B4E9-4B7B-B612-1AE647C595ED}"/>
    <cellStyle name="20% - Énfasis2 4 4 3 2 2" xfId="36189" xr:uid="{B4C1E03D-3786-49B9-8523-165D6433ED5F}"/>
    <cellStyle name="20% - Énfasis2 4 4 3 3" xfId="36188" xr:uid="{2C4639FA-66A6-4B77-BD71-EEB73BB47FFD}"/>
    <cellStyle name="20% - Énfasis2 4 4 4" xfId="17180" xr:uid="{881E74DE-AF5B-4F4A-84FA-0AFB7BD583DA}"/>
    <cellStyle name="20% - Énfasis2 4 4 4 2" xfId="36190" xr:uid="{026F75E8-7456-41CC-B07A-03800CFF3982}"/>
    <cellStyle name="20% - Énfasis2 4 4 5" xfId="36183" xr:uid="{B6B1CA64-332B-4850-8AA5-56C632D2C921}"/>
    <cellStyle name="20% - Énfasis2 4 5" xfId="4014" xr:uid="{3C9D4787-B774-4DF4-BC8F-E7ED2D35A5E6}"/>
    <cellStyle name="20% - Énfasis2 4 5 2" xfId="11722" xr:uid="{6745A577-FAC9-4815-A03F-B62145A5BB19}"/>
    <cellStyle name="20% - Énfasis2 4 5 2 2" xfId="27134" xr:uid="{3D204688-4E44-4B1A-9947-38405B15A40C}"/>
    <cellStyle name="20% - Énfasis2 4 5 2 2 2" xfId="36193" xr:uid="{B60A4B88-EDC0-4033-92A5-B51A59E8D1D5}"/>
    <cellStyle name="20% - Énfasis2 4 5 2 3" xfId="36192" xr:uid="{B723F204-41FB-434D-8279-57EC9AAF4FC5}"/>
    <cellStyle name="20% - Énfasis2 4 5 3" xfId="19429" xr:uid="{B286D52A-4056-45D2-BE9E-630077F63A6F}"/>
    <cellStyle name="20% - Énfasis2 4 5 3 2" xfId="36194" xr:uid="{25882795-6F7A-4B46-958D-4A93E9B17D79}"/>
    <cellStyle name="20% - Énfasis2 4 5 4" xfId="36191" xr:uid="{13ED7D9A-8C84-4CFF-82D0-6FBA1462C5A0}"/>
    <cellStyle name="20% - Énfasis2 4 6" xfId="8013" xr:uid="{D5F069E5-22F0-4214-81C2-E1F556E281C3}"/>
    <cellStyle name="20% - Énfasis2 4 6 2" xfId="23426" xr:uid="{FB6A56DC-931B-49FA-B673-33EA79EB6577}"/>
    <cellStyle name="20% - Énfasis2 4 6 2 2" xfId="36196" xr:uid="{B130350D-2E27-4123-9877-5A0A08B81733}"/>
    <cellStyle name="20% - Énfasis2 4 6 3" xfId="36195" xr:uid="{251E2F1D-8E25-4E96-91AC-BDDD554AED8D}"/>
    <cellStyle name="20% - Énfasis2 4 7" xfId="15721" xr:uid="{CB5689A0-0D03-412A-BC62-D06C57DE94E7}"/>
    <cellStyle name="20% - Énfasis2 4 7 2" xfId="36197" xr:uid="{2D293DE6-A4BC-4805-8879-6D53E8F6BF03}"/>
    <cellStyle name="20% - Énfasis2 4 8" xfId="36134" xr:uid="{0402DDB2-A3DB-4CD1-A071-14FA0382BD6A}"/>
    <cellStyle name="20% - Énfasis2 5" xfId="284" xr:uid="{F235CA0E-80D2-4926-B01B-E426415F33C6}"/>
    <cellStyle name="20% - Énfasis2 5 2" xfId="487" xr:uid="{95C01D5B-76AF-417B-AD87-72F2370B6962}"/>
    <cellStyle name="20% - Énfasis2 5 2 2" xfId="1148" xr:uid="{66408204-2D5E-4FD3-A31B-F1D38E5FF002}"/>
    <cellStyle name="20% - Énfasis2 5 2 2 2" xfId="2616" xr:uid="{5578A55E-BDCC-4BD6-A49F-994E754DF50E}"/>
    <cellStyle name="20% - Énfasis2 5 2 2 2 2" xfId="6348" xr:uid="{9E22BB18-FB40-44AA-AB21-207065BC9FEC}"/>
    <cellStyle name="20% - Énfasis2 5 2 2 2 2 2" xfId="14056" xr:uid="{814DE375-CD50-444B-AE35-FF0D5D68CFE2}"/>
    <cellStyle name="20% - Énfasis2 5 2 2 2 2 2 2" xfId="29468" xr:uid="{43CC4A99-7BF4-4FD8-99B7-0A34AB02F658}"/>
    <cellStyle name="20% - Énfasis2 5 2 2 2 2 2 2 2" xfId="36204" xr:uid="{9D2A3696-C564-4330-AAAE-897199EFAD18}"/>
    <cellStyle name="20% - Énfasis2 5 2 2 2 2 2 3" xfId="36203" xr:uid="{92E51E8C-7B52-419B-A645-88F2101E3B87}"/>
    <cellStyle name="20% - Énfasis2 5 2 2 2 2 3" xfId="21763" xr:uid="{F92BDD8C-5C6F-4992-A1A5-DB5FBD54A869}"/>
    <cellStyle name="20% - Énfasis2 5 2 2 2 2 3 2" xfId="36205" xr:uid="{CAACE2C5-3D6C-473A-B0DF-6295624F1AD2}"/>
    <cellStyle name="20% - Énfasis2 5 2 2 2 2 4" xfId="36202" xr:uid="{BC4EA4C2-55EC-4CAC-9F8A-E945632C1FA7}"/>
    <cellStyle name="20% - Énfasis2 5 2 2 2 3" xfId="10327" xr:uid="{7D0DD5DB-644A-4F95-A23F-2A35EE7E89CE}"/>
    <cellStyle name="20% - Énfasis2 5 2 2 2 3 2" xfId="25740" xr:uid="{AA829A97-BD70-4446-A0D5-BADC071617C2}"/>
    <cellStyle name="20% - Énfasis2 5 2 2 2 3 2 2" xfId="36207" xr:uid="{E7C99757-A4DB-4B64-AB61-72801DA2A1BB}"/>
    <cellStyle name="20% - Énfasis2 5 2 2 2 3 3" xfId="36206" xr:uid="{E0EC6FED-9FFB-4100-A0A2-7665094DB063}"/>
    <cellStyle name="20% - Énfasis2 5 2 2 2 4" xfId="18035" xr:uid="{C94BF402-7AEE-4719-A02C-E289F0E53DDB}"/>
    <cellStyle name="20% - Énfasis2 5 2 2 2 4 2" xfId="36208" xr:uid="{7AB9CAA2-85D5-43F0-8ECF-3D49912AB097}"/>
    <cellStyle name="20% - Énfasis2 5 2 2 2 5" xfId="36201" xr:uid="{DC7D476A-E933-4FFD-B609-83B89AE304F1}"/>
    <cellStyle name="20% - Énfasis2 5 2 2 3" xfId="4885" xr:uid="{886101B3-2ECF-4753-844A-95B7566C09CA}"/>
    <cellStyle name="20% - Énfasis2 5 2 2 3 2" xfId="12593" xr:uid="{B1C9850B-7CB3-41EE-853F-D1523986D487}"/>
    <cellStyle name="20% - Énfasis2 5 2 2 3 2 2" xfId="28005" xr:uid="{D771FA9B-9DED-4D71-AF21-62C2DE4BE3BA}"/>
    <cellStyle name="20% - Énfasis2 5 2 2 3 2 2 2" xfId="36211" xr:uid="{154C29AC-6C5D-4BFF-AF6B-C45820DC4D47}"/>
    <cellStyle name="20% - Énfasis2 5 2 2 3 2 3" xfId="36210" xr:uid="{4ED7F851-F916-4EC8-AA10-6F63723113EA}"/>
    <cellStyle name="20% - Énfasis2 5 2 2 3 3" xfId="20300" xr:uid="{9908D0AA-223C-4E96-804E-EDF7DDEC6129}"/>
    <cellStyle name="20% - Énfasis2 5 2 2 3 3 2" xfId="36212" xr:uid="{436AB6AA-6E60-4954-9A77-DA9702CC8544}"/>
    <cellStyle name="20% - Énfasis2 5 2 2 3 4" xfId="36209" xr:uid="{F1C4F431-CB88-49ED-89B6-14226CB4BDC8}"/>
    <cellStyle name="20% - Énfasis2 5 2 2 4" xfId="8868" xr:uid="{BE1CF983-1391-4339-A4E2-3DE4CBCFDB69}"/>
    <cellStyle name="20% - Énfasis2 5 2 2 4 2" xfId="24281" xr:uid="{A4948A83-8D91-4E2E-B338-7CB12DA507EB}"/>
    <cellStyle name="20% - Énfasis2 5 2 2 4 2 2" xfId="36214" xr:uid="{6F3CA604-061A-4272-8221-1AD1C66B3F93}"/>
    <cellStyle name="20% - Énfasis2 5 2 2 4 3" xfId="36213" xr:uid="{8897B6FE-3699-4B02-90D8-9C5399AA7FD1}"/>
    <cellStyle name="20% - Énfasis2 5 2 2 5" xfId="16576" xr:uid="{91653F7D-47C2-4B47-BCD4-EBBF31A7BD22}"/>
    <cellStyle name="20% - Énfasis2 5 2 2 5 2" xfId="36215" xr:uid="{C457011C-61CB-4E40-B9AA-8DAA59D8A69D}"/>
    <cellStyle name="20% - Énfasis2 5 2 2 6" xfId="36200" xr:uid="{C255C8B8-2E40-4DA7-9A04-AD8C0F8D626E}"/>
    <cellStyle name="20% - Énfasis2 5 2 3" xfId="1978" xr:uid="{A9156F6A-1CB5-4ECF-BFCC-A942358F5668}"/>
    <cellStyle name="20% - Énfasis2 5 2 3 2" xfId="5710" xr:uid="{9DE527D8-03E4-46D1-957A-DBB7D93DF082}"/>
    <cellStyle name="20% - Énfasis2 5 2 3 2 2" xfId="13418" xr:uid="{2B65FB5B-8957-4DFB-915F-B0D4B1711599}"/>
    <cellStyle name="20% - Énfasis2 5 2 3 2 2 2" xfId="28830" xr:uid="{5FFB30EB-5F90-48C6-8C5B-C87608CB3C1A}"/>
    <cellStyle name="20% - Énfasis2 5 2 3 2 2 2 2" xfId="36219" xr:uid="{572C5093-BA14-496B-8E98-1DD6F95F8A02}"/>
    <cellStyle name="20% - Énfasis2 5 2 3 2 2 3" xfId="36218" xr:uid="{4A70302D-E25A-42B8-9FB5-49F9F3023C79}"/>
    <cellStyle name="20% - Énfasis2 5 2 3 2 3" xfId="21125" xr:uid="{B5841F10-BAF5-4145-8E76-DA26CDA67DFB}"/>
    <cellStyle name="20% - Énfasis2 5 2 3 2 3 2" xfId="36220" xr:uid="{7A136E51-AB23-4D16-8A0C-E02A60AECCBE}"/>
    <cellStyle name="20% - Énfasis2 5 2 3 2 4" xfId="36217" xr:uid="{8BA693EB-21EA-4657-8E54-DDEC47E37236}"/>
    <cellStyle name="20% - Énfasis2 5 2 3 3" xfId="9689" xr:uid="{BB2616C8-6645-45F4-A033-59EF8DE09662}"/>
    <cellStyle name="20% - Énfasis2 5 2 3 3 2" xfId="25102" xr:uid="{285342D9-FAC3-461C-A079-3AF2CCFD6693}"/>
    <cellStyle name="20% - Énfasis2 5 2 3 3 2 2" xfId="36222" xr:uid="{59653A8E-35E1-4CEB-A3BB-AD3786242C3B}"/>
    <cellStyle name="20% - Énfasis2 5 2 3 3 3" xfId="36221" xr:uid="{1E868877-CDCF-4436-A97D-44FF48BEACAA}"/>
    <cellStyle name="20% - Énfasis2 5 2 3 4" xfId="17397" xr:uid="{54126A8F-7BEE-4D19-936A-1E2F1B7EBF1D}"/>
    <cellStyle name="20% - Énfasis2 5 2 3 4 2" xfId="36223" xr:uid="{03EE5344-C741-495A-AE55-8D3E582C9E1F}"/>
    <cellStyle name="20% - Énfasis2 5 2 3 5" xfId="36216" xr:uid="{15D9B8E3-110C-4879-B26B-7EF0FAFD8BF1}"/>
    <cellStyle name="20% - Énfasis2 5 2 4" xfId="4233" xr:uid="{495D93F1-9126-4589-BD87-A7868D3D0123}"/>
    <cellStyle name="20% - Énfasis2 5 2 4 2" xfId="11941" xr:uid="{8FCCD9F0-B2FF-4800-8CBC-300DFC8423FA}"/>
    <cellStyle name="20% - Énfasis2 5 2 4 2 2" xfId="27353" xr:uid="{6AA46089-66C2-4A82-8970-9F97CAECBBC0}"/>
    <cellStyle name="20% - Énfasis2 5 2 4 2 2 2" xfId="36226" xr:uid="{900CDB47-C378-40F9-B638-147DA9E3CE62}"/>
    <cellStyle name="20% - Énfasis2 5 2 4 2 3" xfId="36225" xr:uid="{EBE4F653-DCEB-41B3-90CE-0CE00D58CF8D}"/>
    <cellStyle name="20% - Énfasis2 5 2 4 3" xfId="19648" xr:uid="{BBBDF799-C01B-4CB1-9165-4868B054CE35}"/>
    <cellStyle name="20% - Énfasis2 5 2 4 3 2" xfId="36227" xr:uid="{DB31BE5A-4733-493A-A241-7D1529B1EBED}"/>
    <cellStyle name="20% - Énfasis2 5 2 4 4" xfId="36224" xr:uid="{C7C31A4D-2AB6-4E43-8417-44AA247E9966}"/>
    <cellStyle name="20% - Énfasis2 5 2 5" xfId="8230" xr:uid="{16C74DD4-6DFB-4AB6-9D75-07C1FB93802D}"/>
    <cellStyle name="20% - Énfasis2 5 2 5 2" xfId="23643" xr:uid="{4910C7F9-172F-4662-83AE-93507C2C0515}"/>
    <cellStyle name="20% - Énfasis2 5 2 5 2 2" xfId="36229" xr:uid="{DBE2C716-63D4-4FE4-88D9-FB73DC389A46}"/>
    <cellStyle name="20% - Énfasis2 5 2 5 3" xfId="36228" xr:uid="{1854E8CF-B51A-4576-BF1E-695B8CCA27ED}"/>
    <cellStyle name="20% - Énfasis2 5 2 6" xfId="15938" xr:uid="{5E5A34D3-6DF3-417A-A60E-A0B1E14526AE}"/>
    <cellStyle name="20% - Énfasis2 5 2 6 2" xfId="36230" xr:uid="{77CAAFE5-214E-4863-9D65-4C9EDFCC3CCC}"/>
    <cellStyle name="20% - Énfasis2 5 2 7" xfId="36199" xr:uid="{627C3C79-2249-4B43-8624-F74C69EAFDEA}"/>
    <cellStyle name="20% - Énfasis2 5 3" xfId="948" xr:uid="{9D5F21D5-21FA-4E9A-A8E1-F6248BA19E07}"/>
    <cellStyle name="20% - Énfasis2 5 3 2" xfId="2418" xr:uid="{E6D97466-2E99-400D-A494-6DF08711283D}"/>
    <cellStyle name="20% - Énfasis2 5 3 2 2" xfId="6150" xr:uid="{E23E9E69-DBE7-45AD-B622-57D57D2D26A6}"/>
    <cellStyle name="20% - Énfasis2 5 3 2 2 2" xfId="13858" xr:uid="{A56EC009-5B58-4E7A-B749-582C88F7D33F}"/>
    <cellStyle name="20% - Énfasis2 5 3 2 2 2 2" xfId="29270" xr:uid="{143028DA-7BDE-45CA-A889-E67C2AEA9496}"/>
    <cellStyle name="20% - Énfasis2 5 3 2 2 2 2 2" xfId="36235" xr:uid="{BA49BB39-6FD1-44C2-8127-08F8494016B8}"/>
    <cellStyle name="20% - Énfasis2 5 3 2 2 2 3" xfId="36234" xr:uid="{E5A84B37-DB2B-40F0-8705-EED6713A9F14}"/>
    <cellStyle name="20% - Énfasis2 5 3 2 2 3" xfId="21565" xr:uid="{F1393AD3-6D84-4962-ABE2-1848BA1ECDAA}"/>
    <cellStyle name="20% - Énfasis2 5 3 2 2 3 2" xfId="36236" xr:uid="{23C1A31E-941D-4C01-BD1E-B0655C88B365}"/>
    <cellStyle name="20% - Énfasis2 5 3 2 2 4" xfId="36233" xr:uid="{DB603789-23FF-47AD-AF8C-D0B47F6A264E}"/>
    <cellStyle name="20% - Énfasis2 5 3 2 3" xfId="10129" xr:uid="{718A4CCD-81D4-4497-A1A3-015D97451E8B}"/>
    <cellStyle name="20% - Énfasis2 5 3 2 3 2" xfId="25542" xr:uid="{84CE1A64-A67D-4616-9C68-2DBF67CA10A0}"/>
    <cellStyle name="20% - Énfasis2 5 3 2 3 2 2" xfId="36238" xr:uid="{F0A09B93-997A-4C1F-9ED6-9A4A3D4A3368}"/>
    <cellStyle name="20% - Énfasis2 5 3 2 3 3" xfId="36237" xr:uid="{8E502C27-12BC-4FD1-B9F9-ACAF2C9C83C8}"/>
    <cellStyle name="20% - Énfasis2 5 3 2 4" xfId="17837" xr:uid="{4ED92DF7-845D-4522-A71A-7D7645D5A060}"/>
    <cellStyle name="20% - Énfasis2 5 3 2 4 2" xfId="36239" xr:uid="{B40A842B-F51C-438D-B835-F3FDA76496D0}"/>
    <cellStyle name="20% - Énfasis2 5 3 2 5" xfId="36232" xr:uid="{FED51222-150F-481C-9965-E9DC29AF204D}"/>
    <cellStyle name="20% - Énfasis2 5 3 3" xfId="4685" xr:uid="{83DF591E-5A8B-4BF0-9A75-0F636D648B0B}"/>
    <cellStyle name="20% - Énfasis2 5 3 3 2" xfId="12393" xr:uid="{12AD1EE1-A486-4EAD-91FC-B04DFF2CA805}"/>
    <cellStyle name="20% - Énfasis2 5 3 3 2 2" xfId="27805" xr:uid="{6689C041-204A-4567-A6CF-FF875CB3648F}"/>
    <cellStyle name="20% - Énfasis2 5 3 3 2 2 2" xfId="36242" xr:uid="{8151C59B-5498-4B07-848F-E15F2B1DAF58}"/>
    <cellStyle name="20% - Énfasis2 5 3 3 2 3" xfId="36241" xr:uid="{51F5E6E8-F6F3-4D0F-860F-D549DE49C54B}"/>
    <cellStyle name="20% - Énfasis2 5 3 3 3" xfId="20100" xr:uid="{B3083FB0-0810-4566-BBA4-EFBA28BB2572}"/>
    <cellStyle name="20% - Énfasis2 5 3 3 3 2" xfId="36243" xr:uid="{62F552D0-6B0A-4D02-9906-9A256B583D8B}"/>
    <cellStyle name="20% - Énfasis2 5 3 3 4" xfId="36240" xr:uid="{1FB58472-5DE6-4FE0-88EE-1E5C9D94CA5D}"/>
    <cellStyle name="20% - Énfasis2 5 3 4" xfId="8670" xr:uid="{181C05E1-EF00-415C-AFFE-789F1FFA1675}"/>
    <cellStyle name="20% - Énfasis2 5 3 4 2" xfId="24083" xr:uid="{14C0A96A-5F4E-4301-A406-A44FE66E0449}"/>
    <cellStyle name="20% - Énfasis2 5 3 4 2 2" xfId="36245" xr:uid="{4A5AE0B3-2BD7-47E0-AA54-11B469191063}"/>
    <cellStyle name="20% - Énfasis2 5 3 4 3" xfId="36244" xr:uid="{782782B1-8FDA-4B5F-82A3-4F600D57A32A}"/>
    <cellStyle name="20% - Énfasis2 5 3 5" xfId="16378" xr:uid="{8FB4C594-A40E-4185-BD92-D177FE447218}"/>
    <cellStyle name="20% - Énfasis2 5 3 5 2" xfId="36246" xr:uid="{11D34095-8514-4844-B103-5EC68C27851C}"/>
    <cellStyle name="20% - Énfasis2 5 3 6" xfId="36231" xr:uid="{1A5D97A9-404B-470D-B507-5E4BE2C469DC}"/>
    <cellStyle name="20% - Énfasis2 5 4" xfId="1780" xr:uid="{3397874A-8DDF-4514-BAA0-F791B0EEED4F}"/>
    <cellStyle name="20% - Énfasis2 5 4 2" xfId="5512" xr:uid="{CD1CB502-A5A0-4CF6-8C02-C8C6F6323B61}"/>
    <cellStyle name="20% - Énfasis2 5 4 2 2" xfId="13220" xr:uid="{0B61EA6C-DC95-4EF5-BAB6-B7042D55871C}"/>
    <cellStyle name="20% - Énfasis2 5 4 2 2 2" xfId="28632" xr:uid="{CC76BDF4-42D2-41E8-843D-650969FC18D9}"/>
    <cellStyle name="20% - Énfasis2 5 4 2 2 2 2" xfId="36250" xr:uid="{330EAC20-8161-4779-A459-8F59095E5D9A}"/>
    <cellStyle name="20% - Énfasis2 5 4 2 2 3" xfId="36249" xr:uid="{9E0EB73A-8E44-47B3-904F-DF1E022E9E34}"/>
    <cellStyle name="20% - Énfasis2 5 4 2 3" xfId="20927" xr:uid="{35FD1299-C2C5-4D12-9096-F72D70647E76}"/>
    <cellStyle name="20% - Énfasis2 5 4 2 3 2" xfId="36251" xr:uid="{9395420F-8618-486C-8437-7BD95E614689}"/>
    <cellStyle name="20% - Énfasis2 5 4 2 4" xfId="36248" xr:uid="{3FCCB848-E92F-4837-8488-B4E2DA1308E6}"/>
    <cellStyle name="20% - Énfasis2 5 4 3" xfId="9491" xr:uid="{53AF3989-5ED4-4347-AA71-0A85E9B29F03}"/>
    <cellStyle name="20% - Énfasis2 5 4 3 2" xfId="24904" xr:uid="{277C36E6-6ACF-4677-B90E-01DA902ADDEE}"/>
    <cellStyle name="20% - Énfasis2 5 4 3 2 2" xfId="36253" xr:uid="{A975E9A5-522E-4062-8DDB-A0F4261CF833}"/>
    <cellStyle name="20% - Énfasis2 5 4 3 3" xfId="36252" xr:uid="{E3B5D1BA-E848-49FB-A862-0878C5062C3A}"/>
    <cellStyle name="20% - Énfasis2 5 4 4" xfId="17199" xr:uid="{42FA652F-7AB4-4C0E-A250-58F14447369A}"/>
    <cellStyle name="20% - Énfasis2 5 4 4 2" xfId="36254" xr:uid="{421163B4-50B5-4D78-948B-65622A94A216}"/>
    <cellStyle name="20% - Énfasis2 5 4 5" xfId="36247" xr:uid="{E20C0959-EC67-4A8A-B2D7-641780CE9F82}"/>
    <cellStyle name="20% - Énfasis2 5 5" xfId="4033" xr:uid="{D7AFD7F3-1E54-4B9F-AD14-98B1C790AF9D}"/>
    <cellStyle name="20% - Énfasis2 5 5 2" xfId="11741" xr:uid="{1C3C8EB2-FCDB-4A5F-839A-7C53D925EE3C}"/>
    <cellStyle name="20% - Énfasis2 5 5 2 2" xfId="27153" xr:uid="{6A977E1A-343F-411A-B426-0BBBAB2D01E4}"/>
    <cellStyle name="20% - Énfasis2 5 5 2 2 2" xfId="36257" xr:uid="{13DD76AE-FB6A-4B24-811C-10EA5EBA66AD}"/>
    <cellStyle name="20% - Énfasis2 5 5 2 3" xfId="36256" xr:uid="{8E9C53DD-5739-486C-92F6-4629C07FF120}"/>
    <cellStyle name="20% - Énfasis2 5 5 3" xfId="19448" xr:uid="{ECAD2998-2393-46DE-B5E4-DAE4C92FE565}"/>
    <cellStyle name="20% - Énfasis2 5 5 3 2" xfId="36258" xr:uid="{C4E2FD9F-E5A0-411C-8354-85715FD5D68C}"/>
    <cellStyle name="20% - Énfasis2 5 5 4" xfId="36255" xr:uid="{B7572E7F-C061-42F6-A7F1-FCBA510EE8A6}"/>
    <cellStyle name="20% - Énfasis2 5 6" xfId="8032" xr:uid="{E1DC8903-B993-4FB8-9EBA-300318F0B6E8}"/>
    <cellStyle name="20% - Énfasis2 5 6 2" xfId="23445" xr:uid="{A739649C-094F-41DF-B723-488A1A46CBE0}"/>
    <cellStyle name="20% - Énfasis2 5 6 2 2" xfId="36260" xr:uid="{2D98117A-CE3F-40AE-82BB-485214690F6C}"/>
    <cellStyle name="20% - Énfasis2 5 6 3" xfId="36259" xr:uid="{A70DD80F-5C19-4EF0-ADCF-B13D61DE3BCA}"/>
    <cellStyle name="20% - Énfasis2 5 7" xfId="15740" xr:uid="{20FD617F-4459-4459-A510-0CB52D7BE50A}"/>
    <cellStyle name="20% - Énfasis2 5 7 2" xfId="36261" xr:uid="{16E53E72-B75B-4830-BD2A-B97E7ED93B96}"/>
    <cellStyle name="20% - Énfasis2 5 8" xfId="36198" xr:uid="{A5C50CF0-E32C-4211-9D54-D7AC42BD8BA5}"/>
    <cellStyle name="20% - Énfasis2 6" xfId="304" xr:uid="{8999A4F6-DA69-4E2C-B7C0-2369C22FB2F4}"/>
    <cellStyle name="20% - Énfasis2 6 2" xfId="507" xr:uid="{B8C3B459-EA8B-48D9-B20B-31A7C5A4A0FF}"/>
    <cellStyle name="20% - Énfasis2 6 2 2" xfId="1168" xr:uid="{3E83B936-4864-4611-9EB4-7D330F97FD8F}"/>
    <cellStyle name="20% - Énfasis2 6 2 2 2" xfId="2636" xr:uid="{3DDF8038-813F-4FCF-82FE-44A2BCFA273D}"/>
    <cellStyle name="20% - Énfasis2 6 2 2 2 2" xfId="6368" xr:uid="{83CE72C4-F830-49AF-B539-689A352EB119}"/>
    <cellStyle name="20% - Énfasis2 6 2 2 2 2 2" xfId="14076" xr:uid="{515F5EF4-5561-4225-8C71-6EA953CA262B}"/>
    <cellStyle name="20% - Énfasis2 6 2 2 2 2 2 2" xfId="29488" xr:uid="{8BEFD251-39CF-45C5-B07C-6A0A6EB2AD5A}"/>
    <cellStyle name="20% - Énfasis2 6 2 2 2 2 2 2 2" xfId="36268" xr:uid="{55A16D82-FC19-4D4B-A820-46CE510E3E03}"/>
    <cellStyle name="20% - Énfasis2 6 2 2 2 2 2 3" xfId="36267" xr:uid="{C1E5BC43-776F-4353-9929-D42465E6654C}"/>
    <cellStyle name="20% - Énfasis2 6 2 2 2 2 3" xfId="21783" xr:uid="{4F457B44-DA95-4BD0-A1CA-69504A517FFE}"/>
    <cellStyle name="20% - Énfasis2 6 2 2 2 2 3 2" xfId="36269" xr:uid="{F511BCEE-3C82-4581-AB86-6104530C6656}"/>
    <cellStyle name="20% - Énfasis2 6 2 2 2 2 4" xfId="36266" xr:uid="{6C3A9D40-A87E-426C-9453-1F614379C5FF}"/>
    <cellStyle name="20% - Énfasis2 6 2 2 2 3" xfId="10347" xr:uid="{EA80C58B-4A73-4968-99DA-12780B065BCE}"/>
    <cellStyle name="20% - Énfasis2 6 2 2 2 3 2" xfId="25760" xr:uid="{D3E1D384-958F-4DD7-9C24-E9A5EE79415F}"/>
    <cellStyle name="20% - Énfasis2 6 2 2 2 3 2 2" xfId="36271" xr:uid="{72877934-9F26-420E-B8BC-DD0CE6AF575F}"/>
    <cellStyle name="20% - Énfasis2 6 2 2 2 3 3" xfId="36270" xr:uid="{13C44B42-3F8B-4FFB-AE48-B6708464ACE4}"/>
    <cellStyle name="20% - Énfasis2 6 2 2 2 4" xfId="18055" xr:uid="{0D881EB2-DAC7-468A-89C6-2F727F758127}"/>
    <cellStyle name="20% - Énfasis2 6 2 2 2 4 2" xfId="36272" xr:uid="{A3EAD31A-362C-4EB9-97E6-4D346EB761E4}"/>
    <cellStyle name="20% - Énfasis2 6 2 2 2 5" xfId="36265" xr:uid="{0E0554F0-9548-4B3B-B3CD-7A9D1A1893B0}"/>
    <cellStyle name="20% - Énfasis2 6 2 2 3" xfId="4905" xr:uid="{C5979CE1-65B5-47E4-8339-05C98B6392BF}"/>
    <cellStyle name="20% - Énfasis2 6 2 2 3 2" xfId="12613" xr:uid="{D07AC7B7-4EFB-4C60-AF3A-516281CC625C}"/>
    <cellStyle name="20% - Énfasis2 6 2 2 3 2 2" xfId="28025" xr:uid="{F151F8A9-58B4-4934-8A66-CB6224070484}"/>
    <cellStyle name="20% - Énfasis2 6 2 2 3 2 2 2" xfId="36275" xr:uid="{C6E75C3B-DFFC-477D-9AE1-E7CC44C2F325}"/>
    <cellStyle name="20% - Énfasis2 6 2 2 3 2 3" xfId="36274" xr:uid="{5838923A-345A-4F2C-A05F-DEFFC9F748F2}"/>
    <cellStyle name="20% - Énfasis2 6 2 2 3 3" xfId="20320" xr:uid="{061B4592-1625-4312-A861-118AA5FE71D9}"/>
    <cellStyle name="20% - Énfasis2 6 2 2 3 3 2" xfId="36276" xr:uid="{E98034CE-4BD9-45DF-A43F-52453C735A4A}"/>
    <cellStyle name="20% - Énfasis2 6 2 2 3 4" xfId="36273" xr:uid="{A1FD899B-E83C-4140-9393-01AAFE7E8CC6}"/>
    <cellStyle name="20% - Énfasis2 6 2 2 4" xfId="8888" xr:uid="{9D27E53A-18F5-4B6A-A0E7-123429BA3365}"/>
    <cellStyle name="20% - Énfasis2 6 2 2 4 2" xfId="24301" xr:uid="{4CD326F5-75AE-492B-995D-F449EB8A1B17}"/>
    <cellStyle name="20% - Énfasis2 6 2 2 4 2 2" xfId="36278" xr:uid="{55AE6353-A7A8-475C-A4A0-D1E999EFF651}"/>
    <cellStyle name="20% - Énfasis2 6 2 2 4 3" xfId="36277" xr:uid="{1026A30D-22DD-47C5-9C0F-FE462FDE1F79}"/>
    <cellStyle name="20% - Énfasis2 6 2 2 5" xfId="16596" xr:uid="{0AC10213-2F29-4AD3-B062-6F6C1917F28C}"/>
    <cellStyle name="20% - Énfasis2 6 2 2 5 2" xfId="36279" xr:uid="{4BDC0471-2F69-4870-A978-9171895CCADE}"/>
    <cellStyle name="20% - Énfasis2 6 2 2 6" xfId="36264" xr:uid="{6FF56104-4FDA-4CDA-9B20-83F0D8FC4370}"/>
    <cellStyle name="20% - Énfasis2 6 2 3" xfId="1998" xr:uid="{4BDDE469-F540-4394-A4C9-7CABECDDD3D6}"/>
    <cellStyle name="20% - Énfasis2 6 2 3 2" xfId="5730" xr:uid="{34383740-9F03-4C93-A95D-D3FAC060BB07}"/>
    <cellStyle name="20% - Énfasis2 6 2 3 2 2" xfId="13438" xr:uid="{1804B562-E416-422D-A7B8-C9565978CC1A}"/>
    <cellStyle name="20% - Énfasis2 6 2 3 2 2 2" xfId="28850" xr:uid="{88A13009-FDF7-42C9-AD37-2C64E2D09B13}"/>
    <cellStyle name="20% - Énfasis2 6 2 3 2 2 2 2" xfId="36283" xr:uid="{799AF0A1-1BA2-4D8B-9D9E-9604F1587A06}"/>
    <cellStyle name="20% - Énfasis2 6 2 3 2 2 3" xfId="36282" xr:uid="{9BD5EA2D-B421-4DBF-A9CC-FA5FDD978D52}"/>
    <cellStyle name="20% - Énfasis2 6 2 3 2 3" xfId="21145" xr:uid="{5C8BA7D3-53FF-405A-9B5F-F7AE58BE3D33}"/>
    <cellStyle name="20% - Énfasis2 6 2 3 2 3 2" xfId="36284" xr:uid="{E15DF4E7-E46F-4CD5-883A-73A4165D8573}"/>
    <cellStyle name="20% - Énfasis2 6 2 3 2 4" xfId="36281" xr:uid="{9A72D376-C3E2-433A-BAF2-C2F17C97165D}"/>
    <cellStyle name="20% - Énfasis2 6 2 3 3" xfId="9709" xr:uid="{B82A7CD0-FDC9-4B4C-9E65-7EC8EB07F142}"/>
    <cellStyle name="20% - Énfasis2 6 2 3 3 2" xfId="25122" xr:uid="{51B84317-1A9A-4F4C-AB06-1BE27ABB0143}"/>
    <cellStyle name="20% - Énfasis2 6 2 3 3 2 2" xfId="36286" xr:uid="{2772D7D8-018E-4738-AF77-EF525AAE47F2}"/>
    <cellStyle name="20% - Énfasis2 6 2 3 3 3" xfId="36285" xr:uid="{18BA7358-631C-4827-9285-EEF3099797BF}"/>
    <cellStyle name="20% - Énfasis2 6 2 3 4" xfId="17417" xr:uid="{5FC0E202-955E-4657-833A-6FC7CB60ECD1}"/>
    <cellStyle name="20% - Énfasis2 6 2 3 4 2" xfId="36287" xr:uid="{A97162AB-9A23-41F3-9395-FAF2E0D49644}"/>
    <cellStyle name="20% - Énfasis2 6 2 3 5" xfId="36280" xr:uid="{F4D88E4C-7C32-41E0-B2BC-E7E26288C6E0}"/>
    <cellStyle name="20% - Énfasis2 6 2 4" xfId="4253" xr:uid="{F3324427-3F16-4CBB-9DB5-BA33F1EA61A2}"/>
    <cellStyle name="20% - Énfasis2 6 2 4 2" xfId="11961" xr:uid="{58877A00-8F1F-4CEF-94E2-8ECCF8322B98}"/>
    <cellStyle name="20% - Énfasis2 6 2 4 2 2" xfId="27373" xr:uid="{B6968BDC-C55C-4954-801E-53A15A15718E}"/>
    <cellStyle name="20% - Énfasis2 6 2 4 2 2 2" xfId="36290" xr:uid="{8A8E4897-9B6A-403C-875A-19A3F142B444}"/>
    <cellStyle name="20% - Énfasis2 6 2 4 2 3" xfId="36289" xr:uid="{D0F5D733-21B8-4F37-9B33-C8169ABF088D}"/>
    <cellStyle name="20% - Énfasis2 6 2 4 3" xfId="19668" xr:uid="{53C88576-A4F0-4C0C-BDE2-BB8D43BFBA2D}"/>
    <cellStyle name="20% - Énfasis2 6 2 4 3 2" xfId="36291" xr:uid="{5E12415F-C2FB-4C03-B862-3C6ED1B12C86}"/>
    <cellStyle name="20% - Énfasis2 6 2 4 4" xfId="36288" xr:uid="{BE65F483-01F8-4E84-AE45-BD97FDF2180F}"/>
    <cellStyle name="20% - Énfasis2 6 2 5" xfId="8250" xr:uid="{6DAA65C9-BD68-43D1-ADC3-E8C3E2AE725D}"/>
    <cellStyle name="20% - Énfasis2 6 2 5 2" xfId="23663" xr:uid="{00E9FC44-82DD-4B3C-B378-C52C70F7E1AB}"/>
    <cellStyle name="20% - Énfasis2 6 2 5 2 2" xfId="36293" xr:uid="{C8CCF0E0-536C-46C8-A17A-B2DB04F4E519}"/>
    <cellStyle name="20% - Énfasis2 6 2 5 3" xfId="36292" xr:uid="{5E8D78DC-012E-48AB-8A6A-EB6649ABD51B}"/>
    <cellStyle name="20% - Énfasis2 6 2 6" xfId="15958" xr:uid="{8F7D6DF6-4AC9-4A31-8A54-6BFA1861C0E1}"/>
    <cellStyle name="20% - Énfasis2 6 2 6 2" xfId="36294" xr:uid="{9E9B5A4A-A273-4D9F-9DDD-777B981EB5B3}"/>
    <cellStyle name="20% - Énfasis2 6 2 7" xfId="36263" xr:uid="{AD9714D1-330F-4DF9-8323-730449F325F1}"/>
    <cellStyle name="20% - Énfasis2 6 3" xfId="968" xr:uid="{243A26CD-836A-4437-8702-F6A6486A8E1C}"/>
    <cellStyle name="20% - Énfasis2 6 3 2" xfId="2438" xr:uid="{B4DF32FE-E605-4CA2-8C3F-27CA4D30DE2C}"/>
    <cellStyle name="20% - Énfasis2 6 3 2 2" xfId="6170" xr:uid="{D56376CB-3384-43EC-8A89-3FD92D501918}"/>
    <cellStyle name="20% - Énfasis2 6 3 2 2 2" xfId="13878" xr:uid="{2863565B-72BA-44BD-89FB-EF24558CB5C9}"/>
    <cellStyle name="20% - Énfasis2 6 3 2 2 2 2" xfId="29290" xr:uid="{7BB01410-21A6-484C-9D35-93974C337AB6}"/>
    <cellStyle name="20% - Énfasis2 6 3 2 2 2 2 2" xfId="36299" xr:uid="{0C94704F-0E6C-41C9-995B-BB60E0FCB014}"/>
    <cellStyle name="20% - Énfasis2 6 3 2 2 2 3" xfId="36298" xr:uid="{35C7334E-78C9-408B-9494-1ED60A7F12DC}"/>
    <cellStyle name="20% - Énfasis2 6 3 2 2 3" xfId="21585" xr:uid="{D813BD51-BCB4-4DDD-A165-34DF108EE0C2}"/>
    <cellStyle name="20% - Énfasis2 6 3 2 2 3 2" xfId="36300" xr:uid="{BFF0D30B-CDA6-4E35-89DE-714A6B45C1F1}"/>
    <cellStyle name="20% - Énfasis2 6 3 2 2 4" xfId="36297" xr:uid="{5DA1D4AF-1963-4FBA-9046-7298BE4679B0}"/>
    <cellStyle name="20% - Énfasis2 6 3 2 3" xfId="10149" xr:uid="{2C32AC23-95F0-45B4-8709-090E42A1DE55}"/>
    <cellStyle name="20% - Énfasis2 6 3 2 3 2" xfId="25562" xr:uid="{54230F82-BEDA-4787-91C8-9D03CAF9A574}"/>
    <cellStyle name="20% - Énfasis2 6 3 2 3 2 2" xfId="36302" xr:uid="{6FCBF9EF-A036-4B3C-A275-04C3727C90C1}"/>
    <cellStyle name="20% - Énfasis2 6 3 2 3 3" xfId="36301" xr:uid="{4785559D-A7C3-41E4-B5D2-86AFB72532E4}"/>
    <cellStyle name="20% - Énfasis2 6 3 2 4" xfId="17857" xr:uid="{3B08F59B-C146-4357-AE2C-DA8E6D31CD18}"/>
    <cellStyle name="20% - Énfasis2 6 3 2 4 2" xfId="36303" xr:uid="{41C93683-0A94-4896-853C-3529E6D8B119}"/>
    <cellStyle name="20% - Énfasis2 6 3 2 5" xfId="36296" xr:uid="{DF23F7D0-685C-4A3E-A6DA-B962C6EB4587}"/>
    <cellStyle name="20% - Énfasis2 6 3 3" xfId="4705" xr:uid="{088F6F61-7088-4CA2-93C1-FA2CE03E8C34}"/>
    <cellStyle name="20% - Énfasis2 6 3 3 2" xfId="12413" xr:uid="{81B56BBF-3871-4CAF-BB0F-FEAE9749FA0E}"/>
    <cellStyle name="20% - Énfasis2 6 3 3 2 2" xfId="27825" xr:uid="{8F04DB09-7244-4271-A3D2-221BF6280999}"/>
    <cellStyle name="20% - Énfasis2 6 3 3 2 2 2" xfId="36306" xr:uid="{594675DA-8E76-436B-BBDE-39B8217B6214}"/>
    <cellStyle name="20% - Énfasis2 6 3 3 2 3" xfId="36305" xr:uid="{68CBD8A2-7723-4F07-8F2D-9CA0AD57758D}"/>
    <cellStyle name="20% - Énfasis2 6 3 3 3" xfId="20120" xr:uid="{40B4AFB5-F7D5-45A8-A92E-5B5EC932829D}"/>
    <cellStyle name="20% - Énfasis2 6 3 3 3 2" xfId="36307" xr:uid="{6E4E766F-8F38-44D4-BF2A-BEC000926981}"/>
    <cellStyle name="20% - Énfasis2 6 3 3 4" xfId="36304" xr:uid="{437D0C4E-03A2-4253-92E0-BCA12F264AB0}"/>
    <cellStyle name="20% - Énfasis2 6 3 4" xfId="8690" xr:uid="{BA9C1A4A-041D-4A17-8B64-97EF291875DA}"/>
    <cellStyle name="20% - Énfasis2 6 3 4 2" xfId="24103" xr:uid="{948D4FD0-798E-4FAE-B25C-6072F3CC767B}"/>
    <cellStyle name="20% - Énfasis2 6 3 4 2 2" xfId="36309" xr:uid="{48FDDC90-C5BB-4EF1-B5B0-694851806A55}"/>
    <cellStyle name="20% - Énfasis2 6 3 4 3" xfId="36308" xr:uid="{D21A9A33-6EE7-4FF5-9448-8A5DE2E21D8B}"/>
    <cellStyle name="20% - Énfasis2 6 3 5" xfId="16398" xr:uid="{B77F0D27-DB87-4831-BF43-09F1DDE05634}"/>
    <cellStyle name="20% - Énfasis2 6 3 5 2" xfId="36310" xr:uid="{F21B65BC-B23B-4996-B79C-F645CDC39A13}"/>
    <cellStyle name="20% - Énfasis2 6 3 6" xfId="36295" xr:uid="{EAF570AE-DF1F-42F9-9B6B-BFC67C1D3FBC}"/>
    <cellStyle name="20% - Énfasis2 6 4" xfId="1800" xr:uid="{E7B3C242-76A7-46DC-894F-906562E554E1}"/>
    <cellStyle name="20% - Énfasis2 6 4 2" xfId="5532" xr:uid="{85A6596E-0AA6-4C6C-A161-DFD35D31F8D6}"/>
    <cellStyle name="20% - Énfasis2 6 4 2 2" xfId="13240" xr:uid="{869A929F-C1A0-45F6-BA91-80D3A9A15C9E}"/>
    <cellStyle name="20% - Énfasis2 6 4 2 2 2" xfId="28652" xr:uid="{2C4E44F4-680D-4271-AD10-3FC414D9C707}"/>
    <cellStyle name="20% - Énfasis2 6 4 2 2 2 2" xfId="36314" xr:uid="{AD192F46-FF06-4DF8-B97B-FBA25AB6D843}"/>
    <cellStyle name="20% - Énfasis2 6 4 2 2 3" xfId="36313" xr:uid="{E86CF5F9-DA97-46C8-9358-B945F2955898}"/>
    <cellStyle name="20% - Énfasis2 6 4 2 3" xfId="20947" xr:uid="{610CF13C-33E8-45FE-BBA1-F074FF232C46}"/>
    <cellStyle name="20% - Énfasis2 6 4 2 3 2" xfId="36315" xr:uid="{DD398A30-6586-4824-99F3-3D28D4BE803A}"/>
    <cellStyle name="20% - Énfasis2 6 4 2 4" xfId="36312" xr:uid="{1CC51943-9838-4C77-938F-B63E886286DD}"/>
    <cellStyle name="20% - Énfasis2 6 4 3" xfId="9511" xr:uid="{383AD5BF-E34D-4B13-A7CD-91A4B0103985}"/>
    <cellStyle name="20% - Énfasis2 6 4 3 2" xfId="24924" xr:uid="{23E2AA82-6BEA-47D1-B217-9D4EC706FF7B}"/>
    <cellStyle name="20% - Énfasis2 6 4 3 2 2" xfId="36317" xr:uid="{FA913549-C810-4FEE-882B-1E55DE2B0475}"/>
    <cellStyle name="20% - Énfasis2 6 4 3 3" xfId="36316" xr:uid="{3698D484-F7FE-4852-A89C-352FBBB8D56C}"/>
    <cellStyle name="20% - Énfasis2 6 4 4" xfId="17219" xr:uid="{A446A935-7961-4716-BBB8-A27BF1DB84FD}"/>
    <cellStyle name="20% - Énfasis2 6 4 4 2" xfId="36318" xr:uid="{AC1CA656-DADE-4F8C-B8CB-D85DB1308BA1}"/>
    <cellStyle name="20% - Énfasis2 6 4 5" xfId="36311" xr:uid="{26E7F9D0-A214-49A0-B844-0B0465CA8FFC}"/>
    <cellStyle name="20% - Énfasis2 6 5" xfId="4053" xr:uid="{D3ABAFE7-BF52-4B23-9676-2CEDF2DF4D77}"/>
    <cellStyle name="20% - Énfasis2 6 5 2" xfId="11761" xr:uid="{F49504A4-F935-4FCE-BF1E-959F82A05C64}"/>
    <cellStyle name="20% - Énfasis2 6 5 2 2" xfId="27173" xr:uid="{B90991BD-B073-4F08-B382-1BC76A142C24}"/>
    <cellStyle name="20% - Énfasis2 6 5 2 2 2" xfId="36321" xr:uid="{67ECE530-D712-4AB2-9844-937EBDB3652E}"/>
    <cellStyle name="20% - Énfasis2 6 5 2 3" xfId="36320" xr:uid="{CCA8AD38-05B3-4F66-B509-7AA2FF76E4AC}"/>
    <cellStyle name="20% - Énfasis2 6 5 3" xfId="19468" xr:uid="{BD55ED8C-90B4-41D6-82BE-7C7F550892F4}"/>
    <cellStyle name="20% - Énfasis2 6 5 3 2" xfId="36322" xr:uid="{C13F7403-EAE5-45B1-AC63-E5CBAC3A002C}"/>
    <cellStyle name="20% - Énfasis2 6 5 4" xfId="36319" xr:uid="{DDA53460-E098-4909-986B-361F568C26A9}"/>
    <cellStyle name="20% - Énfasis2 6 6" xfId="8052" xr:uid="{E860FD49-AA40-4E23-BBE4-84D1B83CDA19}"/>
    <cellStyle name="20% - Énfasis2 6 6 2" xfId="23465" xr:uid="{8EE8EAA2-7047-4049-BDD1-94B2A86319C2}"/>
    <cellStyle name="20% - Énfasis2 6 6 2 2" xfId="36324" xr:uid="{67B8204E-F923-4A97-9EF2-91E2FCC74C6C}"/>
    <cellStyle name="20% - Énfasis2 6 6 3" xfId="36323" xr:uid="{50F31A0D-6AE0-476E-9702-991D01331497}"/>
    <cellStyle name="20% - Énfasis2 6 7" xfId="15760" xr:uid="{1F132EB7-B218-4F52-8D3B-499FC7CE3B6A}"/>
    <cellStyle name="20% - Énfasis2 6 7 2" xfId="36325" xr:uid="{247E49F0-04F4-4CBE-9340-693425695AE5}"/>
    <cellStyle name="20% - Énfasis2 6 8" xfId="36262" xr:uid="{23BA5AEF-7315-4309-8BD1-861A1E7EAADD}"/>
    <cellStyle name="20% - Énfasis2 7" xfId="527" xr:uid="{40D51FD0-9046-4BF9-B04E-40234A9E3130}"/>
    <cellStyle name="20% - Énfasis2 7 2" xfId="1188" xr:uid="{432E921B-8BD1-4078-84F3-BE40BF2270EA}"/>
    <cellStyle name="20% - Énfasis2 7 2 2" xfId="2656" xr:uid="{E69FAC6C-A850-4820-890B-98CADA20E19C}"/>
    <cellStyle name="20% - Énfasis2 7 2 2 2" xfId="6388" xr:uid="{ABFBC91E-E3C5-484B-A632-7497019FBECF}"/>
    <cellStyle name="20% - Énfasis2 7 2 2 2 2" xfId="14096" xr:uid="{056B58C0-33FB-4664-8A98-4ABAE9B0491D}"/>
    <cellStyle name="20% - Énfasis2 7 2 2 2 2 2" xfId="29508" xr:uid="{4615359A-25F1-4999-AAB9-F4B09F954FBF}"/>
    <cellStyle name="20% - Énfasis2 7 2 2 2 2 2 2" xfId="36331" xr:uid="{06AB85CF-9875-4585-96C6-1F07CEC3DCFA}"/>
    <cellStyle name="20% - Énfasis2 7 2 2 2 2 3" xfId="36330" xr:uid="{56E9F238-6971-4B84-9DFF-50A4A3F4E807}"/>
    <cellStyle name="20% - Énfasis2 7 2 2 2 3" xfId="21803" xr:uid="{06D82F6B-2D32-44E8-9E65-697EA815221A}"/>
    <cellStyle name="20% - Énfasis2 7 2 2 2 3 2" xfId="36332" xr:uid="{513D4F90-D57A-4C01-A932-40A59BC10D7B}"/>
    <cellStyle name="20% - Énfasis2 7 2 2 2 4" xfId="36329" xr:uid="{CFD0EC63-6709-449B-B1BC-EF2820071976}"/>
    <cellStyle name="20% - Énfasis2 7 2 2 3" xfId="10367" xr:uid="{56AB2C7F-A0D5-4C6E-8A13-3411131F5B42}"/>
    <cellStyle name="20% - Énfasis2 7 2 2 3 2" xfId="25780" xr:uid="{FE5B5772-BD14-448D-9D14-A38B43647D57}"/>
    <cellStyle name="20% - Énfasis2 7 2 2 3 2 2" xfId="36334" xr:uid="{BCCE7893-7253-4F32-9AAA-32A7509ED395}"/>
    <cellStyle name="20% - Énfasis2 7 2 2 3 3" xfId="36333" xr:uid="{BB27BD17-469B-4E94-B44F-8F7F3038F289}"/>
    <cellStyle name="20% - Énfasis2 7 2 2 4" xfId="18075" xr:uid="{4955608F-C485-4ED7-9A04-208FD6CE4546}"/>
    <cellStyle name="20% - Énfasis2 7 2 2 4 2" xfId="36335" xr:uid="{8B05583E-8DFF-4D32-8FE3-0DC0BAA2FAA9}"/>
    <cellStyle name="20% - Énfasis2 7 2 2 5" xfId="36328" xr:uid="{2FDEFBE2-F49B-4E4F-B602-5DF461F70B36}"/>
    <cellStyle name="20% - Énfasis2 7 2 3" xfId="4925" xr:uid="{7BF39918-9E7C-4647-8B72-B55F71E90B83}"/>
    <cellStyle name="20% - Énfasis2 7 2 3 2" xfId="12633" xr:uid="{C718D155-9649-4211-8479-2914417EA00D}"/>
    <cellStyle name="20% - Énfasis2 7 2 3 2 2" xfId="28045" xr:uid="{30C8A813-39BD-4FE2-B6A7-BC0B5AD901ED}"/>
    <cellStyle name="20% - Énfasis2 7 2 3 2 2 2" xfId="36338" xr:uid="{39D2371E-3202-47DD-B897-68270CC66D52}"/>
    <cellStyle name="20% - Énfasis2 7 2 3 2 3" xfId="36337" xr:uid="{A7CCC412-7F51-4EB8-8E36-BF944375D414}"/>
    <cellStyle name="20% - Énfasis2 7 2 3 3" xfId="20340" xr:uid="{CACC24AE-3F2F-419E-8BB6-505258FD6676}"/>
    <cellStyle name="20% - Énfasis2 7 2 3 3 2" xfId="36339" xr:uid="{2A1CC188-BB02-48C4-9F65-42C7FFF0E388}"/>
    <cellStyle name="20% - Énfasis2 7 2 3 4" xfId="36336" xr:uid="{AF626F12-7903-4ADA-AFF0-BD11C5B19327}"/>
    <cellStyle name="20% - Énfasis2 7 2 4" xfId="8908" xr:uid="{7C077702-240A-4EB8-91C3-2DD1FE54D45D}"/>
    <cellStyle name="20% - Énfasis2 7 2 4 2" xfId="24321" xr:uid="{FE3C2E92-C4A0-4D20-A3FC-D61A8097E357}"/>
    <cellStyle name="20% - Énfasis2 7 2 4 2 2" xfId="36341" xr:uid="{24796166-EFF8-4027-8B30-D558A492B9FD}"/>
    <cellStyle name="20% - Énfasis2 7 2 4 3" xfId="36340" xr:uid="{01D02279-A695-4258-8E10-0016E8B147BB}"/>
    <cellStyle name="20% - Énfasis2 7 2 5" xfId="16616" xr:uid="{BE055D4C-9D16-44D7-B431-5BB918EAEFD2}"/>
    <cellStyle name="20% - Énfasis2 7 2 5 2" xfId="36342" xr:uid="{D0693BB8-339A-45EE-AD05-A9CABF926AE5}"/>
    <cellStyle name="20% - Énfasis2 7 2 6" xfId="36327" xr:uid="{06B1A109-F449-47EC-9DC8-739E6FAA4A47}"/>
    <cellStyle name="20% - Énfasis2 7 3" xfId="2018" xr:uid="{D9E990B0-51B1-429A-BE9A-55977A67FBDC}"/>
    <cellStyle name="20% - Énfasis2 7 3 2" xfId="5750" xr:uid="{D74BDDA6-818C-493A-A85B-9CBD911855B9}"/>
    <cellStyle name="20% - Énfasis2 7 3 2 2" xfId="13458" xr:uid="{35E968C7-EAAD-48FD-982D-063858DCBAA4}"/>
    <cellStyle name="20% - Énfasis2 7 3 2 2 2" xfId="28870" xr:uid="{4AA72D0A-53A8-4E91-A31D-B490FF2DD2E6}"/>
    <cellStyle name="20% - Énfasis2 7 3 2 2 2 2" xfId="36346" xr:uid="{215299D9-9930-4175-A92D-BC739909DEBD}"/>
    <cellStyle name="20% - Énfasis2 7 3 2 2 3" xfId="36345" xr:uid="{EDC218AA-31BD-45A0-BD5B-29BEF0F4FF33}"/>
    <cellStyle name="20% - Énfasis2 7 3 2 3" xfId="21165" xr:uid="{D808247B-C847-401F-B353-EABF613BFE41}"/>
    <cellStyle name="20% - Énfasis2 7 3 2 3 2" xfId="36347" xr:uid="{A162EB76-63AA-4390-A189-5CC539626467}"/>
    <cellStyle name="20% - Énfasis2 7 3 2 4" xfId="36344" xr:uid="{5AC96856-BD83-48B0-9E91-B778E649758B}"/>
    <cellStyle name="20% - Énfasis2 7 3 3" xfId="9729" xr:uid="{2ECBF117-C246-435A-8A7F-723F5207459B}"/>
    <cellStyle name="20% - Énfasis2 7 3 3 2" xfId="25142" xr:uid="{ABA23B59-3526-494C-BC87-19B5C35C9414}"/>
    <cellStyle name="20% - Énfasis2 7 3 3 2 2" xfId="36349" xr:uid="{EA28E6A5-B901-4E50-9262-D480A3D2B854}"/>
    <cellStyle name="20% - Énfasis2 7 3 3 3" xfId="36348" xr:uid="{72B77579-4B23-47AE-9012-55660314EA77}"/>
    <cellStyle name="20% - Énfasis2 7 3 4" xfId="17437" xr:uid="{11067D5B-4AD7-4521-B146-98C4102B08AE}"/>
    <cellStyle name="20% - Énfasis2 7 3 4 2" xfId="36350" xr:uid="{CC31DBFE-9A79-4C5B-8502-38A080A0BF78}"/>
    <cellStyle name="20% - Énfasis2 7 3 5" xfId="36343" xr:uid="{2ADC6AA2-EF50-4E21-878F-7C2E6B32F09F}"/>
    <cellStyle name="20% - Énfasis2 7 4" xfId="4273" xr:uid="{713C25B0-95D9-41E0-A945-50CD9DCD9192}"/>
    <cellStyle name="20% - Énfasis2 7 4 2" xfId="11981" xr:uid="{418A4CE5-6AD0-4E32-A583-3010C85B5174}"/>
    <cellStyle name="20% - Énfasis2 7 4 2 2" xfId="27393" xr:uid="{379F9EE2-2E20-4FBD-84E9-A9D49DC7F8C5}"/>
    <cellStyle name="20% - Énfasis2 7 4 2 2 2" xfId="36353" xr:uid="{B099E078-4D37-40C4-8512-A0F805B19B4B}"/>
    <cellStyle name="20% - Énfasis2 7 4 2 3" xfId="36352" xr:uid="{8C20164A-9CD5-4ED7-9150-94CA23775D9C}"/>
    <cellStyle name="20% - Énfasis2 7 4 3" xfId="19688" xr:uid="{C0F407AE-7B46-4E89-AA11-ACAB65A0BF61}"/>
    <cellStyle name="20% - Énfasis2 7 4 3 2" xfId="36354" xr:uid="{C6245DF4-CE10-4F0A-AE56-9A41A0ED4A70}"/>
    <cellStyle name="20% - Énfasis2 7 4 4" xfId="36351" xr:uid="{CD88D28F-25F3-4DE9-8F4B-2483C84411B1}"/>
    <cellStyle name="20% - Énfasis2 7 5" xfId="8270" xr:uid="{871AC572-69A8-44F9-87E8-24421E1B10A4}"/>
    <cellStyle name="20% - Énfasis2 7 5 2" xfId="23683" xr:uid="{E9CEB54D-7E57-48FE-9F4C-934C9A53BE2C}"/>
    <cellStyle name="20% - Énfasis2 7 5 2 2" xfId="36356" xr:uid="{4FC7AF37-3B48-401E-AC9F-66055CA0ACC4}"/>
    <cellStyle name="20% - Énfasis2 7 5 3" xfId="36355" xr:uid="{F251527C-91DC-44C9-8568-BF675EE8F090}"/>
    <cellStyle name="20% - Énfasis2 7 6" xfId="15978" xr:uid="{97972600-8C85-4941-A860-5E3961A3B3C9}"/>
    <cellStyle name="20% - Énfasis2 7 6 2" xfId="36357" xr:uid="{2D6B6B3C-2830-42A0-AFD4-5A2DDFC71ADF}"/>
    <cellStyle name="20% - Énfasis2 7 7" xfId="36326" xr:uid="{F205EBBD-B6DB-46CE-AFE1-F502904E76DF}"/>
    <cellStyle name="20% - Énfasis2 8" xfId="547" xr:uid="{67C70697-E034-461D-AAFF-D0E2BBDDDDFA}"/>
    <cellStyle name="20% - Énfasis2 8 2" xfId="1208" xr:uid="{92C8BFF2-78EE-4475-B7FB-C91EC2F02A47}"/>
    <cellStyle name="20% - Énfasis2 8 2 2" xfId="2676" xr:uid="{A1B44719-2AFC-4EA8-A826-8AD7F9DE2435}"/>
    <cellStyle name="20% - Énfasis2 8 2 2 2" xfId="6408" xr:uid="{6DBD474E-E2B4-4E36-A58F-A5F82CD67DD7}"/>
    <cellStyle name="20% - Énfasis2 8 2 2 2 2" xfId="14116" xr:uid="{9F297478-A309-4F35-AEF1-2CA9C5ACDC79}"/>
    <cellStyle name="20% - Énfasis2 8 2 2 2 2 2" xfId="29528" xr:uid="{FC4CE4AB-38A0-4EC0-A09A-D04B8DD51F1B}"/>
    <cellStyle name="20% - Énfasis2 8 2 2 2 2 2 2" xfId="36363" xr:uid="{1EB3FDB8-F811-498C-B2A2-E15832E602F9}"/>
    <cellStyle name="20% - Énfasis2 8 2 2 2 2 3" xfId="36362" xr:uid="{67C63003-F0FA-4A2D-87F5-DA823A808BAF}"/>
    <cellStyle name="20% - Énfasis2 8 2 2 2 3" xfId="21823" xr:uid="{9A965254-7913-4625-849A-1A12DCA51465}"/>
    <cellStyle name="20% - Énfasis2 8 2 2 2 3 2" xfId="36364" xr:uid="{792B5A67-E1B6-4EB5-84D7-CBE22F9D8552}"/>
    <cellStyle name="20% - Énfasis2 8 2 2 2 4" xfId="36361" xr:uid="{F9AD72FC-C2F8-4D3A-BD5A-118D1A31783C}"/>
    <cellStyle name="20% - Énfasis2 8 2 2 3" xfId="10387" xr:uid="{99655C08-8727-4DC5-AA6B-228900F90480}"/>
    <cellStyle name="20% - Énfasis2 8 2 2 3 2" xfId="25800" xr:uid="{990DE122-736B-48D5-B24D-5418F68FD6A5}"/>
    <cellStyle name="20% - Énfasis2 8 2 2 3 2 2" xfId="36366" xr:uid="{BCFC456B-D726-40F6-85DF-0CAF3DED20E5}"/>
    <cellStyle name="20% - Énfasis2 8 2 2 3 3" xfId="36365" xr:uid="{3C65258C-59FF-4EE8-8DA6-1B210C87E77A}"/>
    <cellStyle name="20% - Énfasis2 8 2 2 4" xfId="18095" xr:uid="{F2D6DB85-9D42-4715-BD59-9E1C5138B432}"/>
    <cellStyle name="20% - Énfasis2 8 2 2 4 2" xfId="36367" xr:uid="{90FFBEF1-CE8E-430E-ABB4-1DC7ED98F44B}"/>
    <cellStyle name="20% - Énfasis2 8 2 2 5" xfId="36360" xr:uid="{096A00CD-87D5-4E81-89A4-218587CA9F8C}"/>
    <cellStyle name="20% - Énfasis2 8 2 3" xfId="4945" xr:uid="{D991952A-D0CE-43E5-9814-49C14A1F4006}"/>
    <cellStyle name="20% - Énfasis2 8 2 3 2" xfId="12653" xr:uid="{51E56DD4-70BE-4FEE-8480-103F7A5E0774}"/>
    <cellStyle name="20% - Énfasis2 8 2 3 2 2" xfId="28065" xr:uid="{056AFD1F-A0CC-4908-80BB-C04F72A3011D}"/>
    <cellStyle name="20% - Énfasis2 8 2 3 2 2 2" xfId="36370" xr:uid="{159267B1-F726-49FD-91DC-379C511B7374}"/>
    <cellStyle name="20% - Énfasis2 8 2 3 2 3" xfId="36369" xr:uid="{A9C25AB3-5CFE-4D01-AC52-47E17BAFC87A}"/>
    <cellStyle name="20% - Énfasis2 8 2 3 3" xfId="20360" xr:uid="{E39B646F-1FE5-4BEF-A069-2A754AB7D2E7}"/>
    <cellStyle name="20% - Énfasis2 8 2 3 3 2" xfId="36371" xr:uid="{1DB76C83-D05A-45FF-99AB-D6F08D6F9B50}"/>
    <cellStyle name="20% - Énfasis2 8 2 3 4" xfId="36368" xr:uid="{6BD2F94F-6923-429E-BC16-328BF8A98B79}"/>
    <cellStyle name="20% - Énfasis2 8 2 4" xfId="8928" xr:uid="{34FA5329-B555-415A-894A-39ED57748DEC}"/>
    <cellStyle name="20% - Énfasis2 8 2 4 2" xfId="24341" xr:uid="{B9F2EA1B-C05D-4AAE-9882-AA7178EE8782}"/>
    <cellStyle name="20% - Énfasis2 8 2 4 2 2" xfId="36373" xr:uid="{AFAA1ECD-DA1A-47D2-962E-7CA407AEB173}"/>
    <cellStyle name="20% - Énfasis2 8 2 4 3" xfId="36372" xr:uid="{894B2FA9-7C4D-4E76-8555-8D38126AA4B7}"/>
    <cellStyle name="20% - Énfasis2 8 2 5" xfId="16636" xr:uid="{F0273C72-A8F1-4BE6-A9BC-B7F570AA1159}"/>
    <cellStyle name="20% - Énfasis2 8 2 5 2" xfId="36374" xr:uid="{3329B495-B839-4A13-AEE0-95613F9CF438}"/>
    <cellStyle name="20% - Énfasis2 8 2 6" xfId="36359" xr:uid="{117D9430-29C3-4389-9086-F33946A1A91F}"/>
    <cellStyle name="20% - Énfasis2 8 3" xfId="2038" xr:uid="{250E7EF7-64CB-4AC9-8572-75004A3B84CE}"/>
    <cellStyle name="20% - Énfasis2 8 3 2" xfId="5770" xr:uid="{B9B445BA-722F-48B2-9DE4-75B2D3271C8A}"/>
    <cellStyle name="20% - Énfasis2 8 3 2 2" xfId="13478" xr:uid="{3E27B894-5B03-4876-8991-867278AED7D0}"/>
    <cellStyle name="20% - Énfasis2 8 3 2 2 2" xfId="28890" xr:uid="{B37AA755-B2F2-4360-AAA7-C97095D8BED1}"/>
    <cellStyle name="20% - Énfasis2 8 3 2 2 2 2" xfId="36378" xr:uid="{A05BC68F-B1C5-4452-8AD5-DF350D658C0E}"/>
    <cellStyle name="20% - Énfasis2 8 3 2 2 3" xfId="36377" xr:uid="{0297FBB3-130E-4EE6-A3EB-1069EDFE128C}"/>
    <cellStyle name="20% - Énfasis2 8 3 2 3" xfId="21185" xr:uid="{27BF810C-C578-4DB7-80F5-A934C3206E37}"/>
    <cellStyle name="20% - Énfasis2 8 3 2 3 2" xfId="36379" xr:uid="{DC767CBC-3003-446D-A938-99589315AC0A}"/>
    <cellStyle name="20% - Énfasis2 8 3 2 4" xfId="36376" xr:uid="{5CD0F6D1-4299-494F-9A48-2ADCB7537418}"/>
    <cellStyle name="20% - Énfasis2 8 3 3" xfId="9749" xr:uid="{E8D496D4-74F3-4EB6-AB0E-E960DC8F8963}"/>
    <cellStyle name="20% - Énfasis2 8 3 3 2" xfId="25162" xr:uid="{2646BC43-3BE5-44AE-825E-2BA69BF156AC}"/>
    <cellStyle name="20% - Énfasis2 8 3 3 2 2" xfId="36381" xr:uid="{1462F2D4-A8CF-4633-8CB5-04E9AA5A0952}"/>
    <cellStyle name="20% - Énfasis2 8 3 3 3" xfId="36380" xr:uid="{2C2559BE-512E-462E-8835-8851F4C3D5A0}"/>
    <cellStyle name="20% - Énfasis2 8 3 4" xfId="17457" xr:uid="{7980DE5C-805B-4022-B8B8-C79BBCE7538C}"/>
    <cellStyle name="20% - Énfasis2 8 3 4 2" xfId="36382" xr:uid="{56E3E87F-DA5E-45CC-8A57-331A98D22B5F}"/>
    <cellStyle name="20% - Énfasis2 8 3 5" xfId="36375" xr:uid="{BF25B154-3A38-49ED-9970-5620D42F4F98}"/>
    <cellStyle name="20% - Énfasis2 8 4" xfId="4293" xr:uid="{84F87705-4116-4936-88AB-C6578B7DA242}"/>
    <cellStyle name="20% - Énfasis2 8 4 2" xfId="12001" xr:uid="{31F78760-D0D8-4109-A4C3-1B0784FC99EE}"/>
    <cellStyle name="20% - Énfasis2 8 4 2 2" xfId="27413" xr:uid="{8A62DC55-0DC4-43A6-B5C6-ED03230E04C4}"/>
    <cellStyle name="20% - Énfasis2 8 4 2 2 2" xfId="36385" xr:uid="{7A8A8DF2-26C1-4562-93B7-80CDED54E19F}"/>
    <cellStyle name="20% - Énfasis2 8 4 2 3" xfId="36384" xr:uid="{8A0AAD31-E050-47D4-9370-21E3D673E477}"/>
    <cellStyle name="20% - Énfasis2 8 4 3" xfId="19708" xr:uid="{174DBA30-1025-4883-A01C-3977117F4C56}"/>
    <cellStyle name="20% - Énfasis2 8 4 3 2" xfId="36386" xr:uid="{97F60F38-5012-485C-9D9A-E18896830A37}"/>
    <cellStyle name="20% - Énfasis2 8 4 4" xfId="36383" xr:uid="{31312EAF-9E4C-48AB-88ED-9D4A91549342}"/>
    <cellStyle name="20% - Énfasis2 8 5" xfId="8290" xr:uid="{F14E8C9C-5D95-4505-9795-B347919B0231}"/>
    <cellStyle name="20% - Énfasis2 8 5 2" xfId="23703" xr:uid="{F77DA80E-0D97-43B7-AE3B-F781E39DFB36}"/>
    <cellStyle name="20% - Énfasis2 8 5 2 2" xfId="36388" xr:uid="{CBB8FAD1-A1E0-4C99-9A96-145FF0E3A8ED}"/>
    <cellStyle name="20% - Énfasis2 8 5 3" xfId="36387" xr:uid="{4A077241-5F00-419F-87C1-AD5811A3FF79}"/>
    <cellStyle name="20% - Énfasis2 8 6" xfId="15998" xr:uid="{013992CD-A8FC-4120-9563-4ABD556641ED}"/>
    <cellStyle name="20% - Énfasis2 8 6 2" xfId="36389" xr:uid="{0518DF2F-582B-4FEB-AA98-A5671262230B}"/>
    <cellStyle name="20% - Énfasis2 8 7" xfId="36358" xr:uid="{5D23601E-1516-4E42-8D5C-B8EB5DF9084B}"/>
    <cellStyle name="20% - Énfasis2 9" xfId="567" xr:uid="{1011E10A-9278-48CE-8102-DBED7EE0B98D}"/>
    <cellStyle name="20% - Énfasis2 9 2" xfId="1228" xr:uid="{033E0CD4-1E37-4006-8B33-7AC309F1769E}"/>
    <cellStyle name="20% - Énfasis2 9 2 2" xfId="2696" xr:uid="{DD0E6E3C-5AD1-448A-B452-A6A69C40C811}"/>
    <cellStyle name="20% - Énfasis2 9 2 2 2" xfId="6428" xr:uid="{28CFB8B3-7D05-4B0B-9A44-D66A9D7088C1}"/>
    <cellStyle name="20% - Énfasis2 9 2 2 2 2" xfId="14136" xr:uid="{5C37DF0A-7247-4892-90E6-C8C7B686B369}"/>
    <cellStyle name="20% - Énfasis2 9 2 2 2 2 2" xfId="29548" xr:uid="{413BD151-A6A2-4443-A743-69C7A2382A3A}"/>
    <cellStyle name="20% - Énfasis2 9 2 2 2 2 2 2" xfId="36395" xr:uid="{F220897E-78A5-4074-B4B4-3554B78034F9}"/>
    <cellStyle name="20% - Énfasis2 9 2 2 2 2 3" xfId="36394" xr:uid="{4B1DBCEA-8620-4C52-A744-A3C29B040EF0}"/>
    <cellStyle name="20% - Énfasis2 9 2 2 2 3" xfId="21843" xr:uid="{293F062E-D4F4-4AAB-85E4-8F17D6541275}"/>
    <cellStyle name="20% - Énfasis2 9 2 2 2 3 2" xfId="36396" xr:uid="{3681FD3D-1D2A-45CF-AA3B-EF60BE729C57}"/>
    <cellStyle name="20% - Énfasis2 9 2 2 2 4" xfId="36393" xr:uid="{E3F48BFC-A0E7-47AF-B86B-3C054FAC48A3}"/>
    <cellStyle name="20% - Énfasis2 9 2 2 3" xfId="10407" xr:uid="{4AF260F5-665D-4163-9EC7-A86C97EC1391}"/>
    <cellStyle name="20% - Énfasis2 9 2 2 3 2" xfId="25820" xr:uid="{CBC8C166-4F21-4C66-8EB5-BB2FB566A9D3}"/>
    <cellStyle name="20% - Énfasis2 9 2 2 3 2 2" xfId="36398" xr:uid="{D2E4988B-613F-4336-9194-C3FF76FB0D2E}"/>
    <cellStyle name="20% - Énfasis2 9 2 2 3 3" xfId="36397" xr:uid="{BCBE7FFA-7528-4FBE-BCA2-58D0D9489C1C}"/>
    <cellStyle name="20% - Énfasis2 9 2 2 4" xfId="18115" xr:uid="{65937D0F-4FE6-447B-90A8-A19E84BA66AB}"/>
    <cellStyle name="20% - Énfasis2 9 2 2 4 2" xfId="36399" xr:uid="{793CA1F3-3227-4934-AAA5-B2FEB9DD77EE}"/>
    <cellStyle name="20% - Énfasis2 9 2 2 5" xfId="36392" xr:uid="{69126A16-B746-4337-8E37-2267B1611FFA}"/>
    <cellStyle name="20% - Énfasis2 9 2 3" xfId="4965" xr:uid="{5F2E7A2C-33BD-4FCF-8E9E-94A8DE551BF9}"/>
    <cellStyle name="20% - Énfasis2 9 2 3 2" xfId="12673" xr:uid="{56567260-2756-469E-8558-87F32EF892CB}"/>
    <cellStyle name="20% - Énfasis2 9 2 3 2 2" xfId="28085" xr:uid="{A9E17E1A-BD01-4EB1-BD1C-1349E47FF23C}"/>
    <cellStyle name="20% - Énfasis2 9 2 3 2 2 2" xfId="36402" xr:uid="{BC3C6163-8C33-44E3-BDC9-7F8C2CE02DD3}"/>
    <cellStyle name="20% - Énfasis2 9 2 3 2 3" xfId="36401" xr:uid="{85367BCB-4A0C-4576-ACA2-63B52E6A817E}"/>
    <cellStyle name="20% - Énfasis2 9 2 3 3" xfId="20380" xr:uid="{580D959A-1021-4E20-9DBD-F2E4A8581D6C}"/>
    <cellStyle name="20% - Énfasis2 9 2 3 3 2" xfId="36403" xr:uid="{8A2F93F0-DB1D-470D-BE8F-946B0D5C60A8}"/>
    <cellStyle name="20% - Énfasis2 9 2 3 4" xfId="36400" xr:uid="{36AF1D71-0BB5-4071-9ADE-07EF8E5FBA1F}"/>
    <cellStyle name="20% - Énfasis2 9 2 4" xfId="8948" xr:uid="{C019AE07-95A0-4AC0-8F1C-C62461ECC645}"/>
    <cellStyle name="20% - Énfasis2 9 2 4 2" xfId="24361" xr:uid="{C8ADD70F-BF66-46F3-8629-50FBB2C0A222}"/>
    <cellStyle name="20% - Énfasis2 9 2 4 2 2" xfId="36405" xr:uid="{E5F60A1A-41D0-4583-88E3-A9147369205C}"/>
    <cellStyle name="20% - Énfasis2 9 2 4 3" xfId="36404" xr:uid="{B7971400-A187-4BF8-9691-D04F76A23D3D}"/>
    <cellStyle name="20% - Énfasis2 9 2 5" xfId="16656" xr:uid="{E7F32B45-2E41-4FB9-88BF-5D46EE2FD619}"/>
    <cellStyle name="20% - Énfasis2 9 2 5 2" xfId="36406" xr:uid="{BA0551FF-BB5E-454E-8C7B-627246D7A3A3}"/>
    <cellStyle name="20% - Énfasis2 9 2 6" xfId="36391" xr:uid="{19696E52-E6C0-4D0A-9020-9885A9173154}"/>
    <cellStyle name="20% - Énfasis2 9 3" xfId="2058" xr:uid="{87E03DFA-0D1E-4D86-86BB-B577285C4985}"/>
    <cellStyle name="20% - Énfasis2 9 3 2" xfId="5790" xr:uid="{A524678E-DD2D-485B-BF7F-8C944DADAE50}"/>
    <cellStyle name="20% - Énfasis2 9 3 2 2" xfId="13498" xr:uid="{6A01D525-88A9-47C0-B590-8C8DB4DA5D7A}"/>
    <cellStyle name="20% - Énfasis2 9 3 2 2 2" xfId="28910" xr:uid="{2C39485C-DEF5-42EA-BF93-CC3E58CBBF6F}"/>
    <cellStyle name="20% - Énfasis2 9 3 2 2 2 2" xfId="36410" xr:uid="{70CD2791-2F44-4C89-8D3C-928E79DCE2A2}"/>
    <cellStyle name="20% - Énfasis2 9 3 2 2 3" xfId="36409" xr:uid="{488F8D52-B61D-489A-97B7-B9B4F0799E33}"/>
    <cellStyle name="20% - Énfasis2 9 3 2 3" xfId="21205" xr:uid="{3A3DC26E-1C62-401A-BEEE-D081C41B294A}"/>
    <cellStyle name="20% - Énfasis2 9 3 2 3 2" xfId="36411" xr:uid="{7453E89B-7A6F-4A31-B8C5-977419913F1F}"/>
    <cellStyle name="20% - Énfasis2 9 3 2 4" xfId="36408" xr:uid="{92904C9A-13AF-4529-86DE-496A61D1E4BD}"/>
    <cellStyle name="20% - Énfasis2 9 3 3" xfId="9769" xr:uid="{D478807C-9F4C-44E8-91D6-7174C4760E5B}"/>
    <cellStyle name="20% - Énfasis2 9 3 3 2" xfId="25182" xr:uid="{96814261-4E05-458A-91D0-E1038F6D6D07}"/>
    <cellStyle name="20% - Énfasis2 9 3 3 2 2" xfId="36413" xr:uid="{ADB6B771-A4BA-4F28-B865-86C17DD6DC9A}"/>
    <cellStyle name="20% - Énfasis2 9 3 3 3" xfId="36412" xr:uid="{21933985-04BE-4143-BCD7-864E3451B701}"/>
    <cellStyle name="20% - Énfasis2 9 3 4" xfId="17477" xr:uid="{61EC7998-FAA0-4714-8351-64E2E4C67B7C}"/>
    <cellStyle name="20% - Énfasis2 9 3 4 2" xfId="36414" xr:uid="{612F9123-062E-4610-A97F-9103E10D9E67}"/>
    <cellStyle name="20% - Énfasis2 9 3 5" xfId="36407" xr:uid="{7E8C3D46-C2FA-4604-9E6A-415487AF1588}"/>
    <cellStyle name="20% - Énfasis2 9 4" xfId="4313" xr:uid="{AC6E35A7-AEDC-4E2C-8D43-23ED1B11BD9F}"/>
    <cellStyle name="20% - Énfasis2 9 4 2" xfId="12021" xr:uid="{40B86A2D-F611-445F-852D-72B278578DDD}"/>
    <cellStyle name="20% - Énfasis2 9 4 2 2" xfId="27433" xr:uid="{22BB904D-9902-4477-8552-85D1BA78F2F1}"/>
    <cellStyle name="20% - Énfasis2 9 4 2 2 2" xfId="36417" xr:uid="{5C54A92E-0D7D-49E7-861C-72AA77350A0E}"/>
    <cellStyle name="20% - Énfasis2 9 4 2 3" xfId="36416" xr:uid="{921C5218-D288-449D-8FC2-18D270F8B4C0}"/>
    <cellStyle name="20% - Énfasis2 9 4 3" xfId="19728" xr:uid="{A9FA4B05-5A28-4E6D-8BBC-B9842BFD42C0}"/>
    <cellStyle name="20% - Énfasis2 9 4 3 2" xfId="36418" xr:uid="{11431DD8-F988-4DCA-8270-ADE98963DC7F}"/>
    <cellStyle name="20% - Énfasis2 9 4 4" xfId="36415" xr:uid="{2B3EE1A8-BDCC-4DCE-9C61-338D2FF228C6}"/>
    <cellStyle name="20% - Énfasis2 9 5" xfId="8310" xr:uid="{7EE8BCC8-8DAC-4B81-9ACC-88ABFF7B8199}"/>
    <cellStyle name="20% - Énfasis2 9 5 2" xfId="23723" xr:uid="{DA3E1B60-62F1-4479-966C-F6A85AEE5A8B}"/>
    <cellStyle name="20% - Énfasis2 9 5 2 2" xfId="36420" xr:uid="{0C8AB06F-879D-4F38-81B6-BEE40870A44E}"/>
    <cellStyle name="20% - Énfasis2 9 5 3" xfId="36419" xr:uid="{341D409A-6574-4772-AACB-5A11A5A84A25}"/>
    <cellStyle name="20% - Énfasis2 9 6" xfId="16018" xr:uid="{19C75540-576D-4A52-BCE9-3413EAE8D0D6}"/>
    <cellStyle name="20% - Énfasis2 9 6 2" xfId="36421" xr:uid="{E43173DF-D80C-4597-8E10-DF14ED56F594}"/>
    <cellStyle name="20% - Énfasis2 9 7" xfId="36390" xr:uid="{FD64A8CD-7442-4006-A2BB-49155282110E}"/>
    <cellStyle name="20% - Énfasis3" xfId="8" builtinId="38" customBuiltin="1"/>
    <cellStyle name="20% - Énfasis3 10" xfId="590" xr:uid="{E0E6DC34-3D58-4A6B-878B-A44EFD9820CB}"/>
    <cellStyle name="20% - Énfasis3 10 2" xfId="1251" xr:uid="{57EF9A9F-44B5-429E-A74A-789F267C120E}"/>
    <cellStyle name="20% - Énfasis3 10 2 2" xfId="2719" xr:uid="{94ED02A8-38D9-40A3-87FB-30DBED327B2D}"/>
    <cellStyle name="20% - Énfasis3 10 2 2 2" xfId="6451" xr:uid="{43C3E146-085E-4F41-8928-0412277DCAF6}"/>
    <cellStyle name="20% - Énfasis3 10 2 2 2 2" xfId="14159" xr:uid="{6D4282A2-99AC-4001-B5D4-3236F7C39F40}"/>
    <cellStyle name="20% - Énfasis3 10 2 2 2 2 2" xfId="29571" xr:uid="{5C00C17D-C8E1-46B6-B38F-94A24E759EDD}"/>
    <cellStyle name="20% - Énfasis3 10 2 2 2 2 2 2" xfId="36427" xr:uid="{ED999BF6-AF8F-4F06-B492-79375A0E36F4}"/>
    <cellStyle name="20% - Énfasis3 10 2 2 2 2 3" xfId="36426" xr:uid="{824BA0B5-9905-412A-BA44-33823C9BEDBB}"/>
    <cellStyle name="20% - Énfasis3 10 2 2 2 3" xfId="21866" xr:uid="{1D2D4B6A-23AB-4C5F-8A14-51C958C318EE}"/>
    <cellStyle name="20% - Énfasis3 10 2 2 2 3 2" xfId="36428" xr:uid="{BB666EAD-C752-4BBC-8721-4A91CC0E208D}"/>
    <cellStyle name="20% - Énfasis3 10 2 2 2 4" xfId="36425" xr:uid="{B5E84D0A-0FBC-4410-B7B1-1541CC29568E}"/>
    <cellStyle name="20% - Énfasis3 10 2 2 3" xfId="10430" xr:uid="{34969C95-53E9-4C0C-8829-348D7553A2EC}"/>
    <cellStyle name="20% - Énfasis3 10 2 2 3 2" xfId="25843" xr:uid="{F10B0EFA-BA36-47F3-B338-9F4938AEF380}"/>
    <cellStyle name="20% - Énfasis3 10 2 2 3 2 2" xfId="36430" xr:uid="{37668451-C88D-46E5-B16C-5498CA4DD723}"/>
    <cellStyle name="20% - Énfasis3 10 2 2 3 3" xfId="36429" xr:uid="{E2CBAF4A-A2B9-4F37-B91F-264CC0750A6B}"/>
    <cellStyle name="20% - Énfasis3 10 2 2 4" xfId="18138" xr:uid="{BDA13FFA-6CC2-45EE-8984-A242EF15EDB9}"/>
    <cellStyle name="20% - Énfasis3 10 2 2 4 2" xfId="36431" xr:uid="{5E0BFB45-4631-426D-B6BF-53C18AA6BB3B}"/>
    <cellStyle name="20% - Énfasis3 10 2 2 5" xfId="36424" xr:uid="{772A0659-E5E4-4B19-ABA9-F7E9BBC2D306}"/>
    <cellStyle name="20% - Énfasis3 10 2 3" xfId="4988" xr:uid="{252C61BC-E912-4241-BC06-47795EC119D2}"/>
    <cellStyle name="20% - Énfasis3 10 2 3 2" xfId="12696" xr:uid="{D5D5F0CB-25F4-43BF-848C-90E11163720C}"/>
    <cellStyle name="20% - Énfasis3 10 2 3 2 2" xfId="28108" xr:uid="{8854773B-FFC7-4BD6-83CB-B3018D4ED982}"/>
    <cellStyle name="20% - Énfasis3 10 2 3 2 2 2" xfId="36434" xr:uid="{8200EF9C-8FDE-468E-88B3-283D88175D43}"/>
    <cellStyle name="20% - Énfasis3 10 2 3 2 3" xfId="36433" xr:uid="{764D8C82-9918-4927-9C87-19D254F3C4F0}"/>
    <cellStyle name="20% - Énfasis3 10 2 3 3" xfId="20403" xr:uid="{012068B3-C931-4A9F-8A7F-2C48DBFF3987}"/>
    <cellStyle name="20% - Énfasis3 10 2 3 3 2" xfId="36435" xr:uid="{CC3484C2-2A0D-472E-8F96-5588551485A6}"/>
    <cellStyle name="20% - Énfasis3 10 2 3 4" xfId="36432" xr:uid="{DD523DAA-DE71-42D8-989D-61CFEE2E97CB}"/>
    <cellStyle name="20% - Énfasis3 10 2 4" xfId="8971" xr:uid="{C2B35586-00DC-4293-9FDC-93D953E55FDC}"/>
    <cellStyle name="20% - Énfasis3 10 2 4 2" xfId="24384" xr:uid="{428E0F87-073D-41D8-8D33-71627747538B}"/>
    <cellStyle name="20% - Énfasis3 10 2 4 2 2" xfId="36437" xr:uid="{932D72BA-D096-4E2B-8482-644AE57BA895}"/>
    <cellStyle name="20% - Énfasis3 10 2 4 3" xfId="36436" xr:uid="{9B529BBC-721A-49DD-8F56-4286B438A383}"/>
    <cellStyle name="20% - Énfasis3 10 2 5" xfId="16679" xr:uid="{5CA7F204-9F91-4D30-B941-4102911380CC}"/>
    <cellStyle name="20% - Énfasis3 10 2 5 2" xfId="36438" xr:uid="{64DBFB24-246A-44DB-A2AB-F5894A3B0B58}"/>
    <cellStyle name="20% - Énfasis3 10 2 6" xfId="36423" xr:uid="{D04ED426-2E51-40BD-B2A2-CBD6B158BD64}"/>
    <cellStyle name="20% - Énfasis3 10 3" xfId="2081" xr:uid="{B6F28050-BED6-4687-9F99-C954596C04E5}"/>
    <cellStyle name="20% - Énfasis3 10 3 2" xfId="5813" xr:uid="{5ACE45F7-1FC9-4AEC-BE55-30EF3FDC0372}"/>
    <cellStyle name="20% - Énfasis3 10 3 2 2" xfId="13521" xr:uid="{7328F5BD-2594-4025-B63A-90DE36CBDB66}"/>
    <cellStyle name="20% - Énfasis3 10 3 2 2 2" xfId="28933" xr:uid="{B6DC39FF-C254-4A71-A9FF-74AB4ACC7259}"/>
    <cellStyle name="20% - Énfasis3 10 3 2 2 2 2" xfId="36442" xr:uid="{7462F432-A6BB-4E54-8668-8CBC6A2E9AC3}"/>
    <cellStyle name="20% - Énfasis3 10 3 2 2 3" xfId="36441" xr:uid="{C4D63EB7-C5E4-4322-B39F-5796E3788B8A}"/>
    <cellStyle name="20% - Énfasis3 10 3 2 3" xfId="21228" xr:uid="{2C8A744B-7C90-466D-858E-EB36A1D21B56}"/>
    <cellStyle name="20% - Énfasis3 10 3 2 3 2" xfId="36443" xr:uid="{92BE435F-44FF-413B-86EC-C16F105B46DC}"/>
    <cellStyle name="20% - Énfasis3 10 3 2 4" xfId="36440" xr:uid="{92BA3369-F011-48F7-BA3F-8E59CF231E66}"/>
    <cellStyle name="20% - Énfasis3 10 3 3" xfId="9792" xr:uid="{17E16315-07A9-4060-9991-D94B4F518368}"/>
    <cellStyle name="20% - Énfasis3 10 3 3 2" xfId="25205" xr:uid="{4AE079F2-A7A8-4EB0-9973-66EDA1C08571}"/>
    <cellStyle name="20% - Énfasis3 10 3 3 2 2" xfId="36445" xr:uid="{2ADC7901-09A1-4C21-BA93-3D3FC8110679}"/>
    <cellStyle name="20% - Énfasis3 10 3 3 3" xfId="36444" xr:uid="{9179BC34-9081-4F1A-8AA0-A5A7F8C41922}"/>
    <cellStyle name="20% - Énfasis3 10 3 4" xfId="17500" xr:uid="{25DF132F-63B8-4E1D-AF63-9974483E25C3}"/>
    <cellStyle name="20% - Énfasis3 10 3 4 2" xfId="36446" xr:uid="{A69119B3-E6E5-4C04-A6E2-30BAAAEF8C79}"/>
    <cellStyle name="20% - Énfasis3 10 3 5" xfId="36439" xr:uid="{3197A64D-D4F5-474C-AEA9-D8E36F2BE1B8}"/>
    <cellStyle name="20% - Énfasis3 10 4" xfId="4336" xr:uid="{86E290B8-B5D2-4447-A43F-D4EB19FEBAFF}"/>
    <cellStyle name="20% - Énfasis3 10 4 2" xfId="12044" xr:uid="{81AFCA08-E790-48E0-B3F2-F70578390BEC}"/>
    <cellStyle name="20% - Énfasis3 10 4 2 2" xfId="27456" xr:uid="{462B9F54-1B79-4F57-A522-E839243BE90B}"/>
    <cellStyle name="20% - Énfasis3 10 4 2 2 2" xfId="36449" xr:uid="{0CDAA5A0-53F3-434A-AE06-E07EFFB4F3DD}"/>
    <cellStyle name="20% - Énfasis3 10 4 2 3" xfId="36448" xr:uid="{EF467F91-A4CE-4B99-859B-260C409C7821}"/>
    <cellStyle name="20% - Énfasis3 10 4 3" xfId="19751" xr:uid="{6A73B060-5E18-4628-BE5D-224E34D10FF8}"/>
    <cellStyle name="20% - Énfasis3 10 4 3 2" xfId="36450" xr:uid="{D08D81DC-B23A-41BF-8BCC-1A1FB296426A}"/>
    <cellStyle name="20% - Énfasis3 10 4 4" xfId="36447" xr:uid="{04709D57-4D76-443D-8B9A-23B9B5B98241}"/>
    <cellStyle name="20% - Énfasis3 10 5" xfId="8333" xr:uid="{EE84C319-D30E-4497-B165-09529F9A2233}"/>
    <cellStyle name="20% - Énfasis3 10 5 2" xfId="23746" xr:uid="{64185E07-48EF-4FEA-803A-A229B3A0FC3F}"/>
    <cellStyle name="20% - Énfasis3 10 5 2 2" xfId="36452" xr:uid="{67E19D5A-CA0D-4C29-9C0C-8AECF78760FF}"/>
    <cellStyle name="20% - Énfasis3 10 5 3" xfId="36451" xr:uid="{54FB2819-06F7-4F24-9E5E-83157D1F6DB2}"/>
    <cellStyle name="20% - Énfasis3 10 6" xfId="16041" xr:uid="{0818F445-7832-40A7-A200-3775140B1788}"/>
    <cellStyle name="20% - Énfasis3 10 6 2" xfId="36453" xr:uid="{330610A3-77DD-4633-A34D-CE87EF108AAD}"/>
    <cellStyle name="20% - Énfasis3 10 7" xfId="36422" xr:uid="{B5DA97A7-CF6A-47D1-A511-0CC29A86A701}"/>
    <cellStyle name="20% - Énfasis3 11" xfId="611" xr:uid="{51571027-1DEE-47A5-A567-1CB4DDEA49BB}"/>
    <cellStyle name="20% - Énfasis3 11 2" xfId="1272" xr:uid="{E5F2DA9D-8EA3-4E70-B768-4F0B4F7993D5}"/>
    <cellStyle name="20% - Énfasis3 11 2 2" xfId="2739" xr:uid="{36F24876-3546-42C7-9436-796BE75F42CD}"/>
    <cellStyle name="20% - Énfasis3 11 2 2 2" xfId="6471" xr:uid="{839468FE-FCC9-4572-B59F-F242A3C7D332}"/>
    <cellStyle name="20% - Énfasis3 11 2 2 2 2" xfId="14179" xr:uid="{06A008E8-3CD7-4A97-86D4-B9A64E5FBF68}"/>
    <cellStyle name="20% - Énfasis3 11 2 2 2 2 2" xfId="29591" xr:uid="{EDF6C997-C00B-4A1F-8858-B5FC2FB5A709}"/>
    <cellStyle name="20% - Énfasis3 11 2 2 2 2 2 2" xfId="36459" xr:uid="{DC079F84-0DE1-4531-8576-90FA62C28C8F}"/>
    <cellStyle name="20% - Énfasis3 11 2 2 2 2 3" xfId="36458" xr:uid="{828B4D49-7EC1-40AD-8A6B-E87D884807AE}"/>
    <cellStyle name="20% - Énfasis3 11 2 2 2 3" xfId="21886" xr:uid="{316AECB6-6BCC-4C59-BCC3-991080ACDEFD}"/>
    <cellStyle name="20% - Énfasis3 11 2 2 2 3 2" xfId="36460" xr:uid="{5727919A-06BB-4B54-A23D-B343E02CCD98}"/>
    <cellStyle name="20% - Énfasis3 11 2 2 2 4" xfId="36457" xr:uid="{A1253A71-0554-4FB8-9042-C0FCEFA2BB16}"/>
    <cellStyle name="20% - Énfasis3 11 2 2 3" xfId="10450" xr:uid="{2C089F38-6BA8-4806-9C89-871724B6C5BD}"/>
    <cellStyle name="20% - Énfasis3 11 2 2 3 2" xfId="25863" xr:uid="{AF66BE12-83FE-4835-9BC4-5992D5B978CF}"/>
    <cellStyle name="20% - Énfasis3 11 2 2 3 2 2" xfId="36462" xr:uid="{D252954A-CBF1-44FB-A4DA-604AF267EBC3}"/>
    <cellStyle name="20% - Énfasis3 11 2 2 3 3" xfId="36461" xr:uid="{3FBEB2A9-B827-4F49-96FF-DBB4B76612A5}"/>
    <cellStyle name="20% - Énfasis3 11 2 2 4" xfId="18158" xr:uid="{ACAF6A54-BBA8-4AEB-BD08-CC3007E107B4}"/>
    <cellStyle name="20% - Énfasis3 11 2 2 4 2" xfId="36463" xr:uid="{BD4F13FE-DC5C-4AF8-B9F1-BB4D3F66C1B7}"/>
    <cellStyle name="20% - Énfasis3 11 2 2 5" xfId="36456" xr:uid="{B5B15D97-748D-4596-9968-93C8CB8D1900}"/>
    <cellStyle name="20% - Énfasis3 11 2 3" xfId="5008" xr:uid="{8C4EFAAB-95E2-44DA-89B5-3AA2A53ABD43}"/>
    <cellStyle name="20% - Énfasis3 11 2 3 2" xfId="12716" xr:uid="{4A6F4AAC-41C3-4C04-934B-74599AEE2C20}"/>
    <cellStyle name="20% - Énfasis3 11 2 3 2 2" xfId="28128" xr:uid="{BB664C4D-9C86-4C6A-BB29-913FF61B839D}"/>
    <cellStyle name="20% - Énfasis3 11 2 3 2 2 2" xfId="36466" xr:uid="{DAA6C74B-B863-4AC9-87D9-508D6EE55A18}"/>
    <cellStyle name="20% - Énfasis3 11 2 3 2 3" xfId="36465" xr:uid="{087FDB73-56C8-413D-8A0B-0EF485E35443}"/>
    <cellStyle name="20% - Énfasis3 11 2 3 3" xfId="20423" xr:uid="{E926EDC7-2A14-441D-90B6-DD49A5C693AF}"/>
    <cellStyle name="20% - Énfasis3 11 2 3 3 2" xfId="36467" xr:uid="{30A28319-2D92-499E-90F6-7EF105847E7F}"/>
    <cellStyle name="20% - Énfasis3 11 2 3 4" xfId="36464" xr:uid="{AA2AD4E8-0D35-415F-A24D-77F9DB785E3B}"/>
    <cellStyle name="20% - Énfasis3 11 2 4" xfId="8991" xr:uid="{B7E63331-8E26-47C1-8A05-D322F8BA9E8F}"/>
    <cellStyle name="20% - Énfasis3 11 2 4 2" xfId="24404" xr:uid="{489D0D6B-2379-4905-8E0C-88C73049B59B}"/>
    <cellStyle name="20% - Énfasis3 11 2 4 2 2" xfId="36469" xr:uid="{AA5AB53A-FA88-4DB3-BD5F-255BADDE7156}"/>
    <cellStyle name="20% - Énfasis3 11 2 4 3" xfId="36468" xr:uid="{86ED57AA-C5A3-4CBF-B4C5-81E1428A5B87}"/>
    <cellStyle name="20% - Énfasis3 11 2 5" xfId="16699" xr:uid="{2462601B-B7C8-4A47-A732-E817E79BB9E7}"/>
    <cellStyle name="20% - Énfasis3 11 2 5 2" xfId="36470" xr:uid="{51AADD9D-FDB9-4609-95AE-96283B902B4D}"/>
    <cellStyle name="20% - Énfasis3 11 2 6" xfId="36455" xr:uid="{9AA50286-5E10-46B7-AD0F-AB2B1D8C0262}"/>
    <cellStyle name="20% - Énfasis3 11 3" xfId="2101" xr:uid="{4BFD955E-E3C5-4058-8209-25CA0D0C30E3}"/>
    <cellStyle name="20% - Énfasis3 11 3 2" xfId="5833" xr:uid="{BAEC134F-A943-4D03-9AD4-BCD5C88E44D5}"/>
    <cellStyle name="20% - Énfasis3 11 3 2 2" xfId="13541" xr:uid="{C2162776-5D53-496F-A1EC-47134F204060}"/>
    <cellStyle name="20% - Énfasis3 11 3 2 2 2" xfId="28953" xr:uid="{44524AFA-8BF3-4404-9849-47B633A1117A}"/>
    <cellStyle name="20% - Énfasis3 11 3 2 2 2 2" xfId="36474" xr:uid="{39F715E2-5324-43A6-AB0E-15CEDB0A4FCE}"/>
    <cellStyle name="20% - Énfasis3 11 3 2 2 3" xfId="36473" xr:uid="{5425EE7B-1D16-4811-8744-6DD935E25402}"/>
    <cellStyle name="20% - Énfasis3 11 3 2 3" xfId="21248" xr:uid="{F6039AA7-0DF7-4460-8F2F-754F93DA1B7B}"/>
    <cellStyle name="20% - Énfasis3 11 3 2 3 2" xfId="36475" xr:uid="{07486637-BD47-44D9-9D43-55225B62D6D9}"/>
    <cellStyle name="20% - Énfasis3 11 3 2 4" xfId="36472" xr:uid="{A48E99C8-74E2-430F-B1FB-774E6A2F3C82}"/>
    <cellStyle name="20% - Énfasis3 11 3 3" xfId="9812" xr:uid="{97A7D0ED-3B9A-4D06-81A3-DEE60C5529B6}"/>
    <cellStyle name="20% - Énfasis3 11 3 3 2" xfId="25225" xr:uid="{9ABF52C5-9BBF-47AB-A1BF-CD147B991FFB}"/>
    <cellStyle name="20% - Énfasis3 11 3 3 2 2" xfId="36477" xr:uid="{1D113D14-4C49-4E79-B2A3-DBC88471AB31}"/>
    <cellStyle name="20% - Énfasis3 11 3 3 3" xfId="36476" xr:uid="{0288182D-BBB8-4A49-B835-F11572F83F50}"/>
    <cellStyle name="20% - Énfasis3 11 3 4" xfId="17520" xr:uid="{1B1C261A-7695-4BAC-9414-40E1C0810270}"/>
    <cellStyle name="20% - Énfasis3 11 3 4 2" xfId="36478" xr:uid="{15A983F5-A25B-4C7C-8EE1-B26506500014}"/>
    <cellStyle name="20% - Énfasis3 11 3 5" xfId="36471" xr:uid="{13013E37-C774-4D4D-8D6E-FD7E694BBB24}"/>
    <cellStyle name="20% - Énfasis3 11 4" xfId="4356" xr:uid="{66254EEF-02D8-4AC4-B29B-2BDB08F055A6}"/>
    <cellStyle name="20% - Énfasis3 11 4 2" xfId="12064" xr:uid="{A8E1CE28-6A1F-44C7-9F8F-B4968D88EAB3}"/>
    <cellStyle name="20% - Énfasis3 11 4 2 2" xfId="27476" xr:uid="{4F802807-012B-4B27-8F9D-74CAD95E9C04}"/>
    <cellStyle name="20% - Énfasis3 11 4 2 2 2" xfId="36481" xr:uid="{B0CB3DC0-B172-47F7-B9BB-15229B1D4DAD}"/>
    <cellStyle name="20% - Énfasis3 11 4 2 3" xfId="36480" xr:uid="{B9737B0A-CA4B-49DA-928A-48E2988C9084}"/>
    <cellStyle name="20% - Énfasis3 11 4 3" xfId="19771" xr:uid="{3509E05F-47A0-4B68-A29D-4DFDAAA08793}"/>
    <cellStyle name="20% - Énfasis3 11 4 3 2" xfId="36482" xr:uid="{36D0A7BE-32C2-48E5-995A-8A1FD1B2A0B0}"/>
    <cellStyle name="20% - Énfasis3 11 4 4" xfId="36479" xr:uid="{E1751AD6-2F7D-4028-B26B-92A9814D1F25}"/>
    <cellStyle name="20% - Énfasis3 11 5" xfId="8353" xr:uid="{F036F695-1D60-4E0D-ACAA-4B15B0E2A255}"/>
    <cellStyle name="20% - Énfasis3 11 5 2" xfId="23766" xr:uid="{D1A6A022-E07A-4423-9C52-25B0BE82B954}"/>
    <cellStyle name="20% - Énfasis3 11 5 2 2" xfId="36484" xr:uid="{0F1F931F-F518-4AA2-B1B0-35F3AA6AF021}"/>
    <cellStyle name="20% - Énfasis3 11 5 3" xfId="36483" xr:uid="{7E97B442-541A-4415-8E43-FE1566526F75}"/>
    <cellStyle name="20% - Énfasis3 11 6" xfId="16061" xr:uid="{9630FFB7-6A8B-4308-8CF4-AACBD96E9EBC}"/>
    <cellStyle name="20% - Énfasis3 11 6 2" xfId="36485" xr:uid="{9BFC80A7-AC75-4B16-BBD9-005C9590D19F}"/>
    <cellStyle name="20% - Énfasis3 11 7" xfId="36454" xr:uid="{0E69AB46-F5AA-43B7-9D43-2B4C94D5C78F}"/>
    <cellStyle name="20% - Énfasis3 12" xfId="631" xr:uid="{FCDD5338-F311-496F-81F5-F2FE6A588FD0}"/>
    <cellStyle name="20% - Énfasis3 12 2" xfId="1292" xr:uid="{ADE5BB75-C3B4-4B26-A91B-646B309068D5}"/>
    <cellStyle name="20% - Énfasis3 12 2 2" xfId="2759" xr:uid="{C5346C8B-5A8E-4F35-9CB9-D0CB79E4C297}"/>
    <cellStyle name="20% - Énfasis3 12 2 2 2" xfId="6491" xr:uid="{BA943623-0104-458D-A85F-E2758FF726DD}"/>
    <cellStyle name="20% - Énfasis3 12 2 2 2 2" xfId="14199" xr:uid="{30A766B8-470F-41B0-8D09-212F21AF3702}"/>
    <cellStyle name="20% - Énfasis3 12 2 2 2 2 2" xfId="29611" xr:uid="{7EAD281B-C2AB-4987-8F61-F6A43ACE2ABC}"/>
    <cellStyle name="20% - Énfasis3 12 2 2 2 2 2 2" xfId="36491" xr:uid="{E064387D-401F-441F-98C3-458E863D3D6B}"/>
    <cellStyle name="20% - Énfasis3 12 2 2 2 2 3" xfId="36490" xr:uid="{3B2978E7-43A3-4123-9B2B-6F62414AA31E}"/>
    <cellStyle name="20% - Énfasis3 12 2 2 2 3" xfId="21906" xr:uid="{DAC461BA-B0B2-4FFA-B8F0-DC9D26722F74}"/>
    <cellStyle name="20% - Énfasis3 12 2 2 2 3 2" xfId="36492" xr:uid="{6FA5ECD9-BE63-4157-8079-C7D8D98978AF}"/>
    <cellStyle name="20% - Énfasis3 12 2 2 2 4" xfId="36489" xr:uid="{490E68E6-2FF3-4221-8BDF-5EB4F3C13F9F}"/>
    <cellStyle name="20% - Énfasis3 12 2 2 3" xfId="10470" xr:uid="{4D36FA58-06FB-42AC-B5F9-ADC585DC06CA}"/>
    <cellStyle name="20% - Énfasis3 12 2 2 3 2" xfId="25883" xr:uid="{F0829B6F-FD8E-43C6-9DE7-2FAA6358C991}"/>
    <cellStyle name="20% - Énfasis3 12 2 2 3 2 2" xfId="36494" xr:uid="{01E77790-E5E2-40FD-9FE2-F7EB7FCF9D06}"/>
    <cellStyle name="20% - Énfasis3 12 2 2 3 3" xfId="36493" xr:uid="{4492103E-53FD-40F9-8C9B-D52AE3BC1D2A}"/>
    <cellStyle name="20% - Énfasis3 12 2 2 4" xfId="18178" xr:uid="{7CA61068-9A2C-4399-81CD-233E3ED112B6}"/>
    <cellStyle name="20% - Énfasis3 12 2 2 4 2" xfId="36495" xr:uid="{6FB201AD-604D-4807-A323-7D613EA8F4F9}"/>
    <cellStyle name="20% - Énfasis3 12 2 2 5" xfId="36488" xr:uid="{0EFA8223-6ACD-4166-A7B8-F448A1B0C76F}"/>
    <cellStyle name="20% - Énfasis3 12 2 3" xfId="5028" xr:uid="{B641A332-B23F-4DA1-BC53-7DBA66397C87}"/>
    <cellStyle name="20% - Énfasis3 12 2 3 2" xfId="12736" xr:uid="{AB472922-6A45-473B-A321-CBD3DA7A96C4}"/>
    <cellStyle name="20% - Énfasis3 12 2 3 2 2" xfId="28148" xr:uid="{7328C1E4-94C1-474F-838C-6812461B6954}"/>
    <cellStyle name="20% - Énfasis3 12 2 3 2 2 2" xfId="36498" xr:uid="{73E4DBD9-B173-4AE0-AE20-749AD5A9334D}"/>
    <cellStyle name="20% - Énfasis3 12 2 3 2 3" xfId="36497" xr:uid="{8BD16766-932C-45C9-90AF-95825C1FF5F0}"/>
    <cellStyle name="20% - Énfasis3 12 2 3 3" xfId="20443" xr:uid="{3B33DC68-67E9-4DDA-883A-2252ADA0086E}"/>
    <cellStyle name="20% - Énfasis3 12 2 3 3 2" xfId="36499" xr:uid="{045A3931-0975-4065-88EF-59F1558C8BCB}"/>
    <cellStyle name="20% - Énfasis3 12 2 3 4" xfId="36496" xr:uid="{04D0E161-A10C-454E-962D-BE100F895E6F}"/>
    <cellStyle name="20% - Énfasis3 12 2 4" xfId="9011" xr:uid="{8996052D-DBC5-415A-B5D0-0DD12328D0B7}"/>
    <cellStyle name="20% - Énfasis3 12 2 4 2" xfId="24424" xr:uid="{AC477ECA-AF88-4B62-AB59-99B4D828029E}"/>
    <cellStyle name="20% - Énfasis3 12 2 4 2 2" xfId="36501" xr:uid="{C6F1AA9D-68BD-4CF8-A235-3B4A1492A595}"/>
    <cellStyle name="20% - Énfasis3 12 2 4 3" xfId="36500" xr:uid="{CDCD5C90-2FA7-4798-8B88-24C105A31976}"/>
    <cellStyle name="20% - Énfasis3 12 2 5" xfId="16719" xr:uid="{B813C046-4771-4239-BC87-4E2FC3FD43A3}"/>
    <cellStyle name="20% - Énfasis3 12 2 5 2" xfId="36502" xr:uid="{32E9F546-75E5-4215-BA7F-AD19E76A9F60}"/>
    <cellStyle name="20% - Énfasis3 12 2 6" xfId="36487" xr:uid="{AAF04467-AA18-425D-9ED0-91ED195AA980}"/>
    <cellStyle name="20% - Énfasis3 12 3" xfId="2121" xr:uid="{7F4C8E7E-4352-4C2D-9B98-A396D44AA4FD}"/>
    <cellStyle name="20% - Énfasis3 12 3 2" xfId="5853" xr:uid="{27A4D489-C5E9-47D8-8628-7F7B8378AE32}"/>
    <cellStyle name="20% - Énfasis3 12 3 2 2" xfId="13561" xr:uid="{1B6B1F6A-5DE9-4736-AD24-8C3123CEF1F2}"/>
    <cellStyle name="20% - Énfasis3 12 3 2 2 2" xfId="28973" xr:uid="{E33E2347-617D-4C4F-A9E2-1D2D8F23CA22}"/>
    <cellStyle name="20% - Énfasis3 12 3 2 2 2 2" xfId="36506" xr:uid="{2CA70B97-25D7-4E6D-8583-4B2D6051C845}"/>
    <cellStyle name="20% - Énfasis3 12 3 2 2 3" xfId="36505" xr:uid="{46837B4F-9687-4338-A650-C0B1ABFA4122}"/>
    <cellStyle name="20% - Énfasis3 12 3 2 3" xfId="21268" xr:uid="{24552EE8-804D-42BB-92DF-C9404B796AEC}"/>
    <cellStyle name="20% - Énfasis3 12 3 2 3 2" xfId="36507" xr:uid="{8F71C7C3-A220-483C-9FC4-ABE0504FF950}"/>
    <cellStyle name="20% - Énfasis3 12 3 2 4" xfId="36504" xr:uid="{6B97F1CC-4A2F-4F1D-B340-F8C40B74A3BB}"/>
    <cellStyle name="20% - Énfasis3 12 3 3" xfId="9832" xr:uid="{288C5B8F-654D-4575-B4B9-A9F99C43AC25}"/>
    <cellStyle name="20% - Énfasis3 12 3 3 2" xfId="25245" xr:uid="{1C09DC86-012C-46DB-B058-9665E67848EC}"/>
    <cellStyle name="20% - Énfasis3 12 3 3 2 2" xfId="36509" xr:uid="{BBF94D14-4D0C-4E6E-8BF6-8FB6F943AC55}"/>
    <cellStyle name="20% - Énfasis3 12 3 3 3" xfId="36508" xr:uid="{2F112015-2993-427F-8A51-7D866FD898E6}"/>
    <cellStyle name="20% - Énfasis3 12 3 4" xfId="17540" xr:uid="{7724D72E-E53E-4517-AB1A-5B9721FE9FFA}"/>
    <cellStyle name="20% - Énfasis3 12 3 4 2" xfId="36510" xr:uid="{4B033932-D947-4B41-B34B-9F0AB6B66C82}"/>
    <cellStyle name="20% - Énfasis3 12 3 5" xfId="36503" xr:uid="{2D74856C-C98A-4659-9C1B-9CCB6B5895B7}"/>
    <cellStyle name="20% - Énfasis3 12 4" xfId="4376" xr:uid="{F376E431-A5B6-4F23-BA70-32A80F7643FD}"/>
    <cellStyle name="20% - Énfasis3 12 4 2" xfId="12084" xr:uid="{BC627104-19E5-49AC-9ADF-44B969E8EB30}"/>
    <cellStyle name="20% - Énfasis3 12 4 2 2" xfId="27496" xr:uid="{9030559D-F579-48DD-BD88-B36D23381883}"/>
    <cellStyle name="20% - Énfasis3 12 4 2 2 2" xfId="36513" xr:uid="{9673FC66-3282-4301-839D-EFED82FA74C6}"/>
    <cellStyle name="20% - Énfasis3 12 4 2 3" xfId="36512" xr:uid="{229EC258-30F7-4F63-99E7-256269361313}"/>
    <cellStyle name="20% - Énfasis3 12 4 3" xfId="19791" xr:uid="{59E1ABBC-1014-4FAD-8E26-08D42B75A6F4}"/>
    <cellStyle name="20% - Énfasis3 12 4 3 2" xfId="36514" xr:uid="{4578B60C-424E-4A6B-81B0-2432707451A2}"/>
    <cellStyle name="20% - Énfasis3 12 4 4" xfId="36511" xr:uid="{4458EF58-D7C7-4C68-BE1C-C59284FDBBC2}"/>
    <cellStyle name="20% - Énfasis3 12 5" xfId="8373" xr:uid="{B802B513-32B0-4286-AD58-988F88A25EE3}"/>
    <cellStyle name="20% - Énfasis3 12 5 2" xfId="23786" xr:uid="{77F3291B-DCC0-4454-AE5D-FF8057B9ADCA}"/>
    <cellStyle name="20% - Énfasis3 12 5 2 2" xfId="36516" xr:uid="{56BB43D1-1677-4097-95ED-92D9E867BFF7}"/>
    <cellStyle name="20% - Énfasis3 12 5 3" xfId="36515" xr:uid="{9C05260C-71E5-41FD-A46E-4E125ADEE76A}"/>
    <cellStyle name="20% - Énfasis3 12 6" xfId="16081" xr:uid="{0FA2FE45-4B5D-4DE4-B0B4-7075992CDDF8}"/>
    <cellStyle name="20% - Énfasis3 12 6 2" xfId="36517" xr:uid="{28BA5BDF-7EB7-4FA0-B292-A29DC38D050E}"/>
    <cellStyle name="20% - Énfasis3 12 7" xfId="36486" xr:uid="{6F9881AE-18ED-4610-A5A5-2FC5073A5625}"/>
    <cellStyle name="20% - Énfasis3 13" xfId="652" xr:uid="{53C07CFD-E643-4EC7-8CA7-7437F3E4AF58}"/>
    <cellStyle name="20% - Énfasis3 13 2" xfId="1313" xr:uid="{D10505E8-F520-4C4B-81E1-7F3164AA15DD}"/>
    <cellStyle name="20% - Énfasis3 13 2 2" xfId="2780" xr:uid="{E1A30EE6-9CA9-4F1E-9D9D-166988D049B3}"/>
    <cellStyle name="20% - Énfasis3 13 2 2 2" xfId="6512" xr:uid="{478F6829-6986-49F8-BCC2-F45D947230A3}"/>
    <cellStyle name="20% - Énfasis3 13 2 2 2 2" xfId="14220" xr:uid="{69365900-5E99-4B6B-8E76-FEC6D6C56956}"/>
    <cellStyle name="20% - Énfasis3 13 2 2 2 2 2" xfId="29632" xr:uid="{ECF8032F-7369-4FF4-919C-B06A48F5F520}"/>
    <cellStyle name="20% - Énfasis3 13 2 2 2 2 2 2" xfId="36523" xr:uid="{55D189DF-ACEA-4621-B58E-02427C7BA805}"/>
    <cellStyle name="20% - Énfasis3 13 2 2 2 2 3" xfId="36522" xr:uid="{56D2A70E-11F9-4F65-9FDB-E60672DC578B}"/>
    <cellStyle name="20% - Énfasis3 13 2 2 2 3" xfId="21927" xr:uid="{0C52B2D7-2B42-49E1-9C9F-65DD0349A2E8}"/>
    <cellStyle name="20% - Énfasis3 13 2 2 2 3 2" xfId="36524" xr:uid="{0A094101-2B04-422B-AE44-4BCF2D3C3B7A}"/>
    <cellStyle name="20% - Énfasis3 13 2 2 2 4" xfId="36521" xr:uid="{0021B7FB-E0DF-4EFD-8E4B-6483DF967ACA}"/>
    <cellStyle name="20% - Énfasis3 13 2 2 3" xfId="10491" xr:uid="{D2F74636-3514-4F92-A964-5A22348DED8E}"/>
    <cellStyle name="20% - Énfasis3 13 2 2 3 2" xfId="25904" xr:uid="{2FC4A9AD-990D-417C-BFD4-059AD68BED42}"/>
    <cellStyle name="20% - Énfasis3 13 2 2 3 2 2" xfId="36526" xr:uid="{82D5C456-0CED-4C6D-947C-0FA175660CDC}"/>
    <cellStyle name="20% - Énfasis3 13 2 2 3 3" xfId="36525" xr:uid="{A2075CF7-FB5B-41C0-B31A-FB3050C5B2A3}"/>
    <cellStyle name="20% - Énfasis3 13 2 2 4" xfId="18199" xr:uid="{76151821-5AB7-48B7-9E0D-2D1AC42FEF9E}"/>
    <cellStyle name="20% - Énfasis3 13 2 2 4 2" xfId="36527" xr:uid="{47C841CB-FD71-45FA-ABC7-697805597C06}"/>
    <cellStyle name="20% - Énfasis3 13 2 2 5" xfId="36520" xr:uid="{210674EC-9A76-4A8F-A430-0658A3018282}"/>
    <cellStyle name="20% - Énfasis3 13 2 3" xfId="5049" xr:uid="{4517953E-3A3E-432D-9A42-1F45C200AA74}"/>
    <cellStyle name="20% - Énfasis3 13 2 3 2" xfId="12757" xr:uid="{1A52B15E-B9D0-41B4-AC7E-7395F3C025A9}"/>
    <cellStyle name="20% - Énfasis3 13 2 3 2 2" xfId="28169" xr:uid="{A920D07E-D59D-440B-A557-63A9FDFAA387}"/>
    <cellStyle name="20% - Énfasis3 13 2 3 2 2 2" xfId="36530" xr:uid="{C58B2418-11F4-4789-9492-B06ADAE333A5}"/>
    <cellStyle name="20% - Énfasis3 13 2 3 2 3" xfId="36529" xr:uid="{278EAA23-9678-48F8-A528-7ADC4021CD05}"/>
    <cellStyle name="20% - Énfasis3 13 2 3 3" xfId="20464" xr:uid="{D3660075-7A0F-4777-8CFA-2D3A6007CF2F}"/>
    <cellStyle name="20% - Énfasis3 13 2 3 3 2" xfId="36531" xr:uid="{22338B7C-D1DC-46B0-83E5-587DD5B6CB16}"/>
    <cellStyle name="20% - Énfasis3 13 2 3 4" xfId="36528" xr:uid="{A9ADFC18-ADA9-4CA8-BEF7-9AFF4D71777A}"/>
    <cellStyle name="20% - Énfasis3 13 2 4" xfId="9032" xr:uid="{4A39CFC2-BB0E-473E-B72C-696D1602BFFB}"/>
    <cellStyle name="20% - Énfasis3 13 2 4 2" xfId="24445" xr:uid="{AB1EDEF7-F6CC-4575-A9CF-DD9CB9EE0FB0}"/>
    <cellStyle name="20% - Énfasis3 13 2 4 2 2" xfId="36533" xr:uid="{06070785-416E-446A-B49C-B154B4D87BDC}"/>
    <cellStyle name="20% - Énfasis3 13 2 4 3" xfId="36532" xr:uid="{9D2C45A9-A131-4378-97BA-947C24E721E7}"/>
    <cellStyle name="20% - Énfasis3 13 2 5" xfId="16740" xr:uid="{3F2A9983-32FE-486D-850C-E65F5644464B}"/>
    <cellStyle name="20% - Énfasis3 13 2 5 2" xfId="36534" xr:uid="{5182A6EA-0F91-4BC7-BDDD-B76751373B34}"/>
    <cellStyle name="20% - Énfasis3 13 2 6" xfId="36519" xr:uid="{D86068FF-A95D-495D-A11D-1200D48774CC}"/>
    <cellStyle name="20% - Énfasis3 13 3" xfId="2142" xr:uid="{B06833C9-9747-474E-97F8-5165E99286AF}"/>
    <cellStyle name="20% - Énfasis3 13 3 2" xfId="5874" xr:uid="{2247E903-DE1A-4C67-9E1F-6313B2B95650}"/>
    <cellStyle name="20% - Énfasis3 13 3 2 2" xfId="13582" xr:uid="{AF3E73E7-A1FE-4F7E-B3C8-5F480F68D708}"/>
    <cellStyle name="20% - Énfasis3 13 3 2 2 2" xfId="28994" xr:uid="{85FD3C2A-4D5A-4838-BD02-4D133148450F}"/>
    <cellStyle name="20% - Énfasis3 13 3 2 2 2 2" xfId="36538" xr:uid="{C3D2F73C-AF16-4CBF-B4BF-BD9B992D7E18}"/>
    <cellStyle name="20% - Énfasis3 13 3 2 2 3" xfId="36537" xr:uid="{57F155C7-2886-4C69-8B93-F1356C6AA496}"/>
    <cellStyle name="20% - Énfasis3 13 3 2 3" xfId="21289" xr:uid="{D93AD1A6-D0C1-4EC9-8076-545D4027F49A}"/>
    <cellStyle name="20% - Énfasis3 13 3 2 3 2" xfId="36539" xr:uid="{B03F2E57-09D2-40EC-84B0-A566CE0036A2}"/>
    <cellStyle name="20% - Énfasis3 13 3 2 4" xfId="36536" xr:uid="{E7B4B232-0158-4D26-B8DF-1A9679463670}"/>
    <cellStyle name="20% - Énfasis3 13 3 3" xfId="9853" xr:uid="{09B36EBF-ECDE-43F6-A91A-8D3403AF51AC}"/>
    <cellStyle name="20% - Énfasis3 13 3 3 2" xfId="25266" xr:uid="{78345ECD-3091-47E0-BBE1-54112AA63485}"/>
    <cellStyle name="20% - Énfasis3 13 3 3 2 2" xfId="36541" xr:uid="{EF9BD9E4-9AEE-48D6-BF9F-F123C41F75B8}"/>
    <cellStyle name="20% - Énfasis3 13 3 3 3" xfId="36540" xr:uid="{C48661C4-6612-4624-B696-72D3790DD36D}"/>
    <cellStyle name="20% - Énfasis3 13 3 4" xfId="17561" xr:uid="{0B9A457B-9A22-4A48-AFE1-7BC9524DA9D1}"/>
    <cellStyle name="20% - Énfasis3 13 3 4 2" xfId="36542" xr:uid="{89840100-FE48-4095-8458-A062F6409A49}"/>
    <cellStyle name="20% - Énfasis3 13 3 5" xfId="36535" xr:uid="{7D79EC30-E2DE-420F-A366-E5D8AE3DAD16}"/>
    <cellStyle name="20% - Énfasis3 13 4" xfId="4397" xr:uid="{2B39E647-22FA-42BC-8346-A8ABDCE034E1}"/>
    <cellStyle name="20% - Énfasis3 13 4 2" xfId="12105" xr:uid="{3EEA7A5B-A7A4-427C-9448-A40E36B6D142}"/>
    <cellStyle name="20% - Énfasis3 13 4 2 2" xfId="27517" xr:uid="{B9E24DEC-C68D-4C55-899F-1FC366502932}"/>
    <cellStyle name="20% - Énfasis3 13 4 2 2 2" xfId="36545" xr:uid="{4DA90EE0-E6D6-414B-961F-1FEF7CA084FD}"/>
    <cellStyle name="20% - Énfasis3 13 4 2 3" xfId="36544" xr:uid="{C0954D0A-56C9-4820-A13D-CB902B56FC24}"/>
    <cellStyle name="20% - Énfasis3 13 4 3" xfId="19812" xr:uid="{DC409CA2-C63C-4EC9-BD56-A32BED3C9060}"/>
    <cellStyle name="20% - Énfasis3 13 4 3 2" xfId="36546" xr:uid="{3CE5F832-EE9F-43EC-B245-B0EF56BC5DF2}"/>
    <cellStyle name="20% - Énfasis3 13 4 4" xfId="36543" xr:uid="{D791B868-E479-4ECE-AC87-A15BBFF8A532}"/>
    <cellStyle name="20% - Énfasis3 13 5" xfId="8394" xr:uid="{FB948191-49C5-464C-85C6-E681BDC1D69A}"/>
    <cellStyle name="20% - Énfasis3 13 5 2" xfId="23807" xr:uid="{3B96F528-2AE9-437F-BF5D-B1FD53176B82}"/>
    <cellStyle name="20% - Énfasis3 13 5 2 2" xfId="36548" xr:uid="{C2538407-F775-41A0-904E-7CABEB728109}"/>
    <cellStyle name="20% - Énfasis3 13 5 3" xfId="36547" xr:uid="{124103D5-0085-44B5-9F82-427407AFA3D7}"/>
    <cellStyle name="20% - Énfasis3 13 6" xfId="16102" xr:uid="{131F0A8C-9AB7-44E3-A5AB-6FAF63B9797B}"/>
    <cellStyle name="20% - Énfasis3 13 6 2" xfId="36549" xr:uid="{A6D54D8A-0BBC-4C6A-84B3-E7E913A83A73}"/>
    <cellStyle name="20% - Énfasis3 13 7" xfId="36518" xr:uid="{8C1D4CE7-ED17-468F-A817-1B4A270C26DD}"/>
    <cellStyle name="20% - Énfasis3 14" xfId="672" xr:uid="{A9AD9089-5615-45DC-929A-9E69A56FD64B}"/>
    <cellStyle name="20% - Énfasis3 14 2" xfId="1333" xr:uid="{72FEB956-F647-44EE-86F6-4AD5B963720D}"/>
    <cellStyle name="20% - Énfasis3 14 2 2" xfId="2800" xr:uid="{2B199439-55F9-4E62-83E7-5291CF7DB0FA}"/>
    <cellStyle name="20% - Énfasis3 14 2 2 2" xfId="6532" xr:uid="{BAF51083-5DBD-4E57-94A8-A7B092B61F69}"/>
    <cellStyle name="20% - Énfasis3 14 2 2 2 2" xfId="14240" xr:uid="{D59071CA-2E1B-4DEB-B2C8-3E03510F629A}"/>
    <cellStyle name="20% - Énfasis3 14 2 2 2 2 2" xfId="29652" xr:uid="{ECFC24F6-5060-43D5-BC10-D3AACBE1339C}"/>
    <cellStyle name="20% - Énfasis3 14 2 2 2 2 2 2" xfId="36555" xr:uid="{9ECB657F-C2F1-492A-B8CA-E83D4369422B}"/>
    <cellStyle name="20% - Énfasis3 14 2 2 2 2 3" xfId="36554" xr:uid="{EFF26027-919C-40B7-A6E9-EE0D1F8851C8}"/>
    <cellStyle name="20% - Énfasis3 14 2 2 2 3" xfId="21947" xr:uid="{02DEF4E5-2367-49CB-A254-C3CF19AB5FB5}"/>
    <cellStyle name="20% - Énfasis3 14 2 2 2 3 2" xfId="36556" xr:uid="{625F2D58-FC5B-4140-808F-07FB7500B745}"/>
    <cellStyle name="20% - Énfasis3 14 2 2 2 4" xfId="36553" xr:uid="{8E946E4E-9003-4CEC-86E2-1CF6A64E3CA6}"/>
    <cellStyle name="20% - Énfasis3 14 2 2 3" xfId="10511" xr:uid="{39A484BF-9A19-434A-B3ED-4D12ABA227ED}"/>
    <cellStyle name="20% - Énfasis3 14 2 2 3 2" xfId="25924" xr:uid="{6C6CD04C-E602-420D-8D6B-0512856B7254}"/>
    <cellStyle name="20% - Énfasis3 14 2 2 3 2 2" xfId="36558" xr:uid="{6A7B3028-12C0-4128-AD2D-8B24C47E427D}"/>
    <cellStyle name="20% - Énfasis3 14 2 2 3 3" xfId="36557" xr:uid="{66E1E70F-65EE-4D6A-8694-4175A157B5E4}"/>
    <cellStyle name="20% - Énfasis3 14 2 2 4" xfId="18219" xr:uid="{89601243-48C3-4707-A29B-5B48F0A553AF}"/>
    <cellStyle name="20% - Énfasis3 14 2 2 4 2" xfId="36559" xr:uid="{2AC7F360-EBBB-4A97-ABC1-6A7BB8C1C34B}"/>
    <cellStyle name="20% - Énfasis3 14 2 2 5" xfId="36552" xr:uid="{6B411587-4708-4FAE-9951-B8646F7ABFB4}"/>
    <cellStyle name="20% - Énfasis3 14 2 3" xfId="5069" xr:uid="{8B738A12-03EB-4D8E-8349-8B70C0960746}"/>
    <cellStyle name="20% - Énfasis3 14 2 3 2" xfId="12777" xr:uid="{328BE425-4488-4E48-9256-B5448B43D387}"/>
    <cellStyle name="20% - Énfasis3 14 2 3 2 2" xfId="28189" xr:uid="{21CBF0CF-AA92-4EAA-8CEE-0A4973FFE2E1}"/>
    <cellStyle name="20% - Énfasis3 14 2 3 2 2 2" xfId="36562" xr:uid="{7332EA44-4184-4090-895B-4A3B92B3DA8F}"/>
    <cellStyle name="20% - Énfasis3 14 2 3 2 3" xfId="36561" xr:uid="{0B8B82C7-3189-4E01-8DB0-9CF46D629E8E}"/>
    <cellStyle name="20% - Énfasis3 14 2 3 3" xfId="20484" xr:uid="{5AC18A98-F303-464D-840A-C7D3F61FB4AD}"/>
    <cellStyle name="20% - Énfasis3 14 2 3 3 2" xfId="36563" xr:uid="{4983A8C9-3622-4813-8199-C2A43A88D59B}"/>
    <cellStyle name="20% - Énfasis3 14 2 3 4" xfId="36560" xr:uid="{CDE62FE4-E09B-407D-B33A-F07B02FD22BF}"/>
    <cellStyle name="20% - Énfasis3 14 2 4" xfId="9052" xr:uid="{A38DB7DA-637F-4713-8692-8B425211D4AA}"/>
    <cellStyle name="20% - Énfasis3 14 2 4 2" xfId="24465" xr:uid="{9D25C7DB-5FAE-490C-A1D3-466EAEE80AC3}"/>
    <cellStyle name="20% - Énfasis3 14 2 4 2 2" xfId="36565" xr:uid="{62CE1471-CB2A-4386-A015-A6ECF62881F6}"/>
    <cellStyle name="20% - Énfasis3 14 2 4 3" xfId="36564" xr:uid="{D9B2BF98-643E-4209-BE4C-2D8FA5A618FE}"/>
    <cellStyle name="20% - Énfasis3 14 2 5" xfId="16760" xr:uid="{2BA4EEB6-FB10-44D7-B946-888C541B3149}"/>
    <cellStyle name="20% - Énfasis3 14 2 5 2" xfId="36566" xr:uid="{B55EB16D-E340-4D02-A569-161473E702B7}"/>
    <cellStyle name="20% - Énfasis3 14 2 6" xfId="36551" xr:uid="{31F399DD-AEBF-40E6-911C-6A77F1113DAA}"/>
    <cellStyle name="20% - Énfasis3 14 3" xfId="2162" xr:uid="{A492BED9-AD7E-4B73-8A97-A8916C15011A}"/>
    <cellStyle name="20% - Énfasis3 14 3 2" xfId="5894" xr:uid="{2AC91BC9-0BA7-4375-BC35-B883D056626D}"/>
    <cellStyle name="20% - Énfasis3 14 3 2 2" xfId="13602" xr:uid="{3554D6E5-272F-4458-BC6C-7C41EE6539CE}"/>
    <cellStyle name="20% - Énfasis3 14 3 2 2 2" xfId="29014" xr:uid="{2841892F-47D1-498E-87C6-AC995F2833C0}"/>
    <cellStyle name="20% - Énfasis3 14 3 2 2 2 2" xfId="36570" xr:uid="{02EFD3ED-6945-4AEA-82BD-FBA0F47FC338}"/>
    <cellStyle name="20% - Énfasis3 14 3 2 2 3" xfId="36569" xr:uid="{21483C72-401D-4645-A59A-E5A31A1C23A2}"/>
    <cellStyle name="20% - Énfasis3 14 3 2 3" xfId="21309" xr:uid="{09D32C32-EC00-4107-98D5-BFDBB195B824}"/>
    <cellStyle name="20% - Énfasis3 14 3 2 3 2" xfId="36571" xr:uid="{7AFE77D1-48BB-4C99-938B-16FFBE305F9D}"/>
    <cellStyle name="20% - Énfasis3 14 3 2 4" xfId="36568" xr:uid="{6D132A73-487B-45B0-B9D9-0AFDAF4F75BE}"/>
    <cellStyle name="20% - Énfasis3 14 3 3" xfId="9873" xr:uid="{57C1DE77-D145-4798-8856-51866DA27B7F}"/>
    <cellStyle name="20% - Énfasis3 14 3 3 2" xfId="25286" xr:uid="{8414F83E-E195-4AD0-9D16-BF8C9DE28EFD}"/>
    <cellStyle name="20% - Énfasis3 14 3 3 2 2" xfId="36573" xr:uid="{E62E815B-C998-420A-B383-7E8C8C685AAE}"/>
    <cellStyle name="20% - Énfasis3 14 3 3 3" xfId="36572" xr:uid="{A178C172-26E5-4003-A178-904B3BA3E597}"/>
    <cellStyle name="20% - Énfasis3 14 3 4" xfId="17581" xr:uid="{CB900376-738E-46C2-A1D1-DEACFBBD6132}"/>
    <cellStyle name="20% - Énfasis3 14 3 4 2" xfId="36574" xr:uid="{28E63B69-5E81-42A6-AC5E-46BE41A4EC35}"/>
    <cellStyle name="20% - Énfasis3 14 3 5" xfId="36567" xr:uid="{7D4C87EA-A22C-4AF4-8FE4-B408F6924AF5}"/>
    <cellStyle name="20% - Énfasis3 14 4" xfId="4417" xr:uid="{EC9E722F-C63C-4157-94FF-2A69B82924AB}"/>
    <cellStyle name="20% - Énfasis3 14 4 2" xfId="12125" xr:uid="{AD3B8141-C1B5-4E1F-BEAC-D2FAE66884FC}"/>
    <cellStyle name="20% - Énfasis3 14 4 2 2" xfId="27537" xr:uid="{446D5A72-BED3-4FBE-8273-FD7E07CBF485}"/>
    <cellStyle name="20% - Énfasis3 14 4 2 2 2" xfId="36577" xr:uid="{D7A3E758-C764-4D92-AA1D-863B4A551B40}"/>
    <cellStyle name="20% - Énfasis3 14 4 2 3" xfId="36576" xr:uid="{7E76431D-0C9D-45A4-B5F9-C27D622D30E5}"/>
    <cellStyle name="20% - Énfasis3 14 4 3" xfId="19832" xr:uid="{E5BDC137-02BE-4C1C-9F2E-AF35291F9CB0}"/>
    <cellStyle name="20% - Énfasis3 14 4 3 2" xfId="36578" xr:uid="{9990F453-F9B3-4F30-B29E-25B2F31C303C}"/>
    <cellStyle name="20% - Énfasis3 14 4 4" xfId="36575" xr:uid="{0CB405B3-469E-43D8-9044-EB9209A6AD72}"/>
    <cellStyle name="20% - Énfasis3 14 5" xfId="8414" xr:uid="{F2872704-53C0-4BE7-9AF4-974872E46594}"/>
    <cellStyle name="20% - Énfasis3 14 5 2" xfId="23827" xr:uid="{4142BA2D-1F6E-4B15-9E7B-DB6D3DD49BC0}"/>
    <cellStyle name="20% - Énfasis3 14 5 2 2" xfId="36580" xr:uid="{9F060075-F497-4D11-B707-9824990ADA17}"/>
    <cellStyle name="20% - Énfasis3 14 5 3" xfId="36579" xr:uid="{02BE73CB-7A11-4509-8D41-6919D213ADD3}"/>
    <cellStyle name="20% - Énfasis3 14 6" xfId="16122" xr:uid="{983CFCBF-2B6F-455D-9F3D-E1A86009CD55}"/>
    <cellStyle name="20% - Énfasis3 14 6 2" xfId="36581" xr:uid="{BD6F4886-AD02-40A7-B285-F18AD4F363CE}"/>
    <cellStyle name="20% - Énfasis3 14 7" xfId="36550" xr:uid="{2CABAB42-6153-43C9-AF21-C1ADB7AFF5F8}"/>
    <cellStyle name="20% - Énfasis3 15" xfId="692" xr:uid="{A9A4424E-5C40-4880-BE19-D2E9D05BD1AA}"/>
    <cellStyle name="20% - Énfasis3 15 2" xfId="1353" xr:uid="{2341A3EA-391C-411F-8E1E-4D0AF80F8552}"/>
    <cellStyle name="20% - Énfasis3 15 2 2" xfId="2820" xr:uid="{E2E2A843-E230-4922-A11A-9F9957D2021A}"/>
    <cellStyle name="20% - Énfasis3 15 2 2 2" xfId="6552" xr:uid="{B41BE7F9-B762-470E-A7F8-14C2A5F6426D}"/>
    <cellStyle name="20% - Énfasis3 15 2 2 2 2" xfId="14260" xr:uid="{ACFA0D81-150F-410D-9E5D-0B16196BA925}"/>
    <cellStyle name="20% - Énfasis3 15 2 2 2 2 2" xfId="29672" xr:uid="{82CB8AB1-C99E-4C42-B626-884C4EC884E6}"/>
    <cellStyle name="20% - Énfasis3 15 2 2 2 2 2 2" xfId="36587" xr:uid="{C774493F-B3CA-43C3-BFEF-7A5E4D1BC2C3}"/>
    <cellStyle name="20% - Énfasis3 15 2 2 2 2 3" xfId="36586" xr:uid="{0D9246C4-7AA0-4424-8DEB-A13C1327811B}"/>
    <cellStyle name="20% - Énfasis3 15 2 2 2 3" xfId="21967" xr:uid="{C030260D-AC53-4105-8DC2-041DE7021E80}"/>
    <cellStyle name="20% - Énfasis3 15 2 2 2 3 2" xfId="36588" xr:uid="{5F8AFDE4-663B-4511-8553-10DFDB776C02}"/>
    <cellStyle name="20% - Énfasis3 15 2 2 2 4" xfId="36585" xr:uid="{D8F14219-DCB3-4C09-8624-66CE10798644}"/>
    <cellStyle name="20% - Énfasis3 15 2 2 3" xfId="10531" xr:uid="{5DD7CC00-990D-4A35-A221-9B8C7424147D}"/>
    <cellStyle name="20% - Énfasis3 15 2 2 3 2" xfId="25944" xr:uid="{03C892CD-F1F3-4DEA-A371-54191E6CBA9C}"/>
    <cellStyle name="20% - Énfasis3 15 2 2 3 2 2" xfId="36590" xr:uid="{F7819309-0B48-43AE-8CF9-9BFDAABAAC40}"/>
    <cellStyle name="20% - Énfasis3 15 2 2 3 3" xfId="36589" xr:uid="{D3EDBA93-B002-4040-A6FB-2EB04841DD52}"/>
    <cellStyle name="20% - Énfasis3 15 2 2 4" xfId="18239" xr:uid="{BD427842-E296-4673-B35E-77D51968F6B9}"/>
    <cellStyle name="20% - Énfasis3 15 2 2 4 2" xfId="36591" xr:uid="{3B6A1ABE-468A-4140-9031-863BF42923E4}"/>
    <cellStyle name="20% - Énfasis3 15 2 2 5" xfId="36584" xr:uid="{3623DF66-B08D-4C55-B17E-A369574DFE67}"/>
    <cellStyle name="20% - Énfasis3 15 2 3" xfId="5089" xr:uid="{41DDF330-3DE7-473F-9528-4DE0FCDBE298}"/>
    <cellStyle name="20% - Énfasis3 15 2 3 2" xfId="12797" xr:uid="{18A0BE6E-31D8-40DC-BAEE-4EF3702E1B84}"/>
    <cellStyle name="20% - Énfasis3 15 2 3 2 2" xfId="28209" xr:uid="{27E735A5-1FDC-4B5D-9F21-A455291853ED}"/>
    <cellStyle name="20% - Énfasis3 15 2 3 2 2 2" xfId="36594" xr:uid="{FFA223FD-3E45-4899-B4FE-48346855B47A}"/>
    <cellStyle name="20% - Énfasis3 15 2 3 2 3" xfId="36593" xr:uid="{B3EDA1A3-BD92-4727-81FB-28AB14938FBA}"/>
    <cellStyle name="20% - Énfasis3 15 2 3 3" xfId="20504" xr:uid="{917FC86B-6094-415F-8A22-E775C21EB39B}"/>
    <cellStyle name="20% - Énfasis3 15 2 3 3 2" xfId="36595" xr:uid="{258A26C2-60FB-432A-B391-D72A75B36CE0}"/>
    <cellStyle name="20% - Énfasis3 15 2 3 4" xfId="36592" xr:uid="{E563B8EE-ECAF-4FF4-94C9-51C2EAB4D8D2}"/>
    <cellStyle name="20% - Énfasis3 15 2 4" xfId="9072" xr:uid="{87D1E2CC-C26E-4C37-A7FC-A5481161F46C}"/>
    <cellStyle name="20% - Énfasis3 15 2 4 2" xfId="24485" xr:uid="{CA02253B-263A-4DF2-8842-FDD80E3604EF}"/>
    <cellStyle name="20% - Énfasis3 15 2 4 2 2" xfId="36597" xr:uid="{B9405E89-970E-44DB-9ECA-F7221A3157A6}"/>
    <cellStyle name="20% - Énfasis3 15 2 4 3" xfId="36596" xr:uid="{65B6A4FB-39EF-41D2-91F3-A666729497AD}"/>
    <cellStyle name="20% - Énfasis3 15 2 5" xfId="16780" xr:uid="{0F27EA7C-85AF-497D-8AF7-557CDEAD53C8}"/>
    <cellStyle name="20% - Énfasis3 15 2 5 2" xfId="36598" xr:uid="{57319A0D-E461-4419-A2F4-E322FE467DEF}"/>
    <cellStyle name="20% - Énfasis3 15 2 6" xfId="36583" xr:uid="{B262DEB4-DA13-4816-A412-4585B1DA72CA}"/>
    <cellStyle name="20% - Énfasis3 15 3" xfId="2182" xr:uid="{7F754587-C7C2-4952-B3A1-CA078408F388}"/>
    <cellStyle name="20% - Énfasis3 15 3 2" xfId="5914" xr:uid="{939C11C9-353F-4416-B08C-36F14B02EC8E}"/>
    <cellStyle name="20% - Énfasis3 15 3 2 2" xfId="13622" xr:uid="{D3476B46-46B1-47E2-B64F-B3A90EF00912}"/>
    <cellStyle name="20% - Énfasis3 15 3 2 2 2" xfId="29034" xr:uid="{29530E24-679E-49BC-B9DD-9BE854D89213}"/>
    <cellStyle name="20% - Énfasis3 15 3 2 2 2 2" xfId="36602" xr:uid="{B2A64E49-4A09-4B5F-BFD3-0FB28762FA52}"/>
    <cellStyle name="20% - Énfasis3 15 3 2 2 3" xfId="36601" xr:uid="{93D36C64-1841-4B5E-8876-E1B53E31DF19}"/>
    <cellStyle name="20% - Énfasis3 15 3 2 3" xfId="21329" xr:uid="{E04EC171-103E-43D7-A5D6-4D061D8473FB}"/>
    <cellStyle name="20% - Énfasis3 15 3 2 3 2" xfId="36603" xr:uid="{07C0080A-7D06-4441-AC4D-A566DDF9F81A}"/>
    <cellStyle name="20% - Énfasis3 15 3 2 4" xfId="36600" xr:uid="{6C675CA0-C826-4323-AECE-CDC67477E1BC}"/>
    <cellStyle name="20% - Énfasis3 15 3 3" xfId="9893" xr:uid="{DB741D14-B0B1-43A3-93FC-12E00638BF80}"/>
    <cellStyle name="20% - Énfasis3 15 3 3 2" xfId="25306" xr:uid="{9260DF93-75A0-4352-9D8A-722BDD8CCE1B}"/>
    <cellStyle name="20% - Énfasis3 15 3 3 2 2" xfId="36605" xr:uid="{A950308B-2373-4861-82B3-098C3A62E5D1}"/>
    <cellStyle name="20% - Énfasis3 15 3 3 3" xfId="36604" xr:uid="{A4057268-DA85-4C4B-B6AF-14E77373C00A}"/>
    <cellStyle name="20% - Énfasis3 15 3 4" xfId="17601" xr:uid="{FB03C6B8-D4F8-4C40-B199-C9B585A1552C}"/>
    <cellStyle name="20% - Énfasis3 15 3 4 2" xfId="36606" xr:uid="{22735304-4765-4CC9-B654-517C46E812D4}"/>
    <cellStyle name="20% - Énfasis3 15 3 5" xfId="36599" xr:uid="{54147F26-ED9A-435A-92EF-41B12EAEE19B}"/>
    <cellStyle name="20% - Énfasis3 15 4" xfId="4437" xr:uid="{8F62B591-73F8-4F9F-B8ED-09FCF398FAB9}"/>
    <cellStyle name="20% - Énfasis3 15 4 2" xfId="12145" xr:uid="{F9523390-7EB9-41CD-A3B4-1B4BAAB0D09C}"/>
    <cellStyle name="20% - Énfasis3 15 4 2 2" xfId="27557" xr:uid="{07411C24-611F-4DD4-81AB-EFCFA1B66AC0}"/>
    <cellStyle name="20% - Énfasis3 15 4 2 2 2" xfId="36609" xr:uid="{B9F5630B-BF71-4F4C-B129-2686597D92A0}"/>
    <cellStyle name="20% - Énfasis3 15 4 2 3" xfId="36608" xr:uid="{445458BD-E797-4934-90B5-C1BCB1143FBD}"/>
    <cellStyle name="20% - Énfasis3 15 4 3" xfId="19852" xr:uid="{D5BA6DDC-21F6-486F-B7EF-D969AF1D2338}"/>
    <cellStyle name="20% - Énfasis3 15 4 3 2" xfId="36610" xr:uid="{067936F5-8E32-413E-AF42-C720E24BD335}"/>
    <cellStyle name="20% - Énfasis3 15 4 4" xfId="36607" xr:uid="{81FBFCA4-277E-42C8-AA60-9AC748396659}"/>
    <cellStyle name="20% - Énfasis3 15 5" xfId="8434" xr:uid="{7DE403B7-685D-4415-AA9D-3CFD9AEDAE0B}"/>
    <cellStyle name="20% - Énfasis3 15 5 2" xfId="23847" xr:uid="{C5B3EB5D-D4FA-4EC5-8987-32586A4893A0}"/>
    <cellStyle name="20% - Énfasis3 15 5 2 2" xfId="36612" xr:uid="{0C4A1D46-F07D-4EE0-A13E-5B157BC1FB2E}"/>
    <cellStyle name="20% - Énfasis3 15 5 3" xfId="36611" xr:uid="{44F942BA-8BDC-4444-842F-FBD724F5D197}"/>
    <cellStyle name="20% - Énfasis3 15 6" xfId="16142" xr:uid="{95FA8367-3D83-4F20-8A94-864B358617B6}"/>
    <cellStyle name="20% - Énfasis3 15 6 2" xfId="36613" xr:uid="{2C098B53-3BD1-406B-8BC0-F5A36A645105}"/>
    <cellStyle name="20% - Énfasis3 15 7" xfId="36582" xr:uid="{C932BC86-B925-43C9-AF05-115144C93608}"/>
    <cellStyle name="20% - Énfasis3 16" xfId="713" xr:uid="{5D240399-BADC-4A33-BD34-31893E0B0CCA}"/>
    <cellStyle name="20% - Énfasis3 16 2" xfId="1374" xr:uid="{22BD7ACD-5AA6-4AD9-88E3-88701251FF1C}"/>
    <cellStyle name="20% - Énfasis3 16 2 2" xfId="2841" xr:uid="{19A944C0-34DD-4D9D-A82D-FADE61DB5A61}"/>
    <cellStyle name="20% - Énfasis3 16 2 2 2" xfId="6573" xr:uid="{3BFB1F3B-CC41-42E3-9A5E-F1012E265EB5}"/>
    <cellStyle name="20% - Énfasis3 16 2 2 2 2" xfId="14281" xr:uid="{EC9BE560-57DD-4704-8BD1-315250EA45E7}"/>
    <cellStyle name="20% - Énfasis3 16 2 2 2 2 2" xfId="29693" xr:uid="{8D20C697-27E2-424D-A038-0E4612A1A533}"/>
    <cellStyle name="20% - Énfasis3 16 2 2 2 2 2 2" xfId="36619" xr:uid="{56129BAC-9B33-4EA5-859B-D48B3753BA2D}"/>
    <cellStyle name="20% - Énfasis3 16 2 2 2 2 3" xfId="36618" xr:uid="{804C09EB-69D6-4E51-B091-37569FCD5A85}"/>
    <cellStyle name="20% - Énfasis3 16 2 2 2 3" xfId="21988" xr:uid="{1310F3A2-D66B-43EB-BB90-ECBF88763BE3}"/>
    <cellStyle name="20% - Énfasis3 16 2 2 2 3 2" xfId="36620" xr:uid="{D0F7F79D-1824-4D4A-8420-C89C44A70D01}"/>
    <cellStyle name="20% - Énfasis3 16 2 2 2 4" xfId="36617" xr:uid="{AE6C5ED4-BE1D-4B6C-835B-3F43A8353BDA}"/>
    <cellStyle name="20% - Énfasis3 16 2 2 3" xfId="10552" xr:uid="{EE92483A-1A74-4A2B-A6A8-E0F04650D0F4}"/>
    <cellStyle name="20% - Énfasis3 16 2 2 3 2" xfId="25965" xr:uid="{A36F00EA-49EF-4D4F-B7BD-0B848CE34D15}"/>
    <cellStyle name="20% - Énfasis3 16 2 2 3 2 2" xfId="36622" xr:uid="{F781DECE-9829-4E8A-ADA4-54BEF97A7A78}"/>
    <cellStyle name="20% - Énfasis3 16 2 2 3 3" xfId="36621" xr:uid="{EA6A6504-BC8D-468B-985E-847FC5248707}"/>
    <cellStyle name="20% - Énfasis3 16 2 2 4" xfId="18260" xr:uid="{D928A003-337A-49DD-A737-7DB17AF000B7}"/>
    <cellStyle name="20% - Énfasis3 16 2 2 4 2" xfId="36623" xr:uid="{54B0DA5F-158D-453D-AC54-36B40C3E5E29}"/>
    <cellStyle name="20% - Énfasis3 16 2 2 5" xfId="36616" xr:uid="{5214539A-3B35-4EAA-BAB0-029CAEA91849}"/>
    <cellStyle name="20% - Énfasis3 16 2 3" xfId="5110" xr:uid="{B715B9F4-8173-4D0A-83A1-82C4CB042389}"/>
    <cellStyle name="20% - Énfasis3 16 2 3 2" xfId="12818" xr:uid="{30974BC9-A322-478C-B9D7-94A77F2CE0E6}"/>
    <cellStyle name="20% - Énfasis3 16 2 3 2 2" xfId="28230" xr:uid="{CD2E9881-4C20-4334-B6D9-90AF554DEE8F}"/>
    <cellStyle name="20% - Énfasis3 16 2 3 2 2 2" xfId="36626" xr:uid="{78A3ACD8-AA88-42F2-A170-3E722FA013EB}"/>
    <cellStyle name="20% - Énfasis3 16 2 3 2 3" xfId="36625" xr:uid="{25D4834A-258F-4181-8BD6-615012EA1841}"/>
    <cellStyle name="20% - Énfasis3 16 2 3 3" xfId="20525" xr:uid="{CAA21352-248E-403C-B22D-BFDA5B59D417}"/>
    <cellStyle name="20% - Énfasis3 16 2 3 3 2" xfId="36627" xr:uid="{0C74E084-2B70-429D-BEB8-DF3DA7D7BF41}"/>
    <cellStyle name="20% - Énfasis3 16 2 3 4" xfId="36624" xr:uid="{8784CEB8-DE32-4644-89CD-98811AC00A33}"/>
    <cellStyle name="20% - Énfasis3 16 2 4" xfId="9093" xr:uid="{99789945-8976-4BA6-8181-F48B8C264AE2}"/>
    <cellStyle name="20% - Énfasis3 16 2 4 2" xfId="24506" xr:uid="{812EE483-E3EC-4F2D-B2AC-4D367E7DF1DC}"/>
    <cellStyle name="20% - Énfasis3 16 2 4 2 2" xfId="36629" xr:uid="{19D4C6F7-5A73-4491-AC5F-C5DA5B13EB56}"/>
    <cellStyle name="20% - Énfasis3 16 2 4 3" xfId="36628" xr:uid="{E28B51BF-F0C9-4D85-981A-476650003005}"/>
    <cellStyle name="20% - Énfasis3 16 2 5" xfId="16801" xr:uid="{58C4506A-962D-4E34-B29C-D5D82C779D80}"/>
    <cellStyle name="20% - Énfasis3 16 2 5 2" xfId="36630" xr:uid="{A46799E0-32B4-41E8-8CC5-6143E519311F}"/>
    <cellStyle name="20% - Énfasis3 16 2 6" xfId="36615" xr:uid="{7BAFB11F-8A7A-49FA-927A-F00BF786A220}"/>
    <cellStyle name="20% - Énfasis3 16 3" xfId="2203" xr:uid="{4737740B-D989-45FE-AD58-137B2CA54DE7}"/>
    <cellStyle name="20% - Énfasis3 16 3 2" xfId="5935" xr:uid="{B13D4EF9-D4CA-4133-BCEA-33CF9BB70625}"/>
    <cellStyle name="20% - Énfasis3 16 3 2 2" xfId="13643" xr:uid="{E64BB184-48CB-4422-8E09-EA8F57C8F0F0}"/>
    <cellStyle name="20% - Énfasis3 16 3 2 2 2" xfId="29055" xr:uid="{244BE391-A3AB-4069-B915-1DC46D6B62DE}"/>
    <cellStyle name="20% - Énfasis3 16 3 2 2 2 2" xfId="36634" xr:uid="{B164AD83-3B56-4699-A530-06AC1A0B5534}"/>
    <cellStyle name="20% - Énfasis3 16 3 2 2 3" xfId="36633" xr:uid="{B42DA21E-E141-4FD6-9E52-608525A9C69B}"/>
    <cellStyle name="20% - Énfasis3 16 3 2 3" xfId="21350" xr:uid="{7C8C9C5E-A7B9-4F29-9C7E-975E9583DB73}"/>
    <cellStyle name="20% - Énfasis3 16 3 2 3 2" xfId="36635" xr:uid="{D5A5E449-8C32-4B42-9B4E-A2174645BEEC}"/>
    <cellStyle name="20% - Énfasis3 16 3 2 4" xfId="36632" xr:uid="{54A32AAE-A2FE-4EBC-8B83-3E946A4F8690}"/>
    <cellStyle name="20% - Énfasis3 16 3 3" xfId="9914" xr:uid="{FBD666D5-3DD7-4852-85E2-C8B9199B7380}"/>
    <cellStyle name="20% - Énfasis3 16 3 3 2" xfId="25327" xr:uid="{94990A09-2539-44FD-9388-EAFFEF1DE737}"/>
    <cellStyle name="20% - Énfasis3 16 3 3 2 2" xfId="36637" xr:uid="{EBD3785D-3EB2-48D7-91A5-D29BCF3752CC}"/>
    <cellStyle name="20% - Énfasis3 16 3 3 3" xfId="36636" xr:uid="{F39E26A4-8ECA-4169-97DA-C5342696670E}"/>
    <cellStyle name="20% - Énfasis3 16 3 4" xfId="17622" xr:uid="{81C3B405-3A86-4A51-B620-DDBD582AD6B1}"/>
    <cellStyle name="20% - Énfasis3 16 3 4 2" xfId="36638" xr:uid="{A94AB4A7-2C8E-4DAF-9D0E-DA823B189C85}"/>
    <cellStyle name="20% - Énfasis3 16 3 5" xfId="36631" xr:uid="{07590E9D-682F-4E4C-8AB6-E84B215D4B4F}"/>
    <cellStyle name="20% - Énfasis3 16 4" xfId="4458" xr:uid="{27BE9661-604E-4D57-A1A3-FB877E67AE60}"/>
    <cellStyle name="20% - Énfasis3 16 4 2" xfId="12166" xr:uid="{0D7BF699-B17C-410C-A242-60256423913B}"/>
    <cellStyle name="20% - Énfasis3 16 4 2 2" xfId="27578" xr:uid="{9F8BD0E7-F0DE-4BBE-9B9E-4D5AA00537E7}"/>
    <cellStyle name="20% - Énfasis3 16 4 2 2 2" xfId="36641" xr:uid="{73BFC9AA-0053-4C65-8AE9-03D304C1BE8F}"/>
    <cellStyle name="20% - Énfasis3 16 4 2 3" xfId="36640" xr:uid="{06F64EDA-9A08-4990-BC0B-E5B5720D1B24}"/>
    <cellStyle name="20% - Énfasis3 16 4 3" xfId="19873" xr:uid="{E8D43EA3-A25E-4108-848A-53F19E9BF72E}"/>
    <cellStyle name="20% - Énfasis3 16 4 3 2" xfId="36642" xr:uid="{36603D33-DAB8-4459-A7F0-6B2EA4297F3D}"/>
    <cellStyle name="20% - Énfasis3 16 4 4" xfId="36639" xr:uid="{E5A6B0EC-CF80-4C90-B704-EF9DD0042F8B}"/>
    <cellStyle name="20% - Énfasis3 16 5" xfId="8455" xr:uid="{F76BAF64-C9C1-40EF-8797-6C5DBF40C9E0}"/>
    <cellStyle name="20% - Énfasis3 16 5 2" xfId="23868" xr:uid="{D55D8DC5-E30F-4087-8D08-F5131F003175}"/>
    <cellStyle name="20% - Énfasis3 16 5 2 2" xfId="36644" xr:uid="{144FDA1A-9F7E-4D23-9DF6-B3FD29F1B6DE}"/>
    <cellStyle name="20% - Énfasis3 16 5 3" xfId="36643" xr:uid="{A491423D-6CD8-48A9-A012-74268FA81A39}"/>
    <cellStyle name="20% - Énfasis3 16 6" xfId="16163" xr:uid="{D70E6F52-AA81-45F7-A83F-30955B031B0F}"/>
    <cellStyle name="20% - Énfasis3 16 6 2" xfId="36645" xr:uid="{5F9931AC-055F-4E29-886D-8D71232C7D8F}"/>
    <cellStyle name="20% - Énfasis3 16 7" xfId="36614" xr:uid="{80696EDA-1064-4E8E-BFE4-D8B1764D731E}"/>
    <cellStyle name="20% - Énfasis3 17" xfId="733" xr:uid="{BCC06FF4-E250-4120-9B50-DA8C67ACF8FF}"/>
    <cellStyle name="20% - Énfasis3 17 2" xfId="1394" xr:uid="{45F9A288-C51A-4E8B-93AE-1A684AA6F787}"/>
    <cellStyle name="20% - Énfasis3 17 2 2" xfId="2861" xr:uid="{9120C82F-0FAC-400D-BBE9-5DEFD59C0ACF}"/>
    <cellStyle name="20% - Énfasis3 17 2 2 2" xfId="6593" xr:uid="{10AB9DC4-F352-4DDB-B327-D8FE45B14FA2}"/>
    <cellStyle name="20% - Énfasis3 17 2 2 2 2" xfId="14301" xr:uid="{96DBB612-DA42-4436-BB9A-1E342A46A70A}"/>
    <cellStyle name="20% - Énfasis3 17 2 2 2 2 2" xfId="29713" xr:uid="{E6B17629-3C5D-4440-A784-F2053F2B9A9B}"/>
    <cellStyle name="20% - Énfasis3 17 2 2 2 2 2 2" xfId="36651" xr:uid="{708674BB-3335-4848-AD7D-352AE1D85A15}"/>
    <cellStyle name="20% - Énfasis3 17 2 2 2 2 3" xfId="36650" xr:uid="{2BA4E931-0C15-4324-8A6C-01AC7F72DE4D}"/>
    <cellStyle name="20% - Énfasis3 17 2 2 2 3" xfId="22008" xr:uid="{D1D006D5-D147-4E9F-AC5B-49E9489CD375}"/>
    <cellStyle name="20% - Énfasis3 17 2 2 2 3 2" xfId="36652" xr:uid="{9F91647E-9A47-4BFE-B1FD-C0E9F29607AC}"/>
    <cellStyle name="20% - Énfasis3 17 2 2 2 4" xfId="36649" xr:uid="{3C5FFD0E-6BC3-4FBE-B4C7-961985571E9A}"/>
    <cellStyle name="20% - Énfasis3 17 2 2 3" xfId="10572" xr:uid="{5BE388A3-9B45-429C-A538-407F4AF2B2A7}"/>
    <cellStyle name="20% - Énfasis3 17 2 2 3 2" xfId="25985" xr:uid="{DC67E291-A051-4A55-99E8-2B44487F409A}"/>
    <cellStyle name="20% - Énfasis3 17 2 2 3 2 2" xfId="36654" xr:uid="{A9F3C6DA-2C96-4C7B-8C0C-2497DAF7D7C9}"/>
    <cellStyle name="20% - Énfasis3 17 2 2 3 3" xfId="36653" xr:uid="{A50E8FF4-3D06-40B0-95BD-B4579C9200BA}"/>
    <cellStyle name="20% - Énfasis3 17 2 2 4" xfId="18280" xr:uid="{BA0B0546-7151-432D-A075-CE02570ABA41}"/>
    <cellStyle name="20% - Énfasis3 17 2 2 4 2" xfId="36655" xr:uid="{E48B7D4E-02C2-4A48-A023-350AC6A4E49F}"/>
    <cellStyle name="20% - Énfasis3 17 2 2 5" xfId="36648" xr:uid="{0CF6AD2D-4026-45EF-9FAC-22083D8DBA21}"/>
    <cellStyle name="20% - Énfasis3 17 2 3" xfId="5130" xr:uid="{E7F5DD82-25DD-43DE-8074-AA8B296E0034}"/>
    <cellStyle name="20% - Énfasis3 17 2 3 2" xfId="12838" xr:uid="{D3E2DF74-DFA5-4ABD-B8D0-94125E323AFB}"/>
    <cellStyle name="20% - Énfasis3 17 2 3 2 2" xfId="28250" xr:uid="{95C7C863-8454-4D2C-94DE-0CA741476AFF}"/>
    <cellStyle name="20% - Énfasis3 17 2 3 2 2 2" xfId="36658" xr:uid="{8B3E1336-720E-4142-A50F-2BAA6F7FFB2E}"/>
    <cellStyle name="20% - Énfasis3 17 2 3 2 3" xfId="36657" xr:uid="{45073107-EB90-4EF6-91B8-CC5B0847338F}"/>
    <cellStyle name="20% - Énfasis3 17 2 3 3" xfId="20545" xr:uid="{465FB4FD-BA9C-4AFD-8DF8-83473439CAA1}"/>
    <cellStyle name="20% - Énfasis3 17 2 3 3 2" xfId="36659" xr:uid="{82A0D45F-9E0C-4D79-9442-EB84B4B9A63D}"/>
    <cellStyle name="20% - Énfasis3 17 2 3 4" xfId="36656" xr:uid="{94CEA180-AD10-432B-8436-90349CCDE606}"/>
    <cellStyle name="20% - Énfasis3 17 2 4" xfId="9113" xr:uid="{CBDFAED6-D8F3-46D8-AE91-F6169D7BFEDA}"/>
    <cellStyle name="20% - Énfasis3 17 2 4 2" xfId="24526" xr:uid="{F8D6E76F-C6B5-41B0-B3E9-DB530452C5B9}"/>
    <cellStyle name="20% - Énfasis3 17 2 4 2 2" xfId="36661" xr:uid="{ACAA4B65-19CB-41F4-AB35-95B0E9D0F32A}"/>
    <cellStyle name="20% - Énfasis3 17 2 4 3" xfId="36660" xr:uid="{92D257CD-E54B-4DCD-AB25-E4480C4978BE}"/>
    <cellStyle name="20% - Énfasis3 17 2 5" xfId="16821" xr:uid="{E5307F05-4430-4F16-AF06-9F92920F536E}"/>
    <cellStyle name="20% - Énfasis3 17 2 5 2" xfId="36662" xr:uid="{7EE6DFE3-67C1-4747-8049-92724D21E416}"/>
    <cellStyle name="20% - Énfasis3 17 2 6" xfId="36647" xr:uid="{704E5A42-DAA0-4AA8-97A5-1C8638224A1D}"/>
    <cellStyle name="20% - Énfasis3 17 3" xfId="2223" xr:uid="{740A435C-9B18-4EFC-A516-6E8045627362}"/>
    <cellStyle name="20% - Énfasis3 17 3 2" xfId="5955" xr:uid="{2C0ABCD4-265A-4B6D-AEFA-1BF176373CEA}"/>
    <cellStyle name="20% - Énfasis3 17 3 2 2" xfId="13663" xr:uid="{ADFECD07-9116-492E-B181-95B78763812F}"/>
    <cellStyle name="20% - Énfasis3 17 3 2 2 2" xfId="29075" xr:uid="{85A071EF-3568-4B92-A3BD-B112F5713C3A}"/>
    <cellStyle name="20% - Énfasis3 17 3 2 2 2 2" xfId="36666" xr:uid="{EDE66D09-4AB6-424D-A358-628BDAE463D9}"/>
    <cellStyle name="20% - Énfasis3 17 3 2 2 3" xfId="36665" xr:uid="{C188ED41-D804-4F38-9464-FED53AB94C13}"/>
    <cellStyle name="20% - Énfasis3 17 3 2 3" xfId="21370" xr:uid="{8F526AC7-84A0-4D1C-A41B-E544B27E563A}"/>
    <cellStyle name="20% - Énfasis3 17 3 2 3 2" xfId="36667" xr:uid="{FCA02610-8A3B-48E8-9201-C83C4D5EF764}"/>
    <cellStyle name="20% - Énfasis3 17 3 2 4" xfId="36664" xr:uid="{4489D96B-DA44-4EC7-9793-7ABE2838ABF7}"/>
    <cellStyle name="20% - Énfasis3 17 3 3" xfId="9934" xr:uid="{5959826A-211F-4E85-8E5A-77A2B0381FD7}"/>
    <cellStyle name="20% - Énfasis3 17 3 3 2" xfId="25347" xr:uid="{7A9CAEED-D9ED-457C-97AD-5CA2A7F5FA4D}"/>
    <cellStyle name="20% - Énfasis3 17 3 3 2 2" xfId="36669" xr:uid="{34A51567-30CA-4D15-8020-220304D4123D}"/>
    <cellStyle name="20% - Énfasis3 17 3 3 3" xfId="36668" xr:uid="{C47174B5-0568-4FD4-AF6D-68447A0C94FE}"/>
    <cellStyle name="20% - Énfasis3 17 3 4" xfId="17642" xr:uid="{00F3D9B1-F5D0-43EF-8E81-CFC6C2FECF49}"/>
    <cellStyle name="20% - Énfasis3 17 3 4 2" xfId="36670" xr:uid="{BD8409B5-D1DB-4BFA-BB9E-C1892DD27C83}"/>
    <cellStyle name="20% - Énfasis3 17 3 5" xfId="36663" xr:uid="{CBD9D144-BC84-4E05-B210-EAC2D87D164E}"/>
    <cellStyle name="20% - Énfasis3 17 4" xfId="4478" xr:uid="{13E48056-F2BB-45AF-82D6-642EA3A5435A}"/>
    <cellStyle name="20% - Énfasis3 17 4 2" xfId="12186" xr:uid="{9EDD6517-9D2F-4466-B924-6F5AFE2520E0}"/>
    <cellStyle name="20% - Énfasis3 17 4 2 2" xfId="27598" xr:uid="{491EF9D2-0EC8-4621-B4DE-F5FF386D2FD0}"/>
    <cellStyle name="20% - Énfasis3 17 4 2 2 2" xfId="36673" xr:uid="{4969727B-F2DD-4174-836F-DE36EA963B56}"/>
    <cellStyle name="20% - Énfasis3 17 4 2 3" xfId="36672" xr:uid="{764CC2E4-47FD-4151-8337-518FAFDBCF58}"/>
    <cellStyle name="20% - Énfasis3 17 4 3" xfId="19893" xr:uid="{7E097693-0569-4EC9-90F3-FA22C4CCDF9F}"/>
    <cellStyle name="20% - Énfasis3 17 4 3 2" xfId="36674" xr:uid="{2B48D146-A912-4851-BF22-0C2B44A9EE26}"/>
    <cellStyle name="20% - Énfasis3 17 4 4" xfId="36671" xr:uid="{4D0335D8-D9EA-4D4D-9DDA-006CF027BB89}"/>
    <cellStyle name="20% - Énfasis3 17 5" xfId="8475" xr:uid="{12824BDF-3A11-4AE4-B042-E2D9CB441A6B}"/>
    <cellStyle name="20% - Énfasis3 17 5 2" xfId="23888" xr:uid="{E55D2D93-8280-419F-857A-788ED2FBA6A6}"/>
    <cellStyle name="20% - Énfasis3 17 5 2 2" xfId="36676" xr:uid="{45BAE639-6641-4104-9D8D-5057C356AEC9}"/>
    <cellStyle name="20% - Énfasis3 17 5 3" xfId="36675" xr:uid="{CD98C1E3-E8FF-4C1F-9F1C-7888B398A334}"/>
    <cellStyle name="20% - Énfasis3 17 6" xfId="16183" xr:uid="{31E88663-BD42-4C90-AB1C-DBC87E192E76}"/>
    <cellStyle name="20% - Énfasis3 17 6 2" xfId="36677" xr:uid="{93071060-3E1E-48FA-8FA8-9CBC96C8E300}"/>
    <cellStyle name="20% - Énfasis3 17 7" xfId="36646" xr:uid="{0FF59DD9-B3A7-4C11-9C9C-B921B473384A}"/>
    <cellStyle name="20% - Énfasis3 18" xfId="753" xr:uid="{481C97A1-DC56-4C4D-9AAC-D6833162489C}"/>
    <cellStyle name="20% - Énfasis3 18 2" xfId="1414" xr:uid="{FDDE3ABD-5268-4B5A-87D0-C5DA6E1367CF}"/>
    <cellStyle name="20% - Énfasis3 18 2 2" xfId="2881" xr:uid="{F92DA14A-1D8D-4998-B576-2C69F933F26C}"/>
    <cellStyle name="20% - Énfasis3 18 2 2 2" xfId="6613" xr:uid="{23E7BBF3-C558-4ADA-A477-980BBE3EDB0F}"/>
    <cellStyle name="20% - Énfasis3 18 2 2 2 2" xfId="14321" xr:uid="{449B8CC5-188A-4772-8D49-24E954EC0531}"/>
    <cellStyle name="20% - Énfasis3 18 2 2 2 2 2" xfId="29733" xr:uid="{DBB1409E-5A21-4626-A452-947F075FE81C}"/>
    <cellStyle name="20% - Énfasis3 18 2 2 2 2 2 2" xfId="36683" xr:uid="{1EDB172F-8AAD-451B-9645-182903DF99AD}"/>
    <cellStyle name="20% - Énfasis3 18 2 2 2 2 3" xfId="36682" xr:uid="{1271E51C-81CD-497C-9EDA-4DAA97D08899}"/>
    <cellStyle name="20% - Énfasis3 18 2 2 2 3" xfId="22028" xr:uid="{9D8865E7-55B7-41C0-9B8B-35152A78CBBB}"/>
    <cellStyle name="20% - Énfasis3 18 2 2 2 3 2" xfId="36684" xr:uid="{C23F3099-DFA8-4BCF-8BCF-E493585FC4C2}"/>
    <cellStyle name="20% - Énfasis3 18 2 2 2 4" xfId="36681" xr:uid="{02D93CB2-810E-467B-9C76-8CF18D6DD7F7}"/>
    <cellStyle name="20% - Énfasis3 18 2 2 3" xfId="10592" xr:uid="{E9FFB282-F57D-41B9-9210-1B93595CF857}"/>
    <cellStyle name="20% - Énfasis3 18 2 2 3 2" xfId="26005" xr:uid="{14796B85-65A8-4806-8B0F-FA8B76CE80E6}"/>
    <cellStyle name="20% - Énfasis3 18 2 2 3 2 2" xfId="36686" xr:uid="{C2610CFB-D634-4FD5-9365-BE86BCF46B8B}"/>
    <cellStyle name="20% - Énfasis3 18 2 2 3 3" xfId="36685" xr:uid="{AF003DB6-015C-4F13-9366-3D59906AFE30}"/>
    <cellStyle name="20% - Énfasis3 18 2 2 4" xfId="18300" xr:uid="{5663E36F-2FA2-4FC6-9034-078C7F530B13}"/>
    <cellStyle name="20% - Énfasis3 18 2 2 4 2" xfId="36687" xr:uid="{5ABFF817-2EB4-4233-BF0C-45CFCCB561AF}"/>
    <cellStyle name="20% - Énfasis3 18 2 2 5" xfId="36680" xr:uid="{1E3101BE-BE17-46E4-8318-86D7948236C5}"/>
    <cellStyle name="20% - Énfasis3 18 2 3" xfId="5150" xr:uid="{78691D05-0EE8-4D54-B45E-759E70B68EEF}"/>
    <cellStyle name="20% - Énfasis3 18 2 3 2" xfId="12858" xr:uid="{65386FC9-8900-4DC9-A893-8BFCD990D8A7}"/>
    <cellStyle name="20% - Énfasis3 18 2 3 2 2" xfId="28270" xr:uid="{C5137ECD-9B83-4B5C-9F73-F25797B3213E}"/>
    <cellStyle name="20% - Énfasis3 18 2 3 2 2 2" xfId="36690" xr:uid="{B888654E-9333-4B95-A5C8-6A85B1A6AD2B}"/>
    <cellStyle name="20% - Énfasis3 18 2 3 2 3" xfId="36689" xr:uid="{05D07E70-86F0-4EAB-9AF0-469059B51325}"/>
    <cellStyle name="20% - Énfasis3 18 2 3 3" xfId="20565" xr:uid="{3A14C5B1-7E95-4C6E-877B-CF3ADA3E4BAC}"/>
    <cellStyle name="20% - Énfasis3 18 2 3 3 2" xfId="36691" xr:uid="{9C5EDA1D-4513-4AA3-B311-9165EB291AFB}"/>
    <cellStyle name="20% - Énfasis3 18 2 3 4" xfId="36688" xr:uid="{6060B441-89C2-476B-975E-57A30915E90A}"/>
    <cellStyle name="20% - Énfasis3 18 2 4" xfId="9133" xr:uid="{DB83B60B-6B31-4095-9C4D-F1A22604E6FB}"/>
    <cellStyle name="20% - Énfasis3 18 2 4 2" xfId="24546" xr:uid="{7086AF84-8235-4568-A68D-931039FC321E}"/>
    <cellStyle name="20% - Énfasis3 18 2 4 2 2" xfId="36693" xr:uid="{9844C90A-3F92-4041-AA50-3DA5F5F8C857}"/>
    <cellStyle name="20% - Énfasis3 18 2 4 3" xfId="36692" xr:uid="{153C3505-ED04-412E-B200-0CDB3C19D402}"/>
    <cellStyle name="20% - Énfasis3 18 2 5" xfId="16841" xr:uid="{6FDEAB30-27A2-458F-8AED-92F0932D75AC}"/>
    <cellStyle name="20% - Énfasis3 18 2 5 2" xfId="36694" xr:uid="{617B7776-1678-47B1-B319-6F796EF161E1}"/>
    <cellStyle name="20% - Énfasis3 18 2 6" xfId="36679" xr:uid="{A1F8E157-9363-48E6-A897-12792B83AABE}"/>
    <cellStyle name="20% - Énfasis3 18 3" xfId="2243" xr:uid="{43E23551-092F-46FF-8C78-67F855AC40E1}"/>
    <cellStyle name="20% - Énfasis3 18 3 2" xfId="5975" xr:uid="{4A8738E7-C918-4FA1-8644-C6BBA94DE7BA}"/>
    <cellStyle name="20% - Énfasis3 18 3 2 2" xfId="13683" xr:uid="{C23E59A8-B606-4006-AEC8-A58B4DA1FC3B}"/>
    <cellStyle name="20% - Énfasis3 18 3 2 2 2" xfId="29095" xr:uid="{349B2AB0-46CB-49BD-A80E-10EEFEF04CDA}"/>
    <cellStyle name="20% - Énfasis3 18 3 2 2 2 2" xfId="36698" xr:uid="{D5C06A1A-9EC3-4878-9FD2-480DEF37DEB9}"/>
    <cellStyle name="20% - Énfasis3 18 3 2 2 3" xfId="36697" xr:uid="{886A49B6-ADC6-4650-B3B6-A3AB800A8108}"/>
    <cellStyle name="20% - Énfasis3 18 3 2 3" xfId="21390" xr:uid="{30CC31B0-C97B-4065-9E8C-9FD6A57B6108}"/>
    <cellStyle name="20% - Énfasis3 18 3 2 3 2" xfId="36699" xr:uid="{C9120051-4C2A-4D51-93C8-D4D6CE052BB9}"/>
    <cellStyle name="20% - Énfasis3 18 3 2 4" xfId="36696" xr:uid="{99791BBA-8937-4921-8F2A-2676DCBF4DE7}"/>
    <cellStyle name="20% - Énfasis3 18 3 3" xfId="9954" xr:uid="{93ECEEC9-9F5B-4E24-9455-CC25AEFA560D}"/>
    <cellStyle name="20% - Énfasis3 18 3 3 2" xfId="25367" xr:uid="{63195D47-CAFA-4059-A70E-951A6D0D46F9}"/>
    <cellStyle name="20% - Énfasis3 18 3 3 2 2" xfId="36701" xr:uid="{F0F2B5FE-690E-4382-93B5-886D45A3AE9C}"/>
    <cellStyle name="20% - Énfasis3 18 3 3 3" xfId="36700" xr:uid="{C3D8FD96-39E2-4445-9BC2-87DF7C0FDC96}"/>
    <cellStyle name="20% - Énfasis3 18 3 4" xfId="17662" xr:uid="{4FE241FA-0081-4478-B949-A84714475844}"/>
    <cellStyle name="20% - Énfasis3 18 3 4 2" xfId="36702" xr:uid="{A92A99A1-0AD2-4D4E-B72D-A43AB0E60331}"/>
    <cellStyle name="20% - Énfasis3 18 3 5" xfId="36695" xr:uid="{FAEAD1D0-6B7E-4FDE-AE52-EA9C8FB2BEA4}"/>
    <cellStyle name="20% - Énfasis3 18 4" xfId="4498" xr:uid="{31A7D941-B527-4630-8DCB-721731F69069}"/>
    <cellStyle name="20% - Énfasis3 18 4 2" xfId="12206" xr:uid="{B9F61058-AFAF-4793-B121-3C66870DED77}"/>
    <cellStyle name="20% - Énfasis3 18 4 2 2" xfId="27618" xr:uid="{21FA5011-1FEB-458A-B6E7-B01C5F3BBCFD}"/>
    <cellStyle name="20% - Énfasis3 18 4 2 2 2" xfId="36705" xr:uid="{32B93896-019E-4D28-8AA3-81C49BEA0ABA}"/>
    <cellStyle name="20% - Énfasis3 18 4 2 3" xfId="36704" xr:uid="{8643DB8D-FAD5-4E16-BCED-A3B81606E713}"/>
    <cellStyle name="20% - Énfasis3 18 4 3" xfId="19913" xr:uid="{59AFA745-DEB5-44AD-9137-95912EB4C455}"/>
    <cellStyle name="20% - Énfasis3 18 4 3 2" xfId="36706" xr:uid="{1AE3E5D7-D60D-43CF-91F3-1BE9F46C151C}"/>
    <cellStyle name="20% - Énfasis3 18 4 4" xfId="36703" xr:uid="{A064C92A-81D6-4D27-8E1E-43581301D9D7}"/>
    <cellStyle name="20% - Énfasis3 18 5" xfId="8495" xr:uid="{541D5CBC-56FD-420C-9FBE-F4E7594A9AEE}"/>
    <cellStyle name="20% - Énfasis3 18 5 2" xfId="23908" xr:uid="{C267F405-74FA-4175-9162-71605D0F8618}"/>
    <cellStyle name="20% - Énfasis3 18 5 2 2" xfId="36708" xr:uid="{D2084102-CF31-46A4-8B58-F138798F6815}"/>
    <cellStyle name="20% - Énfasis3 18 5 3" xfId="36707" xr:uid="{8CA28B6F-ABD0-40DC-815A-CB35FD4217A3}"/>
    <cellStyle name="20% - Énfasis3 18 6" xfId="16203" xr:uid="{17510CDE-6DFF-44B8-8440-C6A2384C4FCE}"/>
    <cellStyle name="20% - Énfasis3 18 6 2" xfId="36709" xr:uid="{6A4415A4-A5F4-4A38-BCC1-AFE845D94F33}"/>
    <cellStyle name="20% - Énfasis3 18 7" xfId="36678" xr:uid="{82B414AE-C522-4F9F-8107-A1519BB0E7AA}"/>
    <cellStyle name="20% - Énfasis3 19" xfId="772" xr:uid="{58304030-2FDA-49FE-8DD7-947966672322}"/>
    <cellStyle name="20% - Énfasis3 19 2" xfId="2262" xr:uid="{BE7BD093-1456-41DA-8C78-866F40AE2526}"/>
    <cellStyle name="20% - Énfasis3 19 2 2" xfId="5994" xr:uid="{0B215657-3E0A-4E50-9711-EB96B1DBB02F}"/>
    <cellStyle name="20% - Énfasis3 19 2 2 2" xfId="13702" xr:uid="{24931D84-056D-4FBB-A510-7488B079FFD3}"/>
    <cellStyle name="20% - Énfasis3 19 2 2 2 2" xfId="29114" xr:uid="{9405D230-1A81-49C4-A186-45064427F599}"/>
    <cellStyle name="20% - Énfasis3 19 2 2 2 2 2" xfId="36714" xr:uid="{09852E0F-9E78-4597-B8DF-030708D3D2A1}"/>
    <cellStyle name="20% - Énfasis3 19 2 2 2 3" xfId="36713" xr:uid="{4DAA9AA6-6EE0-4834-B835-E51097647F23}"/>
    <cellStyle name="20% - Énfasis3 19 2 2 3" xfId="21409" xr:uid="{9664A76F-2D7A-45A2-90AC-5BF92DFAEAB2}"/>
    <cellStyle name="20% - Énfasis3 19 2 2 3 2" xfId="36715" xr:uid="{D6BC77DE-29B8-4EBB-809B-7CB3DF2A0CD1}"/>
    <cellStyle name="20% - Énfasis3 19 2 2 4" xfId="36712" xr:uid="{C59564FC-98A5-4B30-B91F-4712DBDCE53D}"/>
    <cellStyle name="20% - Énfasis3 19 2 3" xfId="9973" xr:uid="{1E353C70-657A-4B91-8AA4-EF8AE6B82B10}"/>
    <cellStyle name="20% - Énfasis3 19 2 3 2" xfId="25386" xr:uid="{992D0B00-0787-42A6-A337-8006B43F2D9E}"/>
    <cellStyle name="20% - Énfasis3 19 2 3 2 2" xfId="36717" xr:uid="{38D88B71-E42B-4E6F-A645-B7FF320E9515}"/>
    <cellStyle name="20% - Énfasis3 19 2 3 3" xfId="36716" xr:uid="{06BB58D3-A8FB-45EE-BCE3-8CDE99DDCFFE}"/>
    <cellStyle name="20% - Énfasis3 19 2 4" xfId="17681" xr:uid="{D45AB208-F218-4428-9B80-8D0DC571DD98}"/>
    <cellStyle name="20% - Énfasis3 19 2 4 2" xfId="36718" xr:uid="{28D91DBB-CED0-434A-AFFE-23C55B9739F6}"/>
    <cellStyle name="20% - Énfasis3 19 2 5" xfId="36711" xr:uid="{002E1ADF-EDDD-4130-88D4-67EDA259BE81}"/>
    <cellStyle name="20% - Énfasis3 19 3" xfId="4517" xr:uid="{004ED7A4-0D50-4C5D-B713-530CAE5F9D87}"/>
    <cellStyle name="20% - Énfasis3 19 3 2" xfId="12225" xr:uid="{52B79CD7-F15D-42D1-A48A-FEC80F5C5CDA}"/>
    <cellStyle name="20% - Énfasis3 19 3 2 2" xfId="27637" xr:uid="{6D3AD4D3-3158-455F-9540-8FE9CCBD6DD0}"/>
    <cellStyle name="20% - Énfasis3 19 3 2 2 2" xfId="36721" xr:uid="{B43C4E92-CFA5-4170-B276-9112C76D2001}"/>
    <cellStyle name="20% - Énfasis3 19 3 2 3" xfId="36720" xr:uid="{CE2ACDC6-61D2-4366-8656-983A4D4A4F46}"/>
    <cellStyle name="20% - Énfasis3 19 3 3" xfId="19932" xr:uid="{5935FBAB-0C58-45EE-8A53-E2742FFDDF2A}"/>
    <cellStyle name="20% - Énfasis3 19 3 3 2" xfId="36722" xr:uid="{40DA98CE-EEBC-4E9B-BCCD-D32A4D0F1668}"/>
    <cellStyle name="20% - Énfasis3 19 3 4" xfId="36719" xr:uid="{3AE4A50B-0AAF-407F-90F2-14A80BD70CC0}"/>
    <cellStyle name="20% - Énfasis3 19 4" xfId="8514" xr:uid="{FD96FEB8-6137-46B0-BF4A-8018C512B1A8}"/>
    <cellStyle name="20% - Énfasis3 19 4 2" xfId="23927" xr:uid="{BAC84CAD-462D-4221-A878-66D31EE32965}"/>
    <cellStyle name="20% - Énfasis3 19 4 2 2" xfId="36724" xr:uid="{F6C512A2-E280-4DD9-8C86-929C20F21558}"/>
    <cellStyle name="20% - Énfasis3 19 4 3" xfId="36723" xr:uid="{15DCC2AD-8E42-4F38-A3C1-748630F191AF}"/>
    <cellStyle name="20% - Énfasis3 19 5" xfId="16222" xr:uid="{82378E57-082F-46F5-9508-F360DD2807B8}"/>
    <cellStyle name="20% - Énfasis3 19 5 2" xfId="36725" xr:uid="{D2197391-1DA5-4D02-813C-4B46958267ED}"/>
    <cellStyle name="20% - Énfasis3 19 6" xfId="36710" xr:uid="{C3C39552-879A-417A-9964-D2141AC3F4DE}"/>
    <cellStyle name="20% - Énfasis3 2" xfId="174" xr:uid="{FC4E63BE-1BF0-45D9-95C6-C1E9E0CBE98D}"/>
    <cellStyle name="20% - Énfasis3 2 2" xfId="384" xr:uid="{D7F37F51-9389-41D1-A4F5-43B2915F38AB}"/>
    <cellStyle name="20% - Énfasis3 2 2 2" xfId="1046" xr:uid="{0BDD0D57-70BE-4F3A-B123-B5F11BF735A6}"/>
    <cellStyle name="20% - Énfasis3 2 2 2 2" xfId="2514" xr:uid="{A519F462-15B3-47A5-89A8-4D9D87E9EFC4}"/>
    <cellStyle name="20% - Énfasis3 2 2 2 2 2" xfId="6246" xr:uid="{91A5A155-1EBF-4B7A-B889-761523C88300}"/>
    <cellStyle name="20% - Énfasis3 2 2 2 2 2 2" xfId="13954" xr:uid="{68121482-E2D0-41EB-86C7-098376EA80F6}"/>
    <cellStyle name="20% - Énfasis3 2 2 2 2 2 2 2" xfId="29366" xr:uid="{095B2303-3372-4500-9C33-51B4724B8003}"/>
    <cellStyle name="20% - Énfasis3 2 2 2 2 2 2 2 2" xfId="36732" xr:uid="{08EA5AFA-31A2-4525-B99B-C9A80A0A5576}"/>
    <cellStyle name="20% - Énfasis3 2 2 2 2 2 2 3" xfId="36731" xr:uid="{7E6E56E9-6CF8-428C-9922-57EFE84B96C8}"/>
    <cellStyle name="20% - Énfasis3 2 2 2 2 2 3" xfId="21661" xr:uid="{5EC63E8B-AC4C-4AF9-A7B6-82803C472D03}"/>
    <cellStyle name="20% - Énfasis3 2 2 2 2 2 3 2" xfId="36733" xr:uid="{50833A38-2A3A-473E-BA79-825C7928BB1B}"/>
    <cellStyle name="20% - Énfasis3 2 2 2 2 2 4" xfId="36730" xr:uid="{82B10C10-5203-42B6-B03E-A5161F76ED1C}"/>
    <cellStyle name="20% - Énfasis3 2 2 2 2 3" xfId="10225" xr:uid="{63CF15C8-B636-475A-966D-A0081D68DCF9}"/>
    <cellStyle name="20% - Énfasis3 2 2 2 2 3 2" xfId="25638" xr:uid="{36A7ABA3-7FC0-4894-B30C-B4F686600673}"/>
    <cellStyle name="20% - Énfasis3 2 2 2 2 3 2 2" xfId="36735" xr:uid="{B2E838BE-9420-48FC-835C-20375FDCF208}"/>
    <cellStyle name="20% - Énfasis3 2 2 2 2 3 3" xfId="36734" xr:uid="{D92CF0FF-A8C4-49EC-94CB-AEC6AAB691B3}"/>
    <cellStyle name="20% - Énfasis3 2 2 2 2 4" xfId="17933" xr:uid="{2FC2BD1B-E287-454D-AF38-E46ED7B68311}"/>
    <cellStyle name="20% - Énfasis3 2 2 2 2 4 2" xfId="36736" xr:uid="{2A654E2A-9949-455A-8DAD-79E530E70400}"/>
    <cellStyle name="20% - Énfasis3 2 2 2 2 5" xfId="36729" xr:uid="{74627496-4A08-42DB-AD53-B2AAF6D764D7}"/>
    <cellStyle name="20% - Énfasis3 2 2 2 3" xfId="4783" xr:uid="{F1A47FDA-DA98-4504-B7FB-4EAED329C064}"/>
    <cellStyle name="20% - Énfasis3 2 2 2 3 2" xfId="12491" xr:uid="{98EB3184-8350-49C7-8F87-9C730532D315}"/>
    <cellStyle name="20% - Énfasis3 2 2 2 3 2 2" xfId="27903" xr:uid="{B8E24470-8485-46F0-A180-9C5470A73E3F}"/>
    <cellStyle name="20% - Énfasis3 2 2 2 3 2 2 2" xfId="36739" xr:uid="{0DC6378A-B161-49BF-86A7-305C059C21D4}"/>
    <cellStyle name="20% - Énfasis3 2 2 2 3 2 3" xfId="36738" xr:uid="{9CEEEA14-BA15-4576-8418-6B7BC8D2DDB6}"/>
    <cellStyle name="20% - Énfasis3 2 2 2 3 3" xfId="20198" xr:uid="{116D5A00-34F4-4594-82CC-0BD70112DB47}"/>
    <cellStyle name="20% - Énfasis3 2 2 2 3 3 2" xfId="36740" xr:uid="{B4D93829-0901-4198-AE00-ABA7D81710E3}"/>
    <cellStyle name="20% - Énfasis3 2 2 2 3 4" xfId="36737" xr:uid="{34D78888-06EA-450F-87D6-DD0F9955BBFD}"/>
    <cellStyle name="20% - Énfasis3 2 2 2 4" xfId="8766" xr:uid="{5197364F-AEA8-4461-B6AD-7ACF3E3444C8}"/>
    <cellStyle name="20% - Énfasis3 2 2 2 4 2" xfId="24179" xr:uid="{C9012709-F705-4BA3-BA00-4EDBB4A8C998}"/>
    <cellStyle name="20% - Énfasis3 2 2 2 4 2 2" xfId="36742" xr:uid="{856A8082-8691-4C8E-94B7-9BDDF5D7C52C}"/>
    <cellStyle name="20% - Énfasis3 2 2 2 4 3" xfId="36741" xr:uid="{45FD8545-7C6A-4E4E-8875-DDE510CD9005}"/>
    <cellStyle name="20% - Énfasis3 2 2 2 5" xfId="16474" xr:uid="{75008D0E-616A-4042-9719-BA4A17ABA316}"/>
    <cellStyle name="20% - Énfasis3 2 2 2 5 2" xfId="36743" xr:uid="{1ABC145F-1E49-48A7-8C75-4543D79F940B}"/>
    <cellStyle name="20% - Énfasis3 2 2 2 6" xfId="36728" xr:uid="{D881C0FC-E128-402B-8A5C-A1CC4C9D1B15}"/>
    <cellStyle name="20% - Énfasis3 2 2 3" xfId="1876" xr:uid="{1753314B-3400-4F74-B647-9A55FAFF6C42}"/>
    <cellStyle name="20% - Énfasis3 2 2 3 2" xfId="5608" xr:uid="{282D9843-D0C4-46BA-87A2-FF8E42C7F859}"/>
    <cellStyle name="20% - Énfasis3 2 2 3 2 2" xfId="13316" xr:uid="{96226EF1-B5BE-4083-BDC7-536C095B94A0}"/>
    <cellStyle name="20% - Énfasis3 2 2 3 2 2 2" xfId="28728" xr:uid="{7496B1B6-896E-4841-99FC-96DACE265E21}"/>
    <cellStyle name="20% - Énfasis3 2 2 3 2 2 2 2" xfId="36747" xr:uid="{6F2954D8-1232-40CB-8266-B06BF7FB1AFF}"/>
    <cellStyle name="20% - Énfasis3 2 2 3 2 2 3" xfId="36746" xr:uid="{4E8B2895-1EC9-4F91-9DF8-B8AFB240F311}"/>
    <cellStyle name="20% - Énfasis3 2 2 3 2 3" xfId="21023" xr:uid="{A09FF4D7-C013-4F96-AD35-16BDA9716FA9}"/>
    <cellStyle name="20% - Énfasis3 2 2 3 2 3 2" xfId="36748" xr:uid="{44D47EC6-56C8-4B56-907D-0F68EFB12BC6}"/>
    <cellStyle name="20% - Énfasis3 2 2 3 2 4" xfId="36745" xr:uid="{825265F6-4EC6-428B-BF6B-99CE6A7D3BF7}"/>
    <cellStyle name="20% - Énfasis3 2 2 3 3" xfId="9587" xr:uid="{90680B8C-4644-429F-8353-0AEA10AAB353}"/>
    <cellStyle name="20% - Énfasis3 2 2 3 3 2" xfId="25000" xr:uid="{FE872679-7912-48B8-8CA0-57350CB5BDA3}"/>
    <cellStyle name="20% - Énfasis3 2 2 3 3 2 2" xfId="36750" xr:uid="{BC7D472E-B242-4EF5-877D-2B86526F344C}"/>
    <cellStyle name="20% - Énfasis3 2 2 3 3 3" xfId="36749" xr:uid="{DE6AED58-6524-4354-A823-0444CA06CE11}"/>
    <cellStyle name="20% - Énfasis3 2 2 3 4" xfId="17295" xr:uid="{6A21E3AC-0C71-46AE-8CEB-6F1694151EDF}"/>
    <cellStyle name="20% - Énfasis3 2 2 3 4 2" xfId="36751" xr:uid="{6CC2AC8A-0C00-400A-9578-3681B5F58AD7}"/>
    <cellStyle name="20% - Énfasis3 2 2 3 5" xfId="36744" xr:uid="{3C0986C2-AD6A-4291-ADD2-6932C7D902EC}"/>
    <cellStyle name="20% - Énfasis3 2 2 4" xfId="4131" xr:uid="{24E06259-1BB3-43FA-BE3D-4045C901E171}"/>
    <cellStyle name="20% - Énfasis3 2 2 4 2" xfId="11839" xr:uid="{7F98D4C7-F906-48C9-8A75-806C55159C31}"/>
    <cellStyle name="20% - Énfasis3 2 2 4 2 2" xfId="27251" xr:uid="{3D360937-BC76-45BD-BFE5-8BE719C2C71B}"/>
    <cellStyle name="20% - Énfasis3 2 2 4 2 2 2" xfId="36754" xr:uid="{54A138B0-9AD6-4D39-B9B0-0DF5B0C7FEDC}"/>
    <cellStyle name="20% - Énfasis3 2 2 4 2 3" xfId="36753" xr:uid="{04CAAC29-3704-479F-A429-239C11B765EB}"/>
    <cellStyle name="20% - Énfasis3 2 2 4 3" xfId="19546" xr:uid="{F6CAB014-12D4-4179-857A-469414584F7A}"/>
    <cellStyle name="20% - Énfasis3 2 2 4 3 2" xfId="36755" xr:uid="{5808ED12-3FAD-49F3-9848-DABEFA9C2C4F}"/>
    <cellStyle name="20% - Énfasis3 2 2 4 4" xfId="36752" xr:uid="{733F73C8-7218-41A5-AE8A-66F9C2FC5A44}"/>
    <cellStyle name="20% - Énfasis3 2 2 5" xfId="8128" xr:uid="{0C58290E-E872-4472-94E0-69305AC04FC3}"/>
    <cellStyle name="20% - Énfasis3 2 2 5 2" xfId="23541" xr:uid="{857D599A-FF71-4CAB-BE4A-89E9D8BE983F}"/>
    <cellStyle name="20% - Énfasis3 2 2 5 2 2" xfId="36757" xr:uid="{3091F626-8748-47D0-8CE7-3FC324993546}"/>
    <cellStyle name="20% - Énfasis3 2 2 5 3" xfId="36756" xr:uid="{E2C432BB-3149-4219-AE9D-F5BA50009F46}"/>
    <cellStyle name="20% - Énfasis3 2 2 6" xfId="15836" xr:uid="{1EAD0086-B206-4A0B-8C80-F80EC9FA551E}"/>
    <cellStyle name="20% - Énfasis3 2 2 6 2" xfId="36758" xr:uid="{355C829B-C282-4B34-92DB-B227EDD1C3D1}"/>
    <cellStyle name="20% - Énfasis3 2 2 7" xfId="36727" xr:uid="{8D50B028-3342-41A6-9A45-61C3CEEB1F34}"/>
    <cellStyle name="20% - Énfasis3 2 3" xfId="841" xr:uid="{778DC920-BDE5-4113-9D42-61B1596B73B6}"/>
    <cellStyle name="20% - Énfasis3 2 3 2" xfId="2316" xr:uid="{28A53A77-3085-46FC-9D70-B18ED80CEE96}"/>
    <cellStyle name="20% - Énfasis3 2 3 2 2" xfId="6048" xr:uid="{F036958C-6071-4C2C-9739-0CB4E672B4FE}"/>
    <cellStyle name="20% - Énfasis3 2 3 2 2 2" xfId="13756" xr:uid="{484FB0FF-477E-4012-8D1C-2BF8F9CF79A3}"/>
    <cellStyle name="20% - Énfasis3 2 3 2 2 2 2" xfId="29168" xr:uid="{63536D60-0DC6-4A36-A6EA-EFABA51A650B}"/>
    <cellStyle name="20% - Énfasis3 2 3 2 2 2 2 2" xfId="36763" xr:uid="{CDF17E13-6652-48D5-B4F6-708071DBCD3A}"/>
    <cellStyle name="20% - Énfasis3 2 3 2 2 2 3" xfId="36762" xr:uid="{A4FFA7CB-A75A-4F0E-B6B2-02C463453656}"/>
    <cellStyle name="20% - Énfasis3 2 3 2 2 3" xfId="21463" xr:uid="{B99FADE7-7B37-43F9-968B-737F5C1DE342}"/>
    <cellStyle name="20% - Énfasis3 2 3 2 2 3 2" xfId="36764" xr:uid="{F7ACEE68-CA8C-48AD-A1F2-E71F38EC40E3}"/>
    <cellStyle name="20% - Énfasis3 2 3 2 2 4" xfId="36761" xr:uid="{7A22332F-6A8C-49DD-99E9-514B0D03675F}"/>
    <cellStyle name="20% - Énfasis3 2 3 2 3" xfId="10027" xr:uid="{612D42BC-42D3-4B3E-844F-0EF0204EDBE8}"/>
    <cellStyle name="20% - Énfasis3 2 3 2 3 2" xfId="25440" xr:uid="{5BC03ED8-A9D4-49F1-9997-28BCBA0D8F9D}"/>
    <cellStyle name="20% - Énfasis3 2 3 2 3 2 2" xfId="36766" xr:uid="{B179A5B2-55DF-4709-ACB4-CE3526F3A4F4}"/>
    <cellStyle name="20% - Énfasis3 2 3 2 3 3" xfId="36765" xr:uid="{6439422B-B31B-4724-9A6C-4E481F85EB9E}"/>
    <cellStyle name="20% - Énfasis3 2 3 2 4" xfId="17735" xr:uid="{4AF5C2F5-1A77-4CFF-896A-5758A2739721}"/>
    <cellStyle name="20% - Énfasis3 2 3 2 4 2" xfId="36767" xr:uid="{9EDB1606-A1BA-4A28-9E3B-EBD0F70B7116}"/>
    <cellStyle name="20% - Énfasis3 2 3 2 5" xfId="36760" xr:uid="{55357B65-4F9F-4B1B-8C3F-0452A5136BBA}"/>
    <cellStyle name="20% - Énfasis3 2 3 3" xfId="4578" xr:uid="{52F923D4-C74D-4A11-994A-ED3DF32A88B6}"/>
    <cellStyle name="20% - Énfasis3 2 3 3 2" xfId="12286" xr:uid="{32D338B6-77EA-42FD-9621-2AF4BA4CE775}"/>
    <cellStyle name="20% - Énfasis3 2 3 3 2 2" xfId="27698" xr:uid="{76D86420-A88C-4ECD-A88C-09BAFB4F8805}"/>
    <cellStyle name="20% - Énfasis3 2 3 3 2 2 2" xfId="36770" xr:uid="{5573D338-7108-46BA-AEEF-702495B86FA2}"/>
    <cellStyle name="20% - Énfasis3 2 3 3 2 3" xfId="36769" xr:uid="{A8EF1DE8-883E-4383-8799-CA98B5CEB337}"/>
    <cellStyle name="20% - Énfasis3 2 3 3 3" xfId="19993" xr:uid="{9AC49AB4-1356-4D26-8114-748C2FC92B64}"/>
    <cellStyle name="20% - Énfasis3 2 3 3 3 2" xfId="36771" xr:uid="{03D5FDF6-D9F4-4CDB-AE18-EC475A6B5B3C}"/>
    <cellStyle name="20% - Énfasis3 2 3 3 4" xfId="36768" xr:uid="{E87D0336-3746-4026-A430-98C3B14C7E54}"/>
    <cellStyle name="20% - Énfasis3 2 3 4" xfId="8568" xr:uid="{693F5E7F-F8E9-4CE2-B87D-17DB6FFF179B}"/>
    <cellStyle name="20% - Énfasis3 2 3 4 2" xfId="23981" xr:uid="{1D2E4A2E-EAB5-4779-8D55-17BA95107888}"/>
    <cellStyle name="20% - Énfasis3 2 3 4 2 2" xfId="36773" xr:uid="{AC6C1155-270B-4F76-8BEF-6B679479BA51}"/>
    <cellStyle name="20% - Énfasis3 2 3 4 3" xfId="36772" xr:uid="{2F4E0CBA-C4AE-416A-8564-72649CDB8DE7}"/>
    <cellStyle name="20% - Énfasis3 2 3 5" xfId="16276" xr:uid="{39F1E92F-3BB9-48B0-AB4B-FAFA148C3D8F}"/>
    <cellStyle name="20% - Énfasis3 2 3 5 2" xfId="36774" xr:uid="{34898485-474B-45BB-8FA7-0AA571B8054C}"/>
    <cellStyle name="20% - Énfasis3 2 3 6" xfId="36759" xr:uid="{C153A30B-36C3-472B-AC94-DF4B37BC2A66}"/>
    <cellStyle name="20% - Énfasis3 2 4" xfId="1678" xr:uid="{F30CC280-A086-44C8-B4D8-6E69F1A0E8B5}"/>
    <cellStyle name="20% - Énfasis3 2 4 2" xfId="5410" xr:uid="{184EDB98-5E10-4783-9DFE-1ACB2335A394}"/>
    <cellStyle name="20% - Énfasis3 2 4 2 2" xfId="13118" xr:uid="{11287863-B599-4540-8A3A-498620610AA3}"/>
    <cellStyle name="20% - Énfasis3 2 4 2 2 2" xfId="28530" xr:uid="{564098F0-975F-4A7B-909C-1C0C5A3EDD09}"/>
    <cellStyle name="20% - Énfasis3 2 4 2 2 2 2" xfId="36778" xr:uid="{25F95F04-8D2B-4350-BF24-AD1E26021544}"/>
    <cellStyle name="20% - Énfasis3 2 4 2 2 3" xfId="36777" xr:uid="{534CE557-DAB2-4BAC-95CE-B9DBB5C2D47B}"/>
    <cellStyle name="20% - Énfasis3 2 4 2 3" xfId="20825" xr:uid="{8AFA3C8E-A15F-4B98-B7CA-4C39CAEF5BB8}"/>
    <cellStyle name="20% - Énfasis3 2 4 2 3 2" xfId="36779" xr:uid="{49733EF5-0D8A-4378-B6B6-BEF411DBFF56}"/>
    <cellStyle name="20% - Énfasis3 2 4 2 4" xfId="36776" xr:uid="{AB15F24C-1F77-4AC3-A6EA-C81184A1C33A}"/>
    <cellStyle name="20% - Énfasis3 2 4 3" xfId="9389" xr:uid="{000C560C-873B-43C1-BC51-96B93526270F}"/>
    <cellStyle name="20% - Énfasis3 2 4 3 2" xfId="24802" xr:uid="{F43F1210-6DA3-4545-A19A-E5C6225462B3}"/>
    <cellStyle name="20% - Énfasis3 2 4 3 2 2" xfId="36781" xr:uid="{40C4E364-F7F2-4878-9BC0-2BCD3AA139DE}"/>
    <cellStyle name="20% - Énfasis3 2 4 3 3" xfId="36780" xr:uid="{31418F96-9D95-45C2-8267-0FD552E5DB0D}"/>
    <cellStyle name="20% - Énfasis3 2 4 4" xfId="17097" xr:uid="{BA6322B9-70E8-461F-B25C-91DE0EF32F92}"/>
    <cellStyle name="20% - Énfasis3 2 4 4 2" xfId="36782" xr:uid="{C017045D-1829-4A6F-B5C3-4338DFC7AE70}"/>
    <cellStyle name="20% - Énfasis3 2 4 5" xfId="36775" xr:uid="{F67D7322-0B1F-4650-A852-353726CE7D0A}"/>
    <cellStyle name="20% - Énfasis3 2 5" xfId="3926" xr:uid="{20693477-F7E3-4EA8-A0B4-A4391C952A1C}"/>
    <cellStyle name="20% - Énfasis3 2 5 2" xfId="11634" xr:uid="{22C3553D-0A3E-47B4-9786-4EB59F883C37}"/>
    <cellStyle name="20% - Énfasis3 2 5 2 2" xfId="27046" xr:uid="{D248BD4A-591F-4F22-BDDF-8FC29310D4A9}"/>
    <cellStyle name="20% - Énfasis3 2 5 2 2 2" xfId="36785" xr:uid="{09DDCDCA-38F8-4115-858B-D5E4A5F0F749}"/>
    <cellStyle name="20% - Énfasis3 2 5 2 3" xfId="36784" xr:uid="{390FE0EB-FFDF-473C-961D-8F98670033AA}"/>
    <cellStyle name="20% - Énfasis3 2 5 3" xfId="19341" xr:uid="{291E2837-ADD6-442C-A02F-44815C6434F5}"/>
    <cellStyle name="20% - Énfasis3 2 5 3 2" xfId="36786" xr:uid="{2BCA3794-E203-4DB1-B92A-7FB00D7D6805}"/>
    <cellStyle name="20% - Énfasis3 2 5 4" xfId="36783" xr:uid="{44960073-CC81-4B47-AAE0-1830BF29698B}"/>
    <cellStyle name="20% - Énfasis3 2 6" xfId="7930" xr:uid="{81084866-1C1A-4AD9-9881-A9C8303F4D6D}"/>
    <cellStyle name="20% - Énfasis3 2 6 2" xfId="23343" xr:uid="{6CCABF25-FC17-4204-B74E-A1EB04F46B24}"/>
    <cellStyle name="20% - Énfasis3 2 6 2 2" xfId="36788" xr:uid="{A897345B-25ED-4E40-855F-22312193D4DD}"/>
    <cellStyle name="20% - Énfasis3 2 6 3" xfId="36787" xr:uid="{7CBBD35E-8FA8-4635-AB84-BEDB291ABB3C}"/>
    <cellStyle name="20% - Énfasis3 2 7" xfId="15638" xr:uid="{08FAD6E5-DCE2-42FA-A32D-7B854B3C4D6B}"/>
    <cellStyle name="20% - Énfasis3 2 7 2" xfId="36789" xr:uid="{251EF37B-CE56-4676-8CE8-46BEC8D3E657}"/>
    <cellStyle name="20% - Énfasis3 2 8" xfId="36726" xr:uid="{4FF68083-C667-4C4B-94C2-ED410DF76A8A}"/>
    <cellStyle name="20% - Énfasis3 20" xfId="1436" xr:uid="{DDD2C3B4-7D2E-4E47-BB46-39C2AE58FB20}"/>
    <cellStyle name="20% - Énfasis3 20 2" xfId="2901" xr:uid="{3DEC40FB-3010-4B2B-A558-B53B434F19D8}"/>
    <cellStyle name="20% - Énfasis3 20 2 2" xfId="6633" xr:uid="{9A0F65CE-0195-462C-AB3F-8473E8F2766A}"/>
    <cellStyle name="20% - Énfasis3 20 2 2 2" xfId="14341" xr:uid="{70B2E7C9-2A06-42AF-98BC-5995994AC77C}"/>
    <cellStyle name="20% - Énfasis3 20 2 2 2 2" xfId="29753" xr:uid="{5C27758B-5DFF-4DDB-B42A-12773DC10182}"/>
    <cellStyle name="20% - Énfasis3 20 2 2 2 2 2" xfId="36794" xr:uid="{5B2BEADF-8FF7-4C2C-A716-85E4FB4FF9AF}"/>
    <cellStyle name="20% - Énfasis3 20 2 2 2 3" xfId="36793" xr:uid="{C43E585A-A02B-4BBB-9E5C-20167B313D21}"/>
    <cellStyle name="20% - Énfasis3 20 2 2 3" xfId="22048" xr:uid="{7A065358-F0B2-415E-8EF1-495629F4C0F6}"/>
    <cellStyle name="20% - Énfasis3 20 2 2 3 2" xfId="36795" xr:uid="{75F28A30-9DBE-44E8-B993-7BCF4C28A7CD}"/>
    <cellStyle name="20% - Énfasis3 20 2 2 4" xfId="36792" xr:uid="{DD8ACEF1-AA55-4970-9835-402EAA82A4E9}"/>
    <cellStyle name="20% - Énfasis3 20 2 3" xfId="10612" xr:uid="{72D6362B-3EDC-4F6B-B7D6-2E275323E606}"/>
    <cellStyle name="20% - Énfasis3 20 2 3 2" xfId="26025" xr:uid="{DB39D26D-812A-4097-9CDC-8B65E482D024}"/>
    <cellStyle name="20% - Énfasis3 20 2 3 2 2" xfId="36797" xr:uid="{14D6A1A2-ED1D-4281-AB5F-8A57D79BE12D}"/>
    <cellStyle name="20% - Énfasis3 20 2 3 3" xfId="36796" xr:uid="{098B5D47-7B7D-46B8-A504-7445AA8BF0C4}"/>
    <cellStyle name="20% - Énfasis3 20 2 4" xfId="18320" xr:uid="{2C355792-71BC-43DB-8904-F50E40A8BD1A}"/>
    <cellStyle name="20% - Énfasis3 20 2 4 2" xfId="36798" xr:uid="{F8A0992F-244D-499D-9CD4-D07025F5E674}"/>
    <cellStyle name="20% - Énfasis3 20 2 5" xfId="36791" xr:uid="{8C39D9A3-9ED6-4D9C-8CA8-D24D68192333}"/>
    <cellStyle name="20% - Énfasis3 20 3" xfId="5172" xr:uid="{2E5646C5-AFF1-4A6C-9443-ABE9108933E0}"/>
    <cellStyle name="20% - Énfasis3 20 3 2" xfId="12880" xr:uid="{F14477C1-EF64-4CCB-80A9-82DAA8E5C314}"/>
    <cellStyle name="20% - Énfasis3 20 3 2 2" xfId="28292" xr:uid="{E5FE2F6C-002A-4F07-AB98-7990687F6E67}"/>
    <cellStyle name="20% - Énfasis3 20 3 2 2 2" xfId="36801" xr:uid="{CAFA1932-DECA-4FA1-8481-382D91563B81}"/>
    <cellStyle name="20% - Énfasis3 20 3 2 3" xfId="36800" xr:uid="{9361481B-84EB-437E-BF70-CA02ACAF5D33}"/>
    <cellStyle name="20% - Énfasis3 20 3 3" xfId="20587" xr:uid="{ED5B689B-90D2-4142-85EC-61FFFACB67C4}"/>
    <cellStyle name="20% - Énfasis3 20 3 3 2" xfId="36802" xr:uid="{DC96EEBA-2C24-42D5-9F22-004003631D45}"/>
    <cellStyle name="20% - Énfasis3 20 3 4" xfId="36799" xr:uid="{AE8DB238-B64B-432C-8D2C-1D8D5236992D}"/>
    <cellStyle name="20% - Énfasis3 20 4" xfId="9153" xr:uid="{0E4D4A91-F039-4CD3-9617-144FFE78E4F0}"/>
    <cellStyle name="20% - Énfasis3 20 4 2" xfId="24566" xr:uid="{E2BECC38-D1CD-4028-A0F3-69F401538626}"/>
    <cellStyle name="20% - Énfasis3 20 4 2 2" xfId="36804" xr:uid="{0F3C11A9-CD85-4CA4-A2C8-2C94E51B1255}"/>
    <cellStyle name="20% - Énfasis3 20 4 3" xfId="36803" xr:uid="{A1BA7D81-3B81-473E-872D-FB56E5271F40}"/>
    <cellStyle name="20% - Énfasis3 20 5" xfId="16861" xr:uid="{1C9FB7CE-A357-44EB-ABD3-F6FFFEE865D4}"/>
    <cellStyle name="20% - Énfasis3 20 5 2" xfId="36805" xr:uid="{D2058CF7-BBBC-4EE2-9B92-119A12E19688}"/>
    <cellStyle name="20% - Énfasis3 20 6" xfId="36790" xr:uid="{5FEBBFDF-6025-4D84-9433-55DCC77E1F1F}"/>
    <cellStyle name="20% - Énfasis3 21" xfId="1456" xr:uid="{1041A7A2-2658-48A0-A522-0ED4919069D6}"/>
    <cellStyle name="20% - Énfasis3 21 2" xfId="2921" xr:uid="{E7D45713-CDC5-4FC8-9868-A76DE078BC30}"/>
    <cellStyle name="20% - Énfasis3 21 2 2" xfId="6653" xr:uid="{B6361009-6CDE-44B5-AA06-21B29B8677C4}"/>
    <cellStyle name="20% - Énfasis3 21 2 2 2" xfId="14361" xr:uid="{D18FC293-A036-441A-A59C-FAE0059A407F}"/>
    <cellStyle name="20% - Énfasis3 21 2 2 2 2" xfId="29773" xr:uid="{4F96CF2D-9EB8-456D-9F55-0C2F644DE86B}"/>
    <cellStyle name="20% - Énfasis3 21 2 2 2 2 2" xfId="36810" xr:uid="{D839A3C3-B802-4A0B-AE9D-CCC01517100C}"/>
    <cellStyle name="20% - Énfasis3 21 2 2 2 3" xfId="36809" xr:uid="{A66D2D12-07A3-49F5-A001-16F530FD21B4}"/>
    <cellStyle name="20% - Énfasis3 21 2 2 3" xfId="22068" xr:uid="{628A05AD-C1DC-441F-83E7-474AB7797F56}"/>
    <cellStyle name="20% - Énfasis3 21 2 2 3 2" xfId="36811" xr:uid="{50685F46-DB2D-46D9-9B0F-B86DB00B29BF}"/>
    <cellStyle name="20% - Énfasis3 21 2 2 4" xfId="36808" xr:uid="{6FE70B7F-A3A6-4BDB-AE46-1062BE40D40D}"/>
    <cellStyle name="20% - Énfasis3 21 2 3" xfId="10632" xr:uid="{E194F960-8A82-4D3C-96A3-B939C66B287F}"/>
    <cellStyle name="20% - Énfasis3 21 2 3 2" xfId="26045" xr:uid="{4AD17586-E830-45FF-A912-0C6ECF7A5A3E}"/>
    <cellStyle name="20% - Énfasis3 21 2 3 2 2" xfId="36813" xr:uid="{85E47D0A-C307-46FE-99A2-E6333CD4A7C0}"/>
    <cellStyle name="20% - Énfasis3 21 2 3 3" xfId="36812" xr:uid="{C89CFA62-7978-45A4-82F8-5BA4FC5669F9}"/>
    <cellStyle name="20% - Énfasis3 21 2 4" xfId="18340" xr:uid="{52068259-C6A5-401E-9923-9DE89E6B5D8C}"/>
    <cellStyle name="20% - Énfasis3 21 2 4 2" xfId="36814" xr:uid="{14C99A86-37D9-45C6-B8E0-D8798D19680F}"/>
    <cellStyle name="20% - Énfasis3 21 2 5" xfId="36807" xr:uid="{A4928FBA-DFC3-48D5-81E6-B518F6F47528}"/>
    <cellStyle name="20% - Énfasis3 21 3" xfId="5192" xr:uid="{658A669C-4705-4AA8-8EB2-97AC0FD8DAAF}"/>
    <cellStyle name="20% - Énfasis3 21 3 2" xfId="12900" xr:uid="{71FA1B9A-B31C-4847-B81D-1EE8FEFC168A}"/>
    <cellStyle name="20% - Énfasis3 21 3 2 2" xfId="28312" xr:uid="{4CE38A9D-D4FC-493B-8A5F-0E41AAD0C254}"/>
    <cellStyle name="20% - Énfasis3 21 3 2 2 2" xfId="36817" xr:uid="{247C4227-B141-4F3F-AC02-23E862D2C884}"/>
    <cellStyle name="20% - Énfasis3 21 3 2 3" xfId="36816" xr:uid="{E1CAF3BD-4643-42A8-92BF-73856491E8F2}"/>
    <cellStyle name="20% - Énfasis3 21 3 3" xfId="20607" xr:uid="{0655C74F-3EDE-44B2-95B0-F3876A20F647}"/>
    <cellStyle name="20% - Énfasis3 21 3 3 2" xfId="36818" xr:uid="{E7825F54-0B9D-4317-8E9E-C950F51FD98A}"/>
    <cellStyle name="20% - Énfasis3 21 3 4" xfId="36815" xr:uid="{8BCBD0CD-059D-400F-9447-15B70C50A00A}"/>
    <cellStyle name="20% - Énfasis3 21 4" xfId="9173" xr:uid="{AB14EF44-35B2-4E53-903E-B90D18083282}"/>
    <cellStyle name="20% - Énfasis3 21 4 2" xfId="24586" xr:uid="{5C7D045F-F8F3-469A-94B9-263CB4E16884}"/>
    <cellStyle name="20% - Énfasis3 21 4 2 2" xfId="36820" xr:uid="{0DB207D2-0996-43B1-A7B5-3D2D58CD3B67}"/>
    <cellStyle name="20% - Énfasis3 21 4 3" xfId="36819" xr:uid="{7572B431-A217-49D5-9224-BD355E44C830}"/>
    <cellStyle name="20% - Énfasis3 21 5" xfId="16881" xr:uid="{461EAB94-7F9B-4FB5-B37C-BBFB1A78F3B9}"/>
    <cellStyle name="20% - Énfasis3 21 5 2" xfId="36821" xr:uid="{2506371C-C6F8-404E-8C98-AA8A86B7BE36}"/>
    <cellStyle name="20% - Énfasis3 21 6" xfId="36806" xr:uid="{994355B5-A26A-4DC1-9F78-CEC7AB4141AF}"/>
    <cellStyle name="20% - Énfasis3 22" xfId="1476" xr:uid="{3E4F5574-080E-4E09-A1F4-E85DC7CAECDB}"/>
    <cellStyle name="20% - Énfasis3 22 2" xfId="2941" xr:uid="{04583A9C-CDEA-43A5-BC29-9FB65CDD6728}"/>
    <cellStyle name="20% - Énfasis3 22 2 2" xfId="6673" xr:uid="{7006DBFD-213F-40E2-A132-13E3FDA846A8}"/>
    <cellStyle name="20% - Énfasis3 22 2 2 2" xfId="14381" xr:uid="{B5C3C459-84C1-41A8-AC71-4E0DC33C7729}"/>
    <cellStyle name="20% - Énfasis3 22 2 2 2 2" xfId="29793" xr:uid="{8BF15F54-EC83-4578-A351-2AB7F13EB753}"/>
    <cellStyle name="20% - Énfasis3 22 2 2 2 2 2" xfId="36826" xr:uid="{4E517F5B-CA8A-4FD2-815B-B8D78671CF9D}"/>
    <cellStyle name="20% - Énfasis3 22 2 2 2 3" xfId="36825" xr:uid="{325BF8CC-2D6F-404E-97BA-98A29B4445E1}"/>
    <cellStyle name="20% - Énfasis3 22 2 2 3" xfId="22088" xr:uid="{3B04A6F8-F1AD-4E44-9186-FB8B650C794E}"/>
    <cellStyle name="20% - Énfasis3 22 2 2 3 2" xfId="36827" xr:uid="{5EB4947A-0D7B-4481-A12B-38C923ABBEE0}"/>
    <cellStyle name="20% - Énfasis3 22 2 2 4" xfId="36824" xr:uid="{97138E42-8094-4929-925E-52F3ED575BC1}"/>
    <cellStyle name="20% - Énfasis3 22 2 3" xfId="10652" xr:uid="{5F95087A-F1C5-4C27-9D50-8FE0B6F96C85}"/>
    <cellStyle name="20% - Énfasis3 22 2 3 2" xfId="26065" xr:uid="{17080749-AFA9-4C6F-8BF8-676B0AA843AD}"/>
    <cellStyle name="20% - Énfasis3 22 2 3 2 2" xfId="36829" xr:uid="{8BD78203-C119-4BB9-BD7C-8B944D9CFEEB}"/>
    <cellStyle name="20% - Énfasis3 22 2 3 3" xfId="36828" xr:uid="{4D7D6894-4421-416C-A11B-2F80A0F19608}"/>
    <cellStyle name="20% - Énfasis3 22 2 4" xfId="18360" xr:uid="{313E95F1-4646-481D-8BE7-E505E112B981}"/>
    <cellStyle name="20% - Énfasis3 22 2 4 2" xfId="36830" xr:uid="{C63DEDF3-8D8D-430C-9075-FC3C10A90C07}"/>
    <cellStyle name="20% - Énfasis3 22 2 5" xfId="36823" xr:uid="{32BD9AB5-92F0-4820-80CF-AF9DD3DB782F}"/>
    <cellStyle name="20% - Énfasis3 22 3" xfId="5212" xr:uid="{1EA2AE23-D396-4AF0-8093-ACA25120EBCE}"/>
    <cellStyle name="20% - Énfasis3 22 3 2" xfId="12920" xr:uid="{57A411C8-39B9-49EC-9C7E-4C2260A3C37C}"/>
    <cellStyle name="20% - Énfasis3 22 3 2 2" xfId="28332" xr:uid="{16ACCB58-3DAA-4D20-80B6-B3FBD693C693}"/>
    <cellStyle name="20% - Énfasis3 22 3 2 2 2" xfId="36833" xr:uid="{B829EE0C-B22F-4382-9374-D35BE943D74D}"/>
    <cellStyle name="20% - Énfasis3 22 3 2 3" xfId="36832" xr:uid="{48AC1049-3722-4EE4-A430-F91A4E3A7E84}"/>
    <cellStyle name="20% - Énfasis3 22 3 3" xfId="20627" xr:uid="{8F508164-4362-471A-A221-1401F57F3464}"/>
    <cellStyle name="20% - Énfasis3 22 3 3 2" xfId="36834" xr:uid="{032B3C65-2E10-4188-BD5A-833AD176B5D4}"/>
    <cellStyle name="20% - Énfasis3 22 3 4" xfId="36831" xr:uid="{A0E3559A-FEF0-4161-860B-8624791530C0}"/>
    <cellStyle name="20% - Énfasis3 22 4" xfId="9193" xr:uid="{CCD43B3E-4AF5-4688-A7CC-29548D9B697B}"/>
    <cellStyle name="20% - Énfasis3 22 4 2" xfId="24606" xr:uid="{3D36B8DF-C8EA-48B8-97B8-2640EB428C7B}"/>
    <cellStyle name="20% - Énfasis3 22 4 2 2" xfId="36836" xr:uid="{80516744-967E-4634-A63C-4AEAF68315EF}"/>
    <cellStyle name="20% - Énfasis3 22 4 3" xfId="36835" xr:uid="{E55F6130-D7EE-4E50-A9B0-B4411C223290}"/>
    <cellStyle name="20% - Énfasis3 22 5" xfId="16901" xr:uid="{03096BEF-2EA0-46FA-9427-2725DADD86A3}"/>
    <cellStyle name="20% - Énfasis3 22 5 2" xfId="36837" xr:uid="{238D1289-DEFA-43F0-89EA-D2C3092BFE4F}"/>
    <cellStyle name="20% - Énfasis3 22 6" xfId="36822" xr:uid="{551854FD-821F-47B9-9678-7F53DF31F294}"/>
    <cellStyle name="20% - Énfasis3 23" xfId="1496" xr:uid="{B79993B7-0FBD-4EC1-B937-A081156EFAF9}"/>
    <cellStyle name="20% - Énfasis3 23 2" xfId="2961" xr:uid="{0B266C29-EB5B-4D2A-9FBB-81FE4AF838CB}"/>
    <cellStyle name="20% - Énfasis3 23 2 2" xfId="6693" xr:uid="{A120E599-4CF4-4192-9A20-5B46B0CBE4D8}"/>
    <cellStyle name="20% - Énfasis3 23 2 2 2" xfId="14401" xr:uid="{948D5232-83F2-43DF-9A58-90E0D411C954}"/>
    <cellStyle name="20% - Énfasis3 23 2 2 2 2" xfId="29813" xr:uid="{7C819C55-AAD7-42E5-BB52-6AF993FE422D}"/>
    <cellStyle name="20% - Énfasis3 23 2 2 2 2 2" xfId="36842" xr:uid="{CEF26D07-76E7-4A8C-BBEA-3F46E52D3600}"/>
    <cellStyle name="20% - Énfasis3 23 2 2 2 3" xfId="36841" xr:uid="{2FBD7739-CA3E-4BED-89AF-636AD6174E3A}"/>
    <cellStyle name="20% - Énfasis3 23 2 2 3" xfId="22108" xr:uid="{C6A540E6-9646-4BAE-8E23-4122EF260F53}"/>
    <cellStyle name="20% - Énfasis3 23 2 2 3 2" xfId="36843" xr:uid="{F66C703D-F84B-4F21-981D-A75318F0C22C}"/>
    <cellStyle name="20% - Énfasis3 23 2 2 4" xfId="36840" xr:uid="{EF1FBDF5-D194-4D13-BD5C-2FAB5EEDBC38}"/>
    <cellStyle name="20% - Énfasis3 23 2 3" xfId="10672" xr:uid="{29C899A3-2467-462A-931A-8AA1A5929B35}"/>
    <cellStyle name="20% - Énfasis3 23 2 3 2" xfId="26085" xr:uid="{3C149324-20CF-4621-BF00-1358DB61557C}"/>
    <cellStyle name="20% - Énfasis3 23 2 3 2 2" xfId="36845" xr:uid="{FA4F3259-97A0-4CA5-8C52-48F06E8A5676}"/>
    <cellStyle name="20% - Énfasis3 23 2 3 3" xfId="36844" xr:uid="{E4147672-D328-42C8-B76D-19E45388DDB8}"/>
    <cellStyle name="20% - Énfasis3 23 2 4" xfId="18380" xr:uid="{81F8FD13-26EC-4098-B64C-66EB38D9C0B4}"/>
    <cellStyle name="20% - Énfasis3 23 2 4 2" xfId="36846" xr:uid="{A06D44CB-7E64-4DC2-A498-1F0C8998658A}"/>
    <cellStyle name="20% - Énfasis3 23 2 5" xfId="36839" xr:uid="{B7524322-C94F-42BB-9929-EBF4E88078E7}"/>
    <cellStyle name="20% - Énfasis3 23 3" xfId="5232" xr:uid="{D9B15F6A-57D8-4231-979C-0F23F1FFE9DE}"/>
    <cellStyle name="20% - Énfasis3 23 3 2" xfId="12940" xr:uid="{4DE355D1-82C2-421C-A2C0-2142EC8845C8}"/>
    <cellStyle name="20% - Énfasis3 23 3 2 2" xfId="28352" xr:uid="{CA46BCEF-4645-4E66-8FB4-63EAC8293311}"/>
    <cellStyle name="20% - Énfasis3 23 3 2 2 2" xfId="36849" xr:uid="{EBBAB062-B20A-4FBC-BED0-D206B0072B07}"/>
    <cellStyle name="20% - Énfasis3 23 3 2 3" xfId="36848" xr:uid="{E28923EA-BCE3-4301-8AE7-463075BD4BE6}"/>
    <cellStyle name="20% - Énfasis3 23 3 3" xfId="20647" xr:uid="{580ABACE-BA23-4094-B7FD-7712E3563EB5}"/>
    <cellStyle name="20% - Énfasis3 23 3 3 2" xfId="36850" xr:uid="{8BB5B3D6-F583-4183-9047-3F1D995F8D20}"/>
    <cellStyle name="20% - Énfasis3 23 3 4" xfId="36847" xr:uid="{98E7C4E2-89CC-4149-A498-FB8337377DC0}"/>
    <cellStyle name="20% - Énfasis3 23 4" xfId="9213" xr:uid="{1E44E63B-0C90-4BF3-98E7-8A8933A95045}"/>
    <cellStyle name="20% - Énfasis3 23 4 2" xfId="24626" xr:uid="{C83BEB53-48A9-4958-BA77-1B19C5300C72}"/>
    <cellStyle name="20% - Énfasis3 23 4 2 2" xfId="36852" xr:uid="{C2F48FC3-0532-4DCC-BA83-372C7E37D1FC}"/>
    <cellStyle name="20% - Énfasis3 23 4 3" xfId="36851" xr:uid="{B6FD61B0-8BB7-48DB-A986-DD848C928073}"/>
    <cellStyle name="20% - Énfasis3 23 5" xfId="16921" xr:uid="{CA915A50-6E7F-45FF-A6FA-06F3C372BFCE}"/>
    <cellStyle name="20% - Énfasis3 23 5 2" xfId="36853" xr:uid="{9A8A21DF-D2A8-4EC8-B048-2191DDDDBB99}"/>
    <cellStyle name="20% - Énfasis3 23 6" xfId="36838" xr:uid="{6E63D403-EECC-4D52-BECC-6CF3770DA728}"/>
    <cellStyle name="20% - Énfasis3 24" xfId="1516" xr:uid="{DAD300A9-D3C4-4AD9-81D4-22EF9AF516DA}"/>
    <cellStyle name="20% - Énfasis3 24 2" xfId="2981" xr:uid="{4299F23C-38EA-4A6D-82C3-B6FF98B1E799}"/>
    <cellStyle name="20% - Énfasis3 24 2 2" xfId="6713" xr:uid="{7FA1E593-3130-4389-A989-B0DBE7A87066}"/>
    <cellStyle name="20% - Énfasis3 24 2 2 2" xfId="14421" xr:uid="{F037A485-6BC4-41D9-BD06-E41E9409728D}"/>
    <cellStyle name="20% - Énfasis3 24 2 2 2 2" xfId="29833" xr:uid="{964B5134-DA46-4C7A-851A-418F58757900}"/>
    <cellStyle name="20% - Énfasis3 24 2 2 2 2 2" xfId="36858" xr:uid="{BC12B962-03F5-4B0F-ABF4-9C47806B832A}"/>
    <cellStyle name="20% - Énfasis3 24 2 2 2 3" xfId="36857" xr:uid="{130BC321-DB74-4685-8AA7-A7E47CF4E16C}"/>
    <cellStyle name="20% - Énfasis3 24 2 2 3" xfId="22128" xr:uid="{229B81A2-2AE5-4409-9C75-E5A26BC418B5}"/>
    <cellStyle name="20% - Énfasis3 24 2 2 3 2" xfId="36859" xr:uid="{D4892A8C-2DC3-4F7C-8C0E-5579CBDE24A4}"/>
    <cellStyle name="20% - Énfasis3 24 2 2 4" xfId="36856" xr:uid="{BA3F0538-2BF1-4C23-829C-A6DC59C83B65}"/>
    <cellStyle name="20% - Énfasis3 24 2 3" xfId="10692" xr:uid="{576A3BD7-34F8-42D7-8CFF-92B53322A629}"/>
    <cellStyle name="20% - Énfasis3 24 2 3 2" xfId="26105" xr:uid="{46B99102-FDBD-4F95-81AC-4EF9BB0BE2A8}"/>
    <cellStyle name="20% - Énfasis3 24 2 3 2 2" xfId="36861" xr:uid="{D298EB18-BA9F-4478-8565-89CECABD0E66}"/>
    <cellStyle name="20% - Énfasis3 24 2 3 3" xfId="36860" xr:uid="{1815D8F1-E669-4088-8013-51CDBAA89792}"/>
    <cellStyle name="20% - Énfasis3 24 2 4" xfId="18400" xr:uid="{DC4B4C9E-B3C6-4D59-BDED-FB8A9DFE14D9}"/>
    <cellStyle name="20% - Énfasis3 24 2 4 2" xfId="36862" xr:uid="{54BFEFAD-82D0-48AF-8E19-5356EE79E754}"/>
    <cellStyle name="20% - Énfasis3 24 2 5" xfId="36855" xr:uid="{D0B42A33-4DB4-48F8-8BCC-603FB0763B69}"/>
    <cellStyle name="20% - Énfasis3 24 3" xfId="5252" xr:uid="{74D855DE-D259-4BDB-BFF0-DA0CDAB28D17}"/>
    <cellStyle name="20% - Énfasis3 24 3 2" xfId="12960" xr:uid="{4D3B2D3B-8690-46C1-BD22-DB7397A70CC6}"/>
    <cellStyle name="20% - Énfasis3 24 3 2 2" xfId="28372" xr:uid="{E7F036EE-9ED0-4EA0-B905-F69FDC8B77D1}"/>
    <cellStyle name="20% - Énfasis3 24 3 2 2 2" xfId="36865" xr:uid="{D5B6D56F-B4D5-426D-9650-4186FEF66AEA}"/>
    <cellStyle name="20% - Énfasis3 24 3 2 3" xfId="36864" xr:uid="{D4F94836-6820-47C6-BB47-8E107A50BFDA}"/>
    <cellStyle name="20% - Énfasis3 24 3 3" xfId="20667" xr:uid="{F9AA1EBA-F57C-4F00-AE4E-662B895170DE}"/>
    <cellStyle name="20% - Énfasis3 24 3 3 2" xfId="36866" xr:uid="{7824F3E4-8E6A-43B0-B408-91379CC003D4}"/>
    <cellStyle name="20% - Énfasis3 24 3 4" xfId="36863" xr:uid="{B3EB7DA6-67C8-4441-A556-C8020A15A9CD}"/>
    <cellStyle name="20% - Énfasis3 24 4" xfId="9233" xr:uid="{A6C24695-988C-4ED3-972F-E040DE6FDCBB}"/>
    <cellStyle name="20% - Énfasis3 24 4 2" xfId="24646" xr:uid="{3D8A6DB5-9F46-48EE-86A8-58072F2F1927}"/>
    <cellStyle name="20% - Énfasis3 24 4 2 2" xfId="36868" xr:uid="{9A883C9F-C8AA-440D-A0FB-F5C09B909121}"/>
    <cellStyle name="20% - Énfasis3 24 4 3" xfId="36867" xr:uid="{84785700-3F38-441C-ADFA-5EBFF250FDB1}"/>
    <cellStyle name="20% - Énfasis3 24 5" xfId="16941" xr:uid="{B8D058E3-1922-494C-BC87-C3391071CFCF}"/>
    <cellStyle name="20% - Énfasis3 24 5 2" xfId="36869" xr:uid="{C97F436E-661A-4D55-8F4E-A26FE3D19F17}"/>
    <cellStyle name="20% - Énfasis3 24 6" xfId="36854" xr:uid="{8EE91776-EF07-4090-BF6E-5DAE841BD276}"/>
    <cellStyle name="20% - Énfasis3 25" xfId="1536" xr:uid="{9D570519-794D-4145-ACFB-44EE7AA8DC11}"/>
    <cellStyle name="20% - Énfasis3 25 2" xfId="3001" xr:uid="{66789606-1EDE-4CCB-BB42-BA2A9E206CA8}"/>
    <cellStyle name="20% - Énfasis3 25 2 2" xfId="6733" xr:uid="{BCA568E3-39DB-461A-80C7-5D13451AF454}"/>
    <cellStyle name="20% - Énfasis3 25 2 2 2" xfId="14441" xr:uid="{D39BF08B-15F8-445F-8D82-731089D14DF7}"/>
    <cellStyle name="20% - Énfasis3 25 2 2 2 2" xfId="29853" xr:uid="{A4A63D95-6CF8-49FE-9978-0B73EDE1D9AA}"/>
    <cellStyle name="20% - Énfasis3 25 2 2 2 2 2" xfId="36874" xr:uid="{51DF2898-2539-4421-8CAE-34492FC8F409}"/>
    <cellStyle name="20% - Énfasis3 25 2 2 2 3" xfId="36873" xr:uid="{41117C81-91D8-49F9-A0C2-3BCCAE97E175}"/>
    <cellStyle name="20% - Énfasis3 25 2 2 3" xfId="22148" xr:uid="{8A10EF39-72FF-4591-A449-D6A3FAC1F015}"/>
    <cellStyle name="20% - Énfasis3 25 2 2 3 2" xfId="36875" xr:uid="{9A0E195C-3453-46C1-812C-2689976CF472}"/>
    <cellStyle name="20% - Énfasis3 25 2 2 4" xfId="36872" xr:uid="{36CA1FB7-9508-4A3A-9F15-613F7E834AED}"/>
    <cellStyle name="20% - Énfasis3 25 2 3" xfId="10712" xr:uid="{D1F75F14-F7DA-4006-90E2-89EE473A2D7E}"/>
    <cellStyle name="20% - Énfasis3 25 2 3 2" xfId="26125" xr:uid="{DBF94E27-325F-4900-8E42-0555A1499669}"/>
    <cellStyle name="20% - Énfasis3 25 2 3 2 2" xfId="36877" xr:uid="{18EEAC86-3BD1-4366-958D-7B2EF253EE81}"/>
    <cellStyle name="20% - Énfasis3 25 2 3 3" xfId="36876" xr:uid="{D16FA7E1-5B1E-4806-9733-3177ED29E380}"/>
    <cellStyle name="20% - Énfasis3 25 2 4" xfId="18420" xr:uid="{66F7C5C2-ACDF-48C8-8D3D-81FDFC7A1754}"/>
    <cellStyle name="20% - Énfasis3 25 2 4 2" xfId="36878" xr:uid="{4931484D-12BB-4413-A8B4-36846E6AC105}"/>
    <cellStyle name="20% - Énfasis3 25 2 5" xfId="36871" xr:uid="{BD94C927-696C-4F22-86B9-207756BD9EE4}"/>
    <cellStyle name="20% - Énfasis3 25 3" xfId="5272" xr:uid="{200D9C41-8799-4C5F-9D0E-CCEA6B677FB3}"/>
    <cellStyle name="20% - Énfasis3 25 3 2" xfId="12980" xr:uid="{C7B1B436-CD98-4408-B00D-A75FCBD8B39C}"/>
    <cellStyle name="20% - Énfasis3 25 3 2 2" xfId="28392" xr:uid="{94A5E146-436C-4EF3-8BE6-B61D1D27CF63}"/>
    <cellStyle name="20% - Énfasis3 25 3 2 2 2" xfId="36881" xr:uid="{16DC210A-45C7-47F8-B5FC-C5EECC22D4C3}"/>
    <cellStyle name="20% - Énfasis3 25 3 2 3" xfId="36880" xr:uid="{E3C5867F-DC25-42BE-81AD-83E7094850BF}"/>
    <cellStyle name="20% - Énfasis3 25 3 3" xfId="20687" xr:uid="{ED441824-D34E-4392-9E0F-FE9A839D0897}"/>
    <cellStyle name="20% - Énfasis3 25 3 3 2" xfId="36882" xr:uid="{A5E202AF-AF9C-42AF-890D-4977465075E6}"/>
    <cellStyle name="20% - Énfasis3 25 3 4" xfId="36879" xr:uid="{07FC8FE1-6280-4411-A9D4-EAFB29FBC2B6}"/>
    <cellStyle name="20% - Énfasis3 25 4" xfId="9253" xr:uid="{5B0ACC28-4394-463B-BBF6-E2D2FBBDB1D1}"/>
    <cellStyle name="20% - Énfasis3 25 4 2" xfId="24666" xr:uid="{CA2A3160-7E85-4E34-8F27-AF81FC131C61}"/>
    <cellStyle name="20% - Énfasis3 25 4 2 2" xfId="36884" xr:uid="{69D11705-1BE2-482C-9B39-E4BA89B757D7}"/>
    <cellStyle name="20% - Énfasis3 25 4 3" xfId="36883" xr:uid="{0AD55157-D491-46CC-BD7D-B05E4B5812F2}"/>
    <cellStyle name="20% - Énfasis3 25 5" xfId="16961" xr:uid="{9901367E-2BE7-4BAC-B356-210234FB585A}"/>
    <cellStyle name="20% - Énfasis3 25 5 2" xfId="36885" xr:uid="{3157BF70-9E17-452E-AF3E-2D3306125C74}"/>
    <cellStyle name="20% - Énfasis3 25 6" xfId="36870" xr:uid="{26D34DF6-4974-4724-B062-6A9BE52B040E}"/>
    <cellStyle name="20% - Énfasis3 26" xfId="1556" xr:uid="{55659048-E078-4A5C-AE78-49FD9A31AAB4}"/>
    <cellStyle name="20% - Énfasis3 26 2" xfId="3021" xr:uid="{6EFCAC74-3193-4DB3-885E-942251940E1F}"/>
    <cellStyle name="20% - Énfasis3 26 2 2" xfId="6753" xr:uid="{080A7519-52B2-4445-A85D-8103EC5E66C4}"/>
    <cellStyle name="20% - Énfasis3 26 2 2 2" xfId="14461" xr:uid="{92A5A66D-EB4F-4AFF-86C7-CC02C299D414}"/>
    <cellStyle name="20% - Énfasis3 26 2 2 2 2" xfId="29873" xr:uid="{4CFF0E2E-1B35-4C7D-A2C1-127EF0159262}"/>
    <cellStyle name="20% - Énfasis3 26 2 2 2 2 2" xfId="36890" xr:uid="{49AC484C-5158-49D5-BC2B-BA8FAB3ABFC3}"/>
    <cellStyle name="20% - Énfasis3 26 2 2 2 3" xfId="36889" xr:uid="{263253F3-BC3F-4B45-8000-3F87D865C08B}"/>
    <cellStyle name="20% - Énfasis3 26 2 2 3" xfId="22168" xr:uid="{D07CFCE9-88B2-4E94-B5E8-D9A5E4A8C637}"/>
    <cellStyle name="20% - Énfasis3 26 2 2 3 2" xfId="36891" xr:uid="{77048743-9D3A-4452-A872-C8D063F5FF42}"/>
    <cellStyle name="20% - Énfasis3 26 2 2 4" xfId="36888" xr:uid="{EC640538-EA48-4CB7-8CBC-E1A158767795}"/>
    <cellStyle name="20% - Énfasis3 26 2 3" xfId="10732" xr:uid="{21155160-EBBC-4A16-8596-4785CB21BB90}"/>
    <cellStyle name="20% - Énfasis3 26 2 3 2" xfId="26145" xr:uid="{C4C19D8D-5743-4B8E-A055-6A7D142AA775}"/>
    <cellStyle name="20% - Énfasis3 26 2 3 2 2" xfId="36893" xr:uid="{5E0ECEB8-D9E2-4C17-9295-7E00FE582A05}"/>
    <cellStyle name="20% - Énfasis3 26 2 3 3" xfId="36892" xr:uid="{1A28D64E-BC6D-448F-9498-B8490E7F6374}"/>
    <cellStyle name="20% - Énfasis3 26 2 4" xfId="18440" xr:uid="{53DA9773-AC6B-40F0-A087-E5862C0028C5}"/>
    <cellStyle name="20% - Énfasis3 26 2 4 2" xfId="36894" xr:uid="{C77839AE-37C7-4B76-A33B-38947E15AC5D}"/>
    <cellStyle name="20% - Énfasis3 26 2 5" xfId="36887" xr:uid="{46656857-F512-4F7B-B653-DF7D7991CA40}"/>
    <cellStyle name="20% - Énfasis3 26 3" xfId="5292" xr:uid="{27908EA6-4B81-4373-9DDF-102CC1440430}"/>
    <cellStyle name="20% - Énfasis3 26 3 2" xfId="13000" xr:uid="{A130DD82-10E6-4A32-84B3-A0AB06A74980}"/>
    <cellStyle name="20% - Énfasis3 26 3 2 2" xfId="28412" xr:uid="{E37F1A62-DC5F-45F8-9B27-1D06BBCE518A}"/>
    <cellStyle name="20% - Énfasis3 26 3 2 2 2" xfId="36897" xr:uid="{607FD62B-58BB-44CD-98CF-C6BADEF10E2E}"/>
    <cellStyle name="20% - Énfasis3 26 3 2 3" xfId="36896" xr:uid="{ED770D85-41BD-4711-92F0-AD457211EFCD}"/>
    <cellStyle name="20% - Énfasis3 26 3 3" xfId="20707" xr:uid="{7CCA2C2E-F45D-47CA-8C5B-789D91CA9C52}"/>
    <cellStyle name="20% - Énfasis3 26 3 3 2" xfId="36898" xr:uid="{121BC456-9962-4223-A370-00857B2879B4}"/>
    <cellStyle name="20% - Énfasis3 26 3 4" xfId="36895" xr:uid="{481157BB-967D-4AF5-81A6-F79D8BA46516}"/>
    <cellStyle name="20% - Énfasis3 26 4" xfId="9273" xr:uid="{DA760C3B-3183-45CA-A550-EB9ECF194437}"/>
    <cellStyle name="20% - Énfasis3 26 4 2" xfId="24686" xr:uid="{A29D2328-760B-4827-9151-2C1EF790E902}"/>
    <cellStyle name="20% - Énfasis3 26 4 2 2" xfId="36900" xr:uid="{C50A4D86-9CA1-4A62-A0A7-B812A6016061}"/>
    <cellStyle name="20% - Énfasis3 26 4 3" xfId="36899" xr:uid="{107D35EC-DFC5-4D40-AD66-EB665EBFDB38}"/>
    <cellStyle name="20% - Énfasis3 26 5" xfId="16981" xr:uid="{E7587936-4CE9-422B-A5FD-F31254EEEE60}"/>
    <cellStyle name="20% - Énfasis3 26 5 2" xfId="36901" xr:uid="{B27AA50B-BFF2-4174-9AD7-D89AE1C045B8}"/>
    <cellStyle name="20% - Énfasis3 26 6" xfId="36886" xr:uid="{947A62C4-F3F4-4550-84C0-DCD9D4272F59}"/>
    <cellStyle name="20% - Énfasis3 27" xfId="1576" xr:uid="{B7258991-E9FF-4B91-A681-AFB0467BBC0A}"/>
    <cellStyle name="20% - Énfasis3 27 2" xfId="3041" xr:uid="{A63360E3-9E63-4D44-9B0C-65A952998496}"/>
    <cellStyle name="20% - Énfasis3 27 2 2" xfId="6773" xr:uid="{CE979229-35F9-44F9-86A2-8667C916CDF3}"/>
    <cellStyle name="20% - Énfasis3 27 2 2 2" xfId="14481" xr:uid="{D4FAB177-648E-4C81-9F0F-DADACA4127CB}"/>
    <cellStyle name="20% - Énfasis3 27 2 2 2 2" xfId="29893" xr:uid="{93CD158E-4C92-4EE5-99CB-B4607695A123}"/>
    <cellStyle name="20% - Énfasis3 27 2 2 2 2 2" xfId="36906" xr:uid="{6E4C33B6-1160-4077-96C6-04522140D588}"/>
    <cellStyle name="20% - Énfasis3 27 2 2 2 3" xfId="36905" xr:uid="{0E304B52-78FE-475D-A877-0155F172006C}"/>
    <cellStyle name="20% - Énfasis3 27 2 2 3" xfId="22188" xr:uid="{BF333F47-906D-4366-B72C-89899D2F4CA5}"/>
    <cellStyle name="20% - Énfasis3 27 2 2 3 2" xfId="36907" xr:uid="{6361C344-7E0F-4171-A1A4-D668CBB7984A}"/>
    <cellStyle name="20% - Énfasis3 27 2 2 4" xfId="36904" xr:uid="{DCA4BE29-F81A-427D-9EE8-545BDE25C56B}"/>
    <cellStyle name="20% - Énfasis3 27 2 3" xfId="10752" xr:uid="{218BB056-32C5-43F9-BCF0-748725A9D9FC}"/>
    <cellStyle name="20% - Énfasis3 27 2 3 2" xfId="26165" xr:uid="{5B645570-E338-4355-B2A2-92A969F18EEF}"/>
    <cellStyle name="20% - Énfasis3 27 2 3 2 2" xfId="36909" xr:uid="{FD208AA7-785B-45F6-BC7C-B9BBD6540C3B}"/>
    <cellStyle name="20% - Énfasis3 27 2 3 3" xfId="36908" xr:uid="{1C71AEA4-DB0C-4761-AB61-DCF27AD890D0}"/>
    <cellStyle name="20% - Énfasis3 27 2 4" xfId="18460" xr:uid="{9E44A84F-7305-4D71-B9CC-FD60A0A1B179}"/>
    <cellStyle name="20% - Énfasis3 27 2 4 2" xfId="36910" xr:uid="{3FE8303D-1FD3-46D8-946D-C367B26F28BA}"/>
    <cellStyle name="20% - Énfasis3 27 2 5" xfId="36903" xr:uid="{E544AD18-E9ED-45CB-B24A-8E5B2EE261F6}"/>
    <cellStyle name="20% - Énfasis3 27 3" xfId="5312" xr:uid="{D2320FF4-F716-4F7F-A419-31AF88427D57}"/>
    <cellStyle name="20% - Énfasis3 27 3 2" xfId="13020" xr:uid="{B0C200A2-CA84-449C-AB50-DCCC8012C1B3}"/>
    <cellStyle name="20% - Énfasis3 27 3 2 2" xfId="28432" xr:uid="{3CFA8272-5353-4E0F-8B70-19E6200D95A3}"/>
    <cellStyle name="20% - Énfasis3 27 3 2 2 2" xfId="36913" xr:uid="{8B3A5715-53F8-42F5-9CFF-3C8F6160393F}"/>
    <cellStyle name="20% - Énfasis3 27 3 2 3" xfId="36912" xr:uid="{2604DA45-5E08-4780-8089-EAE20F39ABA3}"/>
    <cellStyle name="20% - Énfasis3 27 3 3" xfId="20727" xr:uid="{1DFD77E4-D23E-4841-B984-3DA56E1F084B}"/>
    <cellStyle name="20% - Énfasis3 27 3 3 2" xfId="36914" xr:uid="{0CDAE711-7035-4407-B3A9-CC878512AA71}"/>
    <cellStyle name="20% - Énfasis3 27 3 4" xfId="36911" xr:uid="{BB88268D-2282-4546-BDD6-CC1D8221A7DA}"/>
    <cellStyle name="20% - Énfasis3 27 4" xfId="9293" xr:uid="{B45FDB2D-231C-4BBC-86B3-0CBE6992B42C}"/>
    <cellStyle name="20% - Énfasis3 27 4 2" xfId="24706" xr:uid="{3D3D616A-481B-432C-9429-C4601209DAF7}"/>
    <cellStyle name="20% - Énfasis3 27 4 2 2" xfId="36916" xr:uid="{C4D71CA4-8F2F-4BE9-A62B-6337B6954ADC}"/>
    <cellStyle name="20% - Énfasis3 27 4 3" xfId="36915" xr:uid="{016C3789-6289-496C-BCB5-B40110010BD8}"/>
    <cellStyle name="20% - Énfasis3 27 5" xfId="17001" xr:uid="{795E7EB3-D580-492A-9EF1-0B30B45BF203}"/>
    <cellStyle name="20% - Énfasis3 27 5 2" xfId="36917" xr:uid="{4909B1AE-1232-4468-AA3F-107D2E41A0E2}"/>
    <cellStyle name="20% - Énfasis3 27 6" xfId="36902" xr:uid="{1AE80F71-F79B-4376-81F3-BB64A5600319}"/>
    <cellStyle name="20% - Énfasis3 28" xfId="1597" xr:uid="{D7AC4AF7-4FDA-47C1-A7D8-08ADEF1EC06F}"/>
    <cellStyle name="20% - Énfasis3 28 2" xfId="3062" xr:uid="{711448BE-0D0D-4AC0-9255-99E66F545A51}"/>
    <cellStyle name="20% - Énfasis3 28 2 2" xfId="6794" xr:uid="{C3A69D33-668B-4207-9F1A-525FBA244A6A}"/>
    <cellStyle name="20% - Énfasis3 28 2 2 2" xfId="14502" xr:uid="{213E67C1-0453-40E2-84AE-8E8154159E8A}"/>
    <cellStyle name="20% - Énfasis3 28 2 2 2 2" xfId="29914" xr:uid="{71738714-7FAC-4D13-8F3E-A4D0D0CC2567}"/>
    <cellStyle name="20% - Énfasis3 28 2 2 2 2 2" xfId="36922" xr:uid="{F7E2D834-8DE9-4D83-A061-17E077256703}"/>
    <cellStyle name="20% - Énfasis3 28 2 2 2 3" xfId="36921" xr:uid="{2B0FB3C3-298C-4387-8DEF-ABF631A14FC3}"/>
    <cellStyle name="20% - Énfasis3 28 2 2 3" xfId="22209" xr:uid="{E78BCE54-203F-4ABC-8382-D52E8DDF0CE3}"/>
    <cellStyle name="20% - Énfasis3 28 2 2 3 2" xfId="36923" xr:uid="{C37BBC01-18E9-488B-B5C9-5A233D4B965D}"/>
    <cellStyle name="20% - Énfasis3 28 2 2 4" xfId="36920" xr:uid="{AEEE7E22-8CAA-4E3A-925C-9394B140D622}"/>
    <cellStyle name="20% - Énfasis3 28 2 3" xfId="10773" xr:uid="{77BD1869-93B2-4202-BEAE-AD64AEE46AAF}"/>
    <cellStyle name="20% - Énfasis3 28 2 3 2" xfId="26186" xr:uid="{19F603E9-4493-42A8-BF41-0D844B91ADAA}"/>
    <cellStyle name="20% - Énfasis3 28 2 3 2 2" xfId="36925" xr:uid="{5D4D3A7B-4F8C-4D68-AEE2-3B0F01D40FA6}"/>
    <cellStyle name="20% - Énfasis3 28 2 3 3" xfId="36924" xr:uid="{0DFB9418-0396-46D6-8B0E-7253F20080D0}"/>
    <cellStyle name="20% - Énfasis3 28 2 4" xfId="18481" xr:uid="{0469AB1D-C60E-4840-8855-FC4C9143550E}"/>
    <cellStyle name="20% - Énfasis3 28 2 4 2" xfId="36926" xr:uid="{8F50F2D5-923F-4A00-B31E-DC00FCBDB3B8}"/>
    <cellStyle name="20% - Énfasis3 28 2 5" xfId="36919" xr:uid="{CBF67E8F-2C62-4711-AF9A-244848935EE9}"/>
    <cellStyle name="20% - Énfasis3 28 3" xfId="5333" xr:uid="{B9218244-86A5-4632-9838-6B8A8099681B}"/>
    <cellStyle name="20% - Énfasis3 28 3 2" xfId="13041" xr:uid="{071E875C-4EB4-4513-8A10-143E88F42D90}"/>
    <cellStyle name="20% - Énfasis3 28 3 2 2" xfId="28453" xr:uid="{97D2AEEB-CDB6-42FC-B6A3-0A6A8B4416EC}"/>
    <cellStyle name="20% - Énfasis3 28 3 2 2 2" xfId="36929" xr:uid="{0F2BF8EC-407F-44DF-9643-2BA25F681EE9}"/>
    <cellStyle name="20% - Énfasis3 28 3 2 3" xfId="36928" xr:uid="{20C828BD-8BDD-4C7E-B35A-09D99F5B48AD}"/>
    <cellStyle name="20% - Énfasis3 28 3 3" xfId="20748" xr:uid="{3B0915D9-2C12-47B3-A1F5-6DB4F39DAF0C}"/>
    <cellStyle name="20% - Énfasis3 28 3 3 2" xfId="36930" xr:uid="{967086FF-A073-40C7-9DEE-199813FF23C7}"/>
    <cellStyle name="20% - Énfasis3 28 3 4" xfId="36927" xr:uid="{544FC383-AC8D-4457-A3F6-55FAC5907A69}"/>
    <cellStyle name="20% - Énfasis3 28 4" xfId="9314" xr:uid="{2D7CC76E-96C8-43AC-94A2-DF16FB6FE96F}"/>
    <cellStyle name="20% - Énfasis3 28 4 2" xfId="24727" xr:uid="{6D62D9C9-D015-4790-9F68-954BD3D65B4D}"/>
    <cellStyle name="20% - Énfasis3 28 4 2 2" xfId="36932" xr:uid="{8452B0FE-6E20-425E-8122-5818CFB8E7F5}"/>
    <cellStyle name="20% - Énfasis3 28 4 3" xfId="36931" xr:uid="{CF929924-0F47-47F9-8A61-E2B54A6900BA}"/>
    <cellStyle name="20% - Énfasis3 28 5" xfId="17022" xr:uid="{B6DCFE7B-A6C3-4C80-99C9-BE5D28B9F640}"/>
    <cellStyle name="20% - Énfasis3 28 5 2" xfId="36933" xr:uid="{B72EEF52-BFB9-4E64-8711-080567D97349}"/>
    <cellStyle name="20% - Énfasis3 28 6" xfId="36918" xr:uid="{2554C01E-6570-4E12-86E2-3540FBC88134}"/>
    <cellStyle name="20% - Énfasis3 29" xfId="3082" xr:uid="{7E1FE6F1-BD44-4C9C-BFE8-32A6B6ACEC34}"/>
    <cellStyle name="20% - Énfasis3 29 2" xfId="6814" xr:uid="{A6471824-E429-4ADE-B473-05EFFD6CD9BC}"/>
    <cellStyle name="20% - Énfasis3 29 2 2" xfId="14522" xr:uid="{000083B1-5646-4DC4-8A2A-FAC7A049B2CD}"/>
    <cellStyle name="20% - Énfasis3 29 2 2 2" xfId="29934" xr:uid="{A72D47FB-1D6D-4544-B6BA-BAEE85A1D554}"/>
    <cellStyle name="20% - Énfasis3 29 2 2 2 2" xfId="36937" xr:uid="{2364E242-2F2A-41D3-BC9D-B84EE6765DC4}"/>
    <cellStyle name="20% - Énfasis3 29 2 2 3" xfId="36936" xr:uid="{16877946-9827-445B-945D-0F3678F6D339}"/>
    <cellStyle name="20% - Énfasis3 29 2 3" xfId="22229" xr:uid="{00A3F0C8-118D-465B-96FF-F72ED3701FE1}"/>
    <cellStyle name="20% - Énfasis3 29 2 3 2" xfId="36938" xr:uid="{879BEC91-E635-4614-9CCB-50C8368498DC}"/>
    <cellStyle name="20% - Énfasis3 29 2 4" xfId="36935" xr:uid="{5DBD57C2-EF19-42C5-9E43-B3D70EE14045}"/>
    <cellStyle name="20% - Énfasis3 29 3" xfId="10793" xr:uid="{1414CD24-190F-4410-BF59-FC67342C306F}"/>
    <cellStyle name="20% - Énfasis3 29 3 2" xfId="26206" xr:uid="{F4746948-FAB1-4F3F-822C-2490C5EF1C9B}"/>
    <cellStyle name="20% - Énfasis3 29 3 2 2" xfId="36940" xr:uid="{FE385DDB-6C13-4DD1-8993-19421D65B186}"/>
    <cellStyle name="20% - Énfasis3 29 3 3" xfId="36939" xr:uid="{67AF0DBC-4AD6-4A0D-B920-4CA3364D85F9}"/>
    <cellStyle name="20% - Énfasis3 29 4" xfId="18501" xr:uid="{129D1C21-71B3-4236-8B5D-7856CCA2F073}"/>
    <cellStyle name="20% - Énfasis3 29 4 2" xfId="36941" xr:uid="{E6B22CCA-164C-4254-92BA-B339F3B447CB}"/>
    <cellStyle name="20% - Énfasis3 29 5" xfId="36934" xr:uid="{F8CBF9C8-848C-47D0-881A-32340B2E7516}"/>
    <cellStyle name="20% - Énfasis3 3" xfId="244" xr:uid="{B2459E9B-2C62-4BE2-A799-E176D40D2AE5}"/>
    <cellStyle name="20% - Énfasis3 3 2" xfId="446" xr:uid="{8BAEBF24-7138-46E3-B03A-1E9846A7DEF9}"/>
    <cellStyle name="20% - Énfasis3 3 2 2" xfId="1107" xr:uid="{F300F7DB-B21D-449A-AED8-8DDE33D2935C}"/>
    <cellStyle name="20% - Énfasis3 3 2 2 2" xfId="2575" xr:uid="{9B9C6BBD-C0D4-4642-B094-B625C2E1970F}"/>
    <cellStyle name="20% - Énfasis3 3 2 2 2 2" xfId="6307" xr:uid="{EBD1DAE5-7687-4AB4-9B51-0B6AC1324353}"/>
    <cellStyle name="20% - Énfasis3 3 2 2 2 2 2" xfId="14015" xr:uid="{594C7A6A-F25F-42BD-98EA-3D76B1DFCBC2}"/>
    <cellStyle name="20% - Énfasis3 3 2 2 2 2 2 2" xfId="29427" xr:uid="{AC998214-A89E-4A78-A4CC-509094970676}"/>
    <cellStyle name="20% - Énfasis3 3 2 2 2 2 2 2 2" xfId="36948" xr:uid="{75471842-3B0B-456C-9C5A-5AB997FE2CBE}"/>
    <cellStyle name="20% - Énfasis3 3 2 2 2 2 2 3" xfId="36947" xr:uid="{AE3A879D-A10E-41DF-B8FD-C30CEC9C0743}"/>
    <cellStyle name="20% - Énfasis3 3 2 2 2 2 3" xfId="21722" xr:uid="{25ADC6B5-1B50-4CF3-A8A6-9CBC22BEAC52}"/>
    <cellStyle name="20% - Énfasis3 3 2 2 2 2 3 2" xfId="36949" xr:uid="{21DC7241-4AE8-4FA9-9887-47C611959423}"/>
    <cellStyle name="20% - Énfasis3 3 2 2 2 2 4" xfId="36946" xr:uid="{805DA20B-A844-44CD-A716-2919D10D532B}"/>
    <cellStyle name="20% - Énfasis3 3 2 2 2 3" xfId="10286" xr:uid="{49980744-3839-47BF-93B2-61CF9DCEB571}"/>
    <cellStyle name="20% - Énfasis3 3 2 2 2 3 2" xfId="25699" xr:uid="{71E21546-B451-4648-9525-C9828C413C52}"/>
    <cellStyle name="20% - Énfasis3 3 2 2 2 3 2 2" xfId="36951" xr:uid="{920234B1-C1BC-41FA-BAEF-1637D8A79712}"/>
    <cellStyle name="20% - Énfasis3 3 2 2 2 3 3" xfId="36950" xr:uid="{93B650BB-4654-41CB-95FA-8E8944011FA9}"/>
    <cellStyle name="20% - Énfasis3 3 2 2 2 4" xfId="17994" xr:uid="{35178689-196A-42DB-BC64-87FCE4FE34D8}"/>
    <cellStyle name="20% - Énfasis3 3 2 2 2 4 2" xfId="36952" xr:uid="{A5490575-D85C-45E6-84BD-49E3F2086C34}"/>
    <cellStyle name="20% - Énfasis3 3 2 2 2 5" xfId="36945" xr:uid="{B7660F9F-FF8C-4885-9071-886C85A700FA}"/>
    <cellStyle name="20% - Énfasis3 3 2 2 3" xfId="4844" xr:uid="{C32AF956-7BA3-4D61-B009-1FFB7D3E3A58}"/>
    <cellStyle name="20% - Énfasis3 3 2 2 3 2" xfId="12552" xr:uid="{18405B41-CD2A-43B7-A693-74E61416817E}"/>
    <cellStyle name="20% - Énfasis3 3 2 2 3 2 2" xfId="27964" xr:uid="{82F431CB-68FA-46FE-AF19-AFCF3A3E1806}"/>
    <cellStyle name="20% - Énfasis3 3 2 2 3 2 2 2" xfId="36955" xr:uid="{D30BE9C5-468A-4783-83A9-BF51A1BD800B}"/>
    <cellStyle name="20% - Énfasis3 3 2 2 3 2 3" xfId="36954" xr:uid="{05963859-D1A5-4E6F-888F-78E9B919B335}"/>
    <cellStyle name="20% - Énfasis3 3 2 2 3 3" xfId="20259" xr:uid="{82A2C3E7-D822-4245-9D48-485420F47A33}"/>
    <cellStyle name="20% - Énfasis3 3 2 2 3 3 2" xfId="36956" xr:uid="{8F31281B-59F0-41C5-AC33-4A1B98C8219F}"/>
    <cellStyle name="20% - Énfasis3 3 2 2 3 4" xfId="36953" xr:uid="{9EF1E576-770F-47ED-A706-9A333A027FEC}"/>
    <cellStyle name="20% - Énfasis3 3 2 2 4" xfId="8827" xr:uid="{02005958-9F42-4942-877F-5F91678D8202}"/>
    <cellStyle name="20% - Énfasis3 3 2 2 4 2" xfId="24240" xr:uid="{42E2B682-AEBD-4E09-868A-B8A4EC8620FB}"/>
    <cellStyle name="20% - Énfasis3 3 2 2 4 2 2" xfId="36958" xr:uid="{7F759CC4-2027-4B4A-949E-AB77C94E1867}"/>
    <cellStyle name="20% - Énfasis3 3 2 2 4 3" xfId="36957" xr:uid="{BF7B0DDF-54A9-4016-8537-1B381BFCB6DD}"/>
    <cellStyle name="20% - Énfasis3 3 2 2 5" xfId="16535" xr:uid="{1772A411-B41C-48ED-BF12-520BD06D6DE3}"/>
    <cellStyle name="20% - Énfasis3 3 2 2 5 2" xfId="36959" xr:uid="{74F6D534-F790-40F6-958E-BBEFA54FAFFB}"/>
    <cellStyle name="20% - Énfasis3 3 2 2 6" xfId="36944" xr:uid="{8783F72A-6C11-4393-BBC6-DE9DC4DD2DA6}"/>
    <cellStyle name="20% - Énfasis3 3 2 3" xfId="1937" xr:uid="{CB352409-8C01-4B29-93A5-1A0C7303AF67}"/>
    <cellStyle name="20% - Énfasis3 3 2 3 2" xfId="5669" xr:uid="{0FA66664-16D8-4B7A-97CD-E7265AE8E026}"/>
    <cellStyle name="20% - Énfasis3 3 2 3 2 2" xfId="13377" xr:uid="{63F4E32D-3B59-4685-8953-F32A0922459E}"/>
    <cellStyle name="20% - Énfasis3 3 2 3 2 2 2" xfId="28789" xr:uid="{1459A11E-FC1A-42B1-8F07-B8B395C4189C}"/>
    <cellStyle name="20% - Énfasis3 3 2 3 2 2 2 2" xfId="36963" xr:uid="{BE771080-503C-4BD3-877A-F1C9352D944B}"/>
    <cellStyle name="20% - Énfasis3 3 2 3 2 2 3" xfId="36962" xr:uid="{62839B20-CFBA-4D2A-ABEE-0D5DA2CE29DC}"/>
    <cellStyle name="20% - Énfasis3 3 2 3 2 3" xfId="21084" xr:uid="{79F8F0D1-8FE6-44E8-97FE-4538A7F5FC83}"/>
    <cellStyle name="20% - Énfasis3 3 2 3 2 3 2" xfId="36964" xr:uid="{31F3C3AB-3585-4AB2-B480-DA75D76885C7}"/>
    <cellStyle name="20% - Énfasis3 3 2 3 2 4" xfId="36961" xr:uid="{798BCCBE-815A-4F13-AA14-E9943D81F4B8}"/>
    <cellStyle name="20% - Énfasis3 3 2 3 3" xfId="9648" xr:uid="{5E8C3094-90AB-4B7C-98A8-E41708CDFA67}"/>
    <cellStyle name="20% - Énfasis3 3 2 3 3 2" xfId="25061" xr:uid="{436DCBD1-CD15-4320-AA51-BBB8A4AAD744}"/>
    <cellStyle name="20% - Énfasis3 3 2 3 3 2 2" xfId="36966" xr:uid="{F319409B-1281-4342-9D2F-7D245FFCBC19}"/>
    <cellStyle name="20% - Énfasis3 3 2 3 3 3" xfId="36965" xr:uid="{5EB67130-4B62-4470-9D14-4246ACBDE506}"/>
    <cellStyle name="20% - Énfasis3 3 2 3 4" xfId="17356" xr:uid="{C88519E3-0FE3-4339-A3D0-DE3C06392D92}"/>
    <cellStyle name="20% - Énfasis3 3 2 3 4 2" xfId="36967" xr:uid="{D371F285-0750-4704-A801-485376F5DFA3}"/>
    <cellStyle name="20% - Énfasis3 3 2 3 5" xfId="36960" xr:uid="{79E91753-2CCD-4852-914C-101139A03147}"/>
    <cellStyle name="20% - Énfasis3 3 2 4" xfId="4192" xr:uid="{508F90FE-908C-4509-9A19-CBD58ACA8F5C}"/>
    <cellStyle name="20% - Énfasis3 3 2 4 2" xfId="11900" xr:uid="{93F4A302-2E43-4ABA-9D8C-ADC88328F9EC}"/>
    <cellStyle name="20% - Énfasis3 3 2 4 2 2" xfId="27312" xr:uid="{9AE995C6-28F2-4FA6-B62E-966BEBFC0014}"/>
    <cellStyle name="20% - Énfasis3 3 2 4 2 2 2" xfId="36970" xr:uid="{3FF6EF2A-925D-4B7D-BA00-4245AF67969C}"/>
    <cellStyle name="20% - Énfasis3 3 2 4 2 3" xfId="36969" xr:uid="{0C0D7180-DB01-4F57-82A1-AFE38AADC23E}"/>
    <cellStyle name="20% - Énfasis3 3 2 4 3" xfId="19607" xr:uid="{90B1D1B7-AE81-4FB3-8A9D-862FEED443A5}"/>
    <cellStyle name="20% - Énfasis3 3 2 4 3 2" xfId="36971" xr:uid="{509461D8-59E7-4EDA-B180-562256C1C756}"/>
    <cellStyle name="20% - Énfasis3 3 2 4 4" xfId="36968" xr:uid="{351EA75E-987A-4EEA-81F3-98B76E554523}"/>
    <cellStyle name="20% - Énfasis3 3 2 5" xfId="8189" xr:uid="{73CBACCF-FAA1-4B2A-8022-E32D512C8E85}"/>
    <cellStyle name="20% - Énfasis3 3 2 5 2" xfId="23602" xr:uid="{7F8E34C7-5294-4CE4-9257-78011D6B670B}"/>
    <cellStyle name="20% - Énfasis3 3 2 5 2 2" xfId="36973" xr:uid="{A9B5BE20-4920-4170-9F90-D604D4954B25}"/>
    <cellStyle name="20% - Énfasis3 3 2 5 3" xfId="36972" xr:uid="{B5F648B9-7922-4689-8DDE-5D53B1215B7D}"/>
    <cellStyle name="20% - Énfasis3 3 2 6" xfId="15897" xr:uid="{9C5C975F-762D-4B1B-9616-BC733A662498}"/>
    <cellStyle name="20% - Énfasis3 3 2 6 2" xfId="36974" xr:uid="{7DF9992A-DCE6-4544-A756-0904C5C1C393}"/>
    <cellStyle name="20% - Énfasis3 3 2 7" xfId="36943" xr:uid="{1DDE855F-0F69-47A0-B16C-38A9BFFF127D}"/>
    <cellStyle name="20% - Énfasis3 3 3" xfId="907" xr:uid="{EDD44D86-1751-4773-9E64-8F62BF6BDE35}"/>
    <cellStyle name="20% - Énfasis3 3 3 2" xfId="2377" xr:uid="{147AB10C-4B8D-4C1A-85A6-7ACD6DEA2223}"/>
    <cellStyle name="20% - Énfasis3 3 3 2 2" xfId="6109" xr:uid="{ACA32CCB-525F-4715-B394-74C062E94DEF}"/>
    <cellStyle name="20% - Énfasis3 3 3 2 2 2" xfId="13817" xr:uid="{5BBA6FA0-59D4-439C-9F57-F47A258D631E}"/>
    <cellStyle name="20% - Énfasis3 3 3 2 2 2 2" xfId="29229" xr:uid="{4BE80163-4FED-4BB6-BA30-AB0D68C5CF8E}"/>
    <cellStyle name="20% - Énfasis3 3 3 2 2 2 2 2" xfId="36979" xr:uid="{ED3F2ED5-10ED-45E2-900A-02F7D8D54581}"/>
    <cellStyle name="20% - Énfasis3 3 3 2 2 2 3" xfId="36978" xr:uid="{C2AF80F5-E2BD-4BA4-B2D1-81933A88E8A1}"/>
    <cellStyle name="20% - Énfasis3 3 3 2 2 3" xfId="21524" xr:uid="{4D2886FE-A45F-4709-A255-6F3AF5AF0756}"/>
    <cellStyle name="20% - Énfasis3 3 3 2 2 3 2" xfId="36980" xr:uid="{871174C1-3BEE-4F17-8AC3-357567790D32}"/>
    <cellStyle name="20% - Énfasis3 3 3 2 2 4" xfId="36977" xr:uid="{1A32E3E5-9227-45AA-9809-B3367B1AF718}"/>
    <cellStyle name="20% - Énfasis3 3 3 2 3" xfId="10088" xr:uid="{F057DEC2-2482-41B9-B325-82ED75C5FD41}"/>
    <cellStyle name="20% - Énfasis3 3 3 2 3 2" xfId="25501" xr:uid="{267256F2-D83F-410A-9DAA-BA73AAAB918E}"/>
    <cellStyle name="20% - Énfasis3 3 3 2 3 2 2" xfId="36982" xr:uid="{EB7E7559-32DE-4979-84EA-3EA28C5FCE8F}"/>
    <cellStyle name="20% - Énfasis3 3 3 2 3 3" xfId="36981" xr:uid="{EAA09A20-50A6-49D5-A0EF-1E404FD16F8E}"/>
    <cellStyle name="20% - Énfasis3 3 3 2 4" xfId="17796" xr:uid="{10609ECB-9A06-41B9-804C-690C1EACBEFB}"/>
    <cellStyle name="20% - Énfasis3 3 3 2 4 2" xfId="36983" xr:uid="{84324C76-1CDA-4D09-8AC7-3ABA1D09E919}"/>
    <cellStyle name="20% - Énfasis3 3 3 2 5" xfId="36976" xr:uid="{A089D3DE-53BB-4577-8F4F-60E57533A175}"/>
    <cellStyle name="20% - Énfasis3 3 3 3" xfId="4644" xr:uid="{D13D2A69-87AF-4BF8-99BC-D66750A4743A}"/>
    <cellStyle name="20% - Énfasis3 3 3 3 2" xfId="12352" xr:uid="{454648CB-C86B-4698-A0B2-D50D5ED201A7}"/>
    <cellStyle name="20% - Énfasis3 3 3 3 2 2" xfId="27764" xr:uid="{9A8B4142-3C08-4A70-9CF3-63F955E9C95E}"/>
    <cellStyle name="20% - Énfasis3 3 3 3 2 2 2" xfId="36986" xr:uid="{66AF0772-AFE5-4578-8BD9-6F27516B3D4B}"/>
    <cellStyle name="20% - Énfasis3 3 3 3 2 3" xfId="36985" xr:uid="{E0C888D2-43F3-4812-9A97-4324516ED8DB}"/>
    <cellStyle name="20% - Énfasis3 3 3 3 3" xfId="20059" xr:uid="{725A7EEB-7A56-4534-AF3B-EE93C4E0AF58}"/>
    <cellStyle name="20% - Énfasis3 3 3 3 3 2" xfId="36987" xr:uid="{4EA0C752-8225-4509-A26B-B463395F12C2}"/>
    <cellStyle name="20% - Énfasis3 3 3 3 4" xfId="36984" xr:uid="{2C3B46D9-3893-4B2D-A026-14963CFD8E4D}"/>
    <cellStyle name="20% - Énfasis3 3 3 4" xfId="8629" xr:uid="{75C57D5C-8CD4-4923-8248-4ABDC0F12F6A}"/>
    <cellStyle name="20% - Énfasis3 3 3 4 2" xfId="24042" xr:uid="{FEE16B67-6B37-437E-A0BC-04A68088D937}"/>
    <cellStyle name="20% - Énfasis3 3 3 4 2 2" xfId="36989" xr:uid="{E8998AD4-E68A-4DB9-8DF1-B6F15E08FFA8}"/>
    <cellStyle name="20% - Énfasis3 3 3 4 3" xfId="36988" xr:uid="{F93690AB-E3D3-4B2C-B40B-64871845CB43}"/>
    <cellStyle name="20% - Énfasis3 3 3 5" xfId="16337" xr:uid="{12412512-B7C9-4D68-AF2C-CE4B3249F963}"/>
    <cellStyle name="20% - Énfasis3 3 3 5 2" xfId="36990" xr:uid="{951358F1-0A62-4B8B-8122-8C7D31D531DA}"/>
    <cellStyle name="20% - Énfasis3 3 3 6" xfId="36975" xr:uid="{7868A340-A210-41C1-9F33-B81CEA3E99E1}"/>
    <cellStyle name="20% - Énfasis3 3 4" xfId="1739" xr:uid="{F3D06643-618B-4F18-AB95-EAC258CCB266}"/>
    <cellStyle name="20% - Énfasis3 3 4 2" xfId="5471" xr:uid="{43455082-8AD1-4066-8E10-7AC2354B89B5}"/>
    <cellStyle name="20% - Énfasis3 3 4 2 2" xfId="13179" xr:uid="{1DFB3D67-8544-49B2-BCD4-FD9ECE946EF8}"/>
    <cellStyle name="20% - Énfasis3 3 4 2 2 2" xfId="28591" xr:uid="{2E0A2DCC-1EED-4BD8-94DB-419BD0A19F0C}"/>
    <cellStyle name="20% - Énfasis3 3 4 2 2 2 2" xfId="36994" xr:uid="{86B69DA3-F430-4D5E-B805-1646CDB3FA67}"/>
    <cellStyle name="20% - Énfasis3 3 4 2 2 3" xfId="36993" xr:uid="{C3834DBE-452F-49E1-911D-9BEC65DB0CA9}"/>
    <cellStyle name="20% - Énfasis3 3 4 2 3" xfId="20886" xr:uid="{47E29ABC-4932-4DD3-B3F0-0D9BAEF74510}"/>
    <cellStyle name="20% - Énfasis3 3 4 2 3 2" xfId="36995" xr:uid="{B05869B4-26F8-43ED-B4AD-FE6725CE2F5B}"/>
    <cellStyle name="20% - Énfasis3 3 4 2 4" xfId="36992" xr:uid="{F13C1D64-2E75-480F-A16E-65FC49A3D921}"/>
    <cellStyle name="20% - Énfasis3 3 4 3" xfId="9450" xr:uid="{27F2548D-ACFE-43C2-877D-3A7A6E4C6647}"/>
    <cellStyle name="20% - Énfasis3 3 4 3 2" xfId="24863" xr:uid="{2E000393-92A7-4FD0-8C81-3EFBE0A7B389}"/>
    <cellStyle name="20% - Énfasis3 3 4 3 2 2" xfId="36997" xr:uid="{12AEBC35-CA9A-4BD2-8A94-EC4FAA00AB17}"/>
    <cellStyle name="20% - Énfasis3 3 4 3 3" xfId="36996" xr:uid="{57E8C402-B6B2-44CB-AAB3-D186B9E099EE}"/>
    <cellStyle name="20% - Énfasis3 3 4 4" xfId="17158" xr:uid="{7BD112A2-4768-4EFB-95C8-C7AD64B5A66E}"/>
    <cellStyle name="20% - Énfasis3 3 4 4 2" xfId="36998" xr:uid="{9C02C4F6-B52D-48D8-B9C9-160385C53BD3}"/>
    <cellStyle name="20% - Énfasis3 3 4 5" xfId="36991" xr:uid="{D1ADE759-0F4F-4CC3-90DD-DAA49DE8AAB7}"/>
    <cellStyle name="20% - Énfasis3 3 5" xfId="3992" xr:uid="{1879F264-71FA-4815-A1BC-FA8DFDC5DFA4}"/>
    <cellStyle name="20% - Énfasis3 3 5 2" xfId="11700" xr:uid="{31A6A730-C177-4C9E-AAE5-5F7712015644}"/>
    <cellStyle name="20% - Énfasis3 3 5 2 2" xfId="27112" xr:uid="{E6112266-9AA6-43B4-8DB5-02F9DD989ECE}"/>
    <cellStyle name="20% - Énfasis3 3 5 2 2 2" xfId="37001" xr:uid="{8583079F-3CCC-4A60-9429-7D51810CFEE9}"/>
    <cellStyle name="20% - Énfasis3 3 5 2 3" xfId="37000" xr:uid="{F68F4D5A-52E6-4B82-B681-44C0557E9070}"/>
    <cellStyle name="20% - Énfasis3 3 5 3" xfId="19407" xr:uid="{302EADC3-AC98-4B0C-8B2E-E557ED9B2D29}"/>
    <cellStyle name="20% - Énfasis3 3 5 3 2" xfId="37002" xr:uid="{E6091F0E-FF03-4EC0-A4E9-F886E04517B5}"/>
    <cellStyle name="20% - Énfasis3 3 5 4" xfId="36999" xr:uid="{908080AB-3591-49D2-8756-055E8F03D63F}"/>
    <cellStyle name="20% - Énfasis3 3 6" xfId="7991" xr:uid="{2F78AEC8-D77E-4119-9D8A-C1C7D513D8B3}"/>
    <cellStyle name="20% - Énfasis3 3 6 2" xfId="23404" xr:uid="{934815A0-2622-4B56-9BD5-8899ED62894D}"/>
    <cellStyle name="20% - Énfasis3 3 6 2 2" xfId="37004" xr:uid="{67333FFF-A097-428F-9E4C-CD213ACF2110}"/>
    <cellStyle name="20% - Énfasis3 3 6 3" xfId="37003" xr:uid="{4F3277AA-3739-481D-A410-EBD414F08993}"/>
    <cellStyle name="20% - Énfasis3 3 7" xfId="15699" xr:uid="{28CD5F4F-F0D6-48B5-8BBB-7677610AD23B}"/>
    <cellStyle name="20% - Énfasis3 3 7 2" xfId="37005" xr:uid="{6B0B91D8-BC5C-40DB-BAAC-FFA350C38575}"/>
    <cellStyle name="20% - Énfasis3 3 8" xfId="36942" xr:uid="{6818BFCB-05D0-42DF-BC7A-FA845A08C77D}"/>
    <cellStyle name="20% - Énfasis3 30" xfId="3102" xr:uid="{D884D67E-D032-43BA-AE07-4EB3076C31B2}"/>
    <cellStyle name="20% - Énfasis3 30 2" xfId="6834" xr:uid="{6E45CCE5-0006-4A58-80F7-D5753D048E40}"/>
    <cellStyle name="20% - Énfasis3 30 2 2" xfId="14542" xr:uid="{3A0E5A80-3F45-43AD-90C9-1C0ACDD0E75B}"/>
    <cellStyle name="20% - Énfasis3 30 2 2 2" xfId="29954" xr:uid="{F7D1E6BD-5EA6-44FC-B88E-CCEB0ED61FBC}"/>
    <cellStyle name="20% - Énfasis3 30 2 2 2 2" xfId="37009" xr:uid="{A5536D6C-C55C-41E9-BE43-CD82F094D66A}"/>
    <cellStyle name="20% - Énfasis3 30 2 2 3" xfId="37008" xr:uid="{05B642E1-B1AA-4F3D-AA18-7F784E19C358}"/>
    <cellStyle name="20% - Énfasis3 30 2 3" xfId="22249" xr:uid="{7692FAFA-A628-4B3D-9AE9-9997F6015AF7}"/>
    <cellStyle name="20% - Énfasis3 30 2 3 2" xfId="37010" xr:uid="{CB5D9CB2-FF9E-4D6B-9499-7EB8A82D8030}"/>
    <cellStyle name="20% - Énfasis3 30 2 4" xfId="37007" xr:uid="{472F49E5-DCCF-4600-8ACB-6BFAFF3C3C35}"/>
    <cellStyle name="20% - Énfasis3 30 3" xfId="10813" xr:uid="{B791D184-8187-4070-A69F-D10E2646F63D}"/>
    <cellStyle name="20% - Énfasis3 30 3 2" xfId="26226" xr:uid="{CFFC41DD-AF30-4CCE-A5B9-8DF39DDAF4A4}"/>
    <cellStyle name="20% - Énfasis3 30 3 2 2" xfId="37012" xr:uid="{297C3ADA-418C-4620-9343-7DB6AA7556D2}"/>
    <cellStyle name="20% - Énfasis3 30 3 3" xfId="37011" xr:uid="{08DF5878-995F-4B1C-9CE6-D86A535DFA2D}"/>
    <cellStyle name="20% - Énfasis3 30 4" xfId="18521" xr:uid="{79F9AF5C-96CA-4810-A2CF-8172B3F51DA3}"/>
    <cellStyle name="20% - Énfasis3 30 4 2" xfId="37013" xr:uid="{59F3C900-343E-4936-AF95-F00DECC7D1DE}"/>
    <cellStyle name="20% - Énfasis3 30 5" xfId="37006" xr:uid="{C630F114-2A8A-4CEB-B46C-CCB50FD883BB}"/>
    <cellStyle name="20% - Énfasis3 31" xfId="3122" xr:uid="{91D3F8B8-63E8-4921-8AC2-FB5F99E7AB6B}"/>
    <cellStyle name="20% - Énfasis3 31 2" xfId="6854" xr:uid="{2EE7FAF1-DF71-4AFF-8357-3209C54AE2C0}"/>
    <cellStyle name="20% - Énfasis3 31 2 2" xfId="14562" xr:uid="{115BD323-C50B-4735-AB5E-BE1F1A4AAB7B}"/>
    <cellStyle name="20% - Énfasis3 31 2 2 2" xfId="29974" xr:uid="{AF29D5DC-6D3D-4A1C-A452-B6850CF35884}"/>
    <cellStyle name="20% - Énfasis3 31 2 2 2 2" xfId="37017" xr:uid="{B06481A2-2A91-413A-82E6-62FB6C537A8A}"/>
    <cellStyle name="20% - Énfasis3 31 2 2 3" xfId="37016" xr:uid="{701A31DB-0648-4BFB-A49D-E4971B4119B9}"/>
    <cellStyle name="20% - Énfasis3 31 2 3" xfId="22269" xr:uid="{6C7AD11C-EB04-4D53-9F78-6729CDEAAB69}"/>
    <cellStyle name="20% - Énfasis3 31 2 3 2" xfId="37018" xr:uid="{5814AA17-B948-4426-A0E3-C13471C52421}"/>
    <cellStyle name="20% - Énfasis3 31 2 4" xfId="37015" xr:uid="{54187D67-1E9F-431B-82B3-E2B300E47717}"/>
    <cellStyle name="20% - Énfasis3 31 3" xfId="10833" xr:uid="{3FBF8A3D-6DEC-4399-8972-E3530ADCD658}"/>
    <cellStyle name="20% - Énfasis3 31 3 2" xfId="26246" xr:uid="{C72C828D-53D8-4BB1-BEF5-408EBAF4B61D}"/>
    <cellStyle name="20% - Énfasis3 31 3 2 2" xfId="37020" xr:uid="{E00A5E9E-4784-418B-AEC4-C17392130C61}"/>
    <cellStyle name="20% - Énfasis3 31 3 3" xfId="37019" xr:uid="{AFA94FBB-4C5F-43A2-9464-612107BD848F}"/>
    <cellStyle name="20% - Énfasis3 31 4" xfId="18541" xr:uid="{D5208CE0-7384-4E1C-8C89-4A0CC60CFEE2}"/>
    <cellStyle name="20% - Énfasis3 31 4 2" xfId="37021" xr:uid="{0EB19B4F-AC60-40DA-992A-516D83C59AD7}"/>
    <cellStyle name="20% - Énfasis3 31 5" xfId="37014" xr:uid="{2EB7D057-4B94-4191-9FD0-3B1E236F8A41}"/>
    <cellStyle name="20% - Énfasis3 32" xfId="3142" xr:uid="{A4CE930B-C302-4F27-B3B1-7ABD8ECF87AE}"/>
    <cellStyle name="20% - Énfasis3 32 2" xfId="6874" xr:uid="{44136D14-AA80-48B5-93A8-6A84F2F15760}"/>
    <cellStyle name="20% - Énfasis3 32 2 2" xfId="14582" xr:uid="{AA231522-4873-4451-AEDC-47D079561423}"/>
    <cellStyle name="20% - Énfasis3 32 2 2 2" xfId="29994" xr:uid="{94A05F55-508E-4AF0-B744-3D9D64560608}"/>
    <cellStyle name="20% - Énfasis3 32 2 2 2 2" xfId="37025" xr:uid="{41BD03D3-A7D3-4CD2-81A9-D7AC330A9D2D}"/>
    <cellStyle name="20% - Énfasis3 32 2 2 3" xfId="37024" xr:uid="{4054027A-67C6-45C7-9D9B-1A913B75BFDA}"/>
    <cellStyle name="20% - Énfasis3 32 2 3" xfId="22289" xr:uid="{5F86D98B-69B8-49C7-97C3-41241235F77B}"/>
    <cellStyle name="20% - Énfasis3 32 2 3 2" xfId="37026" xr:uid="{244DC621-B439-4453-B248-034B8789E980}"/>
    <cellStyle name="20% - Énfasis3 32 2 4" xfId="37023" xr:uid="{4756E807-DF54-438E-A243-84C0774C7CBE}"/>
    <cellStyle name="20% - Énfasis3 32 3" xfId="10853" xr:uid="{7CD760BF-EFF8-494C-9085-957BA3937F28}"/>
    <cellStyle name="20% - Énfasis3 32 3 2" xfId="26266" xr:uid="{FD37D7AC-1FD5-4E99-A200-5FF3E1FB7113}"/>
    <cellStyle name="20% - Énfasis3 32 3 2 2" xfId="37028" xr:uid="{79547092-BC20-4987-8278-A5A932E7C3AD}"/>
    <cellStyle name="20% - Énfasis3 32 3 3" xfId="37027" xr:uid="{8F31DCE7-BADD-4E0E-8248-016DA4A0DD7A}"/>
    <cellStyle name="20% - Énfasis3 32 4" xfId="18561" xr:uid="{57ADEC14-698B-47EB-A6AF-8AC582D9067B}"/>
    <cellStyle name="20% - Énfasis3 32 4 2" xfId="37029" xr:uid="{16C75DC4-2EBC-45E6-B787-19C4845F1B2A}"/>
    <cellStyle name="20% - Énfasis3 32 5" xfId="37022" xr:uid="{9D361A7E-27CA-4EF6-BC0F-700109A75912}"/>
    <cellStyle name="20% - Énfasis3 33" xfId="3162" xr:uid="{5AAB881D-3EE2-4BDD-BF29-E8D0E37F1F2B}"/>
    <cellStyle name="20% - Énfasis3 33 2" xfId="6894" xr:uid="{635B2DE3-8FC4-4E71-A8B5-9599A222B046}"/>
    <cellStyle name="20% - Énfasis3 33 2 2" xfId="14602" xr:uid="{D8FEED96-790A-4321-BF81-3EC8F4B9B2E1}"/>
    <cellStyle name="20% - Énfasis3 33 2 2 2" xfId="30014" xr:uid="{0068951B-884D-456D-9505-048AD2309BA4}"/>
    <cellStyle name="20% - Énfasis3 33 2 2 2 2" xfId="37033" xr:uid="{3CC74451-36D5-401E-B48E-D90D8748FCE1}"/>
    <cellStyle name="20% - Énfasis3 33 2 2 3" xfId="37032" xr:uid="{BF2BD21E-1E32-46BC-BA29-CB2AA2F9D03B}"/>
    <cellStyle name="20% - Énfasis3 33 2 3" xfId="22309" xr:uid="{9576D2D4-D835-4655-A617-CF87143A73DA}"/>
    <cellStyle name="20% - Énfasis3 33 2 3 2" xfId="37034" xr:uid="{C3F30802-B3B2-4D9D-87A2-BD2E72CC7EAF}"/>
    <cellStyle name="20% - Énfasis3 33 2 4" xfId="37031" xr:uid="{4C17B477-7FA9-4819-B9FC-E30F8FDF36D5}"/>
    <cellStyle name="20% - Énfasis3 33 3" xfId="10873" xr:uid="{55F9A02C-0D03-42DD-ACBA-F9F8D54C926B}"/>
    <cellStyle name="20% - Énfasis3 33 3 2" xfId="26286" xr:uid="{53F5E6B7-A765-4F04-A713-A7ECCB7865D8}"/>
    <cellStyle name="20% - Énfasis3 33 3 2 2" xfId="37036" xr:uid="{003FB566-4E06-4F75-BB3B-2153C848E238}"/>
    <cellStyle name="20% - Énfasis3 33 3 3" xfId="37035" xr:uid="{DBA44038-EEFB-4027-9DBF-EA81D544B061}"/>
    <cellStyle name="20% - Énfasis3 33 4" xfId="18581" xr:uid="{4BF67544-DA6B-430A-B2AF-D6D42CEFBA68}"/>
    <cellStyle name="20% - Énfasis3 33 4 2" xfId="37037" xr:uid="{2B43DC3D-3392-4EFD-8583-F0B2B7C52C24}"/>
    <cellStyle name="20% - Énfasis3 33 5" xfId="37030" xr:uid="{5890C8DB-468C-42AE-B6D1-B525A5A30A1E}"/>
    <cellStyle name="20% - Énfasis3 34" xfId="3182" xr:uid="{43283677-8ABA-480E-AF35-AFD1A07BB449}"/>
    <cellStyle name="20% - Énfasis3 34 2" xfId="6914" xr:uid="{0FF6C325-9EA8-40F6-AB44-923C5600E5F4}"/>
    <cellStyle name="20% - Énfasis3 34 2 2" xfId="14622" xr:uid="{8505EF41-15EE-4DF2-81C4-6FFF71932ECE}"/>
    <cellStyle name="20% - Énfasis3 34 2 2 2" xfId="30034" xr:uid="{90684651-B98E-4560-B4EE-EA04755453F5}"/>
    <cellStyle name="20% - Énfasis3 34 2 2 2 2" xfId="37041" xr:uid="{9B20453E-ACA2-4134-A851-92EF83441979}"/>
    <cellStyle name="20% - Énfasis3 34 2 2 3" xfId="37040" xr:uid="{0A418B16-4338-4325-B80C-BB96070D9517}"/>
    <cellStyle name="20% - Énfasis3 34 2 3" xfId="22329" xr:uid="{ABB72E77-9C3B-4672-9330-637877B34521}"/>
    <cellStyle name="20% - Énfasis3 34 2 3 2" xfId="37042" xr:uid="{8AD5CE92-529C-4A01-BD06-8A4F467E1A9F}"/>
    <cellStyle name="20% - Énfasis3 34 2 4" xfId="37039" xr:uid="{FC9F7150-1284-4781-A71B-D3297526BA8B}"/>
    <cellStyle name="20% - Énfasis3 34 3" xfId="10893" xr:uid="{57BAD3AF-DBE5-426E-BE7C-F99E89B85469}"/>
    <cellStyle name="20% - Énfasis3 34 3 2" xfId="26306" xr:uid="{1E88694D-8547-49C3-B910-2E660465E23A}"/>
    <cellStyle name="20% - Énfasis3 34 3 2 2" xfId="37044" xr:uid="{FC6B3802-E764-4E0F-882A-9A55AC26D812}"/>
    <cellStyle name="20% - Énfasis3 34 3 3" xfId="37043" xr:uid="{6E60E2B3-2091-49BE-9C30-9D5EE552EFE3}"/>
    <cellStyle name="20% - Énfasis3 34 4" xfId="18601" xr:uid="{3869E766-80F6-4325-B97A-98EF39CEC939}"/>
    <cellStyle name="20% - Énfasis3 34 4 2" xfId="37045" xr:uid="{9F4123D4-2B82-45FC-97B6-35C52FF1929A}"/>
    <cellStyle name="20% - Énfasis3 34 5" xfId="37038" xr:uid="{1A5B9E03-3A63-47E6-ADF7-09D4B4054822}"/>
    <cellStyle name="20% - Énfasis3 35" xfId="3202" xr:uid="{00A460C8-B983-4823-B69D-76A676AADD79}"/>
    <cellStyle name="20% - Énfasis3 35 2" xfId="6934" xr:uid="{F7B0A426-A24A-4263-8EF3-20CF8AB4E704}"/>
    <cellStyle name="20% - Énfasis3 35 2 2" xfId="14642" xr:uid="{959DBEE2-16B4-4C8D-AC4B-39A5256BD885}"/>
    <cellStyle name="20% - Énfasis3 35 2 2 2" xfId="30054" xr:uid="{5425E776-A649-4446-BAA7-99B51ABBC24E}"/>
    <cellStyle name="20% - Énfasis3 35 2 2 2 2" xfId="37049" xr:uid="{5B99A6DF-9B27-4346-9052-77CE69A51626}"/>
    <cellStyle name="20% - Énfasis3 35 2 2 3" xfId="37048" xr:uid="{45BC031E-1D02-4AC1-9083-4ADDC3EE8674}"/>
    <cellStyle name="20% - Énfasis3 35 2 3" xfId="22349" xr:uid="{5F25C3A7-D644-48CC-B4DF-08EBC7DDE10C}"/>
    <cellStyle name="20% - Énfasis3 35 2 3 2" xfId="37050" xr:uid="{3324B14F-3D5F-44E0-AEEB-3A9C35F5D525}"/>
    <cellStyle name="20% - Énfasis3 35 2 4" xfId="37047" xr:uid="{A05B5A64-E91C-43F6-9AF3-746FCC482F17}"/>
    <cellStyle name="20% - Énfasis3 35 3" xfId="10913" xr:uid="{0AFDFAFF-3250-48F8-9327-B06A8037EC9A}"/>
    <cellStyle name="20% - Énfasis3 35 3 2" xfId="26326" xr:uid="{A27D41D0-DDD5-4B9F-A1F8-F4CCA9FC3BD8}"/>
    <cellStyle name="20% - Énfasis3 35 3 2 2" xfId="37052" xr:uid="{0EE55F8B-43C4-4D54-BD40-5469CF8DB27C}"/>
    <cellStyle name="20% - Énfasis3 35 3 3" xfId="37051" xr:uid="{62979B98-DB48-481C-ADD3-E39025CA1C79}"/>
    <cellStyle name="20% - Énfasis3 35 4" xfId="18621" xr:uid="{902268AE-1A86-4332-97D6-DA163105407D}"/>
    <cellStyle name="20% - Énfasis3 35 4 2" xfId="37053" xr:uid="{D45F2232-AEEE-486E-95B9-4215D759BD54}"/>
    <cellStyle name="20% - Énfasis3 35 5" xfId="37046" xr:uid="{C7862A89-8113-450B-9023-632D6F06BD72}"/>
    <cellStyle name="20% - Énfasis3 36" xfId="3222" xr:uid="{49E00749-2E69-49D0-9B70-D55518B7E915}"/>
    <cellStyle name="20% - Énfasis3 36 2" xfId="6954" xr:uid="{454FC101-3871-42F3-A605-77680A58EE3D}"/>
    <cellStyle name="20% - Énfasis3 36 2 2" xfId="14662" xr:uid="{37436865-EDBA-4007-BAF2-9AE2FF049010}"/>
    <cellStyle name="20% - Énfasis3 36 2 2 2" xfId="30074" xr:uid="{46C0FB5A-7E4F-4E7B-8527-FE60965F6FA7}"/>
    <cellStyle name="20% - Énfasis3 36 2 2 2 2" xfId="37057" xr:uid="{8A691DBD-FDF8-45C8-BFA8-7F6E5A4A837A}"/>
    <cellStyle name="20% - Énfasis3 36 2 2 3" xfId="37056" xr:uid="{72317189-C738-4562-9C8E-B95EB146C29B}"/>
    <cellStyle name="20% - Énfasis3 36 2 3" xfId="22369" xr:uid="{885FE69E-DE81-4A0F-A45E-DBC763999B11}"/>
    <cellStyle name="20% - Énfasis3 36 2 3 2" xfId="37058" xr:uid="{DBAC56C6-3D0D-4DFC-82C3-8FBD8FC718AA}"/>
    <cellStyle name="20% - Énfasis3 36 2 4" xfId="37055" xr:uid="{502C874A-268F-415C-BB88-BCAD2C4F6F14}"/>
    <cellStyle name="20% - Énfasis3 36 3" xfId="10933" xr:uid="{7BBB7D61-C7E5-4789-A6A5-878C4E036396}"/>
    <cellStyle name="20% - Énfasis3 36 3 2" xfId="26346" xr:uid="{E48CCA17-04FB-4938-9C71-40CC5422FA30}"/>
    <cellStyle name="20% - Énfasis3 36 3 2 2" xfId="37060" xr:uid="{C05DBA3D-B26E-4158-9263-688CF00584D6}"/>
    <cellStyle name="20% - Énfasis3 36 3 3" xfId="37059" xr:uid="{9B844727-0090-44BC-8025-F7970B1E8D26}"/>
    <cellStyle name="20% - Énfasis3 36 4" xfId="18641" xr:uid="{A191874D-F442-4044-BAA8-5879032B3E74}"/>
    <cellStyle name="20% - Énfasis3 36 4 2" xfId="37061" xr:uid="{7383FFE2-0F72-4799-A113-5AC7B730D5C5}"/>
    <cellStyle name="20% - Énfasis3 36 5" xfId="37054" xr:uid="{3DEFD0D7-2262-4207-846B-A877525790F9}"/>
    <cellStyle name="20% - Énfasis3 37" xfId="3242" xr:uid="{59B8B463-8710-438E-A593-98AB75749978}"/>
    <cellStyle name="20% - Énfasis3 37 2" xfId="6974" xr:uid="{3A158958-5DBA-4C20-AE24-A794E414185B}"/>
    <cellStyle name="20% - Énfasis3 37 2 2" xfId="14682" xr:uid="{C71D5306-815F-483E-899A-5CD48593FED3}"/>
    <cellStyle name="20% - Énfasis3 37 2 2 2" xfId="30094" xr:uid="{3BFF3B7B-3FDA-4599-B355-A38A01E9EF5C}"/>
    <cellStyle name="20% - Énfasis3 37 2 2 2 2" xfId="37065" xr:uid="{718B175C-F733-4A88-9555-A2D75728B4A8}"/>
    <cellStyle name="20% - Énfasis3 37 2 2 3" xfId="37064" xr:uid="{B2EA8C30-BC69-42BC-9C02-1167D0AA4C78}"/>
    <cellStyle name="20% - Énfasis3 37 2 3" xfId="22389" xr:uid="{684A2855-C85C-49B5-AB50-68D0C1B285DE}"/>
    <cellStyle name="20% - Énfasis3 37 2 3 2" xfId="37066" xr:uid="{AEA50DBE-670D-46D0-AC7D-F72AD430E449}"/>
    <cellStyle name="20% - Énfasis3 37 2 4" xfId="37063" xr:uid="{2B6297D4-AB2D-4B80-8E0F-AD3819FF407E}"/>
    <cellStyle name="20% - Énfasis3 37 3" xfId="10953" xr:uid="{48489D34-12F7-45BB-8A66-BF8992B80FA3}"/>
    <cellStyle name="20% - Énfasis3 37 3 2" xfId="26366" xr:uid="{DC53174B-46F3-41A8-A160-D99B1311213E}"/>
    <cellStyle name="20% - Énfasis3 37 3 2 2" xfId="37068" xr:uid="{D876F00C-037B-4BF1-9427-890B1F141E46}"/>
    <cellStyle name="20% - Énfasis3 37 3 3" xfId="37067" xr:uid="{15A917FF-E77E-464D-A028-8481B5343169}"/>
    <cellStyle name="20% - Énfasis3 37 4" xfId="18661" xr:uid="{9FA7EBDF-9E4B-48B6-BB9A-170A5C5681FA}"/>
    <cellStyle name="20% - Énfasis3 37 4 2" xfId="37069" xr:uid="{7B6B24A3-D162-4990-8AF6-EAEB06AB3DB2}"/>
    <cellStyle name="20% - Énfasis3 37 5" xfId="37062" xr:uid="{F3F3F50D-A2F9-41A3-840C-D5495F5281A4}"/>
    <cellStyle name="20% - Énfasis3 38" xfId="3262" xr:uid="{5931F322-7E0D-4E6B-A0CF-B66DB1A26B0D}"/>
    <cellStyle name="20% - Énfasis3 38 2" xfId="6994" xr:uid="{792A1E46-8FE5-4C74-A96D-A6F54DD2627C}"/>
    <cellStyle name="20% - Énfasis3 38 2 2" xfId="14702" xr:uid="{A10A6801-4E4D-4017-8DF3-43B03F2E65CA}"/>
    <cellStyle name="20% - Énfasis3 38 2 2 2" xfId="30114" xr:uid="{47F6877E-0A80-4E58-9987-9E9836EC7B36}"/>
    <cellStyle name="20% - Énfasis3 38 2 2 2 2" xfId="37073" xr:uid="{324F1836-6BE6-4ADC-AF22-19FEF02BE6E7}"/>
    <cellStyle name="20% - Énfasis3 38 2 2 3" xfId="37072" xr:uid="{4AD8600B-9146-4671-8C30-C3508B8F4AA6}"/>
    <cellStyle name="20% - Énfasis3 38 2 3" xfId="22409" xr:uid="{EAA967A4-7D64-48AB-84E3-AFB8E8008D7E}"/>
    <cellStyle name="20% - Énfasis3 38 2 3 2" xfId="37074" xr:uid="{EC7239F9-80FF-4C87-8A04-86374EED50B5}"/>
    <cellStyle name="20% - Énfasis3 38 2 4" xfId="37071" xr:uid="{E46974A1-F60E-48AE-BD8E-D9E7457B9811}"/>
    <cellStyle name="20% - Énfasis3 38 3" xfId="10973" xr:uid="{0929F12B-3BD0-4681-AA26-0C327AB4FF9B}"/>
    <cellStyle name="20% - Énfasis3 38 3 2" xfId="26386" xr:uid="{6B72F78A-8847-4695-B2F7-595B7FC52965}"/>
    <cellStyle name="20% - Énfasis3 38 3 2 2" xfId="37076" xr:uid="{A856505C-DFBA-4268-9124-89CB51616E98}"/>
    <cellStyle name="20% - Énfasis3 38 3 3" xfId="37075" xr:uid="{BFB0F4F8-3A9B-46A8-B12B-DFBA19CA24B5}"/>
    <cellStyle name="20% - Énfasis3 38 4" xfId="18681" xr:uid="{DA246959-E2AE-4061-B41D-8D9CCB3B5FD8}"/>
    <cellStyle name="20% - Énfasis3 38 4 2" xfId="37077" xr:uid="{CED8E086-8ABE-4B07-A9DA-57FD8D8900C7}"/>
    <cellStyle name="20% - Énfasis3 38 5" xfId="37070" xr:uid="{A19FAE72-20A5-413F-9747-8C8A32294C28}"/>
    <cellStyle name="20% - Énfasis3 39" xfId="3282" xr:uid="{257499A4-980F-4266-A43F-7F149C7036B6}"/>
    <cellStyle name="20% - Énfasis3 39 2" xfId="7014" xr:uid="{F9AAE445-F18C-4527-A5C2-B0D8F9B258D0}"/>
    <cellStyle name="20% - Énfasis3 39 2 2" xfId="14722" xr:uid="{D00501DF-CFE7-49E0-B357-53155935CD97}"/>
    <cellStyle name="20% - Énfasis3 39 2 2 2" xfId="30134" xr:uid="{C09DCDA4-C2C0-4B9A-9F59-0FCD5A98D5BA}"/>
    <cellStyle name="20% - Énfasis3 39 2 2 2 2" xfId="37081" xr:uid="{6287ED8E-387E-4531-B658-B0261034E30C}"/>
    <cellStyle name="20% - Énfasis3 39 2 2 3" xfId="37080" xr:uid="{631F93EC-5514-47DA-8332-7511C0AA53D3}"/>
    <cellStyle name="20% - Énfasis3 39 2 3" xfId="22429" xr:uid="{1016B025-8B5B-4831-A526-67F30031619E}"/>
    <cellStyle name="20% - Énfasis3 39 2 3 2" xfId="37082" xr:uid="{0C754380-B877-4836-A12A-A47361F9FB48}"/>
    <cellStyle name="20% - Énfasis3 39 2 4" xfId="37079" xr:uid="{AEFB6D08-A147-4174-9F98-96478B6D316C}"/>
    <cellStyle name="20% - Énfasis3 39 3" xfId="10993" xr:uid="{E5553101-6D36-46E8-AADC-FBE1EACD9F75}"/>
    <cellStyle name="20% - Énfasis3 39 3 2" xfId="26406" xr:uid="{B5684730-36ED-4717-A385-87C819C0F127}"/>
    <cellStyle name="20% - Énfasis3 39 3 2 2" xfId="37084" xr:uid="{35B59E6E-6F77-42FD-9FCC-3878217CC2AB}"/>
    <cellStyle name="20% - Énfasis3 39 3 3" xfId="37083" xr:uid="{03B39167-FC1E-4B15-9531-80FFE5C5E374}"/>
    <cellStyle name="20% - Énfasis3 39 4" xfId="18701" xr:uid="{9C146075-94F1-4E87-AD5B-9E3865FE757D}"/>
    <cellStyle name="20% - Énfasis3 39 4 2" xfId="37085" xr:uid="{BF504647-F74F-48B0-9F73-8DD3F56AED6E}"/>
    <cellStyle name="20% - Énfasis3 39 5" xfId="37078" xr:uid="{B64918D6-5BCC-4747-A2B0-44315F52CC15}"/>
    <cellStyle name="20% - Énfasis3 4" xfId="260" xr:uid="{F5315B74-FA54-4826-9395-4E9DC00004DE}"/>
    <cellStyle name="20% - Énfasis3 4 2" xfId="462" xr:uid="{26A4D694-CF07-4D1A-BE02-8A6529F61FAB}"/>
    <cellStyle name="20% - Énfasis3 4 2 2" xfId="1123" xr:uid="{B7B5781A-89CF-46BA-A69E-439142C1E54A}"/>
    <cellStyle name="20% - Énfasis3 4 2 2 2" xfId="2591" xr:uid="{3E4514EF-AE3B-4FB8-BA78-29E3F1C78C83}"/>
    <cellStyle name="20% - Énfasis3 4 2 2 2 2" xfId="6323" xr:uid="{C642B911-38C7-4074-BB22-7D2879D8228A}"/>
    <cellStyle name="20% - Énfasis3 4 2 2 2 2 2" xfId="14031" xr:uid="{84A37F8E-0200-4507-A31F-4185A5BCFD8F}"/>
    <cellStyle name="20% - Énfasis3 4 2 2 2 2 2 2" xfId="29443" xr:uid="{4576AE39-C6B5-4D57-A95B-2A892DA5256A}"/>
    <cellStyle name="20% - Énfasis3 4 2 2 2 2 2 2 2" xfId="37092" xr:uid="{4323E38F-C5AD-4A9D-80ED-8B9D7160F46E}"/>
    <cellStyle name="20% - Énfasis3 4 2 2 2 2 2 3" xfId="37091" xr:uid="{767B646B-FC4D-4CA7-8025-0F50B559EEAC}"/>
    <cellStyle name="20% - Énfasis3 4 2 2 2 2 3" xfId="21738" xr:uid="{BBA30DC9-9E23-4818-8238-7B81EFBC2F85}"/>
    <cellStyle name="20% - Énfasis3 4 2 2 2 2 3 2" xfId="37093" xr:uid="{F14E5AB7-9A9C-4CB3-B886-A20ECA6CB6AB}"/>
    <cellStyle name="20% - Énfasis3 4 2 2 2 2 4" xfId="37090" xr:uid="{3E05BBEB-85CA-4B8C-8C84-BEFDAA439682}"/>
    <cellStyle name="20% - Énfasis3 4 2 2 2 3" xfId="10302" xr:uid="{86E7F70A-8590-4C06-9C1F-2BCCECCC743B}"/>
    <cellStyle name="20% - Énfasis3 4 2 2 2 3 2" xfId="25715" xr:uid="{B8BC121B-88A5-4F6F-B248-C6C82F2B72A5}"/>
    <cellStyle name="20% - Énfasis3 4 2 2 2 3 2 2" xfId="37095" xr:uid="{54F702E3-A9B8-4E57-B582-EB090E2D9E72}"/>
    <cellStyle name="20% - Énfasis3 4 2 2 2 3 3" xfId="37094" xr:uid="{89C6EC59-5D91-4186-BE5B-A501C353D47C}"/>
    <cellStyle name="20% - Énfasis3 4 2 2 2 4" xfId="18010" xr:uid="{D8869E1C-82AF-42E9-B5CD-C9C36E09B526}"/>
    <cellStyle name="20% - Énfasis3 4 2 2 2 4 2" xfId="37096" xr:uid="{B27110DD-C8F9-4D45-9A2C-49E16932C6C6}"/>
    <cellStyle name="20% - Énfasis3 4 2 2 2 5" xfId="37089" xr:uid="{035C5AF5-BA8C-4926-9168-BD93023FCDC7}"/>
    <cellStyle name="20% - Énfasis3 4 2 2 3" xfId="4860" xr:uid="{FAB8FC49-A56A-4C3D-BDFC-797303F7CB1F}"/>
    <cellStyle name="20% - Énfasis3 4 2 2 3 2" xfId="12568" xr:uid="{0A8558A2-06D1-4623-B080-85DD4660F1DE}"/>
    <cellStyle name="20% - Énfasis3 4 2 2 3 2 2" xfId="27980" xr:uid="{A974FCB0-D53C-4ACC-90C1-0D6FF3729F80}"/>
    <cellStyle name="20% - Énfasis3 4 2 2 3 2 2 2" xfId="37099" xr:uid="{EB941ED3-B8AC-4366-849B-9086348B448A}"/>
    <cellStyle name="20% - Énfasis3 4 2 2 3 2 3" xfId="37098" xr:uid="{454A556D-0B84-4A8E-B54E-1B7F9AFBBFB2}"/>
    <cellStyle name="20% - Énfasis3 4 2 2 3 3" xfId="20275" xr:uid="{621C6F97-9D1E-4417-8276-61415FF60FE7}"/>
    <cellStyle name="20% - Énfasis3 4 2 2 3 3 2" xfId="37100" xr:uid="{CFE1599F-CBD5-40A5-A36B-A95758556266}"/>
    <cellStyle name="20% - Énfasis3 4 2 2 3 4" xfId="37097" xr:uid="{1D6AACB0-4B4D-46C9-8E3E-5ED2E2E29EBD}"/>
    <cellStyle name="20% - Énfasis3 4 2 2 4" xfId="8843" xr:uid="{4BECB6D8-6E84-457D-B4E6-9ECB7CB5D109}"/>
    <cellStyle name="20% - Énfasis3 4 2 2 4 2" xfId="24256" xr:uid="{AB345A51-E614-408E-965E-228118FCC978}"/>
    <cellStyle name="20% - Énfasis3 4 2 2 4 2 2" xfId="37102" xr:uid="{D06C9FEF-633C-4988-99D4-B65712870C70}"/>
    <cellStyle name="20% - Énfasis3 4 2 2 4 3" xfId="37101" xr:uid="{FEBA2623-5146-43A6-B47B-D7C6B1C82D4A}"/>
    <cellStyle name="20% - Énfasis3 4 2 2 5" xfId="16551" xr:uid="{17142513-AE1C-4963-A926-28F4F69FF054}"/>
    <cellStyle name="20% - Énfasis3 4 2 2 5 2" xfId="37103" xr:uid="{453F6DFB-51E6-479E-BE55-652DBB1C5EE9}"/>
    <cellStyle name="20% - Énfasis3 4 2 2 6" xfId="37088" xr:uid="{6DE4935E-2C8E-4299-8D90-8C2320D5CC02}"/>
    <cellStyle name="20% - Énfasis3 4 2 3" xfId="1953" xr:uid="{3EDBF277-98EB-4067-B074-4F3A584248F7}"/>
    <cellStyle name="20% - Énfasis3 4 2 3 2" xfId="5685" xr:uid="{6D06AA05-E41F-4C99-94C3-771A07EA6A8F}"/>
    <cellStyle name="20% - Énfasis3 4 2 3 2 2" xfId="13393" xr:uid="{C58DFEA4-EDE5-49EE-9100-1191C200B0DA}"/>
    <cellStyle name="20% - Énfasis3 4 2 3 2 2 2" xfId="28805" xr:uid="{48C5ABF0-2E5F-40D8-B582-FCEA1A45224C}"/>
    <cellStyle name="20% - Énfasis3 4 2 3 2 2 2 2" xfId="37107" xr:uid="{D02FE7CA-A2EA-4E55-A779-3098BA99B9A9}"/>
    <cellStyle name="20% - Énfasis3 4 2 3 2 2 3" xfId="37106" xr:uid="{F20F44FE-D50E-4585-A549-591758EFE027}"/>
    <cellStyle name="20% - Énfasis3 4 2 3 2 3" xfId="21100" xr:uid="{222B5596-8CC4-4753-B848-189D3B721F43}"/>
    <cellStyle name="20% - Énfasis3 4 2 3 2 3 2" xfId="37108" xr:uid="{A5CDA481-F497-4547-AAB2-769F3E28331B}"/>
    <cellStyle name="20% - Énfasis3 4 2 3 2 4" xfId="37105" xr:uid="{70FA8D4A-859B-42BC-AB3D-78FF99EECA69}"/>
    <cellStyle name="20% - Énfasis3 4 2 3 3" xfId="9664" xr:uid="{028F4111-48FD-4A37-B3B3-179602224064}"/>
    <cellStyle name="20% - Énfasis3 4 2 3 3 2" xfId="25077" xr:uid="{E7611B53-BC7F-4E40-946F-8FAD48FDAEBE}"/>
    <cellStyle name="20% - Énfasis3 4 2 3 3 2 2" xfId="37110" xr:uid="{13331D97-226F-4F0B-B9FA-4226436655E9}"/>
    <cellStyle name="20% - Énfasis3 4 2 3 3 3" xfId="37109" xr:uid="{3867A2FF-DD92-4DB8-8492-42E0E91156F6}"/>
    <cellStyle name="20% - Énfasis3 4 2 3 4" xfId="17372" xr:uid="{E9CB71EA-86E8-4382-81FA-E22363E280A9}"/>
    <cellStyle name="20% - Énfasis3 4 2 3 4 2" xfId="37111" xr:uid="{ADE1F6FE-A7BA-45C9-BB40-144DF3051F72}"/>
    <cellStyle name="20% - Énfasis3 4 2 3 5" xfId="37104" xr:uid="{535C188B-C64E-4023-85E6-55B63C84A4F1}"/>
    <cellStyle name="20% - Énfasis3 4 2 4" xfId="4208" xr:uid="{B58B6A87-CBA3-440A-8283-C11ADCAE91BF}"/>
    <cellStyle name="20% - Énfasis3 4 2 4 2" xfId="11916" xr:uid="{CA4220AF-7C48-463D-8E14-683B0E3E2BDB}"/>
    <cellStyle name="20% - Énfasis3 4 2 4 2 2" xfId="27328" xr:uid="{316DD525-1BF2-451E-825A-B1FF99106F9B}"/>
    <cellStyle name="20% - Énfasis3 4 2 4 2 2 2" xfId="37114" xr:uid="{ED00FB0D-8C40-47FF-AED2-02494D7D9BD8}"/>
    <cellStyle name="20% - Énfasis3 4 2 4 2 3" xfId="37113" xr:uid="{DEEE283E-66E4-458C-B794-BCB0DC819BE9}"/>
    <cellStyle name="20% - Énfasis3 4 2 4 3" xfId="19623" xr:uid="{C45F089A-9E0F-4071-BE58-22EF3C22CD93}"/>
    <cellStyle name="20% - Énfasis3 4 2 4 3 2" xfId="37115" xr:uid="{431513EC-12A3-44E6-8D6F-9627479570EE}"/>
    <cellStyle name="20% - Énfasis3 4 2 4 4" xfId="37112" xr:uid="{E754071D-7365-4E34-99A9-935F73B7BB77}"/>
    <cellStyle name="20% - Énfasis3 4 2 5" xfId="8205" xr:uid="{19E7DE1A-13A7-4AB1-8BC8-36D3062B1DE7}"/>
    <cellStyle name="20% - Énfasis3 4 2 5 2" xfId="23618" xr:uid="{A86F587C-4643-4EBC-AA7B-3E7B2DDB82D3}"/>
    <cellStyle name="20% - Énfasis3 4 2 5 2 2" xfId="37117" xr:uid="{641BA5D0-29D6-4787-BDA9-CA96857F7992}"/>
    <cellStyle name="20% - Énfasis3 4 2 5 3" xfId="37116" xr:uid="{8842711E-FFB0-4F17-BF29-C1C9806729DC}"/>
    <cellStyle name="20% - Énfasis3 4 2 6" xfId="15913" xr:uid="{71216D2B-0E51-42D6-9976-656DFB3CFFCE}"/>
    <cellStyle name="20% - Énfasis3 4 2 6 2" xfId="37118" xr:uid="{371308A9-E531-404A-9D2D-9A36DA67FECC}"/>
    <cellStyle name="20% - Énfasis3 4 2 7" xfId="37087" xr:uid="{64F2976C-3E14-40CD-8C7F-FB24589739F1}"/>
    <cellStyle name="20% - Énfasis3 4 3" xfId="923" xr:uid="{6F19FD33-AB0E-49C6-852A-594C0D464A1C}"/>
    <cellStyle name="20% - Énfasis3 4 3 2" xfId="2393" xr:uid="{544E4234-F180-4584-B1CD-F41E562EEAE0}"/>
    <cellStyle name="20% - Énfasis3 4 3 2 2" xfId="6125" xr:uid="{97061E9F-DD54-4D74-97EA-3C185ECAEFF1}"/>
    <cellStyle name="20% - Énfasis3 4 3 2 2 2" xfId="13833" xr:uid="{F4955605-884C-462C-88B3-E7A68A5D31A3}"/>
    <cellStyle name="20% - Énfasis3 4 3 2 2 2 2" xfId="29245" xr:uid="{DE2BCDA1-36BD-4684-AF05-1911B6FA4AF3}"/>
    <cellStyle name="20% - Énfasis3 4 3 2 2 2 2 2" xfId="37123" xr:uid="{CD127A3B-0835-44C7-8446-901450F59DD1}"/>
    <cellStyle name="20% - Énfasis3 4 3 2 2 2 3" xfId="37122" xr:uid="{C2BEB116-F26E-4F22-9B7A-AF1FCE105552}"/>
    <cellStyle name="20% - Énfasis3 4 3 2 2 3" xfId="21540" xr:uid="{2FBF49C5-A507-454C-BEF6-B6F4E5B95C6C}"/>
    <cellStyle name="20% - Énfasis3 4 3 2 2 3 2" xfId="37124" xr:uid="{DC3F5179-0494-401B-BE32-820966E245FD}"/>
    <cellStyle name="20% - Énfasis3 4 3 2 2 4" xfId="37121" xr:uid="{E022F0C8-176B-49D8-8273-D369CDB5CA7E}"/>
    <cellStyle name="20% - Énfasis3 4 3 2 3" xfId="10104" xr:uid="{AB10312E-5F75-40C4-BE11-9166D20AC991}"/>
    <cellStyle name="20% - Énfasis3 4 3 2 3 2" xfId="25517" xr:uid="{E97C6644-469D-4E77-9353-3D210C1C5739}"/>
    <cellStyle name="20% - Énfasis3 4 3 2 3 2 2" xfId="37126" xr:uid="{E7A7DE0C-CC28-49B1-BFCB-56578E39DCE9}"/>
    <cellStyle name="20% - Énfasis3 4 3 2 3 3" xfId="37125" xr:uid="{B1352D7A-C66F-4399-9FCF-8BE81C902B6B}"/>
    <cellStyle name="20% - Énfasis3 4 3 2 4" xfId="17812" xr:uid="{9D026FDD-F664-4628-BCFF-675E6CE43AE5}"/>
    <cellStyle name="20% - Énfasis3 4 3 2 4 2" xfId="37127" xr:uid="{0062464E-665D-4719-BFEB-361D5B22E050}"/>
    <cellStyle name="20% - Énfasis3 4 3 2 5" xfId="37120" xr:uid="{B50C8B34-27CF-422B-82E4-313AC9F45925}"/>
    <cellStyle name="20% - Énfasis3 4 3 3" xfId="4660" xr:uid="{4871E38F-4E72-4955-A6EE-F98C425DBD6A}"/>
    <cellStyle name="20% - Énfasis3 4 3 3 2" xfId="12368" xr:uid="{0FFB71AA-FB81-42C4-B4F2-06D0761A4610}"/>
    <cellStyle name="20% - Énfasis3 4 3 3 2 2" xfId="27780" xr:uid="{9574EEAE-BA2B-486A-AF52-3974F15140DA}"/>
    <cellStyle name="20% - Énfasis3 4 3 3 2 2 2" xfId="37130" xr:uid="{1736361F-0192-463A-9912-7FBFA2E180D2}"/>
    <cellStyle name="20% - Énfasis3 4 3 3 2 3" xfId="37129" xr:uid="{13A5F5CC-CEDC-4F79-8027-10037BA4C1BA}"/>
    <cellStyle name="20% - Énfasis3 4 3 3 3" xfId="20075" xr:uid="{7C7FB3C7-FC13-4105-8E4E-7C813933F95A}"/>
    <cellStyle name="20% - Énfasis3 4 3 3 3 2" xfId="37131" xr:uid="{30920781-0F27-491E-B3AE-A07866A5BFD3}"/>
    <cellStyle name="20% - Énfasis3 4 3 3 4" xfId="37128" xr:uid="{1CB8327B-8E3F-40B0-A8D1-1B4BD3E33C87}"/>
    <cellStyle name="20% - Énfasis3 4 3 4" xfId="8645" xr:uid="{D2B889C0-76C7-43D1-8606-370F42A1BA89}"/>
    <cellStyle name="20% - Énfasis3 4 3 4 2" xfId="24058" xr:uid="{9B92F6A9-4D6D-4321-8123-983C41F20808}"/>
    <cellStyle name="20% - Énfasis3 4 3 4 2 2" xfId="37133" xr:uid="{8F529B8A-F62F-4DAB-9D59-304B4D888BA0}"/>
    <cellStyle name="20% - Énfasis3 4 3 4 3" xfId="37132" xr:uid="{496BA48B-FEBF-427A-9B1B-528726273F0F}"/>
    <cellStyle name="20% - Énfasis3 4 3 5" xfId="16353" xr:uid="{2FA10C7C-DBDB-4BE9-BDB3-94FD4CBB7842}"/>
    <cellStyle name="20% - Énfasis3 4 3 5 2" xfId="37134" xr:uid="{43E325F0-D993-4A2B-9B54-325BB6F6AFDA}"/>
    <cellStyle name="20% - Énfasis3 4 3 6" xfId="37119" xr:uid="{32B23031-29BB-4837-AE64-A98FA6AA6F72}"/>
    <cellStyle name="20% - Énfasis3 4 4" xfId="1755" xr:uid="{2A34C11B-B26F-4885-95BE-977ACA234E04}"/>
    <cellStyle name="20% - Énfasis3 4 4 2" xfId="5487" xr:uid="{A3BB8A82-9AC7-4086-8F5F-95B87A63A8EA}"/>
    <cellStyle name="20% - Énfasis3 4 4 2 2" xfId="13195" xr:uid="{A3007D17-7055-4A61-BC61-0EFAD51DE0E5}"/>
    <cellStyle name="20% - Énfasis3 4 4 2 2 2" xfId="28607" xr:uid="{0A2CCC43-9576-4521-90F7-2E13F136F0C3}"/>
    <cellStyle name="20% - Énfasis3 4 4 2 2 2 2" xfId="37138" xr:uid="{AB3C84A1-CE55-40DE-A3A0-A259D446B969}"/>
    <cellStyle name="20% - Énfasis3 4 4 2 2 3" xfId="37137" xr:uid="{475376E7-C517-410C-9044-0A1A9A4AA023}"/>
    <cellStyle name="20% - Énfasis3 4 4 2 3" xfId="20902" xr:uid="{810709D0-5BF3-46B1-8043-CC2DCB070F42}"/>
    <cellStyle name="20% - Énfasis3 4 4 2 3 2" xfId="37139" xr:uid="{9C6D61D0-C291-445E-B46D-E0348D29E78C}"/>
    <cellStyle name="20% - Énfasis3 4 4 2 4" xfId="37136" xr:uid="{2BC3DDC0-E348-45B3-B070-6B4128DE3179}"/>
    <cellStyle name="20% - Énfasis3 4 4 3" xfId="9466" xr:uid="{40DE0059-AD90-4CD4-9CF7-7A275EC70A95}"/>
    <cellStyle name="20% - Énfasis3 4 4 3 2" xfId="24879" xr:uid="{14C4F3E5-B0EE-48C6-8F2D-938F5E016BFE}"/>
    <cellStyle name="20% - Énfasis3 4 4 3 2 2" xfId="37141" xr:uid="{A8CA6125-ABB8-46EA-AA8B-D9DC6A3502F4}"/>
    <cellStyle name="20% - Énfasis3 4 4 3 3" xfId="37140" xr:uid="{CA7373C8-2240-41E0-8CE9-287A7D3A48F6}"/>
    <cellStyle name="20% - Énfasis3 4 4 4" xfId="17174" xr:uid="{70E76317-470A-4CF3-9269-7E3A10B8746C}"/>
    <cellStyle name="20% - Énfasis3 4 4 4 2" xfId="37142" xr:uid="{0534A512-B47D-4B01-9FBA-B94082038BD7}"/>
    <cellStyle name="20% - Énfasis3 4 4 5" xfId="37135" xr:uid="{1F46D323-DCE0-467E-AEE9-5A959ADF6203}"/>
    <cellStyle name="20% - Énfasis3 4 5" xfId="4008" xr:uid="{9D0B7C0D-59CF-460B-8D88-E1E19C316CD5}"/>
    <cellStyle name="20% - Énfasis3 4 5 2" xfId="11716" xr:uid="{86B8D516-EC10-4E87-95BF-17DDDB0295F8}"/>
    <cellStyle name="20% - Énfasis3 4 5 2 2" xfId="27128" xr:uid="{933EEC78-BB5D-4653-B5C5-AAC1C5385401}"/>
    <cellStyle name="20% - Énfasis3 4 5 2 2 2" xfId="37145" xr:uid="{5294DA83-0C4F-425F-B612-7B84E80418BA}"/>
    <cellStyle name="20% - Énfasis3 4 5 2 3" xfId="37144" xr:uid="{0DFE45D9-7958-4018-BF87-1ED458605368}"/>
    <cellStyle name="20% - Énfasis3 4 5 3" xfId="19423" xr:uid="{A28A9022-1704-4127-9E49-BAF48DDC3E16}"/>
    <cellStyle name="20% - Énfasis3 4 5 3 2" xfId="37146" xr:uid="{BF43D190-CDC0-44D3-BA68-5B90F0720D9E}"/>
    <cellStyle name="20% - Énfasis3 4 5 4" xfId="37143" xr:uid="{B70058AD-8CE6-4099-81B9-81416F3339A2}"/>
    <cellStyle name="20% - Énfasis3 4 6" xfId="8007" xr:uid="{2D07CF67-B3BB-4597-91EE-FA52C330C467}"/>
    <cellStyle name="20% - Énfasis3 4 6 2" xfId="23420" xr:uid="{63B9934C-1135-4E9D-8124-C0CFFE3F8755}"/>
    <cellStyle name="20% - Énfasis3 4 6 2 2" xfId="37148" xr:uid="{D78B8D27-9649-4471-9F90-FE684F39CF2D}"/>
    <cellStyle name="20% - Énfasis3 4 6 3" xfId="37147" xr:uid="{F1C94CFC-E9FF-4657-A5BC-2AEDA86E3EDB}"/>
    <cellStyle name="20% - Énfasis3 4 7" xfId="15715" xr:uid="{3DD4243B-0CF9-404D-8DB1-B3DC5206FBDD}"/>
    <cellStyle name="20% - Énfasis3 4 7 2" xfId="37149" xr:uid="{4798D849-902D-41E8-93DF-3FEFCC87E87E}"/>
    <cellStyle name="20% - Énfasis3 4 8" xfId="37086" xr:uid="{48632893-1B9A-4509-A348-DDE6296123BF}"/>
    <cellStyle name="20% - Énfasis3 5" xfId="287" xr:uid="{6A154AAD-2073-427C-89D5-4CCBA88342AA}"/>
    <cellStyle name="20% - Énfasis3 5 2" xfId="490" xr:uid="{789D8EA1-7B46-4403-88C6-9FE26A9F94BF}"/>
    <cellStyle name="20% - Énfasis3 5 2 2" xfId="1151" xr:uid="{050759B6-E81C-4A96-A005-3753C8226E76}"/>
    <cellStyle name="20% - Énfasis3 5 2 2 2" xfId="2619" xr:uid="{B2B19378-BC1A-4EF2-B1A8-446253AB2608}"/>
    <cellStyle name="20% - Énfasis3 5 2 2 2 2" xfId="6351" xr:uid="{02970197-A093-4D13-A019-59DDC8B18B20}"/>
    <cellStyle name="20% - Énfasis3 5 2 2 2 2 2" xfId="14059" xr:uid="{915CFE12-2FE3-4C2D-988E-AB4BDA095C1A}"/>
    <cellStyle name="20% - Énfasis3 5 2 2 2 2 2 2" xfId="29471" xr:uid="{A64BCE14-A00B-4855-B1B0-148E654A7EF6}"/>
    <cellStyle name="20% - Énfasis3 5 2 2 2 2 2 2 2" xfId="37156" xr:uid="{34846675-AE70-4415-B429-4A47EA7A2EA5}"/>
    <cellStyle name="20% - Énfasis3 5 2 2 2 2 2 3" xfId="37155" xr:uid="{AFBF16D7-391A-4648-96E7-02355AE3140F}"/>
    <cellStyle name="20% - Énfasis3 5 2 2 2 2 3" xfId="21766" xr:uid="{4C606FEF-780E-423B-A079-4971D3907085}"/>
    <cellStyle name="20% - Énfasis3 5 2 2 2 2 3 2" xfId="37157" xr:uid="{FA6F1300-4432-4EA2-AF22-1E9D3353F206}"/>
    <cellStyle name="20% - Énfasis3 5 2 2 2 2 4" xfId="37154" xr:uid="{CCD9440B-7DAF-4C2B-BF4D-0EDC6EA833D9}"/>
    <cellStyle name="20% - Énfasis3 5 2 2 2 3" xfId="10330" xr:uid="{5721E4CE-EBD4-4C37-80F9-D81D461E4A81}"/>
    <cellStyle name="20% - Énfasis3 5 2 2 2 3 2" xfId="25743" xr:uid="{0EC3B196-F415-4A2F-8213-72B57AC739E7}"/>
    <cellStyle name="20% - Énfasis3 5 2 2 2 3 2 2" xfId="37159" xr:uid="{DD2F0805-BD1C-4EF9-8F87-565E48F0536A}"/>
    <cellStyle name="20% - Énfasis3 5 2 2 2 3 3" xfId="37158" xr:uid="{D660A46B-3B74-4438-9117-BDDDCB820694}"/>
    <cellStyle name="20% - Énfasis3 5 2 2 2 4" xfId="18038" xr:uid="{8335ED1B-5C61-47C3-828D-03E019B05DCD}"/>
    <cellStyle name="20% - Énfasis3 5 2 2 2 4 2" xfId="37160" xr:uid="{AECB9483-1959-4D46-9B1E-AF29D8931868}"/>
    <cellStyle name="20% - Énfasis3 5 2 2 2 5" xfId="37153" xr:uid="{5324B576-F8D3-4DB1-B9C6-CF88507F5E40}"/>
    <cellStyle name="20% - Énfasis3 5 2 2 3" xfId="4888" xr:uid="{94CFE6A6-1C6B-44E3-A06A-5682CE2885E4}"/>
    <cellStyle name="20% - Énfasis3 5 2 2 3 2" xfId="12596" xr:uid="{A6814987-CF25-4BFF-8C58-529389FBFFF4}"/>
    <cellStyle name="20% - Énfasis3 5 2 2 3 2 2" xfId="28008" xr:uid="{050DE880-1F06-44EA-A680-E3012ABD90BE}"/>
    <cellStyle name="20% - Énfasis3 5 2 2 3 2 2 2" xfId="37163" xr:uid="{DBB03A59-864C-4737-BB71-7B5D3C4DE2B3}"/>
    <cellStyle name="20% - Énfasis3 5 2 2 3 2 3" xfId="37162" xr:uid="{EF04FBE2-20EC-49DC-9DE3-2D364F4FAF21}"/>
    <cellStyle name="20% - Énfasis3 5 2 2 3 3" xfId="20303" xr:uid="{86AF48D3-AF16-42AD-B654-749D581286EB}"/>
    <cellStyle name="20% - Énfasis3 5 2 2 3 3 2" xfId="37164" xr:uid="{9BB95CC1-3561-4B64-B5B4-037CAB7FCF0E}"/>
    <cellStyle name="20% - Énfasis3 5 2 2 3 4" xfId="37161" xr:uid="{4D80D167-4CD3-4AE5-BD3A-16D8EDFA6DAA}"/>
    <cellStyle name="20% - Énfasis3 5 2 2 4" xfId="8871" xr:uid="{017E88D0-205A-4394-B5CE-B9E52D277E2E}"/>
    <cellStyle name="20% - Énfasis3 5 2 2 4 2" xfId="24284" xr:uid="{D32465E1-FB33-4963-9E06-0F837DBDBF69}"/>
    <cellStyle name="20% - Énfasis3 5 2 2 4 2 2" xfId="37166" xr:uid="{8EFA4E1B-2923-45B7-8FF5-FA1E42105192}"/>
    <cellStyle name="20% - Énfasis3 5 2 2 4 3" xfId="37165" xr:uid="{B02F2222-B627-4444-B2DC-6BAB8C0F4D47}"/>
    <cellStyle name="20% - Énfasis3 5 2 2 5" xfId="16579" xr:uid="{0D053BCD-2D52-4F36-BF3B-4E50D6B96932}"/>
    <cellStyle name="20% - Énfasis3 5 2 2 5 2" xfId="37167" xr:uid="{FB17032E-F44E-4370-8B52-978C4410280D}"/>
    <cellStyle name="20% - Énfasis3 5 2 2 6" xfId="37152" xr:uid="{DB5A419C-F912-422D-AABB-E0CD3DEB6D92}"/>
    <cellStyle name="20% - Énfasis3 5 2 3" xfId="1981" xr:uid="{AD26FD3E-C895-49FD-9A29-37C3B4F02B68}"/>
    <cellStyle name="20% - Énfasis3 5 2 3 2" xfId="5713" xr:uid="{E0C17EB1-21AD-49B7-8D26-EA59FB08EB16}"/>
    <cellStyle name="20% - Énfasis3 5 2 3 2 2" xfId="13421" xr:uid="{0541D331-27D1-479F-A4F0-CDD70823A688}"/>
    <cellStyle name="20% - Énfasis3 5 2 3 2 2 2" xfId="28833" xr:uid="{F53C4DDE-A4E5-4D71-A935-AFD1B73A12F1}"/>
    <cellStyle name="20% - Énfasis3 5 2 3 2 2 2 2" xfId="37171" xr:uid="{6A069B58-B905-463A-A6CA-1F8F3A9FB71E}"/>
    <cellStyle name="20% - Énfasis3 5 2 3 2 2 3" xfId="37170" xr:uid="{78FBE866-61D6-422C-81B0-704BBD6A3627}"/>
    <cellStyle name="20% - Énfasis3 5 2 3 2 3" xfId="21128" xr:uid="{7B9EC635-4778-4FEA-AADA-7ECEBE3308F3}"/>
    <cellStyle name="20% - Énfasis3 5 2 3 2 3 2" xfId="37172" xr:uid="{2DC0040F-49FD-491E-97AC-511A988D09EB}"/>
    <cellStyle name="20% - Énfasis3 5 2 3 2 4" xfId="37169" xr:uid="{38B51BC8-B9F5-4FB1-8775-C35E3B915B8C}"/>
    <cellStyle name="20% - Énfasis3 5 2 3 3" xfId="9692" xr:uid="{9871419E-FC94-465B-9651-CAA0A0129828}"/>
    <cellStyle name="20% - Énfasis3 5 2 3 3 2" xfId="25105" xr:uid="{9485E653-1D1C-4DE4-A267-891415A6A355}"/>
    <cellStyle name="20% - Énfasis3 5 2 3 3 2 2" xfId="37174" xr:uid="{C5120773-831A-4808-A9D2-C739E371E2DE}"/>
    <cellStyle name="20% - Énfasis3 5 2 3 3 3" xfId="37173" xr:uid="{185141DA-2334-413D-BDFC-FE1C22C4F57A}"/>
    <cellStyle name="20% - Énfasis3 5 2 3 4" xfId="17400" xr:uid="{9A1C318D-3BEE-47ED-9BD4-F89AAC3A8E88}"/>
    <cellStyle name="20% - Énfasis3 5 2 3 4 2" xfId="37175" xr:uid="{D930CF36-723C-4B58-B182-CE27C6555BC3}"/>
    <cellStyle name="20% - Énfasis3 5 2 3 5" xfId="37168" xr:uid="{7F558182-D85D-48EF-9B38-88D999B36447}"/>
    <cellStyle name="20% - Énfasis3 5 2 4" xfId="4236" xr:uid="{B55FB310-0C8F-4BDA-A078-B764D6717144}"/>
    <cellStyle name="20% - Énfasis3 5 2 4 2" xfId="11944" xr:uid="{3BFC8720-74FF-4E5F-A185-035AEB00A2BA}"/>
    <cellStyle name="20% - Énfasis3 5 2 4 2 2" xfId="27356" xr:uid="{F766E31E-47BF-4587-A8A0-4998AE033F27}"/>
    <cellStyle name="20% - Énfasis3 5 2 4 2 2 2" xfId="37178" xr:uid="{9FE24CA3-420F-465B-812E-2CB9B94EA276}"/>
    <cellStyle name="20% - Énfasis3 5 2 4 2 3" xfId="37177" xr:uid="{15EB819A-E357-40B3-BDF7-E3988F0777C8}"/>
    <cellStyle name="20% - Énfasis3 5 2 4 3" xfId="19651" xr:uid="{E896AE10-3D38-4DEB-9EBE-8BC118D2E1C9}"/>
    <cellStyle name="20% - Énfasis3 5 2 4 3 2" xfId="37179" xr:uid="{7A2F113B-B060-4A4F-B861-BDE4B40FDA23}"/>
    <cellStyle name="20% - Énfasis3 5 2 4 4" xfId="37176" xr:uid="{41F56333-0D3E-4541-9986-E8FA56B28FB2}"/>
    <cellStyle name="20% - Énfasis3 5 2 5" xfId="8233" xr:uid="{8E5C2A46-2825-437E-9D81-410EB1903DD9}"/>
    <cellStyle name="20% - Énfasis3 5 2 5 2" xfId="23646" xr:uid="{50739CEC-BE51-4B4A-8CB9-394192CD9B68}"/>
    <cellStyle name="20% - Énfasis3 5 2 5 2 2" xfId="37181" xr:uid="{83DD2327-A422-4458-8682-428CD1A32BBD}"/>
    <cellStyle name="20% - Énfasis3 5 2 5 3" xfId="37180" xr:uid="{339DFC8D-92D1-48D5-A98C-BDC7B738D392}"/>
    <cellStyle name="20% - Énfasis3 5 2 6" xfId="15941" xr:uid="{5C290217-47CF-478E-B482-3934F624BD97}"/>
    <cellStyle name="20% - Énfasis3 5 2 6 2" xfId="37182" xr:uid="{AF5785D6-84C9-468F-ADDE-5A72F0C91257}"/>
    <cellStyle name="20% - Énfasis3 5 2 7" xfId="37151" xr:uid="{DECA561A-88E0-4D0F-90DC-96CBB3E38EBC}"/>
    <cellStyle name="20% - Énfasis3 5 3" xfId="951" xr:uid="{774F4405-B646-4313-B7C6-3142473D8C9B}"/>
    <cellStyle name="20% - Énfasis3 5 3 2" xfId="2421" xr:uid="{B4526C80-AB58-4FC1-B301-10B36214997C}"/>
    <cellStyle name="20% - Énfasis3 5 3 2 2" xfId="6153" xr:uid="{A662E1D9-2B1B-4D9E-A42E-7BBA58F4B8CA}"/>
    <cellStyle name="20% - Énfasis3 5 3 2 2 2" xfId="13861" xr:uid="{59FB4707-3539-41B4-B66B-944F0CD01444}"/>
    <cellStyle name="20% - Énfasis3 5 3 2 2 2 2" xfId="29273" xr:uid="{8BE6DA4A-D36B-469B-BB48-375069BDA168}"/>
    <cellStyle name="20% - Énfasis3 5 3 2 2 2 2 2" xfId="37187" xr:uid="{DF30F59F-8531-41DC-BC2A-17BA2291D01B}"/>
    <cellStyle name="20% - Énfasis3 5 3 2 2 2 3" xfId="37186" xr:uid="{37002CCB-FD27-43EF-BA70-640EEFEF2950}"/>
    <cellStyle name="20% - Énfasis3 5 3 2 2 3" xfId="21568" xr:uid="{80F6D819-BE47-4265-8B70-D940514B5893}"/>
    <cellStyle name="20% - Énfasis3 5 3 2 2 3 2" xfId="37188" xr:uid="{E79BE0F6-7EC4-454B-9B82-B864A0634A70}"/>
    <cellStyle name="20% - Énfasis3 5 3 2 2 4" xfId="37185" xr:uid="{0D8CF7A7-50FD-4069-A303-D3B7222E4C81}"/>
    <cellStyle name="20% - Énfasis3 5 3 2 3" xfId="10132" xr:uid="{FF268F07-F324-47F2-B1AE-2434487983B0}"/>
    <cellStyle name="20% - Énfasis3 5 3 2 3 2" xfId="25545" xr:uid="{81B8BF77-9603-445B-8B51-FEEA98BBE48A}"/>
    <cellStyle name="20% - Énfasis3 5 3 2 3 2 2" xfId="37190" xr:uid="{10640DB0-0918-4FB4-8039-C44799D9E4F4}"/>
    <cellStyle name="20% - Énfasis3 5 3 2 3 3" xfId="37189" xr:uid="{A0C556E0-F3F2-428A-A8B7-85D9E749A7E6}"/>
    <cellStyle name="20% - Énfasis3 5 3 2 4" xfId="17840" xr:uid="{145A37C8-A43F-4657-91FE-CE22C31DCB35}"/>
    <cellStyle name="20% - Énfasis3 5 3 2 4 2" xfId="37191" xr:uid="{6181BBD6-4302-4BDF-924F-9CB5666C9A83}"/>
    <cellStyle name="20% - Énfasis3 5 3 2 5" xfId="37184" xr:uid="{DBA70FE6-88E9-4CA9-A201-A23A5FA98131}"/>
    <cellStyle name="20% - Énfasis3 5 3 3" xfId="4688" xr:uid="{D3BCF64A-B0FA-47A2-8A10-0DC269BF46E2}"/>
    <cellStyle name="20% - Énfasis3 5 3 3 2" xfId="12396" xr:uid="{CC4F2EE0-1A1B-4268-996A-194318177EA2}"/>
    <cellStyle name="20% - Énfasis3 5 3 3 2 2" xfId="27808" xr:uid="{5639F727-5B02-4E13-936E-3759BFFC2BDE}"/>
    <cellStyle name="20% - Énfasis3 5 3 3 2 2 2" xfId="37194" xr:uid="{9708E944-33DA-4570-ACEB-183153607C96}"/>
    <cellStyle name="20% - Énfasis3 5 3 3 2 3" xfId="37193" xr:uid="{A59B164A-BFF4-409B-AD1E-267DA58D68D5}"/>
    <cellStyle name="20% - Énfasis3 5 3 3 3" xfId="20103" xr:uid="{14DD707B-EEEF-42EE-A6DF-E330C6DEB600}"/>
    <cellStyle name="20% - Énfasis3 5 3 3 3 2" xfId="37195" xr:uid="{D8950348-B86B-4771-8AE4-4022C16E6A38}"/>
    <cellStyle name="20% - Énfasis3 5 3 3 4" xfId="37192" xr:uid="{75AF54EC-5672-4778-879B-7351140A7CC0}"/>
    <cellStyle name="20% - Énfasis3 5 3 4" xfId="8673" xr:uid="{D4A183C9-4058-4D5C-9936-E4F748FAA784}"/>
    <cellStyle name="20% - Énfasis3 5 3 4 2" xfId="24086" xr:uid="{217AB377-995C-4709-B575-53E550FAFEFA}"/>
    <cellStyle name="20% - Énfasis3 5 3 4 2 2" xfId="37197" xr:uid="{A5FD6BC3-72B5-45AB-BD58-8B2DB2E0FA37}"/>
    <cellStyle name="20% - Énfasis3 5 3 4 3" xfId="37196" xr:uid="{429ACCB0-E262-4445-82D0-42F28BA3B312}"/>
    <cellStyle name="20% - Énfasis3 5 3 5" xfId="16381" xr:uid="{950E26E0-8337-419E-8038-E0D5D00596EE}"/>
    <cellStyle name="20% - Énfasis3 5 3 5 2" xfId="37198" xr:uid="{1167EE8E-52F8-4C67-B465-E7519D7F244A}"/>
    <cellStyle name="20% - Énfasis3 5 3 6" xfId="37183" xr:uid="{C2AF37D6-0189-4AA0-8C2D-363BFB42A3D3}"/>
    <cellStyle name="20% - Énfasis3 5 4" xfId="1783" xr:uid="{F12F144A-F280-41FE-B3BA-71B45012DF9B}"/>
    <cellStyle name="20% - Énfasis3 5 4 2" xfId="5515" xr:uid="{32C4B1E2-F87D-477D-BA46-01DAAB54CBC7}"/>
    <cellStyle name="20% - Énfasis3 5 4 2 2" xfId="13223" xr:uid="{AFBDCBE6-8912-494D-B0DF-9205E32FA418}"/>
    <cellStyle name="20% - Énfasis3 5 4 2 2 2" xfId="28635" xr:uid="{D6FE7AAF-9C12-45BA-AF1C-EBFD65E9CE2D}"/>
    <cellStyle name="20% - Énfasis3 5 4 2 2 2 2" xfId="37202" xr:uid="{413A8AC6-E905-4C37-A87C-D6EB0F08F956}"/>
    <cellStyle name="20% - Énfasis3 5 4 2 2 3" xfId="37201" xr:uid="{02D61311-BB79-4714-BCCE-D2ACA5F005DD}"/>
    <cellStyle name="20% - Énfasis3 5 4 2 3" xfId="20930" xr:uid="{F2F29764-7D80-4759-B17D-5D4C1E0694AA}"/>
    <cellStyle name="20% - Énfasis3 5 4 2 3 2" xfId="37203" xr:uid="{0705FF26-E9FC-46CA-BEB6-E8B482BEC315}"/>
    <cellStyle name="20% - Énfasis3 5 4 2 4" xfId="37200" xr:uid="{B451587D-B7B3-4A67-8BA8-3AFE14DAFC76}"/>
    <cellStyle name="20% - Énfasis3 5 4 3" xfId="9494" xr:uid="{D8BC1B55-BEE8-475F-929C-2A582D14820B}"/>
    <cellStyle name="20% - Énfasis3 5 4 3 2" xfId="24907" xr:uid="{F24F3420-9AA9-4F00-A229-E86D8D789454}"/>
    <cellStyle name="20% - Énfasis3 5 4 3 2 2" xfId="37205" xr:uid="{C6CE3742-DDF1-4AEE-85EF-6ABCC3DBFD87}"/>
    <cellStyle name="20% - Énfasis3 5 4 3 3" xfId="37204" xr:uid="{A8120401-B363-496A-99A7-8AAFC5BA6152}"/>
    <cellStyle name="20% - Énfasis3 5 4 4" xfId="17202" xr:uid="{70F1ACFA-DF85-4CC7-8E70-3DCF47C3CE1B}"/>
    <cellStyle name="20% - Énfasis3 5 4 4 2" xfId="37206" xr:uid="{2B6ADA4B-34D5-4935-A03A-CB7066AA2EE5}"/>
    <cellStyle name="20% - Énfasis3 5 4 5" xfId="37199" xr:uid="{9AA929EE-A11C-4971-BD24-AC540A42BFAC}"/>
    <cellStyle name="20% - Énfasis3 5 5" xfId="4036" xr:uid="{D8303FBD-41EC-44F8-8BFC-683FB1046ED0}"/>
    <cellStyle name="20% - Énfasis3 5 5 2" xfId="11744" xr:uid="{02B251CC-FB2B-4AF8-80E7-A090B88686A0}"/>
    <cellStyle name="20% - Énfasis3 5 5 2 2" xfId="27156" xr:uid="{09690894-1CCF-4317-9CB4-552A7C5FA26E}"/>
    <cellStyle name="20% - Énfasis3 5 5 2 2 2" xfId="37209" xr:uid="{991DF8FD-8B37-4C09-A1A4-AB24475182A4}"/>
    <cellStyle name="20% - Énfasis3 5 5 2 3" xfId="37208" xr:uid="{10FA5840-B8E9-4F74-BFBA-F799A77F73E1}"/>
    <cellStyle name="20% - Énfasis3 5 5 3" xfId="19451" xr:uid="{FB06EC85-5444-47E9-83F0-BCA2E01FF376}"/>
    <cellStyle name="20% - Énfasis3 5 5 3 2" xfId="37210" xr:uid="{6B3CE003-F97C-44F4-B1CF-4AEF938FAB62}"/>
    <cellStyle name="20% - Énfasis3 5 5 4" xfId="37207" xr:uid="{46054300-8E95-49DA-925B-524B43184CAB}"/>
    <cellStyle name="20% - Énfasis3 5 6" xfId="8035" xr:uid="{6F1A726F-C6E5-4FC2-9BE1-D7FE456A72A7}"/>
    <cellStyle name="20% - Énfasis3 5 6 2" xfId="23448" xr:uid="{D82E9D50-8A7E-40E2-AE81-21D1CC32F8EC}"/>
    <cellStyle name="20% - Énfasis3 5 6 2 2" xfId="37212" xr:uid="{1029FB87-8927-436D-8914-642BEC82B618}"/>
    <cellStyle name="20% - Énfasis3 5 6 3" xfId="37211" xr:uid="{5918E9A6-188D-4B56-9779-5F1FDE99E51F}"/>
    <cellStyle name="20% - Énfasis3 5 7" xfId="15743" xr:uid="{7382572A-658C-4CD3-8448-0E863F4E7B2B}"/>
    <cellStyle name="20% - Énfasis3 5 7 2" xfId="37213" xr:uid="{7253480C-6482-4DF7-8B99-7ACFE97D7469}"/>
    <cellStyle name="20% - Énfasis3 5 8" xfId="37150" xr:uid="{0112D5EE-B8D5-428B-9769-C587EE83DDC3}"/>
    <cellStyle name="20% - Énfasis3 6" xfId="307" xr:uid="{7E5D2FDC-0371-42C2-84B0-C5FA6BA9A62B}"/>
    <cellStyle name="20% - Énfasis3 6 2" xfId="510" xr:uid="{6E9655F3-BE51-4342-904F-E43176606C8F}"/>
    <cellStyle name="20% - Énfasis3 6 2 2" xfId="1171" xr:uid="{A507EA4E-7360-420B-AB33-8E7F474389A4}"/>
    <cellStyle name="20% - Énfasis3 6 2 2 2" xfId="2639" xr:uid="{F44D5817-31A7-4559-8401-B3B31CD1987E}"/>
    <cellStyle name="20% - Énfasis3 6 2 2 2 2" xfId="6371" xr:uid="{57A9F0E5-D119-4E5A-84EC-5A89928B23E3}"/>
    <cellStyle name="20% - Énfasis3 6 2 2 2 2 2" xfId="14079" xr:uid="{BD37026E-77E8-4FA0-8BDA-101B1D01E478}"/>
    <cellStyle name="20% - Énfasis3 6 2 2 2 2 2 2" xfId="29491" xr:uid="{B4E96884-B224-494F-A1D9-ABFFCBDD4D22}"/>
    <cellStyle name="20% - Énfasis3 6 2 2 2 2 2 2 2" xfId="37220" xr:uid="{8F2553B1-5936-4DDC-A214-D166C1CDC851}"/>
    <cellStyle name="20% - Énfasis3 6 2 2 2 2 2 3" xfId="37219" xr:uid="{6860B91C-1C41-47E5-B5EE-D8ED8626C1EB}"/>
    <cellStyle name="20% - Énfasis3 6 2 2 2 2 3" xfId="21786" xr:uid="{A8823ECE-A397-462E-8373-FA90B022044A}"/>
    <cellStyle name="20% - Énfasis3 6 2 2 2 2 3 2" xfId="37221" xr:uid="{996997D6-252B-4674-BAFD-756C1CDAE74A}"/>
    <cellStyle name="20% - Énfasis3 6 2 2 2 2 4" xfId="37218" xr:uid="{C4E4E146-19FD-48F6-8C2E-5E294F7F2F72}"/>
    <cellStyle name="20% - Énfasis3 6 2 2 2 3" xfId="10350" xr:uid="{FE45B0B6-5248-4F37-8F20-3C7BA9827962}"/>
    <cellStyle name="20% - Énfasis3 6 2 2 2 3 2" xfId="25763" xr:uid="{7ACDE705-50C0-4046-8A79-9CB6B50BA173}"/>
    <cellStyle name="20% - Énfasis3 6 2 2 2 3 2 2" xfId="37223" xr:uid="{9C89C48F-0BB1-459D-9DE1-EF7DCA64176B}"/>
    <cellStyle name="20% - Énfasis3 6 2 2 2 3 3" xfId="37222" xr:uid="{60583D10-F37B-4085-BBD9-F4FDA5E6F8B0}"/>
    <cellStyle name="20% - Énfasis3 6 2 2 2 4" xfId="18058" xr:uid="{F7E28A6D-CE18-415C-BF92-D296D36D4680}"/>
    <cellStyle name="20% - Énfasis3 6 2 2 2 4 2" xfId="37224" xr:uid="{A31D8FEC-52E8-489C-AE9D-A243ED765CE4}"/>
    <cellStyle name="20% - Énfasis3 6 2 2 2 5" xfId="37217" xr:uid="{F14B7084-3B93-414A-B8A3-61F5E9B53F37}"/>
    <cellStyle name="20% - Énfasis3 6 2 2 3" xfId="4908" xr:uid="{41119DE8-BF82-4FA9-975D-864567282697}"/>
    <cellStyle name="20% - Énfasis3 6 2 2 3 2" xfId="12616" xr:uid="{4CC345F9-CCAD-4D1C-A3A5-48E60AE0242F}"/>
    <cellStyle name="20% - Énfasis3 6 2 2 3 2 2" xfId="28028" xr:uid="{B10D3D53-9AF6-42C9-BC77-A8A746D0600B}"/>
    <cellStyle name="20% - Énfasis3 6 2 2 3 2 2 2" xfId="37227" xr:uid="{F9BBC4A9-94A4-41A1-967B-BBEA30DA6E92}"/>
    <cellStyle name="20% - Énfasis3 6 2 2 3 2 3" xfId="37226" xr:uid="{00071303-609E-481E-BD71-380B990A3978}"/>
    <cellStyle name="20% - Énfasis3 6 2 2 3 3" xfId="20323" xr:uid="{AD0620A5-99C1-4FA6-9A00-4051FA2301A9}"/>
    <cellStyle name="20% - Énfasis3 6 2 2 3 3 2" xfId="37228" xr:uid="{D86BEA18-2BE6-4702-996E-6D504DA9A074}"/>
    <cellStyle name="20% - Énfasis3 6 2 2 3 4" xfId="37225" xr:uid="{53B111BA-8E0A-47EB-A95A-4F53D0BF1FC8}"/>
    <cellStyle name="20% - Énfasis3 6 2 2 4" xfId="8891" xr:uid="{1C8A207B-1B82-443B-93ED-A926F320EF9B}"/>
    <cellStyle name="20% - Énfasis3 6 2 2 4 2" xfId="24304" xr:uid="{D5E64030-CCFC-454E-8170-F36EB30ADC80}"/>
    <cellStyle name="20% - Énfasis3 6 2 2 4 2 2" xfId="37230" xr:uid="{0191BE2E-7133-48C5-A6AC-17CDC98FFF88}"/>
    <cellStyle name="20% - Énfasis3 6 2 2 4 3" xfId="37229" xr:uid="{B2DE951B-72BB-4004-8271-0C55742AC30F}"/>
    <cellStyle name="20% - Énfasis3 6 2 2 5" xfId="16599" xr:uid="{857A065D-239E-4374-B501-A5BDBE9FC6ED}"/>
    <cellStyle name="20% - Énfasis3 6 2 2 5 2" xfId="37231" xr:uid="{DCE1C020-1B6A-4FEF-9860-B31691F3E4DD}"/>
    <cellStyle name="20% - Énfasis3 6 2 2 6" xfId="37216" xr:uid="{7348B5DF-5D4A-46A3-9AE0-25DB97C95BD8}"/>
    <cellStyle name="20% - Énfasis3 6 2 3" xfId="2001" xr:uid="{D1602174-B999-415B-8204-0A3DE058979F}"/>
    <cellStyle name="20% - Énfasis3 6 2 3 2" xfId="5733" xr:uid="{864BC1C7-65B8-4E69-A9E4-EF58E9E138C2}"/>
    <cellStyle name="20% - Énfasis3 6 2 3 2 2" xfId="13441" xr:uid="{DDEB6E18-9534-40C6-A09F-D0C3D70DB563}"/>
    <cellStyle name="20% - Énfasis3 6 2 3 2 2 2" xfId="28853" xr:uid="{B18D9461-E657-49EB-9EF6-A68C3E3EB48B}"/>
    <cellStyle name="20% - Énfasis3 6 2 3 2 2 2 2" xfId="37235" xr:uid="{835C4E26-8C4B-4FF2-8822-6C685D55E490}"/>
    <cellStyle name="20% - Énfasis3 6 2 3 2 2 3" xfId="37234" xr:uid="{98801F53-19A1-4C76-820F-F193D40D1DEB}"/>
    <cellStyle name="20% - Énfasis3 6 2 3 2 3" xfId="21148" xr:uid="{2C16A504-20B9-4631-97B0-F44CE6C0471F}"/>
    <cellStyle name="20% - Énfasis3 6 2 3 2 3 2" xfId="37236" xr:uid="{9DF82F32-76E1-4033-B99A-0F22B27B9DE1}"/>
    <cellStyle name="20% - Énfasis3 6 2 3 2 4" xfId="37233" xr:uid="{7E795F80-2E12-4B9D-8824-F7679EA262F3}"/>
    <cellStyle name="20% - Énfasis3 6 2 3 3" xfId="9712" xr:uid="{D87AEBD4-76FB-41CD-8515-8EABB0805492}"/>
    <cellStyle name="20% - Énfasis3 6 2 3 3 2" xfId="25125" xr:uid="{620FE541-E8E8-43A6-B39F-65C43B81D8A4}"/>
    <cellStyle name="20% - Énfasis3 6 2 3 3 2 2" xfId="37238" xr:uid="{44D7D46C-ADCB-4989-B376-27F8AEDBC8F0}"/>
    <cellStyle name="20% - Énfasis3 6 2 3 3 3" xfId="37237" xr:uid="{56B55B57-2A7C-46C7-8402-04F39B3B6D3B}"/>
    <cellStyle name="20% - Énfasis3 6 2 3 4" xfId="17420" xr:uid="{F42896CA-5669-4D69-847B-311FF1F29740}"/>
    <cellStyle name="20% - Énfasis3 6 2 3 4 2" xfId="37239" xr:uid="{7800C9D5-05F4-487A-9DC7-14AF684460E5}"/>
    <cellStyle name="20% - Énfasis3 6 2 3 5" xfId="37232" xr:uid="{C1F7FFC0-C81B-488C-971D-1C2A4DDED1FB}"/>
    <cellStyle name="20% - Énfasis3 6 2 4" xfId="4256" xr:uid="{2CA80680-EA79-4EE0-A099-53E186B3BCE3}"/>
    <cellStyle name="20% - Énfasis3 6 2 4 2" xfId="11964" xr:uid="{692242A8-D059-4C99-AC23-A530215BC3A6}"/>
    <cellStyle name="20% - Énfasis3 6 2 4 2 2" xfId="27376" xr:uid="{CC959204-711A-4D8A-B4BB-6A85883731B8}"/>
    <cellStyle name="20% - Énfasis3 6 2 4 2 2 2" xfId="37242" xr:uid="{3A6FC9A4-2D42-46E2-99FC-42A36E856038}"/>
    <cellStyle name="20% - Énfasis3 6 2 4 2 3" xfId="37241" xr:uid="{79C8C2BE-C9E5-413B-87C0-9F540C859EFF}"/>
    <cellStyle name="20% - Énfasis3 6 2 4 3" xfId="19671" xr:uid="{5508C23C-50B0-42D3-B644-F15C4565BB4D}"/>
    <cellStyle name="20% - Énfasis3 6 2 4 3 2" xfId="37243" xr:uid="{23114D85-22BE-429D-907E-DAEE4C53844A}"/>
    <cellStyle name="20% - Énfasis3 6 2 4 4" xfId="37240" xr:uid="{BF474E41-2727-4C3E-B4AC-9A27D838F73B}"/>
    <cellStyle name="20% - Énfasis3 6 2 5" xfId="8253" xr:uid="{B52F783E-CAFA-420E-AE2C-5FE64E6642D9}"/>
    <cellStyle name="20% - Énfasis3 6 2 5 2" xfId="23666" xr:uid="{21B39E51-7016-41F6-9DEA-0F272E27F48F}"/>
    <cellStyle name="20% - Énfasis3 6 2 5 2 2" xfId="37245" xr:uid="{CDBA1F86-5DD6-4A54-A7F3-9E0B171A5723}"/>
    <cellStyle name="20% - Énfasis3 6 2 5 3" xfId="37244" xr:uid="{5937BEF1-FD21-4FF1-B5DC-A4D9E22E0F4B}"/>
    <cellStyle name="20% - Énfasis3 6 2 6" xfId="15961" xr:uid="{3F16346C-3730-45F6-9206-31E072051AD3}"/>
    <cellStyle name="20% - Énfasis3 6 2 6 2" xfId="37246" xr:uid="{455B2784-DE18-42E4-8E9D-536C89639F4F}"/>
    <cellStyle name="20% - Énfasis3 6 2 7" xfId="37215" xr:uid="{B24576BB-933D-4B65-B164-2832EFA6D756}"/>
    <cellStyle name="20% - Énfasis3 6 3" xfId="971" xr:uid="{CFE41300-954C-476E-927D-D2C94E003992}"/>
    <cellStyle name="20% - Énfasis3 6 3 2" xfId="2441" xr:uid="{EA146191-2A29-4ED0-B585-18E1D15105A7}"/>
    <cellStyle name="20% - Énfasis3 6 3 2 2" xfId="6173" xr:uid="{4B019866-7245-42C4-BEA4-1A8953D6DF31}"/>
    <cellStyle name="20% - Énfasis3 6 3 2 2 2" xfId="13881" xr:uid="{AEF36F8A-0986-494C-8E4F-90178A7C5863}"/>
    <cellStyle name="20% - Énfasis3 6 3 2 2 2 2" xfId="29293" xr:uid="{7B00F6B6-12E6-49D2-894C-13B95CCCB137}"/>
    <cellStyle name="20% - Énfasis3 6 3 2 2 2 2 2" xfId="37251" xr:uid="{D69932E2-1C02-4CD2-AC22-54387DBE66BE}"/>
    <cellStyle name="20% - Énfasis3 6 3 2 2 2 3" xfId="37250" xr:uid="{61CA9867-E7BF-4F09-A117-7603563F8F7C}"/>
    <cellStyle name="20% - Énfasis3 6 3 2 2 3" xfId="21588" xr:uid="{C1A5E6F7-69E4-4C43-9FAB-C4A2EC8D98ED}"/>
    <cellStyle name="20% - Énfasis3 6 3 2 2 3 2" xfId="37252" xr:uid="{FD2E8656-CE3A-4506-A9D3-FC4F9BC26C67}"/>
    <cellStyle name="20% - Énfasis3 6 3 2 2 4" xfId="37249" xr:uid="{FE42B217-E176-40C4-9551-D597240963FB}"/>
    <cellStyle name="20% - Énfasis3 6 3 2 3" xfId="10152" xr:uid="{F6A486BD-40D6-427C-8928-674A67B64926}"/>
    <cellStyle name="20% - Énfasis3 6 3 2 3 2" xfId="25565" xr:uid="{457A32F4-B6DB-482D-8664-8F966816FE86}"/>
    <cellStyle name="20% - Énfasis3 6 3 2 3 2 2" xfId="37254" xr:uid="{C15FC2EB-85D0-46BC-B0ED-F80E405DD5BA}"/>
    <cellStyle name="20% - Énfasis3 6 3 2 3 3" xfId="37253" xr:uid="{D5E23B87-C7E5-4FAB-BD45-E08497B9E425}"/>
    <cellStyle name="20% - Énfasis3 6 3 2 4" xfId="17860" xr:uid="{D2DC9229-3130-4B72-9864-492C5EB2D01F}"/>
    <cellStyle name="20% - Énfasis3 6 3 2 4 2" xfId="37255" xr:uid="{3DC91D13-0864-4B4A-A542-8F4792A9B139}"/>
    <cellStyle name="20% - Énfasis3 6 3 2 5" xfId="37248" xr:uid="{8105A184-E984-4523-8EB0-2F5D69C2FB73}"/>
    <cellStyle name="20% - Énfasis3 6 3 3" xfId="4708" xr:uid="{01B44697-AF3A-4CE6-8570-71FE283A5119}"/>
    <cellStyle name="20% - Énfasis3 6 3 3 2" xfId="12416" xr:uid="{181B2432-E13F-48CA-B768-4876A5FBAA05}"/>
    <cellStyle name="20% - Énfasis3 6 3 3 2 2" xfId="27828" xr:uid="{CD138C1C-9754-40C3-A779-3F20841D65B9}"/>
    <cellStyle name="20% - Énfasis3 6 3 3 2 2 2" xfId="37258" xr:uid="{82C187F6-792C-4058-A074-4DD301E946EF}"/>
    <cellStyle name="20% - Énfasis3 6 3 3 2 3" xfId="37257" xr:uid="{1461A217-9242-4BD7-80FB-871AF4EE2E0F}"/>
    <cellStyle name="20% - Énfasis3 6 3 3 3" xfId="20123" xr:uid="{56B1B234-E3DB-4BA0-B0CE-747540E16128}"/>
    <cellStyle name="20% - Énfasis3 6 3 3 3 2" xfId="37259" xr:uid="{EC7F39AC-4E4F-4592-8009-916750696E7F}"/>
    <cellStyle name="20% - Énfasis3 6 3 3 4" xfId="37256" xr:uid="{A0924A69-5213-496A-8862-1194E154BB9B}"/>
    <cellStyle name="20% - Énfasis3 6 3 4" xfId="8693" xr:uid="{0F941351-39D4-4F84-9D12-059D3349193D}"/>
    <cellStyle name="20% - Énfasis3 6 3 4 2" xfId="24106" xr:uid="{02884BFC-C3DD-4856-95B3-C28756D80E32}"/>
    <cellStyle name="20% - Énfasis3 6 3 4 2 2" xfId="37261" xr:uid="{BE278D7A-6269-4BA1-BC8B-81696417B4E3}"/>
    <cellStyle name="20% - Énfasis3 6 3 4 3" xfId="37260" xr:uid="{085B1850-4D31-46BF-A5A2-324B73D23341}"/>
    <cellStyle name="20% - Énfasis3 6 3 5" xfId="16401" xr:uid="{2D277789-1996-4736-8E0B-BAF5C56F4637}"/>
    <cellStyle name="20% - Énfasis3 6 3 5 2" xfId="37262" xr:uid="{3266F1FD-2D74-4791-A7A7-ADC5AE9C5ABD}"/>
    <cellStyle name="20% - Énfasis3 6 3 6" xfId="37247" xr:uid="{84EA9C70-5DDA-4430-B51E-D13D7C32AF6F}"/>
    <cellStyle name="20% - Énfasis3 6 4" xfId="1803" xr:uid="{1205D882-FDCB-4877-B268-0078ED57F370}"/>
    <cellStyle name="20% - Énfasis3 6 4 2" xfId="5535" xr:uid="{7D94D665-B592-4FC4-8376-0CD032DC15A2}"/>
    <cellStyle name="20% - Énfasis3 6 4 2 2" xfId="13243" xr:uid="{EECF2090-C6E5-4DE6-92B7-11D73CD71F97}"/>
    <cellStyle name="20% - Énfasis3 6 4 2 2 2" xfId="28655" xr:uid="{AC41BB9D-C2BB-4A0A-8AEF-5405064B064B}"/>
    <cellStyle name="20% - Énfasis3 6 4 2 2 2 2" xfId="37266" xr:uid="{D15589DF-3EF3-45D2-B4DD-12902EF84423}"/>
    <cellStyle name="20% - Énfasis3 6 4 2 2 3" xfId="37265" xr:uid="{0CB06C00-DF29-4349-AF67-1E798E2FEE58}"/>
    <cellStyle name="20% - Énfasis3 6 4 2 3" xfId="20950" xr:uid="{FDB3D78C-7B3D-4FDA-8786-8C9CEFBB19CC}"/>
    <cellStyle name="20% - Énfasis3 6 4 2 3 2" xfId="37267" xr:uid="{16BF981A-18AA-4B65-A44B-7694A07515F2}"/>
    <cellStyle name="20% - Énfasis3 6 4 2 4" xfId="37264" xr:uid="{516131D6-0B32-498D-B4EC-710692338838}"/>
    <cellStyle name="20% - Énfasis3 6 4 3" xfId="9514" xr:uid="{FFCEE7F3-C04C-4E5E-AEEF-C2BE3452B50D}"/>
    <cellStyle name="20% - Énfasis3 6 4 3 2" xfId="24927" xr:uid="{AA9A5D4E-4DFB-4247-B32B-3CE1264F873F}"/>
    <cellStyle name="20% - Énfasis3 6 4 3 2 2" xfId="37269" xr:uid="{FD313B71-8BBE-4019-ABD9-8BA01962535B}"/>
    <cellStyle name="20% - Énfasis3 6 4 3 3" xfId="37268" xr:uid="{AE7EC000-43E5-4863-B9B7-6364F94FBC17}"/>
    <cellStyle name="20% - Énfasis3 6 4 4" xfId="17222" xr:uid="{12CC847C-80F2-4919-8F2E-719263900475}"/>
    <cellStyle name="20% - Énfasis3 6 4 4 2" xfId="37270" xr:uid="{B09BCA92-1221-4C9B-9935-7F0198DD3A5D}"/>
    <cellStyle name="20% - Énfasis3 6 4 5" xfId="37263" xr:uid="{D2B48885-2DA8-47A9-B25B-18F208306C4F}"/>
    <cellStyle name="20% - Énfasis3 6 5" xfId="4056" xr:uid="{5DB9495A-FC95-4875-9C16-5D56C1E07EA2}"/>
    <cellStyle name="20% - Énfasis3 6 5 2" xfId="11764" xr:uid="{35EB5A69-3677-42D3-B07A-C7BCD0D7FAFC}"/>
    <cellStyle name="20% - Énfasis3 6 5 2 2" xfId="27176" xr:uid="{CC410B35-D248-45B9-A6CD-025FED2047AD}"/>
    <cellStyle name="20% - Énfasis3 6 5 2 2 2" xfId="37273" xr:uid="{9E21E01A-2370-4B2E-B936-957BF072DCDE}"/>
    <cellStyle name="20% - Énfasis3 6 5 2 3" xfId="37272" xr:uid="{13579EF1-A3B6-4E27-8223-DC52BA9D12FC}"/>
    <cellStyle name="20% - Énfasis3 6 5 3" xfId="19471" xr:uid="{C8C937C5-A57E-4912-8FBD-80BBE6308641}"/>
    <cellStyle name="20% - Énfasis3 6 5 3 2" xfId="37274" xr:uid="{BEFA3E9D-57BB-487E-AD60-6DD1AB9D9DAA}"/>
    <cellStyle name="20% - Énfasis3 6 5 4" xfId="37271" xr:uid="{F92AEC5A-72B2-40EA-980D-3B50F4804599}"/>
    <cellStyle name="20% - Énfasis3 6 6" xfId="8055" xr:uid="{AB2BEDA3-9145-411F-AD7C-52212B900BD0}"/>
    <cellStyle name="20% - Énfasis3 6 6 2" xfId="23468" xr:uid="{32E8563A-A24A-41D2-8405-487A2F60661D}"/>
    <cellStyle name="20% - Énfasis3 6 6 2 2" xfId="37276" xr:uid="{BC0EA076-95D8-4D9E-AAC8-CE149CDFC68B}"/>
    <cellStyle name="20% - Énfasis3 6 6 3" xfId="37275" xr:uid="{60B4F06B-310D-4873-9AC5-34250D3C591B}"/>
    <cellStyle name="20% - Énfasis3 6 7" xfId="15763" xr:uid="{52822EB5-FD53-4D3C-AA68-54F55EB7CA99}"/>
    <cellStyle name="20% - Énfasis3 6 7 2" xfId="37277" xr:uid="{4A05C349-A9CC-4F84-ACB9-340ABF9103D8}"/>
    <cellStyle name="20% - Énfasis3 6 8" xfId="37214" xr:uid="{C01B9228-C7DA-4C80-A38F-D13003A2F091}"/>
    <cellStyle name="20% - Énfasis3 7" xfId="530" xr:uid="{C7947A66-895F-4E6B-9792-8AF4C85FA75A}"/>
    <cellStyle name="20% - Énfasis3 7 2" xfId="1191" xr:uid="{447E2F0E-AC8B-4E17-AAF5-7E20869F48AD}"/>
    <cellStyle name="20% - Énfasis3 7 2 2" xfId="2659" xr:uid="{8D62F86A-A035-4D8B-95B4-7CD9A9A74C07}"/>
    <cellStyle name="20% - Énfasis3 7 2 2 2" xfId="6391" xr:uid="{ACE1958F-547B-45C7-8B82-3FF4FD09F2E9}"/>
    <cellStyle name="20% - Énfasis3 7 2 2 2 2" xfId="14099" xr:uid="{892D3235-22FD-4099-A6AB-D7BA8FDD5A9F}"/>
    <cellStyle name="20% - Énfasis3 7 2 2 2 2 2" xfId="29511" xr:uid="{A8B6299C-5845-4840-B620-2D52D4BF4FA7}"/>
    <cellStyle name="20% - Énfasis3 7 2 2 2 2 2 2" xfId="37283" xr:uid="{14C1574C-61BA-4E18-97B1-54848588533F}"/>
    <cellStyle name="20% - Énfasis3 7 2 2 2 2 3" xfId="37282" xr:uid="{F8584F6A-37D7-4170-A838-1C4C4D104794}"/>
    <cellStyle name="20% - Énfasis3 7 2 2 2 3" xfId="21806" xr:uid="{AA8993D6-4E1F-47D5-B550-4EC9BDCCA91F}"/>
    <cellStyle name="20% - Énfasis3 7 2 2 2 3 2" xfId="37284" xr:uid="{4DC6E756-90A8-4628-AE29-3174637786C4}"/>
    <cellStyle name="20% - Énfasis3 7 2 2 2 4" xfId="37281" xr:uid="{490250AC-A789-453A-B3AA-F7264F0CD888}"/>
    <cellStyle name="20% - Énfasis3 7 2 2 3" xfId="10370" xr:uid="{54DD57DF-6C28-425B-9693-22D33FDB210F}"/>
    <cellStyle name="20% - Énfasis3 7 2 2 3 2" xfId="25783" xr:uid="{92C13875-1719-4E2C-BB47-49248FFC03DB}"/>
    <cellStyle name="20% - Énfasis3 7 2 2 3 2 2" xfId="37286" xr:uid="{1986D959-6572-4E93-A405-BFCB0A360AF4}"/>
    <cellStyle name="20% - Énfasis3 7 2 2 3 3" xfId="37285" xr:uid="{2D9EF34B-15D5-42F0-BA93-B879457C49A5}"/>
    <cellStyle name="20% - Énfasis3 7 2 2 4" xfId="18078" xr:uid="{12F383FD-D9E8-4DAE-8DC2-01CA9F2360A3}"/>
    <cellStyle name="20% - Énfasis3 7 2 2 4 2" xfId="37287" xr:uid="{48962311-D550-4054-A454-84F3DBCCAB21}"/>
    <cellStyle name="20% - Énfasis3 7 2 2 5" xfId="37280" xr:uid="{217F1F7F-A349-4A04-95E4-13034D84209D}"/>
    <cellStyle name="20% - Énfasis3 7 2 3" xfId="4928" xr:uid="{940B1395-A7FF-4E4F-AA24-E38B31A4C8B9}"/>
    <cellStyle name="20% - Énfasis3 7 2 3 2" xfId="12636" xr:uid="{07F202C6-4017-45BA-B705-D3B12602BC1C}"/>
    <cellStyle name="20% - Énfasis3 7 2 3 2 2" xfId="28048" xr:uid="{6F850C81-3E47-4ECF-A1FC-207D492E1BBB}"/>
    <cellStyle name="20% - Énfasis3 7 2 3 2 2 2" xfId="37290" xr:uid="{2FB9FD96-991F-4E1A-B2C6-206409A0659B}"/>
    <cellStyle name="20% - Énfasis3 7 2 3 2 3" xfId="37289" xr:uid="{9D90C70B-97C0-40E2-88EB-CBA05D4AB1C9}"/>
    <cellStyle name="20% - Énfasis3 7 2 3 3" xfId="20343" xr:uid="{F3C9F93D-C99B-4ACD-B4AC-315C73ECB8A7}"/>
    <cellStyle name="20% - Énfasis3 7 2 3 3 2" xfId="37291" xr:uid="{2D645576-1566-4540-9A1B-CF0EF60061B2}"/>
    <cellStyle name="20% - Énfasis3 7 2 3 4" xfId="37288" xr:uid="{D4834766-F018-45A3-9607-A3806BB4BA91}"/>
    <cellStyle name="20% - Énfasis3 7 2 4" xfId="8911" xr:uid="{36EFA1B0-8461-4380-A456-CACBC4F96E4C}"/>
    <cellStyle name="20% - Énfasis3 7 2 4 2" xfId="24324" xr:uid="{B1278A20-9D6C-4634-B117-2B2A4015071F}"/>
    <cellStyle name="20% - Énfasis3 7 2 4 2 2" xfId="37293" xr:uid="{5ACA4511-C9D5-4CE3-9382-2E49EB71EF65}"/>
    <cellStyle name="20% - Énfasis3 7 2 4 3" xfId="37292" xr:uid="{535680D3-B423-45E6-98A4-5AC09C4147B5}"/>
    <cellStyle name="20% - Énfasis3 7 2 5" xfId="16619" xr:uid="{1DCDBAC5-90B0-4484-B4DC-E131984C4C0A}"/>
    <cellStyle name="20% - Énfasis3 7 2 5 2" xfId="37294" xr:uid="{33B62639-B09F-471D-8156-E4FE8D7DD0E3}"/>
    <cellStyle name="20% - Énfasis3 7 2 6" xfId="37279" xr:uid="{ACF54CFE-0B2F-43CE-9591-CC80ECD09862}"/>
    <cellStyle name="20% - Énfasis3 7 3" xfId="2021" xr:uid="{C5544F28-EC93-4E92-903D-431B86EB8D40}"/>
    <cellStyle name="20% - Énfasis3 7 3 2" xfId="5753" xr:uid="{C4AEF235-5587-4400-ABE3-F316585DAFC8}"/>
    <cellStyle name="20% - Énfasis3 7 3 2 2" xfId="13461" xr:uid="{E444464C-8981-4367-B930-991388ED4FD9}"/>
    <cellStyle name="20% - Énfasis3 7 3 2 2 2" xfId="28873" xr:uid="{73E86B99-D512-4C70-A1E1-7BFE64CC9FAA}"/>
    <cellStyle name="20% - Énfasis3 7 3 2 2 2 2" xfId="37298" xr:uid="{FC635337-1784-41C4-8A5B-B602EBA308F8}"/>
    <cellStyle name="20% - Énfasis3 7 3 2 2 3" xfId="37297" xr:uid="{C611644F-DA06-4D7F-8FC7-1FD093889790}"/>
    <cellStyle name="20% - Énfasis3 7 3 2 3" xfId="21168" xr:uid="{AF7E41C0-5859-41FC-B976-6832726F0E52}"/>
    <cellStyle name="20% - Énfasis3 7 3 2 3 2" xfId="37299" xr:uid="{03A30328-18AB-4A67-83E8-64A095791DC1}"/>
    <cellStyle name="20% - Énfasis3 7 3 2 4" xfId="37296" xr:uid="{C53C0DF7-9090-48B8-B8C2-30DFA407F6BE}"/>
    <cellStyle name="20% - Énfasis3 7 3 3" xfId="9732" xr:uid="{61FF235B-C57D-4EDB-A523-8FA68E7DF337}"/>
    <cellStyle name="20% - Énfasis3 7 3 3 2" xfId="25145" xr:uid="{8A11ECCA-4542-44A9-BE97-F2AACB2C497D}"/>
    <cellStyle name="20% - Énfasis3 7 3 3 2 2" xfId="37301" xr:uid="{9E69AD4E-5DC8-489C-BE2E-FAB2875AE2A3}"/>
    <cellStyle name="20% - Énfasis3 7 3 3 3" xfId="37300" xr:uid="{1545138D-8F26-46B3-B0EA-2534C868D763}"/>
    <cellStyle name="20% - Énfasis3 7 3 4" xfId="17440" xr:uid="{A3D0A3AB-E01F-445A-B185-6895FC7DA35B}"/>
    <cellStyle name="20% - Énfasis3 7 3 4 2" xfId="37302" xr:uid="{0A353EFE-8819-4814-A299-F52C43A5B8BA}"/>
    <cellStyle name="20% - Énfasis3 7 3 5" xfId="37295" xr:uid="{F8EF1CD5-0D04-4380-9B75-7575FC41D081}"/>
    <cellStyle name="20% - Énfasis3 7 4" xfId="4276" xr:uid="{2F9339A7-2F42-442F-A357-442E4070F600}"/>
    <cellStyle name="20% - Énfasis3 7 4 2" xfId="11984" xr:uid="{9A86E2E8-2292-4653-A6FD-52F885B58E99}"/>
    <cellStyle name="20% - Énfasis3 7 4 2 2" xfId="27396" xr:uid="{F6BE608D-EC96-4524-808C-D338190D3DC8}"/>
    <cellStyle name="20% - Énfasis3 7 4 2 2 2" xfId="37305" xr:uid="{EE49F8BB-3881-4B7E-8C9B-C9CCC774C011}"/>
    <cellStyle name="20% - Énfasis3 7 4 2 3" xfId="37304" xr:uid="{32852375-29D4-4AF6-A943-9165FC506D24}"/>
    <cellStyle name="20% - Énfasis3 7 4 3" xfId="19691" xr:uid="{0D4F02A9-B0C1-4F52-B22B-002F38094FE5}"/>
    <cellStyle name="20% - Énfasis3 7 4 3 2" xfId="37306" xr:uid="{4D3BAA97-41E2-48E8-96BB-1B598502E186}"/>
    <cellStyle name="20% - Énfasis3 7 4 4" xfId="37303" xr:uid="{8F71A720-129E-404B-8400-991D88A13317}"/>
    <cellStyle name="20% - Énfasis3 7 5" xfId="8273" xr:uid="{94E1FC90-FADA-4268-AFE4-197870325441}"/>
    <cellStyle name="20% - Énfasis3 7 5 2" xfId="23686" xr:uid="{B07F9715-69D1-48D3-B962-6787A8F25B5B}"/>
    <cellStyle name="20% - Énfasis3 7 5 2 2" xfId="37308" xr:uid="{6C8FD593-2E85-40FB-824D-ED1C0CDA7AB5}"/>
    <cellStyle name="20% - Énfasis3 7 5 3" xfId="37307" xr:uid="{5ED9D71A-6FB4-46E8-BA25-0A265824FB26}"/>
    <cellStyle name="20% - Énfasis3 7 6" xfId="15981" xr:uid="{7D9D027E-DD63-47F9-A204-4A2FE2A0498F}"/>
    <cellStyle name="20% - Énfasis3 7 6 2" xfId="37309" xr:uid="{928B4DEA-2FAC-4BEA-A56D-E8AB025990FF}"/>
    <cellStyle name="20% - Énfasis3 7 7" xfId="37278" xr:uid="{1FE9F16E-6A22-4D9D-BA59-DEBE72226C8B}"/>
    <cellStyle name="20% - Énfasis3 8" xfId="550" xr:uid="{E39250DA-C9DB-4D4C-A348-F5B1ADB5F0AE}"/>
    <cellStyle name="20% - Énfasis3 8 2" xfId="1211" xr:uid="{B19B1157-5D02-4341-86C0-1A104A1B761E}"/>
    <cellStyle name="20% - Énfasis3 8 2 2" xfId="2679" xr:uid="{11AA1E85-6D5A-4FFF-8C18-374DCDD8F313}"/>
    <cellStyle name="20% - Énfasis3 8 2 2 2" xfId="6411" xr:uid="{C7227242-FD35-4DDC-8562-7CAD2AD5AAB9}"/>
    <cellStyle name="20% - Énfasis3 8 2 2 2 2" xfId="14119" xr:uid="{11C03192-073C-4B97-A400-9B1A525DFD10}"/>
    <cellStyle name="20% - Énfasis3 8 2 2 2 2 2" xfId="29531" xr:uid="{03D11492-7884-4168-9148-298DF62BA309}"/>
    <cellStyle name="20% - Énfasis3 8 2 2 2 2 2 2" xfId="37315" xr:uid="{F5586789-229D-4027-9A00-48F8E21BA6FA}"/>
    <cellStyle name="20% - Énfasis3 8 2 2 2 2 3" xfId="37314" xr:uid="{514B2120-7706-4A6C-9B9A-DC7795944B37}"/>
    <cellStyle name="20% - Énfasis3 8 2 2 2 3" xfId="21826" xr:uid="{82468CAF-730F-4291-AF05-6CEE00078F1F}"/>
    <cellStyle name="20% - Énfasis3 8 2 2 2 3 2" xfId="37316" xr:uid="{CBC6AB04-A4A8-4CA4-834A-F597D50D6CBE}"/>
    <cellStyle name="20% - Énfasis3 8 2 2 2 4" xfId="37313" xr:uid="{A7318511-BE6C-4707-B8AA-A24139EA8773}"/>
    <cellStyle name="20% - Énfasis3 8 2 2 3" xfId="10390" xr:uid="{3ACE326C-FD41-49FE-8960-163BB01D6133}"/>
    <cellStyle name="20% - Énfasis3 8 2 2 3 2" xfId="25803" xr:uid="{12BA4885-D463-409B-A4D3-3E5F35F8A374}"/>
    <cellStyle name="20% - Énfasis3 8 2 2 3 2 2" xfId="37318" xr:uid="{C15591C7-4627-4402-AE20-3155ECE54130}"/>
    <cellStyle name="20% - Énfasis3 8 2 2 3 3" xfId="37317" xr:uid="{83C47D0B-6748-4FB7-9437-44EEC8C2821A}"/>
    <cellStyle name="20% - Énfasis3 8 2 2 4" xfId="18098" xr:uid="{47495C73-DA36-494A-BABF-CDE2B3C90A71}"/>
    <cellStyle name="20% - Énfasis3 8 2 2 4 2" xfId="37319" xr:uid="{E1781847-FA47-423E-AF7A-395E3F1D352A}"/>
    <cellStyle name="20% - Énfasis3 8 2 2 5" xfId="37312" xr:uid="{0D06FD2B-3BE7-4DE1-BD4B-D24901677496}"/>
    <cellStyle name="20% - Énfasis3 8 2 3" xfId="4948" xr:uid="{80ABCAA2-B7FC-4742-B38A-4D45685FC49F}"/>
    <cellStyle name="20% - Énfasis3 8 2 3 2" xfId="12656" xr:uid="{F8A6730B-9791-4140-A7FF-842C90BFFDB2}"/>
    <cellStyle name="20% - Énfasis3 8 2 3 2 2" xfId="28068" xr:uid="{A3AE8E8D-772A-482A-9A4A-D1527BC1C707}"/>
    <cellStyle name="20% - Énfasis3 8 2 3 2 2 2" xfId="37322" xr:uid="{3B8BB386-FD74-4354-817D-CC3F3AF78201}"/>
    <cellStyle name="20% - Énfasis3 8 2 3 2 3" xfId="37321" xr:uid="{822066CE-89EE-41D7-96B2-9156FE25DC8D}"/>
    <cellStyle name="20% - Énfasis3 8 2 3 3" xfId="20363" xr:uid="{0AF319E3-8131-469B-A777-75253748CCFE}"/>
    <cellStyle name="20% - Énfasis3 8 2 3 3 2" xfId="37323" xr:uid="{584A0EA7-3E5C-47D4-AC9D-D0914FD4D093}"/>
    <cellStyle name="20% - Énfasis3 8 2 3 4" xfId="37320" xr:uid="{3D8A2F5A-F574-44B7-B5C9-BB32472423F9}"/>
    <cellStyle name="20% - Énfasis3 8 2 4" xfId="8931" xr:uid="{51998BC5-2E59-48B1-893C-8C93711A1686}"/>
    <cellStyle name="20% - Énfasis3 8 2 4 2" xfId="24344" xr:uid="{0F1AC1D9-3BB5-4181-A4C9-C6E679C73278}"/>
    <cellStyle name="20% - Énfasis3 8 2 4 2 2" xfId="37325" xr:uid="{B8A5D292-8561-4AAC-BCFA-CB85BEF47D88}"/>
    <cellStyle name="20% - Énfasis3 8 2 4 3" xfId="37324" xr:uid="{D16B1F52-D3BD-4702-9026-51A1AD17AE63}"/>
    <cellStyle name="20% - Énfasis3 8 2 5" xfId="16639" xr:uid="{BA08AFD4-DE88-41F7-BF1E-045A48325EAC}"/>
    <cellStyle name="20% - Énfasis3 8 2 5 2" xfId="37326" xr:uid="{D3D4CDE8-D1EF-49B4-BA3D-BF79731ED076}"/>
    <cellStyle name="20% - Énfasis3 8 2 6" xfId="37311" xr:uid="{D2A64619-7F77-44B9-A55A-B21D73949CFD}"/>
    <cellStyle name="20% - Énfasis3 8 3" xfId="2041" xr:uid="{2AD57890-0C7B-43DE-BD31-E49507CEE1B0}"/>
    <cellStyle name="20% - Énfasis3 8 3 2" xfId="5773" xr:uid="{15276F74-F5AE-43A6-9699-118F267E749F}"/>
    <cellStyle name="20% - Énfasis3 8 3 2 2" xfId="13481" xr:uid="{40778BBF-413F-41EE-A01F-1DE5398B146A}"/>
    <cellStyle name="20% - Énfasis3 8 3 2 2 2" xfId="28893" xr:uid="{2276B877-A7D2-4296-BA59-94C9436680E8}"/>
    <cellStyle name="20% - Énfasis3 8 3 2 2 2 2" xfId="37330" xr:uid="{62B25BB3-168E-4666-A864-88FC778EAEE6}"/>
    <cellStyle name="20% - Énfasis3 8 3 2 2 3" xfId="37329" xr:uid="{6DC7526D-C808-4BAA-9507-41182A7CC8BB}"/>
    <cellStyle name="20% - Énfasis3 8 3 2 3" xfId="21188" xr:uid="{B2E63CD0-262C-46C0-9ED1-99B43BBCD538}"/>
    <cellStyle name="20% - Énfasis3 8 3 2 3 2" xfId="37331" xr:uid="{6D6EA97A-EC52-4571-8C9C-155AB1B77D7E}"/>
    <cellStyle name="20% - Énfasis3 8 3 2 4" xfId="37328" xr:uid="{EA690AF1-30FC-48B6-A379-80DDF846328E}"/>
    <cellStyle name="20% - Énfasis3 8 3 3" xfId="9752" xr:uid="{A090137C-1594-422E-9332-19EC5774CF1D}"/>
    <cellStyle name="20% - Énfasis3 8 3 3 2" xfId="25165" xr:uid="{825AD481-057F-4972-B9A4-846DD4699A60}"/>
    <cellStyle name="20% - Énfasis3 8 3 3 2 2" xfId="37333" xr:uid="{D9A72EC6-A49D-4259-B1FA-1EDE501E93F9}"/>
    <cellStyle name="20% - Énfasis3 8 3 3 3" xfId="37332" xr:uid="{3CEAA053-B52D-4334-8F27-2334E0F03913}"/>
    <cellStyle name="20% - Énfasis3 8 3 4" xfId="17460" xr:uid="{217BEF6E-A2B8-49BA-97D3-F049626E9DB7}"/>
    <cellStyle name="20% - Énfasis3 8 3 4 2" xfId="37334" xr:uid="{862A6EC2-7F6B-4673-A18C-D41BE2E494CA}"/>
    <cellStyle name="20% - Énfasis3 8 3 5" xfId="37327" xr:uid="{5A8B3BC5-86D9-4626-9F95-21C61017A098}"/>
    <cellStyle name="20% - Énfasis3 8 4" xfId="4296" xr:uid="{DA8AEEBB-FD5F-4220-9C08-47F453AFB048}"/>
    <cellStyle name="20% - Énfasis3 8 4 2" xfId="12004" xr:uid="{F08EF37A-66A9-4017-88E9-C3394F9AF0B4}"/>
    <cellStyle name="20% - Énfasis3 8 4 2 2" xfId="27416" xr:uid="{2B71813F-23E8-4669-B673-A8858A574ED9}"/>
    <cellStyle name="20% - Énfasis3 8 4 2 2 2" xfId="37337" xr:uid="{94DB5192-E3A8-49DC-995C-AEAC9197426F}"/>
    <cellStyle name="20% - Énfasis3 8 4 2 3" xfId="37336" xr:uid="{FE8D5B8E-BC63-45F9-80CE-2E0492213889}"/>
    <cellStyle name="20% - Énfasis3 8 4 3" xfId="19711" xr:uid="{C63D3A1C-BB2E-44C2-B814-2B68E4063246}"/>
    <cellStyle name="20% - Énfasis3 8 4 3 2" xfId="37338" xr:uid="{A65C38B9-0E0D-49E2-AD17-D5E57535C6FF}"/>
    <cellStyle name="20% - Énfasis3 8 4 4" xfId="37335" xr:uid="{1F36FB85-A53F-4226-B598-B84E0122CF70}"/>
    <cellStyle name="20% - Énfasis3 8 5" xfId="8293" xr:uid="{4D7CA04A-9FA2-4073-B015-53C01285EAEA}"/>
    <cellStyle name="20% - Énfasis3 8 5 2" xfId="23706" xr:uid="{123FBAE9-F44A-4584-A544-CC3E1130148F}"/>
    <cellStyle name="20% - Énfasis3 8 5 2 2" xfId="37340" xr:uid="{D62408E7-E325-43B1-876D-2728DFEC2CC9}"/>
    <cellStyle name="20% - Énfasis3 8 5 3" xfId="37339" xr:uid="{B340BFB1-53FF-4FA3-8C42-95C6B962B062}"/>
    <cellStyle name="20% - Énfasis3 8 6" xfId="16001" xr:uid="{000E226E-151C-4D32-BC9C-94B0B972C245}"/>
    <cellStyle name="20% - Énfasis3 8 6 2" xfId="37341" xr:uid="{BE5EA531-8722-4B5A-9BA0-D681890BFE17}"/>
    <cellStyle name="20% - Énfasis3 8 7" xfId="37310" xr:uid="{26579ADF-6980-4253-8135-854461A7E004}"/>
    <cellStyle name="20% - Énfasis3 9" xfId="570" xr:uid="{DCF72A56-651A-42A2-9D20-68790165C697}"/>
    <cellStyle name="20% - Énfasis3 9 2" xfId="1231" xr:uid="{823311BD-558E-47A0-B68E-FF1CE031813D}"/>
    <cellStyle name="20% - Énfasis3 9 2 2" xfId="2699" xr:uid="{A3D51D53-2FE6-4671-B148-98403138726B}"/>
    <cellStyle name="20% - Énfasis3 9 2 2 2" xfId="6431" xr:uid="{5D821EAD-F1B4-4062-9285-8C423753B502}"/>
    <cellStyle name="20% - Énfasis3 9 2 2 2 2" xfId="14139" xr:uid="{8D364CF4-7F8F-4096-88F5-8F821C9828DB}"/>
    <cellStyle name="20% - Énfasis3 9 2 2 2 2 2" xfId="29551" xr:uid="{D360D9A9-2559-4FD3-A69B-9F05350F2D95}"/>
    <cellStyle name="20% - Énfasis3 9 2 2 2 2 2 2" xfId="37347" xr:uid="{394A537E-EE7D-4266-AFF3-365F88B384ED}"/>
    <cellStyle name="20% - Énfasis3 9 2 2 2 2 3" xfId="37346" xr:uid="{A1033EFE-EFCD-4B35-B76B-6EA6EB904EA6}"/>
    <cellStyle name="20% - Énfasis3 9 2 2 2 3" xfId="21846" xr:uid="{ADC3F7AA-CCE1-4C3A-B1A1-8628E08E998D}"/>
    <cellStyle name="20% - Énfasis3 9 2 2 2 3 2" xfId="37348" xr:uid="{2E614008-509F-427C-97BC-F28E38DC2A16}"/>
    <cellStyle name="20% - Énfasis3 9 2 2 2 4" xfId="37345" xr:uid="{1CEBC2F4-6D51-4584-BF2B-2918A579F120}"/>
    <cellStyle name="20% - Énfasis3 9 2 2 3" xfId="10410" xr:uid="{E11D1306-8747-4B06-84E3-45290BCBB380}"/>
    <cellStyle name="20% - Énfasis3 9 2 2 3 2" xfId="25823" xr:uid="{91B60CA1-23B6-4757-8450-13A3AA430074}"/>
    <cellStyle name="20% - Énfasis3 9 2 2 3 2 2" xfId="37350" xr:uid="{90C4A95B-61D9-4568-989E-DC6E553D80F8}"/>
    <cellStyle name="20% - Énfasis3 9 2 2 3 3" xfId="37349" xr:uid="{79B50670-050A-49FA-9C5F-E6946580F1AB}"/>
    <cellStyle name="20% - Énfasis3 9 2 2 4" xfId="18118" xr:uid="{D2628F24-DBB2-4C79-BA5A-77B55E8907BC}"/>
    <cellStyle name="20% - Énfasis3 9 2 2 4 2" xfId="37351" xr:uid="{B4E90C60-8949-4A51-BF27-11FB01814E1A}"/>
    <cellStyle name="20% - Énfasis3 9 2 2 5" xfId="37344" xr:uid="{6643F3B3-1512-4754-B04C-C7452D1670A8}"/>
    <cellStyle name="20% - Énfasis3 9 2 3" xfId="4968" xr:uid="{E86D8213-8F24-49F8-BC62-FB542D4C53E4}"/>
    <cellStyle name="20% - Énfasis3 9 2 3 2" xfId="12676" xr:uid="{0543A7DB-F0EE-48EB-A6DD-3CC600E6ECD7}"/>
    <cellStyle name="20% - Énfasis3 9 2 3 2 2" xfId="28088" xr:uid="{2C2006F3-0D49-4434-8726-B8F9F726D769}"/>
    <cellStyle name="20% - Énfasis3 9 2 3 2 2 2" xfId="37354" xr:uid="{7B7A4A7C-E837-40D2-85B7-16BB454AF44C}"/>
    <cellStyle name="20% - Énfasis3 9 2 3 2 3" xfId="37353" xr:uid="{53C952F7-C3D8-437D-AF2E-2EB2A501BBE9}"/>
    <cellStyle name="20% - Énfasis3 9 2 3 3" xfId="20383" xr:uid="{8764300A-46D2-44EC-9129-F0DCD5BF5209}"/>
    <cellStyle name="20% - Énfasis3 9 2 3 3 2" xfId="37355" xr:uid="{66425031-9605-4784-BCBF-7F6CEDF37996}"/>
    <cellStyle name="20% - Énfasis3 9 2 3 4" xfId="37352" xr:uid="{96FF02FC-F1D6-4AA1-92DC-92559DF428DC}"/>
    <cellStyle name="20% - Énfasis3 9 2 4" xfId="8951" xr:uid="{41E6193B-17E9-45FB-8B26-070E35A51495}"/>
    <cellStyle name="20% - Énfasis3 9 2 4 2" xfId="24364" xr:uid="{E3D30689-A316-41ED-B037-1488D6D8E11C}"/>
    <cellStyle name="20% - Énfasis3 9 2 4 2 2" xfId="37357" xr:uid="{49E17264-71FB-41CC-B744-4843067B9AFE}"/>
    <cellStyle name="20% - Énfasis3 9 2 4 3" xfId="37356" xr:uid="{C1E2F4EF-7153-4916-91D1-4A5C8BC55912}"/>
    <cellStyle name="20% - Énfasis3 9 2 5" xfId="16659" xr:uid="{1840A0DE-3081-41B0-8AC8-CE360038474D}"/>
    <cellStyle name="20% - Énfasis3 9 2 5 2" xfId="37358" xr:uid="{C6922DB1-55A1-4915-A7CA-B07ABE8CD70D}"/>
    <cellStyle name="20% - Énfasis3 9 2 6" xfId="37343" xr:uid="{116BD247-DBB6-42C9-A836-24D96CD6C7A9}"/>
    <cellStyle name="20% - Énfasis3 9 3" xfId="2061" xr:uid="{D30A089C-D2F1-40A8-8148-8916517482E4}"/>
    <cellStyle name="20% - Énfasis3 9 3 2" xfId="5793" xr:uid="{51E241C0-DAAC-42DE-8528-439021EDC4C8}"/>
    <cellStyle name="20% - Énfasis3 9 3 2 2" xfId="13501" xr:uid="{2F3F1C30-A917-45A0-A1FC-ADFAE071C1C4}"/>
    <cellStyle name="20% - Énfasis3 9 3 2 2 2" xfId="28913" xr:uid="{CEBCFECE-C974-4701-9A22-78F1D22039E0}"/>
    <cellStyle name="20% - Énfasis3 9 3 2 2 2 2" xfId="37362" xr:uid="{012B4027-86BE-47C3-BAB7-852F581E7038}"/>
    <cellStyle name="20% - Énfasis3 9 3 2 2 3" xfId="37361" xr:uid="{96694A1D-930B-4D2A-BBFD-E730C4837B72}"/>
    <cellStyle name="20% - Énfasis3 9 3 2 3" xfId="21208" xr:uid="{15740B50-AACA-4135-8345-CFCFEAA35784}"/>
    <cellStyle name="20% - Énfasis3 9 3 2 3 2" xfId="37363" xr:uid="{0C51A4A2-4A63-44D0-A0D2-30F4D743F62D}"/>
    <cellStyle name="20% - Énfasis3 9 3 2 4" xfId="37360" xr:uid="{1AB9867D-4D4F-4BB1-9592-D3EE0FD8266A}"/>
    <cellStyle name="20% - Énfasis3 9 3 3" xfId="9772" xr:uid="{3BA8A554-61C1-4587-A34F-295DE3BA1BCA}"/>
    <cellStyle name="20% - Énfasis3 9 3 3 2" xfId="25185" xr:uid="{8E74CE5C-2C13-417C-8D41-30B363805FAF}"/>
    <cellStyle name="20% - Énfasis3 9 3 3 2 2" xfId="37365" xr:uid="{DA22B0CF-089C-4ACA-8AF1-79E1F11A3692}"/>
    <cellStyle name="20% - Énfasis3 9 3 3 3" xfId="37364" xr:uid="{3703BC59-E704-4A58-B51F-91776880BF85}"/>
    <cellStyle name="20% - Énfasis3 9 3 4" xfId="17480" xr:uid="{0CBAE71A-57B8-4E2E-A36D-D3D48C980236}"/>
    <cellStyle name="20% - Énfasis3 9 3 4 2" xfId="37366" xr:uid="{C404ADCB-4D05-42B1-B8AF-946DD1C91008}"/>
    <cellStyle name="20% - Énfasis3 9 3 5" xfId="37359" xr:uid="{1AE3FC63-63C7-4FAE-A175-2F8088EE61FA}"/>
    <cellStyle name="20% - Énfasis3 9 4" xfId="4316" xr:uid="{55E56B0A-948B-4251-A586-B9A0E7582989}"/>
    <cellStyle name="20% - Énfasis3 9 4 2" xfId="12024" xr:uid="{7A9288FA-2F22-404D-95B5-10DBFE9B8E8E}"/>
    <cellStyle name="20% - Énfasis3 9 4 2 2" xfId="27436" xr:uid="{5AAB27F5-07E1-4158-B2D6-E55B01C8735B}"/>
    <cellStyle name="20% - Énfasis3 9 4 2 2 2" xfId="37369" xr:uid="{9667FC74-CB2A-43F7-B139-C694FFEE6CBA}"/>
    <cellStyle name="20% - Énfasis3 9 4 2 3" xfId="37368" xr:uid="{E92A2BE8-D661-4F20-8324-47DF9BD9DD51}"/>
    <cellStyle name="20% - Énfasis3 9 4 3" xfId="19731" xr:uid="{64FCC105-DC31-46AA-B614-E642C8282258}"/>
    <cellStyle name="20% - Énfasis3 9 4 3 2" xfId="37370" xr:uid="{43DB1780-FF58-43DF-B48F-F5B7B57DF2CD}"/>
    <cellStyle name="20% - Énfasis3 9 4 4" xfId="37367" xr:uid="{23D33085-6C74-437A-B951-4B340ABFF0B0}"/>
    <cellStyle name="20% - Énfasis3 9 5" xfId="8313" xr:uid="{F0CD31AC-B19D-482B-B8E9-20143571FE13}"/>
    <cellStyle name="20% - Énfasis3 9 5 2" xfId="23726" xr:uid="{3D517027-6C6B-435D-AF4B-A17B4798A58D}"/>
    <cellStyle name="20% - Énfasis3 9 5 2 2" xfId="37372" xr:uid="{8F357733-DDF8-4A8A-A21A-ADBD9B6021B6}"/>
    <cellStyle name="20% - Énfasis3 9 5 3" xfId="37371" xr:uid="{087DAC7C-89AE-4A1E-BAFE-621470478DA8}"/>
    <cellStyle name="20% - Énfasis3 9 6" xfId="16021" xr:uid="{A14C0A2F-7355-40EF-B90D-BD85A9D1C17E}"/>
    <cellStyle name="20% - Énfasis3 9 6 2" xfId="37373" xr:uid="{9C99F257-BAE8-4022-8203-4C6563ABAD14}"/>
    <cellStyle name="20% - Énfasis3 9 7" xfId="37342" xr:uid="{704B5ABF-F428-48D5-8C09-F8D0BEAAB1EA}"/>
    <cellStyle name="20% - Énfasis4" xfId="30" builtinId="42" customBuiltin="1"/>
    <cellStyle name="20% - Énfasis4 10" xfId="593" xr:uid="{B21C643F-F2D2-4CB5-B4C9-C49A496828D7}"/>
    <cellStyle name="20% - Énfasis4 10 2" xfId="1254" xr:uid="{C32766AC-6D6D-48FE-86F0-2808E9489D15}"/>
    <cellStyle name="20% - Énfasis4 10 2 2" xfId="2722" xr:uid="{6E3726FD-2156-4D38-B14E-5C4FB251AB4E}"/>
    <cellStyle name="20% - Énfasis4 10 2 2 2" xfId="6454" xr:uid="{416653B1-5E2D-455E-A53B-92F8EB4B3FC4}"/>
    <cellStyle name="20% - Énfasis4 10 2 2 2 2" xfId="14162" xr:uid="{9C854F57-035F-44D1-B6AD-026D84C9F237}"/>
    <cellStyle name="20% - Énfasis4 10 2 2 2 2 2" xfId="29574" xr:uid="{55496F13-D79D-4CC8-AB03-8D8CFB6ECC52}"/>
    <cellStyle name="20% - Énfasis4 10 2 2 2 2 2 2" xfId="37379" xr:uid="{ED248CE9-5035-41DF-A8F7-E9DA9D3A162D}"/>
    <cellStyle name="20% - Énfasis4 10 2 2 2 2 3" xfId="37378" xr:uid="{740294AA-07D9-456A-9D8B-BB0ED0EFC160}"/>
    <cellStyle name="20% - Énfasis4 10 2 2 2 3" xfId="21869" xr:uid="{55EB769C-1F3B-4017-92AA-24DAF8B928E0}"/>
    <cellStyle name="20% - Énfasis4 10 2 2 2 3 2" xfId="37380" xr:uid="{2419D095-B227-4E4C-96FC-FE907B533C2B}"/>
    <cellStyle name="20% - Énfasis4 10 2 2 2 4" xfId="37377" xr:uid="{848E2302-56DE-419C-A924-4738E86FE1D3}"/>
    <cellStyle name="20% - Énfasis4 10 2 2 3" xfId="10433" xr:uid="{17BEF0CB-5174-4B74-980E-19C8010C234A}"/>
    <cellStyle name="20% - Énfasis4 10 2 2 3 2" xfId="25846" xr:uid="{DC42CC12-15A5-4B1D-B16F-09913D28928D}"/>
    <cellStyle name="20% - Énfasis4 10 2 2 3 2 2" xfId="37382" xr:uid="{8A43E1DC-BE0F-4A26-A5AB-38970A74041E}"/>
    <cellStyle name="20% - Énfasis4 10 2 2 3 3" xfId="37381" xr:uid="{6022025A-B739-4FA4-BC3A-4E108F3E5D11}"/>
    <cellStyle name="20% - Énfasis4 10 2 2 4" xfId="18141" xr:uid="{3B50894E-D75E-4895-9D1A-9D9D993DED0E}"/>
    <cellStyle name="20% - Énfasis4 10 2 2 4 2" xfId="37383" xr:uid="{02DF2304-3C2F-433A-A84A-99F7628352B2}"/>
    <cellStyle name="20% - Énfasis4 10 2 2 5" xfId="37376" xr:uid="{0885B916-CD73-4693-A419-8D18A9C3AED1}"/>
    <cellStyle name="20% - Énfasis4 10 2 3" xfId="4991" xr:uid="{A5C6C1E8-E921-433F-8D66-876C1F25428C}"/>
    <cellStyle name="20% - Énfasis4 10 2 3 2" xfId="12699" xr:uid="{3BC4FF62-A7CA-43AA-BFDC-B08A9819D37F}"/>
    <cellStyle name="20% - Énfasis4 10 2 3 2 2" xfId="28111" xr:uid="{A0C9FB0E-0D5A-421B-8013-ADB35DD85C87}"/>
    <cellStyle name="20% - Énfasis4 10 2 3 2 2 2" xfId="37386" xr:uid="{BECA5C00-4091-4D80-BD05-73B1B1532916}"/>
    <cellStyle name="20% - Énfasis4 10 2 3 2 3" xfId="37385" xr:uid="{49C0A75E-5ABD-4D36-B0DD-ECB5B3358CB9}"/>
    <cellStyle name="20% - Énfasis4 10 2 3 3" xfId="20406" xr:uid="{3D6DF57E-CF3E-4AAD-86D3-4EBFEF7F579D}"/>
    <cellStyle name="20% - Énfasis4 10 2 3 3 2" xfId="37387" xr:uid="{2C72960F-52C9-40C6-B6FF-4AEFC6586D3C}"/>
    <cellStyle name="20% - Énfasis4 10 2 3 4" xfId="37384" xr:uid="{E7642BAE-6CB5-41D0-B9B7-401EDAB535DF}"/>
    <cellStyle name="20% - Énfasis4 10 2 4" xfId="8974" xr:uid="{4CD88537-AC2E-4B15-AA21-E21016E27D4D}"/>
    <cellStyle name="20% - Énfasis4 10 2 4 2" xfId="24387" xr:uid="{FBDD3DE0-76AB-4DC7-A4B4-771C1AF2DF2A}"/>
    <cellStyle name="20% - Énfasis4 10 2 4 2 2" xfId="37389" xr:uid="{70D2C192-42CB-4D9A-8721-C1ABC8B86C3B}"/>
    <cellStyle name="20% - Énfasis4 10 2 4 3" xfId="37388" xr:uid="{1ECAF19F-4782-4866-97C6-193C6DAF0704}"/>
    <cellStyle name="20% - Énfasis4 10 2 5" xfId="16682" xr:uid="{1C08DACF-9724-4B29-B343-5CF05972F8DE}"/>
    <cellStyle name="20% - Énfasis4 10 2 5 2" xfId="37390" xr:uid="{944197D4-CB83-4837-B2BE-BDA410FEFF9F}"/>
    <cellStyle name="20% - Énfasis4 10 2 6" xfId="37375" xr:uid="{406FB031-CB5D-4FE2-A1B6-AF594F72786B}"/>
    <cellStyle name="20% - Énfasis4 10 3" xfId="2084" xr:uid="{1AB21265-34A5-48E5-B259-9F99FBABBFCF}"/>
    <cellStyle name="20% - Énfasis4 10 3 2" xfId="5816" xr:uid="{B7F539E7-5E5F-4F1C-8553-04ACCACD6866}"/>
    <cellStyle name="20% - Énfasis4 10 3 2 2" xfId="13524" xr:uid="{72E24891-2076-443A-8DFC-A188E63445D3}"/>
    <cellStyle name="20% - Énfasis4 10 3 2 2 2" xfId="28936" xr:uid="{FB96CD4F-F08C-4F63-8B52-D88887041AEB}"/>
    <cellStyle name="20% - Énfasis4 10 3 2 2 2 2" xfId="37394" xr:uid="{B27FA382-C4A2-4D8A-994F-B87BAFEDE3E1}"/>
    <cellStyle name="20% - Énfasis4 10 3 2 2 3" xfId="37393" xr:uid="{45E99F4E-508A-4BDC-A484-9386589C18A3}"/>
    <cellStyle name="20% - Énfasis4 10 3 2 3" xfId="21231" xr:uid="{E135A093-B87A-4BC1-AD48-9F467C08E0C2}"/>
    <cellStyle name="20% - Énfasis4 10 3 2 3 2" xfId="37395" xr:uid="{13B0C084-2E14-4D92-9C18-68B6F0B8FF9B}"/>
    <cellStyle name="20% - Énfasis4 10 3 2 4" xfId="37392" xr:uid="{82896A1A-0271-4D60-8C04-67878218BF69}"/>
    <cellStyle name="20% - Énfasis4 10 3 3" xfId="9795" xr:uid="{1BF1EC16-13C7-46A2-AEA3-FF417F834352}"/>
    <cellStyle name="20% - Énfasis4 10 3 3 2" xfId="25208" xr:uid="{F8E3ABB8-01B7-4A63-AF23-2CE249F9F371}"/>
    <cellStyle name="20% - Énfasis4 10 3 3 2 2" xfId="37397" xr:uid="{BE96C17E-932B-48CD-B261-8E8645827655}"/>
    <cellStyle name="20% - Énfasis4 10 3 3 3" xfId="37396" xr:uid="{2F307F54-503A-4644-8704-7CB029F0BE8C}"/>
    <cellStyle name="20% - Énfasis4 10 3 4" xfId="17503" xr:uid="{23062C0C-5AE5-4377-8497-6BDBC00DFCE7}"/>
    <cellStyle name="20% - Énfasis4 10 3 4 2" xfId="37398" xr:uid="{6C34057A-4039-4CB4-A2EF-32FD8C3C854B}"/>
    <cellStyle name="20% - Énfasis4 10 3 5" xfId="37391" xr:uid="{B53277D2-9D86-4A8D-AB5D-6D3F4E304A28}"/>
    <cellStyle name="20% - Énfasis4 10 4" xfId="4339" xr:uid="{6D9CB175-9125-4436-979D-B0CC876F7B5D}"/>
    <cellStyle name="20% - Énfasis4 10 4 2" xfId="12047" xr:uid="{C8389B6A-C2B4-4180-AFCF-0DB3C5527AB0}"/>
    <cellStyle name="20% - Énfasis4 10 4 2 2" xfId="27459" xr:uid="{A472088F-7335-488C-A5F1-ABFD9AF17A67}"/>
    <cellStyle name="20% - Énfasis4 10 4 2 2 2" xfId="37401" xr:uid="{8C50CF1A-130F-4315-8E7B-A15E73B9D0C4}"/>
    <cellStyle name="20% - Énfasis4 10 4 2 3" xfId="37400" xr:uid="{CB485E9E-303A-42BF-A933-DBA0AD36549E}"/>
    <cellStyle name="20% - Énfasis4 10 4 3" xfId="19754" xr:uid="{546B6A99-BAF7-46EE-BFEC-2554E0F549B8}"/>
    <cellStyle name="20% - Énfasis4 10 4 3 2" xfId="37402" xr:uid="{67C46C80-9629-4F55-B11E-7D60EC00EF34}"/>
    <cellStyle name="20% - Énfasis4 10 4 4" xfId="37399" xr:uid="{6238CD64-63E4-4AA1-9AE8-A6438EE28B04}"/>
    <cellStyle name="20% - Énfasis4 10 5" xfId="8336" xr:uid="{8E9D5E13-26F5-4339-9017-046F67B5C9DC}"/>
    <cellStyle name="20% - Énfasis4 10 5 2" xfId="23749" xr:uid="{0E8DA8B9-B312-4DC6-8F2E-02CD9E709F92}"/>
    <cellStyle name="20% - Énfasis4 10 5 2 2" xfId="37404" xr:uid="{FBFA7620-A27E-49BE-B543-E44C491EA6F5}"/>
    <cellStyle name="20% - Énfasis4 10 5 3" xfId="37403" xr:uid="{C9A5178F-1E0E-44B2-AF7D-13334F308F49}"/>
    <cellStyle name="20% - Énfasis4 10 6" xfId="16044" xr:uid="{872428D7-3A92-40EE-A6D7-5F48799A4ED4}"/>
    <cellStyle name="20% - Énfasis4 10 6 2" xfId="37405" xr:uid="{ECB652E8-CA86-4186-AC67-DDBE92D14787}"/>
    <cellStyle name="20% - Énfasis4 10 7" xfId="37374" xr:uid="{F0099605-F85E-4E87-B11E-0B03AE331E65}"/>
    <cellStyle name="20% - Énfasis4 11" xfId="614" xr:uid="{73F53214-CE22-4179-BD37-79BF1DDC84F8}"/>
    <cellStyle name="20% - Énfasis4 11 2" xfId="1275" xr:uid="{F91A35E9-C339-47AB-88E9-0F76EC80DE28}"/>
    <cellStyle name="20% - Énfasis4 11 2 2" xfId="2742" xr:uid="{0E19260C-773E-4265-A3DC-8281C4B0C594}"/>
    <cellStyle name="20% - Énfasis4 11 2 2 2" xfId="6474" xr:uid="{5CB1E24D-721A-4AC3-8C97-42B5D8287209}"/>
    <cellStyle name="20% - Énfasis4 11 2 2 2 2" xfId="14182" xr:uid="{5F3FDFF9-EC9F-403E-A9DC-16C00A5F2951}"/>
    <cellStyle name="20% - Énfasis4 11 2 2 2 2 2" xfId="29594" xr:uid="{B2081C45-8B65-4AB4-9448-89B3CA6259BD}"/>
    <cellStyle name="20% - Énfasis4 11 2 2 2 2 2 2" xfId="37411" xr:uid="{DB50F49F-13F2-4FAE-A8B9-E6CE0189EF68}"/>
    <cellStyle name="20% - Énfasis4 11 2 2 2 2 3" xfId="37410" xr:uid="{20185AF2-3EDC-467E-8F53-B7B46C568BD0}"/>
    <cellStyle name="20% - Énfasis4 11 2 2 2 3" xfId="21889" xr:uid="{79E3262F-3F94-4CEB-9D0F-B6BE304A5B15}"/>
    <cellStyle name="20% - Énfasis4 11 2 2 2 3 2" xfId="37412" xr:uid="{30F7CF9C-4E28-4C9F-9BD2-420370739DF8}"/>
    <cellStyle name="20% - Énfasis4 11 2 2 2 4" xfId="37409" xr:uid="{B80181CF-F9BA-469B-8E5E-422ED93CB730}"/>
    <cellStyle name="20% - Énfasis4 11 2 2 3" xfId="10453" xr:uid="{BC6A93C0-9035-428B-965C-DBA107C2B66E}"/>
    <cellStyle name="20% - Énfasis4 11 2 2 3 2" xfId="25866" xr:uid="{3F114CDD-4AEF-4909-A0F1-2DEF75DAF172}"/>
    <cellStyle name="20% - Énfasis4 11 2 2 3 2 2" xfId="37414" xr:uid="{02772CF8-CEEE-4C34-98E5-2E952F0C3D9D}"/>
    <cellStyle name="20% - Énfasis4 11 2 2 3 3" xfId="37413" xr:uid="{0C21068A-449D-44E3-9775-B72F28832BA9}"/>
    <cellStyle name="20% - Énfasis4 11 2 2 4" xfId="18161" xr:uid="{2813D5DC-D3B3-4BDD-9E21-40818BBAB365}"/>
    <cellStyle name="20% - Énfasis4 11 2 2 4 2" xfId="37415" xr:uid="{79DE322A-3D0F-4B62-9A34-1261B9326D22}"/>
    <cellStyle name="20% - Énfasis4 11 2 2 5" xfId="37408" xr:uid="{960352C1-5679-4765-84D1-CC9C31F43D43}"/>
    <cellStyle name="20% - Énfasis4 11 2 3" xfId="5011" xr:uid="{9B99AB4B-AB0F-4E7D-8CF5-6F18D60A3CF9}"/>
    <cellStyle name="20% - Énfasis4 11 2 3 2" xfId="12719" xr:uid="{F0A3317E-6784-4137-A3B4-BD861E36ED1A}"/>
    <cellStyle name="20% - Énfasis4 11 2 3 2 2" xfId="28131" xr:uid="{28300510-72C7-4727-B2B7-3538F6C31C0C}"/>
    <cellStyle name="20% - Énfasis4 11 2 3 2 2 2" xfId="37418" xr:uid="{A6448AE3-4A45-4D8F-87E9-EDF93581E8B0}"/>
    <cellStyle name="20% - Énfasis4 11 2 3 2 3" xfId="37417" xr:uid="{547BA703-ABEB-4D4E-8DE5-3935C72CD1FA}"/>
    <cellStyle name="20% - Énfasis4 11 2 3 3" xfId="20426" xr:uid="{49F404D7-ABFB-457C-A133-62C64F7AC783}"/>
    <cellStyle name="20% - Énfasis4 11 2 3 3 2" xfId="37419" xr:uid="{2C40C93F-A040-4E5D-9A1E-49B5A1968BCE}"/>
    <cellStyle name="20% - Énfasis4 11 2 3 4" xfId="37416" xr:uid="{A8F59658-FD23-46F7-97F3-AC1AE0DE1084}"/>
    <cellStyle name="20% - Énfasis4 11 2 4" xfId="8994" xr:uid="{135B3681-D559-400B-A107-83889CAB1C0E}"/>
    <cellStyle name="20% - Énfasis4 11 2 4 2" xfId="24407" xr:uid="{480B04D4-8118-429D-A357-CE5FE085632C}"/>
    <cellStyle name="20% - Énfasis4 11 2 4 2 2" xfId="37421" xr:uid="{01349F53-0494-406E-B8D2-DD9D2737B93F}"/>
    <cellStyle name="20% - Énfasis4 11 2 4 3" xfId="37420" xr:uid="{90DE0C55-C88F-49A6-8EDD-E1CA68AA0C32}"/>
    <cellStyle name="20% - Énfasis4 11 2 5" xfId="16702" xr:uid="{385C29BC-0568-41A1-A1BC-CA0D306BC3E2}"/>
    <cellStyle name="20% - Énfasis4 11 2 5 2" xfId="37422" xr:uid="{BBE83A44-C61F-4B99-9C86-EA753999088D}"/>
    <cellStyle name="20% - Énfasis4 11 2 6" xfId="37407" xr:uid="{FADBE230-C71B-4C11-B24E-259478CE258B}"/>
    <cellStyle name="20% - Énfasis4 11 3" xfId="2104" xr:uid="{4B2333A1-DBBD-46C5-8ACF-E659E8211D3A}"/>
    <cellStyle name="20% - Énfasis4 11 3 2" xfId="5836" xr:uid="{607132AC-9971-4284-9AFF-99C01D0C990C}"/>
    <cellStyle name="20% - Énfasis4 11 3 2 2" xfId="13544" xr:uid="{CBDEC0C7-D667-4B7C-B250-054F7D1AB670}"/>
    <cellStyle name="20% - Énfasis4 11 3 2 2 2" xfId="28956" xr:uid="{9B0FE488-8DAF-4508-9D10-E653E5776650}"/>
    <cellStyle name="20% - Énfasis4 11 3 2 2 2 2" xfId="37426" xr:uid="{F72C12D4-2B99-4E71-8E0B-310DE2F783BD}"/>
    <cellStyle name="20% - Énfasis4 11 3 2 2 3" xfId="37425" xr:uid="{2E2550E0-DD80-44CD-AD6E-629DD464132F}"/>
    <cellStyle name="20% - Énfasis4 11 3 2 3" xfId="21251" xr:uid="{F673956D-66D8-45EE-916F-C5EA54B12DB6}"/>
    <cellStyle name="20% - Énfasis4 11 3 2 3 2" xfId="37427" xr:uid="{C3EE1A81-2399-4EF9-BC1B-B955250CDDE8}"/>
    <cellStyle name="20% - Énfasis4 11 3 2 4" xfId="37424" xr:uid="{6C83BBE0-60E0-4091-B00E-C83F8E11D410}"/>
    <cellStyle name="20% - Énfasis4 11 3 3" xfId="9815" xr:uid="{FCE7A0FE-DEBE-490C-8B0A-38E94881620A}"/>
    <cellStyle name="20% - Énfasis4 11 3 3 2" xfId="25228" xr:uid="{82B6752C-C32A-4160-9926-95FAEF40AF4A}"/>
    <cellStyle name="20% - Énfasis4 11 3 3 2 2" xfId="37429" xr:uid="{EB2FA870-D9CF-4396-9D2A-B80609C48333}"/>
    <cellStyle name="20% - Énfasis4 11 3 3 3" xfId="37428" xr:uid="{7315D12D-34F2-448F-9012-26A98C500CD5}"/>
    <cellStyle name="20% - Énfasis4 11 3 4" xfId="17523" xr:uid="{EF020874-A059-46C5-B894-EBF78CC3FC06}"/>
    <cellStyle name="20% - Énfasis4 11 3 4 2" xfId="37430" xr:uid="{49A251C8-397D-40E0-A231-A49D974D67EC}"/>
    <cellStyle name="20% - Énfasis4 11 3 5" xfId="37423" xr:uid="{0EAB26C2-0925-4B90-9E31-B01D93523735}"/>
    <cellStyle name="20% - Énfasis4 11 4" xfId="4359" xr:uid="{C722CD32-96AF-44B9-B7C0-2FFEACD0CA36}"/>
    <cellStyle name="20% - Énfasis4 11 4 2" xfId="12067" xr:uid="{EB4F20C7-6E20-4975-8D2A-71C4FE696116}"/>
    <cellStyle name="20% - Énfasis4 11 4 2 2" xfId="27479" xr:uid="{18109D2E-B5D6-4C88-8433-5E6428D506EB}"/>
    <cellStyle name="20% - Énfasis4 11 4 2 2 2" xfId="37433" xr:uid="{505C58BF-A0D4-449B-A773-71FA1EE003AF}"/>
    <cellStyle name="20% - Énfasis4 11 4 2 3" xfId="37432" xr:uid="{4584FEC4-2814-43DE-BFE2-0B0B0301A0DF}"/>
    <cellStyle name="20% - Énfasis4 11 4 3" xfId="19774" xr:uid="{ED365E3B-BD1D-4154-B607-836DD8684619}"/>
    <cellStyle name="20% - Énfasis4 11 4 3 2" xfId="37434" xr:uid="{BE804FE6-7661-4992-AAE5-269BA1C89E9A}"/>
    <cellStyle name="20% - Énfasis4 11 4 4" xfId="37431" xr:uid="{DC51E21C-B405-4498-980B-3B73234C2B21}"/>
    <cellStyle name="20% - Énfasis4 11 5" xfId="8356" xr:uid="{B1F609E1-57D4-4417-A774-555893DA8030}"/>
    <cellStyle name="20% - Énfasis4 11 5 2" xfId="23769" xr:uid="{F81FF923-B332-4AA0-A318-29D833D1189E}"/>
    <cellStyle name="20% - Énfasis4 11 5 2 2" xfId="37436" xr:uid="{36C97349-20C9-42CC-953F-D529C157CD53}"/>
    <cellStyle name="20% - Énfasis4 11 5 3" xfId="37435" xr:uid="{1F0244F8-B4C4-4A51-AF36-79E9B0649E8B}"/>
    <cellStyle name="20% - Énfasis4 11 6" xfId="16064" xr:uid="{87161F44-0CE0-4885-B544-CE9EAB8E77E3}"/>
    <cellStyle name="20% - Énfasis4 11 6 2" xfId="37437" xr:uid="{3CC435E0-E05E-43B5-985F-6EA4D02763C7}"/>
    <cellStyle name="20% - Énfasis4 11 7" xfId="37406" xr:uid="{6500B978-B4A4-4FF9-98D0-BC2D7EC9EE44}"/>
    <cellStyle name="20% - Énfasis4 12" xfId="634" xr:uid="{C3ED7F84-3DF8-4880-A266-5CCF0F7EFF6B}"/>
    <cellStyle name="20% - Énfasis4 12 2" xfId="1295" xr:uid="{050D1EFF-D16D-44C0-8AB5-D8E0B41E4100}"/>
    <cellStyle name="20% - Énfasis4 12 2 2" xfId="2762" xr:uid="{6A2ADDFF-6C98-4C15-AF99-A2F5C3F23D8B}"/>
    <cellStyle name="20% - Énfasis4 12 2 2 2" xfId="6494" xr:uid="{7C04ADE6-0634-433B-B594-1D2D70EDB308}"/>
    <cellStyle name="20% - Énfasis4 12 2 2 2 2" xfId="14202" xr:uid="{D5DDB99C-2074-4CBE-9B71-18F2CECF2C45}"/>
    <cellStyle name="20% - Énfasis4 12 2 2 2 2 2" xfId="29614" xr:uid="{85776166-AD02-4598-8627-EA487F495783}"/>
    <cellStyle name="20% - Énfasis4 12 2 2 2 2 2 2" xfId="37443" xr:uid="{5B274F06-EB65-4D29-9480-A41DA9A9BDBA}"/>
    <cellStyle name="20% - Énfasis4 12 2 2 2 2 3" xfId="37442" xr:uid="{BC54E481-B097-44BC-9147-EA01F2477628}"/>
    <cellStyle name="20% - Énfasis4 12 2 2 2 3" xfId="21909" xr:uid="{4723688A-BD8B-443B-A5A8-9B9C257A8FDB}"/>
    <cellStyle name="20% - Énfasis4 12 2 2 2 3 2" xfId="37444" xr:uid="{A5DAC84F-15BA-46C5-AB48-D1EB825C0E91}"/>
    <cellStyle name="20% - Énfasis4 12 2 2 2 4" xfId="37441" xr:uid="{DC4800DE-0149-4B57-8EA5-70E810F044FE}"/>
    <cellStyle name="20% - Énfasis4 12 2 2 3" xfId="10473" xr:uid="{8D84C70F-8540-4ECB-AABC-5E5083BE5B35}"/>
    <cellStyle name="20% - Énfasis4 12 2 2 3 2" xfId="25886" xr:uid="{DEEE0E6A-E794-4540-ABED-F3AB4A8EB87A}"/>
    <cellStyle name="20% - Énfasis4 12 2 2 3 2 2" xfId="37446" xr:uid="{DE2412F4-FFD1-43E7-B21E-5A15AFFC28FA}"/>
    <cellStyle name="20% - Énfasis4 12 2 2 3 3" xfId="37445" xr:uid="{0DADE3D6-0D74-4E4A-A879-9E77751B207A}"/>
    <cellStyle name="20% - Énfasis4 12 2 2 4" xfId="18181" xr:uid="{C74DBEAB-C3E6-44EE-B91B-FF13BB4ECFF2}"/>
    <cellStyle name="20% - Énfasis4 12 2 2 4 2" xfId="37447" xr:uid="{C0651056-BC64-40CE-ADA2-20FAE0A585D6}"/>
    <cellStyle name="20% - Énfasis4 12 2 2 5" xfId="37440" xr:uid="{6D55FD7B-8A5C-4B2A-B09D-AA93EB599DE7}"/>
    <cellStyle name="20% - Énfasis4 12 2 3" xfId="5031" xr:uid="{1E506EDC-CBD1-4C9E-94BC-12887B80A218}"/>
    <cellStyle name="20% - Énfasis4 12 2 3 2" xfId="12739" xr:uid="{8D1A3B93-92F4-41D0-9626-C8857FBC5AFE}"/>
    <cellStyle name="20% - Énfasis4 12 2 3 2 2" xfId="28151" xr:uid="{194A6BFF-3F2C-4814-AF27-D5D32EB187C1}"/>
    <cellStyle name="20% - Énfasis4 12 2 3 2 2 2" xfId="37450" xr:uid="{14EBFC36-B11C-4ABF-901B-813858C537CE}"/>
    <cellStyle name="20% - Énfasis4 12 2 3 2 3" xfId="37449" xr:uid="{E5F7D1F1-23F4-41C9-82D4-C0292E25F6E6}"/>
    <cellStyle name="20% - Énfasis4 12 2 3 3" xfId="20446" xr:uid="{8F64E457-5196-426F-9F39-D7FFCFFD86CE}"/>
    <cellStyle name="20% - Énfasis4 12 2 3 3 2" xfId="37451" xr:uid="{3F227980-793B-4882-B244-2B17BB91D709}"/>
    <cellStyle name="20% - Énfasis4 12 2 3 4" xfId="37448" xr:uid="{B1CF09C5-C852-4417-9A9C-24356D504827}"/>
    <cellStyle name="20% - Énfasis4 12 2 4" xfId="9014" xr:uid="{44DDF9FC-F02A-44C0-A022-4CF1486013EB}"/>
    <cellStyle name="20% - Énfasis4 12 2 4 2" xfId="24427" xr:uid="{55F25E2E-6981-4013-B90F-C91F5EA676FD}"/>
    <cellStyle name="20% - Énfasis4 12 2 4 2 2" xfId="37453" xr:uid="{5C130404-0557-48E0-BB16-6DFC6715C2AB}"/>
    <cellStyle name="20% - Énfasis4 12 2 4 3" xfId="37452" xr:uid="{68C2FE9F-63CC-4705-A255-F61FD975CA67}"/>
    <cellStyle name="20% - Énfasis4 12 2 5" xfId="16722" xr:uid="{A268C020-D427-4280-964F-BBC7E47CF433}"/>
    <cellStyle name="20% - Énfasis4 12 2 5 2" xfId="37454" xr:uid="{11AF0998-420B-49F7-8A35-E224EB7FEB36}"/>
    <cellStyle name="20% - Énfasis4 12 2 6" xfId="37439" xr:uid="{133331ED-4C86-4CCF-A9A5-3FB78EE04577}"/>
    <cellStyle name="20% - Énfasis4 12 3" xfId="2124" xr:uid="{2F80708A-3CB1-4405-AF46-0C90340EF223}"/>
    <cellStyle name="20% - Énfasis4 12 3 2" xfId="5856" xr:uid="{CAEBF09A-051B-4AF5-A578-2007F8A26C6A}"/>
    <cellStyle name="20% - Énfasis4 12 3 2 2" xfId="13564" xr:uid="{ED03AB22-A2F1-4BB4-9A8F-DBF21909BFB9}"/>
    <cellStyle name="20% - Énfasis4 12 3 2 2 2" xfId="28976" xr:uid="{28B30ACF-0AAD-40AF-AD94-EDED66232C4A}"/>
    <cellStyle name="20% - Énfasis4 12 3 2 2 2 2" xfId="37458" xr:uid="{1D35F4FF-F17B-48F2-A861-7FBB4F932A32}"/>
    <cellStyle name="20% - Énfasis4 12 3 2 2 3" xfId="37457" xr:uid="{5FD9E30C-264B-49BF-B046-5992AE31D1AE}"/>
    <cellStyle name="20% - Énfasis4 12 3 2 3" xfId="21271" xr:uid="{0512C9CC-CE9C-4152-A931-8303EC554440}"/>
    <cellStyle name="20% - Énfasis4 12 3 2 3 2" xfId="37459" xr:uid="{6E6944C8-FA3E-4035-A819-1F4C8512744A}"/>
    <cellStyle name="20% - Énfasis4 12 3 2 4" xfId="37456" xr:uid="{A3EBC5E7-8664-4A67-9F51-70CC4CC220F8}"/>
    <cellStyle name="20% - Énfasis4 12 3 3" xfId="9835" xr:uid="{40751FBE-8145-4058-B657-B10FD38D4A03}"/>
    <cellStyle name="20% - Énfasis4 12 3 3 2" xfId="25248" xr:uid="{A635ED83-7F3C-478B-A776-17CFE152D98E}"/>
    <cellStyle name="20% - Énfasis4 12 3 3 2 2" xfId="37461" xr:uid="{B4ACC7AD-F159-4B4D-AFFB-E43CC943AC2B}"/>
    <cellStyle name="20% - Énfasis4 12 3 3 3" xfId="37460" xr:uid="{3F3EA81F-89A9-4390-8662-64AC30EB66F4}"/>
    <cellStyle name="20% - Énfasis4 12 3 4" xfId="17543" xr:uid="{54A3D384-C7A3-4619-BCCE-AEF6A99C62D9}"/>
    <cellStyle name="20% - Énfasis4 12 3 4 2" xfId="37462" xr:uid="{5582C39F-C912-4A89-AF46-33E897F35649}"/>
    <cellStyle name="20% - Énfasis4 12 3 5" xfId="37455" xr:uid="{69F1F4E7-404A-4A2B-BE64-EB1EF5E5AE57}"/>
    <cellStyle name="20% - Énfasis4 12 4" xfId="4379" xr:uid="{D43B8DD5-60B4-414E-B117-4ED31FBF90A0}"/>
    <cellStyle name="20% - Énfasis4 12 4 2" xfId="12087" xr:uid="{CC925BA4-B996-4FF0-B549-ACC8BEFF62CC}"/>
    <cellStyle name="20% - Énfasis4 12 4 2 2" xfId="27499" xr:uid="{68BF65CC-3981-4388-A0CB-40A9CFF06B1D}"/>
    <cellStyle name="20% - Énfasis4 12 4 2 2 2" xfId="37465" xr:uid="{254F83D2-74F8-46E4-AC73-68C408B8E7CD}"/>
    <cellStyle name="20% - Énfasis4 12 4 2 3" xfId="37464" xr:uid="{4651CF6A-B8CF-4F5E-9ECD-52ECA23ECCBC}"/>
    <cellStyle name="20% - Énfasis4 12 4 3" xfId="19794" xr:uid="{94DEA02D-FEDD-4C1B-B606-A9B031AD46B9}"/>
    <cellStyle name="20% - Énfasis4 12 4 3 2" xfId="37466" xr:uid="{B8B5477F-ED54-419A-BF49-FBBE27D3C409}"/>
    <cellStyle name="20% - Énfasis4 12 4 4" xfId="37463" xr:uid="{4ADD8E6A-35CE-43EC-8118-4192F92B163C}"/>
    <cellStyle name="20% - Énfasis4 12 5" xfId="8376" xr:uid="{0519DB72-F200-411A-AF0C-B0F6E1E70FBF}"/>
    <cellStyle name="20% - Énfasis4 12 5 2" xfId="23789" xr:uid="{4AA87468-CBE3-4F29-99BC-DFFD72F2BD89}"/>
    <cellStyle name="20% - Énfasis4 12 5 2 2" xfId="37468" xr:uid="{B25B05E7-024D-4F21-AA66-DE1B0446BE1D}"/>
    <cellStyle name="20% - Énfasis4 12 5 3" xfId="37467" xr:uid="{88547610-6099-48FF-A9B4-6E26859B7D44}"/>
    <cellStyle name="20% - Énfasis4 12 6" xfId="16084" xr:uid="{799C57CB-C3D3-4C06-AB1E-000053600F8E}"/>
    <cellStyle name="20% - Énfasis4 12 6 2" xfId="37469" xr:uid="{FB1A4CAB-C594-4DCA-AD17-3A359680B3D4}"/>
    <cellStyle name="20% - Énfasis4 12 7" xfId="37438" xr:uid="{CBF6518E-B7BA-4744-8D2C-91D5D97CC2C6}"/>
    <cellStyle name="20% - Énfasis4 13" xfId="655" xr:uid="{DFE93CE2-D66F-4520-8A3C-303ABF7FB585}"/>
    <cellStyle name="20% - Énfasis4 13 2" xfId="1316" xr:uid="{E4269C9A-39B5-4275-81B6-EBF3C4783FB7}"/>
    <cellStyle name="20% - Énfasis4 13 2 2" xfId="2783" xr:uid="{E5A2228F-276D-4A4D-99BA-6715E170470F}"/>
    <cellStyle name="20% - Énfasis4 13 2 2 2" xfId="6515" xr:uid="{67335103-ACEB-44E6-833C-61F0E23EAFB6}"/>
    <cellStyle name="20% - Énfasis4 13 2 2 2 2" xfId="14223" xr:uid="{0D4B1BBB-ABFC-4826-8D54-D062F61E886C}"/>
    <cellStyle name="20% - Énfasis4 13 2 2 2 2 2" xfId="29635" xr:uid="{53BBE1F5-795A-42AB-A221-7DF538315A05}"/>
    <cellStyle name="20% - Énfasis4 13 2 2 2 2 2 2" xfId="37475" xr:uid="{22B95040-469B-4328-9B27-6EAC010DEDE3}"/>
    <cellStyle name="20% - Énfasis4 13 2 2 2 2 3" xfId="37474" xr:uid="{512BE8BF-FC80-4CF9-8D19-1AB87242BCAC}"/>
    <cellStyle name="20% - Énfasis4 13 2 2 2 3" xfId="21930" xr:uid="{0BCB2BE6-50EE-4F3A-9C92-96D213D005B5}"/>
    <cellStyle name="20% - Énfasis4 13 2 2 2 3 2" xfId="37476" xr:uid="{F63CB9CD-8769-4003-BB39-89F5AA551D0D}"/>
    <cellStyle name="20% - Énfasis4 13 2 2 2 4" xfId="37473" xr:uid="{722DE3F0-1489-4B7F-ADC1-2BFC85DC45CC}"/>
    <cellStyle name="20% - Énfasis4 13 2 2 3" xfId="10494" xr:uid="{25ACBD7A-2BED-4D2D-AA79-CC22AEF79677}"/>
    <cellStyle name="20% - Énfasis4 13 2 2 3 2" xfId="25907" xr:uid="{FEB28E92-3B35-4934-BA3E-F04407351D7E}"/>
    <cellStyle name="20% - Énfasis4 13 2 2 3 2 2" xfId="37478" xr:uid="{92F4DFF0-8DDF-4D92-B8C1-9EA13FC34320}"/>
    <cellStyle name="20% - Énfasis4 13 2 2 3 3" xfId="37477" xr:uid="{5B1950F4-A654-41D6-A653-2C8B8C5BD948}"/>
    <cellStyle name="20% - Énfasis4 13 2 2 4" xfId="18202" xr:uid="{0204F031-6E47-40B8-9B76-51B71ED2866A}"/>
    <cellStyle name="20% - Énfasis4 13 2 2 4 2" xfId="37479" xr:uid="{FA0F7473-D7CB-4EBA-A112-39E4F3821662}"/>
    <cellStyle name="20% - Énfasis4 13 2 2 5" xfId="37472" xr:uid="{C45D565E-214B-4879-AD47-15E283B700FF}"/>
    <cellStyle name="20% - Énfasis4 13 2 3" xfId="5052" xr:uid="{7238AB47-93B7-466C-91BD-E1F7641A452A}"/>
    <cellStyle name="20% - Énfasis4 13 2 3 2" xfId="12760" xr:uid="{6E33929A-E011-4B4E-8D0D-E074240FD540}"/>
    <cellStyle name="20% - Énfasis4 13 2 3 2 2" xfId="28172" xr:uid="{A9A7307D-6E25-487B-A698-0A8F847D7232}"/>
    <cellStyle name="20% - Énfasis4 13 2 3 2 2 2" xfId="37482" xr:uid="{D3A90E5D-4BA5-4155-AC40-FB8F17186AAC}"/>
    <cellStyle name="20% - Énfasis4 13 2 3 2 3" xfId="37481" xr:uid="{114CF427-5C19-44F1-836A-9A48B6265E4A}"/>
    <cellStyle name="20% - Énfasis4 13 2 3 3" xfId="20467" xr:uid="{569F7016-B498-49C0-8EDD-18F42FFD99E8}"/>
    <cellStyle name="20% - Énfasis4 13 2 3 3 2" xfId="37483" xr:uid="{CC88F2CC-B727-40CC-8E89-B64DDC8168C1}"/>
    <cellStyle name="20% - Énfasis4 13 2 3 4" xfId="37480" xr:uid="{0C2016E2-C1F7-45AF-89C4-AD0ADB65B9D2}"/>
    <cellStyle name="20% - Énfasis4 13 2 4" xfId="9035" xr:uid="{FF57FE1F-0EDE-4266-9ADD-0C587BF6C954}"/>
    <cellStyle name="20% - Énfasis4 13 2 4 2" xfId="24448" xr:uid="{59921E4F-51C8-4FBA-B180-4A644D4D0CC0}"/>
    <cellStyle name="20% - Énfasis4 13 2 4 2 2" xfId="37485" xr:uid="{4B7D2A37-6AD2-40AB-86FB-F1B95B01F36A}"/>
    <cellStyle name="20% - Énfasis4 13 2 4 3" xfId="37484" xr:uid="{FDB1A400-984B-48A3-B454-9165182DDBA6}"/>
    <cellStyle name="20% - Énfasis4 13 2 5" xfId="16743" xr:uid="{C473AC88-60DA-4B64-8306-F18A576567BC}"/>
    <cellStyle name="20% - Énfasis4 13 2 5 2" xfId="37486" xr:uid="{54B47E7E-3605-4871-903F-5FE2CD65C6A8}"/>
    <cellStyle name="20% - Énfasis4 13 2 6" xfId="37471" xr:uid="{9EB5D68A-FD42-4B5D-95DA-D957F2A1B124}"/>
    <cellStyle name="20% - Énfasis4 13 3" xfId="2145" xr:uid="{9AE98489-54C1-4006-A284-5693D607767F}"/>
    <cellStyle name="20% - Énfasis4 13 3 2" xfId="5877" xr:uid="{5FA399A5-389E-44C2-B4CD-92CA4D085D57}"/>
    <cellStyle name="20% - Énfasis4 13 3 2 2" xfId="13585" xr:uid="{F89CDEEC-B4AD-4F6B-882C-E4CE4254C5BC}"/>
    <cellStyle name="20% - Énfasis4 13 3 2 2 2" xfId="28997" xr:uid="{88C18872-30B4-423E-9E38-C74468E9FBBD}"/>
    <cellStyle name="20% - Énfasis4 13 3 2 2 2 2" xfId="37490" xr:uid="{18072BE3-5E70-4A25-A0DE-55B62526A27B}"/>
    <cellStyle name="20% - Énfasis4 13 3 2 2 3" xfId="37489" xr:uid="{ABA83D21-3C1B-4495-B5D8-F9A2073FC02A}"/>
    <cellStyle name="20% - Énfasis4 13 3 2 3" xfId="21292" xr:uid="{2286AB93-5B18-463A-B415-EAB4878255D2}"/>
    <cellStyle name="20% - Énfasis4 13 3 2 3 2" xfId="37491" xr:uid="{5DA3AB57-CC70-46F9-9E84-BDD9F5A54D0D}"/>
    <cellStyle name="20% - Énfasis4 13 3 2 4" xfId="37488" xr:uid="{5703645E-95D1-452B-8391-2A11FFE6A1AC}"/>
    <cellStyle name="20% - Énfasis4 13 3 3" xfId="9856" xr:uid="{940DA188-87F1-4D3B-8705-DE651785D15B}"/>
    <cellStyle name="20% - Énfasis4 13 3 3 2" xfId="25269" xr:uid="{5197DDEB-7E78-4B8C-B3DB-9C8E687C5303}"/>
    <cellStyle name="20% - Énfasis4 13 3 3 2 2" xfId="37493" xr:uid="{D5D87629-65FD-4598-9B1A-15B43349E881}"/>
    <cellStyle name="20% - Énfasis4 13 3 3 3" xfId="37492" xr:uid="{C66EBD4A-8335-4E5A-81A0-7A657AE0D22C}"/>
    <cellStyle name="20% - Énfasis4 13 3 4" xfId="17564" xr:uid="{BD95DCED-59E8-4DCA-99A1-0FA0AEFE39B6}"/>
    <cellStyle name="20% - Énfasis4 13 3 4 2" xfId="37494" xr:uid="{BC8054EE-E08B-4A92-B7D2-03B63E4B5BCA}"/>
    <cellStyle name="20% - Énfasis4 13 3 5" xfId="37487" xr:uid="{65923199-957B-4030-9CCB-D057010F8458}"/>
    <cellStyle name="20% - Énfasis4 13 4" xfId="4400" xr:uid="{4E260EE2-6E36-454C-8B36-1CDD89442155}"/>
    <cellStyle name="20% - Énfasis4 13 4 2" xfId="12108" xr:uid="{21B90E0F-ACCD-4B1B-896B-4C2653DF841F}"/>
    <cellStyle name="20% - Énfasis4 13 4 2 2" xfId="27520" xr:uid="{FCF208C5-8556-4A86-B33C-2C620A2829BB}"/>
    <cellStyle name="20% - Énfasis4 13 4 2 2 2" xfId="37497" xr:uid="{EA7CFA1F-8379-465D-84E7-BC7D4447824F}"/>
    <cellStyle name="20% - Énfasis4 13 4 2 3" xfId="37496" xr:uid="{C672E4D4-A200-467D-9217-FF371A4969BD}"/>
    <cellStyle name="20% - Énfasis4 13 4 3" xfId="19815" xr:uid="{6D3E3CC4-23D6-4BA5-B14A-EEDB9CA2ED11}"/>
    <cellStyle name="20% - Énfasis4 13 4 3 2" xfId="37498" xr:uid="{5A292406-E091-4FF0-9F7E-3ED49DC5B004}"/>
    <cellStyle name="20% - Énfasis4 13 4 4" xfId="37495" xr:uid="{EB77C2F9-3C19-4435-A85F-9EC32A8C0E14}"/>
    <cellStyle name="20% - Énfasis4 13 5" xfId="8397" xr:uid="{62CBC3F6-0B83-4C7D-93F6-41CA4A91990A}"/>
    <cellStyle name="20% - Énfasis4 13 5 2" xfId="23810" xr:uid="{A893EB29-72FB-4B44-8684-C3DA38F9BAFD}"/>
    <cellStyle name="20% - Énfasis4 13 5 2 2" xfId="37500" xr:uid="{02D849D4-93A0-4D44-B6A7-85512D05AD00}"/>
    <cellStyle name="20% - Énfasis4 13 5 3" xfId="37499" xr:uid="{FA6901D1-23CE-4660-9055-4F38518A33EA}"/>
    <cellStyle name="20% - Énfasis4 13 6" xfId="16105" xr:uid="{5DEF9030-A9D8-4DBC-9013-DAF5E50407DA}"/>
    <cellStyle name="20% - Énfasis4 13 6 2" xfId="37501" xr:uid="{8C457C68-7180-41C7-AFBF-CF73E2690B3E}"/>
    <cellStyle name="20% - Énfasis4 13 7" xfId="37470" xr:uid="{884D5F48-EED3-4CF2-B779-5BF264E23D7B}"/>
    <cellStyle name="20% - Énfasis4 14" xfId="675" xr:uid="{00697AE9-F4B2-4C5B-8BFB-D19654E24122}"/>
    <cellStyle name="20% - Énfasis4 14 2" xfId="1336" xr:uid="{B83BE5A6-E4AD-4725-9480-FA03825BF6E0}"/>
    <cellStyle name="20% - Énfasis4 14 2 2" xfId="2803" xr:uid="{60BDD255-60F7-4E3D-ADB6-5445E858F558}"/>
    <cellStyle name="20% - Énfasis4 14 2 2 2" xfId="6535" xr:uid="{8D2B2536-BBCD-4483-A927-5D77383FBF5F}"/>
    <cellStyle name="20% - Énfasis4 14 2 2 2 2" xfId="14243" xr:uid="{3C695D26-4FC0-4272-AD47-19AE8B327C13}"/>
    <cellStyle name="20% - Énfasis4 14 2 2 2 2 2" xfId="29655" xr:uid="{BD2C0976-8629-4630-B685-3868074B4F60}"/>
    <cellStyle name="20% - Énfasis4 14 2 2 2 2 2 2" xfId="37507" xr:uid="{3B038CDD-47DE-4438-A6A1-15931F5419CB}"/>
    <cellStyle name="20% - Énfasis4 14 2 2 2 2 3" xfId="37506" xr:uid="{84AE4A80-4B88-4136-9A35-A8DC5A8E7C9B}"/>
    <cellStyle name="20% - Énfasis4 14 2 2 2 3" xfId="21950" xr:uid="{AC00149D-F3A4-474A-88D2-CFFA108C9352}"/>
    <cellStyle name="20% - Énfasis4 14 2 2 2 3 2" xfId="37508" xr:uid="{99FB60BC-95F9-4395-8715-413E413D1C0C}"/>
    <cellStyle name="20% - Énfasis4 14 2 2 2 4" xfId="37505" xr:uid="{662AC5B8-0698-4136-8FEC-81E7A7C2E6D3}"/>
    <cellStyle name="20% - Énfasis4 14 2 2 3" xfId="10514" xr:uid="{CE45DE08-2A0D-459A-AC08-74DEE7013F64}"/>
    <cellStyle name="20% - Énfasis4 14 2 2 3 2" xfId="25927" xr:uid="{DC333463-4D6A-4707-8F23-FD68AF5AA43F}"/>
    <cellStyle name="20% - Énfasis4 14 2 2 3 2 2" xfId="37510" xr:uid="{5B2CD6B0-A525-49A3-9B9B-3F82EEC804B3}"/>
    <cellStyle name="20% - Énfasis4 14 2 2 3 3" xfId="37509" xr:uid="{043D1F9B-5AB6-4AA7-A97E-D448941AE522}"/>
    <cellStyle name="20% - Énfasis4 14 2 2 4" xfId="18222" xr:uid="{BA40C7FB-52E9-4EA4-A4F5-EE2456DB8EBA}"/>
    <cellStyle name="20% - Énfasis4 14 2 2 4 2" xfId="37511" xr:uid="{D8FDA6CA-9A4A-47DE-A668-E8E607A42B81}"/>
    <cellStyle name="20% - Énfasis4 14 2 2 5" xfId="37504" xr:uid="{E3EB9226-7618-46F5-81B4-152623E4067D}"/>
    <cellStyle name="20% - Énfasis4 14 2 3" xfId="5072" xr:uid="{AFAE230C-F1AE-4C5C-B90B-FC1B8D4DF733}"/>
    <cellStyle name="20% - Énfasis4 14 2 3 2" xfId="12780" xr:uid="{1492B655-6673-4BF1-9F1C-2CC52BD8EE8D}"/>
    <cellStyle name="20% - Énfasis4 14 2 3 2 2" xfId="28192" xr:uid="{15FC1993-82E1-4DC1-AADB-1BE9E6BA6A30}"/>
    <cellStyle name="20% - Énfasis4 14 2 3 2 2 2" xfId="37514" xr:uid="{F8CC5361-5016-453F-84A6-F95302EBFD3F}"/>
    <cellStyle name="20% - Énfasis4 14 2 3 2 3" xfId="37513" xr:uid="{18218C27-06EF-4A13-B54E-A5A1E52B113A}"/>
    <cellStyle name="20% - Énfasis4 14 2 3 3" xfId="20487" xr:uid="{91058466-FA5A-4756-8C38-685BA79381C7}"/>
    <cellStyle name="20% - Énfasis4 14 2 3 3 2" xfId="37515" xr:uid="{3AF52A8F-BC87-4682-876D-18A1F5CAD7C4}"/>
    <cellStyle name="20% - Énfasis4 14 2 3 4" xfId="37512" xr:uid="{376FD238-F1BE-4D2C-8AE6-5998B086E413}"/>
    <cellStyle name="20% - Énfasis4 14 2 4" xfId="9055" xr:uid="{4731200A-7B96-401D-BFEA-6D94306F8EC8}"/>
    <cellStyle name="20% - Énfasis4 14 2 4 2" xfId="24468" xr:uid="{5B60CE13-5891-4181-A276-1B3C382CF0CE}"/>
    <cellStyle name="20% - Énfasis4 14 2 4 2 2" xfId="37517" xr:uid="{6354B368-4E0C-4A3D-992E-DA853B8B1854}"/>
    <cellStyle name="20% - Énfasis4 14 2 4 3" xfId="37516" xr:uid="{BED6AE4B-5CDF-458B-95D1-C321AE31396F}"/>
    <cellStyle name="20% - Énfasis4 14 2 5" xfId="16763" xr:uid="{9E56297C-6B21-4796-B1E8-59127CE3755D}"/>
    <cellStyle name="20% - Énfasis4 14 2 5 2" xfId="37518" xr:uid="{182140E1-E6BF-43AF-9DE9-6868BA3BD700}"/>
    <cellStyle name="20% - Énfasis4 14 2 6" xfId="37503" xr:uid="{AD54006C-D2F8-4DA9-926B-5485DB53DB54}"/>
    <cellStyle name="20% - Énfasis4 14 3" xfId="2165" xr:uid="{9165C4E4-1393-4AC4-9B80-B7838A47AE85}"/>
    <cellStyle name="20% - Énfasis4 14 3 2" xfId="5897" xr:uid="{259C240D-96CE-4C99-8728-630BE030FBC7}"/>
    <cellStyle name="20% - Énfasis4 14 3 2 2" xfId="13605" xr:uid="{70A16091-D2F3-422C-96DC-8025AB1A5A44}"/>
    <cellStyle name="20% - Énfasis4 14 3 2 2 2" xfId="29017" xr:uid="{90613422-1AF8-44AB-A063-A997A13C307F}"/>
    <cellStyle name="20% - Énfasis4 14 3 2 2 2 2" xfId="37522" xr:uid="{4EA082EE-CE40-4238-AD40-CFEBA8270F99}"/>
    <cellStyle name="20% - Énfasis4 14 3 2 2 3" xfId="37521" xr:uid="{A6AF9B43-8935-4B57-8E14-BA3FEA5857A6}"/>
    <cellStyle name="20% - Énfasis4 14 3 2 3" xfId="21312" xr:uid="{8B792EFB-3803-44F8-A018-CDFAB42C13B3}"/>
    <cellStyle name="20% - Énfasis4 14 3 2 3 2" xfId="37523" xr:uid="{6F090615-EC66-470C-99A0-3FA2C8C367DF}"/>
    <cellStyle name="20% - Énfasis4 14 3 2 4" xfId="37520" xr:uid="{1CD15930-BFA3-4DCE-97B3-ADD31BE42A79}"/>
    <cellStyle name="20% - Énfasis4 14 3 3" xfId="9876" xr:uid="{269F181B-6127-4670-B21B-BF48858A0A19}"/>
    <cellStyle name="20% - Énfasis4 14 3 3 2" xfId="25289" xr:uid="{9955D804-6EE2-4406-AAF8-77BBC4343AFF}"/>
    <cellStyle name="20% - Énfasis4 14 3 3 2 2" xfId="37525" xr:uid="{8146A497-46B6-4281-8AC6-9DF5C46FA2DF}"/>
    <cellStyle name="20% - Énfasis4 14 3 3 3" xfId="37524" xr:uid="{E00C58F7-C3B3-4D1F-8C5A-602ED54088A7}"/>
    <cellStyle name="20% - Énfasis4 14 3 4" xfId="17584" xr:uid="{7FAB9571-C86A-4FBE-919C-1F1B2FE037B8}"/>
    <cellStyle name="20% - Énfasis4 14 3 4 2" xfId="37526" xr:uid="{A4FD4105-4AF3-4E07-ACF9-2B1605D747DF}"/>
    <cellStyle name="20% - Énfasis4 14 3 5" xfId="37519" xr:uid="{0DA405CB-7163-4231-8229-18D94D998C29}"/>
    <cellStyle name="20% - Énfasis4 14 4" xfId="4420" xr:uid="{FF1FEEB5-7CFE-496B-9FD5-5F0B96D47742}"/>
    <cellStyle name="20% - Énfasis4 14 4 2" xfId="12128" xr:uid="{F53BFEFF-CFFF-45BD-BB5C-41BC5AADFF1A}"/>
    <cellStyle name="20% - Énfasis4 14 4 2 2" xfId="27540" xr:uid="{9B3D327E-57F3-49C6-8904-681EF562C627}"/>
    <cellStyle name="20% - Énfasis4 14 4 2 2 2" xfId="37529" xr:uid="{5A98777C-3398-4902-B5D3-AF298F387ADD}"/>
    <cellStyle name="20% - Énfasis4 14 4 2 3" xfId="37528" xr:uid="{4A150F65-75BF-4888-88D5-B9EB8B4DA41C}"/>
    <cellStyle name="20% - Énfasis4 14 4 3" xfId="19835" xr:uid="{0065887A-DCDA-493E-B6D3-29F23CB3622D}"/>
    <cellStyle name="20% - Énfasis4 14 4 3 2" xfId="37530" xr:uid="{74612C9F-CFAF-41C9-AF9F-DEEE6B54222B}"/>
    <cellStyle name="20% - Énfasis4 14 4 4" xfId="37527" xr:uid="{21EF869A-F91E-4493-A110-6DEFFEC7F5DC}"/>
    <cellStyle name="20% - Énfasis4 14 5" xfId="8417" xr:uid="{EFB78316-F2EE-4F8D-91D6-0A98E87A26B7}"/>
    <cellStyle name="20% - Énfasis4 14 5 2" xfId="23830" xr:uid="{DC28048D-2903-4F7C-ACED-41639546BEC2}"/>
    <cellStyle name="20% - Énfasis4 14 5 2 2" xfId="37532" xr:uid="{EA6EBE3B-BD92-4FF8-917B-DA82C752D49E}"/>
    <cellStyle name="20% - Énfasis4 14 5 3" xfId="37531" xr:uid="{26D44FE2-52FD-4C0C-9126-2E7B7B3028F2}"/>
    <cellStyle name="20% - Énfasis4 14 6" xfId="16125" xr:uid="{77B031E1-6D9E-4310-9E50-6B0E13218138}"/>
    <cellStyle name="20% - Énfasis4 14 6 2" xfId="37533" xr:uid="{7366E9B7-FFBE-4DE5-BACB-B8F97D58E00D}"/>
    <cellStyle name="20% - Énfasis4 14 7" xfId="37502" xr:uid="{16DB8315-1504-4053-9937-8A2B58D448C0}"/>
    <cellStyle name="20% - Énfasis4 15" xfId="695" xr:uid="{B966F91F-AF83-45CF-89A8-127DD27D3BFF}"/>
    <cellStyle name="20% - Énfasis4 15 2" xfId="1356" xr:uid="{268831C2-1ABC-4BBC-B77B-6F58FBF6BDB4}"/>
    <cellStyle name="20% - Énfasis4 15 2 2" xfId="2823" xr:uid="{77391E67-29ED-45C8-A38B-36C7E657D76F}"/>
    <cellStyle name="20% - Énfasis4 15 2 2 2" xfId="6555" xr:uid="{E12434A6-A66E-4260-88EE-630A47247A23}"/>
    <cellStyle name="20% - Énfasis4 15 2 2 2 2" xfId="14263" xr:uid="{A58D25A3-BE93-4BDC-A4D2-AF4BF6C94268}"/>
    <cellStyle name="20% - Énfasis4 15 2 2 2 2 2" xfId="29675" xr:uid="{D4529C9F-3421-4AFC-A5C8-60C84FD3AE57}"/>
    <cellStyle name="20% - Énfasis4 15 2 2 2 2 2 2" xfId="37539" xr:uid="{FB27B7AF-8C26-4EE3-8CA9-3D8B1041BAC5}"/>
    <cellStyle name="20% - Énfasis4 15 2 2 2 2 3" xfId="37538" xr:uid="{99846085-6981-4EE9-A572-DDD1F62A47A1}"/>
    <cellStyle name="20% - Énfasis4 15 2 2 2 3" xfId="21970" xr:uid="{0D4C6976-8BCF-4305-B01F-652B005AA272}"/>
    <cellStyle name="20% - Énfasis4 15 2 2 2 3 2" xfId="37540" xr:uid="{758BED4D-6A29-4548-9BE4-6E6F54BB17A2}"/>
    <cellStyle name="20% - Énfasis4 15 2 2 2 4" xfId="37537" xr:uid="{439C26AE-9D1B-49D1-BB72-B5063DB4171D}"/>
    <cellStyle name="20% - Énfasis4 15 2 2 3" xfId="10534" xr:uid="{CF714D2C-7E5E-4416-94A1-460BD3C8C565}"/>
    <cellStyle name="20% - Énfasis4 15 2 2 3 2" xfId="25947" xr:uid="{6CACEBFA-EB11-49AA-BE86-8EA644F94A12}"/>
    <cellStyle name="20% - Énfasis4 15 2 2 3 2 2" xfId="37542" xr:uid="{D34B9073-C1EC-4F4B-B4A0-DF618A344EB4}"/>
    <cellStyle name="20% - Énfasis4 15 2 2 3 3" xfId="37541" xr:uid="{90D80AF0-525E-41CB-8C10-A8674477568C}"/>
    <cellStyle name="20% - Énfasis4 15 2 2 4" xfId="18242" xr:uid="{C0501716-637C-4EF6-9402-EEFC5F7BD546}"/>
    <cellStyle name="20% - Énfasis4 15 2 2 4 2" xfId="37543" xr:uid="{2072F29D-0318-42F6-B263-DB630C441332}"/>
    <cellStyle name="20% - Énfasis4 15 2 2 5" xfId="37536" xr:uid="{3AB2CB24-B870-4A26-B1F9-9A1A40B734D8}"/>
    <cellStyle name="20% - Énfasis4 15 2 3" xfId="5092" xr:uid="{9CB0EF94-A317-4D14-92E7-227F528FA194}"/>
    <cellStyle name="20% - Énfasis4 15 2 3 2" xfId="12800" xr:uid="{1E97BA67-0520-4537-88BB-85DBDBCF461F}"/>
    <cellStyle name="20% - Énfasis4 15 2 3 2 2" xfId="28212" xr:uid="{D17D78AA-7AC5-457A-83F5-AC64194FAEB7}"/>
    <cellStyle name="20% - Énfasis4 15 2 3 2 2 2" xfId="37546" xr:uid="{B420C3C8-24DE-41E5-91E9-3E978C3C11F6}"/>
    <cellStyle name="20% - Énfasis4 15 2 3 2 3" xfId="37545" xr:uid="{0E9F91BA-CBF1-41BE-9C37-AC7A65F48125}"/>
    <cellStyle name="20% - Énfasis4 15 2 3 3" xfId="20507" xr:uid="{071A8E22-B1B6-4D8D-99EC-2AD70ED2ED5F}"/>
    <cellStyle name="20% - Énfasis4 15 2 3 3 2" xfId="37547" xr:uid="{B8D66B29-76BC-4970-A072-75F588E1B3BC}"/>
    <cellStyle name="20% - Énfasis4 15 2 3 4" xfId="37544" xr:uid="{1A70F192-65F6-4235-9C69-E1214344C31C}"/>
    <cellStyle name="20% - Énfasis4 15 2 4" xfId="9075" xr:uid="{972420A8-54A5-495A-BDA9-AEE32B3F6D03}"/>
    <cellStyle name="20% - Énfasis4 15 2 4 2" xfId="24488" xr:uid="{3E118AFD-BA37-473A-A0E2-FC2CB2218439}"/>
    <cellStyle name="20% - Énfasis4 15 2 4 2 2" xfId="37549" xr:uid="{D6574997-B24F-4939-A3B4-9827C9213F9A}"/>
    <cellStyle name="20% - Énfasis4 15 2 4 3" xfId="37548" xr:uid="{361F51AA-7C2B-45F2-9FAB-485FD86C6C1D}"/>
    <cellStyle name="20% - Énfasis4 15 2 5" xfId="16783" xr:uid="{6F50F3C0-647D-4631-9857-E5E8458D5245}"/>
    <cellStyle name="20% - Énfasis4 15 2 5 2" xfId="37550" xr:uid="{E6601185-A5C3-4C06-8659-741C4978F79C}"/>
    <cellStyle name="20% - Énfasis4 15 2 6" xfId="37535" xr:uid="{602AEFDD-561C-4DAB-8518-9FE69D46E466}"/>
    <cellStyle name="20% - Énfasis4 15 3" xfId="2185" xr:uid="{786D62CC-2D41-4466-A5C0-6C80D356A1A9}"/>
    <cellStyle name="20% - Énfasis4 15 3 2" xfId="5917" xr:uid="{7F0DFE4A-9500-4D90-9775-C11D0D890AD2}"/>
    <cellStyle name="20% - Énfasis4 15 3 2 2" xfId="13625" xr:uid="{19F7ABD7-28DA-4BA0-B6AC-6E68F8DE448B}"/>
    <cellStyle name="20% - Énfasis4 15 3 2 2 2" xfId="29037" xr:uid="{2057676E-1620-4145-984B-52AC0F038094}"/>
    <cellStyle name="20% - Énfasis4 15 3 2 2 2 2" xfId="37554" xr:uid="{7909816B-CC86-40AC-8C6A-CC3B5A749AA3}"/>
    <cellStyle name="20% - Énfasis4 15 3 2 2 3" xfId="37553" xr:uid="{EA600C76-D421-4831-9F68-B8A5235CEF49}"/>
    <cellStyle name="20% - Énfasis4 15 3 2 3" xfId="21332" xr:uid="{B6FD552B-9714-4AC0-B9CD-BCD6346E774C}"/>
    <cellStyle name="20% - Énfasis4 15 3 2 3 2" xfId="37555" xr:uid="{8D3A85A0-849A-48C9-A387-EB4AAACC4C0D}"/>
    <cellStyle name="20% - Énfasis4 15 3 2 4" xfId="37552" xr:uid="{AF7B0DC2-49EB-4BB8-BD18-660A46CC853B}"/>
    <cellStyle name="20% - Énfasis4 15 3 3" xfId="9896" xr:uid="{EC61C40F-97DF-468E-B4CD-94C7FF159B48}"/>
    <cellStyle name="20% - Énfasis4 15 3 3 2" xfId="25309" xr:uid="{17DE0D5C-5800-48FF-966B-15E2D28DFAFA}"/>
    <cellStyle name="20% - Énfasis4 15 3 3 2 2" xfId="37557" xr:uid="{949334B4-E0FF-4086-9119-D253BFAD8639}"/>
    <cellStyle name="20% - Énfasis4 15 3 3 3" xfId="37556" xr:uid="{2EC5A685-043F-45D2-8CBB-9EC17174D6F0}"/>
    <cellStyle name="20% - Énfasis4 15 3 4" xfId="17604" xr:uid="{E63E66F0-24D8-444B-A9B0-5234D2B75684}"/>
    <cellStyle name="20% - Énfasis4 15 3 4 2" xfId="37558" xr:uid="{7E606B08-01AE-4C68-9BA9-1CE37A05BEA7}"/>
    <cellStyle name="20% - Énfasis4 15 3 5" xfId="37551" xr:uid="{6E5171F5-AD6B-4F0B-A68D-5058F39A8E7B}"/>
    <cellStyle name="20% - Énfasis4 15 4" xfId="4440" xr:uid="{2847F34B-5BDA-47A5-9A75-A5B31AB5AD7E}"/>
    <cellStyle name="20% - Énfasis4 15 4 2" xfId="12148" xr:uid="{5A1E457A-042C-43DA-8669-6FE8885B8E6C}"/>
    <cellStyle name="20% - Énfasis4 15 4 2 2" xfId="27560" xr:uid="{0B85B843-03DA-4398-B6AA-587B94998AE2}"/>
    <cellStyle name="20% - Énfasis4 15 4 2 2 2" xfId="37561" xr:uid="{E4E80442-B905-407D-ABA3-1118CAC3B7B7}"/>
    <cellStyle name="20% - Énfasis4 15 4 2 3" xfId="37560" xr:uid="{E8E2F677-499F-4790-8900-2CA75D65A874}"/>
    <cellStyle name="20% - Énfasis4 15 4 3" xfId="19855" xr:uid="{95A46440-CFEA-4F5C-B71B-7FFEEF98EFAF}"/>
    <cellStyle name="20% - Énfasis4 15 4 3 2" xfId="37562" xr:uid="{C5ADE3DE-F5C1-427A-B828-03295BC43CCD}"/>
    <cellStyle name="20% - Énfasis4 15 4 4" xfId="37559" xr:uid="{E43252AB-CE56-49B3-8636-2D44E1872BFC}"/>
    <cellStyle name="20% - Énfasis4 15 5" xfId="8437" xr:uid="{06680121-F101-4F24-85AA-C3E8B8051DE4}"/>
    <cellStyle name="20% - Énfasis4 15 5 2" xfId="23850" xr:uid="{A6E1CB5A-0AF7-438A-81B6-F207A7249F0A}"/>
    <cellStyle name="20% - Énfasis4 15 5 2 2" xfId="37564" xr:uid="{4248570A-C0DC-4E35-AA30-AFB11AF3A07A}"/>
    <cellStyle name="20% - Énfasis4 15 5 3" xfId="37563" xr:uid="{79FF3B06-EB66-406D-9054-7E4CD19EFB50}"/>
    <cellStyle name="20% - Énfasis4 15 6" xfId="16145" xr:uid="{84049ACC-4B68-4CBF-9C37-17597F2A4A7A}"/>
    <cellStyle name="20% - Énfasis4 15 6 2" xfId="37565" xr:uid="{C7A23431-F9B7-4DB6-876F-2A75D56B26C7}"/>
    <cellStyle name="20% - Énfasis4 15 7" xfId="37534" xr:uid="{7DE875C1-0DBE-4645-8AF9-27C7259E3877}"/>
    <cellStyle name="20% - Énfasis4 16" xfId="716" xr:uid="{2A022DFA-9B16-4203-83AD-83F4494648E7}"/>
    <cellStyle name="20% - Énfasis4 16 2" xfId="1377" xr:uid="{F85E2202-83D0-4898-810B-494881DF6345}"/>
    <cellStyle name="20% - Énfasis4 16 2 2" xfId="2844" xr:uid="{CE28C11C-390D-4D4D-B04C-B22FC2AED818}"/>
    <cellStyle name="20% - Énfasis4 16 2 2 2" xfId="6576" xr:uid="{E67876E8-7616-47BE-AC31-8D0A163BF450}"/>
    <cellStyle name="20% - Énfasis4 16 2 2 2 2" xfId="14284" xr:uid="{60916988-7698-47DC-ADD3-4C4D7F2CCCEE}"/>
    <cellStyle name="20% - Énfasis4 16 2 2 2 2 2" xfId="29696" xr:uid="{05A19F02-9C61-4879-A89E-2951E6A7D47A}"/>
    <cellStyle name="20% - Énfasis4 16 2 2 2 2 2 2" xfId="37571" xr:uid="{DD93C598-31C8-4456-B56F-03263CDD11E9}"/>
    <cellStyle name="20% - Énfasis4 16 2 2 2 2 3" xfId="37570" xr:uid="{61341912-878B-43A8-B6BE-B06ADAA89C30}"/>
    <cellStyle name="20% - Énfasis4 16 2 2 2 3" xfId="21991" xr:uid="{3FA1AA29-970C-4569-8F2E-2F72521B6799}"/>
    <cellStyle name="20% - Énfasis4 16 2 2 2 3 2" xfId="37572" xr:uid="{DBD965D9-44CC-4FD3-BE59-BF13C05702DE}"/>
    <cellStyle name="20% - Énfasis4 16 2 2 2 4" xfId="37569" xr:uid="{535A4786-FCA7-41B4-B4E1-C5D40E83A720}"/>
    <cellStyle name="20% - Énfasis4 16 2 2 3" xfId="10555" xr:uid="{E8030C6E-FF84-46DD-B7C1-BBBADDD422B6}"/>
    <cellStyle name="20% - Énfasis4 16 2 2 3 2" xfId="25968" xr:uid="{5EA97B33-87CB-47E2-ABD4-FB44CBAB8A64}"/>
    <cellStyle name="20% - Énfasis4 16 2 2 3 2 2" xfId="37574" xr:uid="{43FC03FA-25EA-4A4F-802A-B63EB96AC736}"/>
    <cellStyle name="20% - Énfasis4 16 2 2 3 3" xfId="37573" xr:uid="{5F3F84DF-99DF-4604-AFFA-95063E4CDCEB}"/>
    <cellStyle name="20% - Énfasis4 16 2 2 4" xfId="18263" xr:uid="{2DA87E43-4417-4E05-B500-EB17232A867A}"/>
    <cellStyle name="20% - Énfasis4 16 2 2 4 2" xfId="37575" xr:uid="{D04DE8BB-9134-4914-8C94-FF16C6C94055}"/>
    <cellStyle name="20% - Énfasis4 16 2 2 5" xfId="37568" xr:uid="{AC9B7694-D3D0-4806-A3F5-CFB604EFABB4}"/>
    <cellStyle name="20% - Énfasis4 16 2 3" xfId="5113" xr:uid="{EF9BFD1E-1570-4957-ADFF-5851CC62AA9E}"/>
    <cellStyle name="20% - Énfasis4 16 2 3 2" xfId="12821" xr:uid="{9648EE44-1219-42D2-A7FF-EA827D06B2E7}"/>
    <cellStyle name="20% - Énfasis4 16 2 3 2 2" xfId="28233" xr:uid="{778FDB24-F394-48EE-85FB-D7C87BEDA9E9}"/>
    <cellStyle name="20% - Énfasis4 16 2 3 2 2 2" xfId="37578" xr:uid="{C1D30D4F-E8C2-4643-848C-61FB9DFF0878}"/>
    <cellStyle name="20% - Énfasis4 16 2 3 2 3" xfId="37577" xr:uid="{70DE36C5-3145-4081-94D5-528143810BFD}"/>
    <cellStyle name="20% - Énfasis4 16 2 3 3" xfId="20528" xr:uid="{34DD5EE2-24DB-4748-B77A-F95C23DB154E}"/>
    <cellStyle name="20% - Énfasis4 16 2 3 3 2" xfId="37579" xr:uid="{A4FB3D67-9106-4EC9-8DB6-0D4C14A30F84}"/>
    <cellStyle name="20% - Énfasis4 16 2 3 4" xfId="37576" xr:uid="{47CDBC7C-C39C-4580-95D1-676838EB757F}"/>
    <cellStyle name="20% - Énfasis4 16 2 4" xfId="9096" xr:uid="{273983FE-2635-48F4-BB6A-34A9D3D75DC0}"/>
    <cellStyle name="20% - Énfasis4 16 2 4 2" xfId="24509" xr:uid="{07EBB9E6-41BC-4CA3-A31B-20DBC809754A}"/>
    <cellStyle name="20% - Énfasis4 16 2 4 2 2" xfId="37581" xr:uid="{6A558862-61EE-4612-A24F-4A6FA4183DA0}"/>
    <cellStyle name="20% - Énfasis4 16 2 4 3" xfId="37580" xr:uid="{2CBA22C5-C28D-47E5-9F8F-F3951ECB640A}"/>
    <cellStyle name="20% - Énfasis4 16 2 5" xfId="16804" xr:uid="{99863393-6D5A-4697-B559-3F2BF9C5C317}"/>
    <cellStyle name="20% - Énfasis4 16 2 5 2" xfId="37582" xr:uid="{D3FB9C10-606E-491C-86F7-27E008C7DEA7}"/>
    <cellStyle name="20% - Énfasis4 16 2 6" xfId="37567" xr:uid="{4F38BFE1-678E-4865-BDC5-8C3776A9322E}"/>
    <cellStyle name="20% - Énfasis4 16 3" xfId="2206" xr:uid="{B0561470-BA6A-4E63-B64D-B95F39574443}"/>
    <cellStyle name="20% - Énfasis4 16 3 2" xfId="5938" xr:uid="{C8AB1064-140A-4231-89C5-01C240EAA5EA}"/>
    <cellStyle name="20% - Énfasis4 16 3 2 2" xfId="13646" xr:uid="{3457CCF9-EFB5-4D32-8DFD-AFA0ADA45137}"/>
    <cellStyle name="20% - Énfasis4 16 3 2 2 2" xfId="29058" xr:uid="{77C782A6-29E8-4DDB-BDB4-7E4071B0F8BB}"/>
    <cellStyle name="20% - Énfasis4 16 3 2 2 2 2" xfId="37586" xr:uid="{62CD6931-DA23-4436-A58B-C3809C49601E}"/>
    <cellStyle name="20% - Énfasis4 16 3 2 2 3" xfId="37585" xr:uid="{3A75126F-5360-4E90-A735-8AF6FFB503FA}"/>
    <cellStyle name="20% - Énfasis4 16 3 2 3" xfId="21353" xr:uid="{22CAECFF-A511-4EEA-A5CA-AE478B0C5D61}"/>
    <cellStyle name="20% - Énfasis4 16 3 2 3 2" xfId="37587" xr:uid="{5978DCD2-7DB2-4053-92B8-6A76CAF38748}"/>
    <cellStyle name="20% - Énfasis4 16 3 2 4" xfId="37584" xr:uid="{5711E619-AA3C-4B20-AE1E-D98A88A462B4}"/>
    <cellStyle name="20% - Énfasis4 16 3 3" xfId="9917" xr:uid="{08C46F8D-DBA8-4405-B4AE-9BEB3F445CC8}"/>
    <cellStyle name="20% - Énfasis4 16 3 3 2" xfId="25330" xr:uid="{CD91610E-25D2-4209-90BF-360C191F4847}"/>
    <cellStyle name="20% - Énfasis4 16 3 3 2 2" xfId="37589" xr:uid="{B554438F-79E7-4ADB-80AB-A9C8F0C0E375}"/>
    <cellStyle name="20% - Énfasis4 16 3 3 3" xfId="37588" xr:uid="{60C202EF-E6F9-4736-B8DE-523DA28220C3}"/>
    <cellStyle name="20% - Énfasis4 16 3 4" xfId="17625" xr:uid="{56A10ACB-D0C0-4C50-8B55-9A1158CBC029}"/>
    <cellStyle name="20% - Énfasis4 16 3 4 2" xfId="37590" xr:uid="{1CA53819-817E-40F4-BC86-F3BC1C0CF2FF}"/>
    <cellStyle name="20% - Énfasis4 16 3 5" xfId="37583" xr:uid="{A901193D-6411-4CE9-A184-AE34097E1AB1}"/>
    <cellStyle name="20% - Énfasis4 16 4" xfId="4461" xr:uid="{5C096AA7-D889-48E0-A582-E2F0E448BE81}"/>
    <cellStyle name="20% - Énfasis4 16 4 2" xfId="12169" xr:uid="{7FD916F4-4371-4577-9BC5-002D167B640F}"/>
    <cellStyle name="20% - Énfasis4 16 4 2 2" xfId="27581" xr:uid="{20563607-1990-45B4-B635-BAFFEC9398C3}"/>
    <cellStyle name="20% - Énfasis4 16 4 2 2 2" xfId="37593" xr:uid="{FCF5BFE9-2CED-4AEA-8C8F-C8847260BA08}"/>
    <cellStyle name="20% - Énfasis4 16 4 2 3" xfId="37592" xr:uid="{2D669709-55E5-49E6-98FF-CFC112996C2D}"/>
    <cellStyle name="20% - Énfasis4 16 4 3" xfId="19876" xr:uid="{C65BCE84-D0D8-41EA-9270-0ABE492EE93C}"/>
    <cellStyle name="20% - Énfasis4 16 4 3 2" xfId="37594" xr:uid="{A8D0458D-51B3-4A86-86DD-258E493B3651}"/>
    <cellStyle name="20% - Énfasis4 16 4 4" xfId="37591" xr:uid="{CFEBD5EF-11AE-4BB7-A1C3-E7A020021BF2}"/>
    <cellStyle name="20% - Énfasis4 16 5" xfId="8458" xr:uid="{B9528621-C805-40D9-A7F4-AD07CA2D3DFA}"/>
    <cellStyle name="20% - Énfasis4 16 5 2" xfId="23871" xr:uid="{CF1A297C-BC8A-4850-97AB-F19CB2BE5F71}"/>
    <cellStyle name="20% - Énfasis4 16 5 2 2" xfId="37596" xr:uid="{039D7D12-2C16-4B37-A338-550F147FA38F}"/>
    <cellStyle name="20% - Énfasis4 16 5 3" xfId="37595" xr:uid="{494E014C-383E-445B-9A04-338F0537AE26}"/>
    <cellStyle name="20% - Énfasis4 16 6" xfId="16166" xr:uid="{80478D37-A655-4D04-98BD-41752C45A998}"/>
    <cellStyle name="20% - Énfasis4 16 6 2" xfId="37597" xr:uid="{5A56271D-2851-4C6C-A1D9-FF6F39A93AC6}"/>
    <cellStyle name="20% - Énfasis4 16 7" xfId="37566" xr:uid="{0ED0DB91-1E1C-4577-AE50-EDC1EB533E6D}"/>
    <cellStyle name="20% - Énfasis4 17" xfId="736" xr:uid="{6B174596-E50F-45CA-B90E-D6A59B27CB1A}"/>
    <cellStyle name="20% - Énfasis4 17 2" xfId="1397" xr:uid="{595DC5FA-6996-4BDD-AF91-0FA3C67DF2ED}"/>
    <cellStyle name="20% - Énfasis4 17 2 2" xfId="2864" xr:uid="{74690ABA-18E6-4F88-B467-6CDD3293E7E3}"/>
    <cellStyle name="20% - Énfasis4 17 2 2 2" xfId="6596" xr:uid="{9EC55831-6800-4972-BD4C-E821C5A4FD2F}"/>
    <cellStyle name="20% - Énfasis4 17 2 2 2 2" xfId="14304" xr:uid="{B7F5E64D-B36B-4EF8-8F19-93709BED5947}"/>
    <cellStyle name="20% - Énfasis4 17 2 2 2 2 2" xfId="29716" xr:uid="{80F2F178-C0AE-4410-BA5B-37B9439E5F3F}"/>
    <cellStyle name="20% - Énfasis4 17 2 2 2 2 2 2" xfId="37603" xr:uid="{06F3393A-20EF-4E57-8BDB-2A3478272EED}"/>
    <cellStyle name="20% - Énfasis4 17 2 2 2 2 3" xfId="37602" xr:uid="{1EECED7B-E3E9-4264-AB89-553E38D99AFE}"/>
    <cellStyle name="20% - Énfasis4 17 2 2 2 3" xfId="22011" xr:uid="{4F501084-57D6-485B-8C35-9C6646039521}"/>
    <cellStyle name="20% - Énfasis4 17 2 2 2 3 2" xfId="37604" xr:uid="{1A1E6677-73BF-4BF5-8FB6-D6D3F9171038}"/>
    <cellStyle name="20% - Énfasis4 17 2 2 2 4" xfId="37601" xr:uid="{7085D521-1F60-4DA8-A63C-DC45B07921B9}"/>
    <cellStyle name="20% - Énfasis4 17 2 2 3" xfId="10575" xr:uid="{9D2F878F-A1F4-47EA-989A-2A7978247F92}"/>
    <cellStyle name="20% - Énfasis4 17 2 2 3 2" xfId="25988" xr:uid="{993B9351-A4EC-46D3-ABCA-4DD4BE829DD3}"/>
    <cellStyle name="20% - Énfasis4 17 2 2 3 2 2" xfId="37606" xr:uid="{810974A2-5FA1-4E25-A52C-67BD119176E8}"/>
    <cellStyle name="20% - Énfasis4 17 2 2 3 3" xfId="37605" xr:uid="{3C45A997-DA90-43B3-8583-0B9FC40A2376}"/>
    <cellStyle name="20% - Énfasis4 17 2 2 4" xfId="18283" xr:uid="{D351278D-0145-4FDD-BC16-1E0A6E639742}"/>
    <cellStyle name="20% - Énfasis4 17 2 2 4 2" xfId="37607" xr:uid="{5096ACB5-4A72-4697-A55A-3BC43BF6A00E}"/>
    <cellStyle name="20% - Énfasis4 17 2 2 5" xfId="37600" xr:uid="{1E9D5DA5-89DA-4A33-88B0-1F63D74F8805}"/>
    <cellStyle name="20% - Énfasis4 17 2 3" xfId="5133" xr:uid="{F25E330D-2171-4CB8-85A6-3D3A08461348}"/>
    <cellStyle name="20% - Énfasis4 17 2 3 2" xfId="12841" xr:uid="{C87E81FC-FBDE-4F01-9352-091DAE979AAE}"/>
    <cellStyle name="20% - Énfasis4 17 2 3 2 2" xfId="28253" xr:uid="{63147320-1589-4B61-8F0E-BEA7206092E9}"/>
    <cellStyle name="20% - Énfasis4 17 2 3 2 2 2" xfId="37610" xr:uid="{966D3E94-9340-449C-A3B4-77D8998DA275}"/>
    <cellStyle name="20% - Énfasis4 17 2 3 2 3" xfId="37609" xr:uid="{443E300A-4779-4873-B378-B75FE4989C66}"/>
    <cellStyle name="20% - Énfasis4 17 2 3 3" xfId="20548" xr:uid="{4E10565F-2360-433A-BB54-48C3670FEF35}"/>
    <cellStyle name="20% - Énfasis4 17 2 3 3 2" xfId="37611" xr:uid="{00701B9A-1A1B-4DFD-AA4D-9B6B1FB2EA21}"/>
    <cellStyle name="20% - Énfasis4 17 2 3 4" xfId="37608" xr:uid="{240321BE-07D5-49BC-BBAC-D18D8B89CBD7}"/>
    <cellStyle name="20% - Énfasis4 17 2 4" xfId="9116" xr:uid="{B9985958-28B2-4787-92F7-2DD832A2CE19}"/>
    <cellStyle name="20% - Énfasis4 17 2 4 2" xfId="24529" xr:uid="{1E8361BE-792B-4078-AEB0-F24BFFE10C20}"/>
    <cellStyle name="20% - Énfasis4 17 2 4 2 2" xfId="37613" xr:uid="{1BFC424B-3E97-4846-832E-4ED6E94AC88E}"/>
    <cellStyle name="20% - Énfasis4 17 2 4 3" xfId="37612" xr:uid="{46A748C8-628B-4F1C-AD26-A1B52DCF2BC2}"/>
    <cellStyle name="20% - Énfasis4 17 2 5" xfId="16824" xr:uid="{7A7A5669-6E53-4E54-B457-5AFB4CEB73A1}"/>
    <cellStyle name="20% - Énfasis4 17 2 5 2" xfId="37614" xr:uid="{DFBFC792-8FC0-4C3F-AC93-F0BF802BADF1}"/>
    <cellStyle name="20% - Énfasis4 17 2 6" xfId="37599" xr:uid="{10FCE039-3589-446B-B792-B73938133A97}"/>
    <cellStyle name="20% - Énfasis4 17 3" xfId="2226" xr:uid="{D23083A9-E842-48F2-AB1B-1627E22961AF}"/>
    <cellStyle name="20% - Énfasis4 17 3 2" xfId="5958" xr:uid="{29CFFC51-989D-4794-9D06-0EC3AE9665C3}"/>
    <cellStyle name="20% - Énfasis4 17 3 2 2" xfId="13666" xr:uid="{8E1DBA67-82C5-4A12-A769-2F81B7CA3178}"/>
    <cellStyle name="20% - Énfasis4 17 3 2 2 2" xfId="29078" xr:uid="{76D917E5-A5E6-4429-8092-8F05135232A4}"/>
    <cellStyle name="20% - Énfasis4 17 3 2 2 2 2" xfId="37618" xr:uid="{F588AE44-B4E5-4E60-9556-EA5E8173651A}"/>
    <cellStyle name="20% - Énfasis4 17 3 2 2 3" xfId="37617" xr:uid="{85A40A06-7990-4E81-84AC-72F716C57E31}"/>
    <cellStyle name="20% - Énfasis4 17 3 2 3" xfId="21373" xr:uid="{823D02A3-D87A-496A-8D8A-FAE56B3A00A2}"/>
    <cellStyle name="20% - Énfasis4 17 3 2 3 2" xfId="37619" xr:uid="{3C1FA028-9CCE-4798-A48B-846C26126A0C}"/>
    <cellStyle name="20% - Énfasis4 17 3 2 4" xfId="37616" xr:uid="{2DEC6C44-2AA0-4A00-8A18-15942C7E30E2}"/>
    <cellStyle name="20% - Énfasis4 17 3 3" xfId="9937" xr:uid="{9F5AADD1-E9BA-4F63-929E-215CCC2D5A3D}"/>
    <cellStyle name="20% - Énfasis4 17 3 3 2" xfId="25350" xr:uid="{AF0DFEB5-A6D8-4485-8519-440B57B52A5A}"/>
    <cellStyle name="20% - Énfasis4 17 3 3 2 2" xfId="37621" xr:uid="{FD2E629F-5221-4562-8DF3-F1E40C3B46F0}"/>
    <cellStyle name="20% - Énfasis4 17 3 3 3" xfId="37620" xr:uid="{0E7D1CED-084B-4E68-B36A-77D9950B2FD9}"/>
    <cellStyle name="20% - Énfasis4 17 3 4" xfId="17645" xr:uid="{7E306AF7-B3BB-4AF0-B8E3-0425BC7948A6}"/>
    <cellStyle name="20% - Énfasis4 17 3 4 2" xfId="37622" xr:uid="{584AC502-C14F-438D-B918-CB8D73F27A3C}"/>
    <cellStyle name="20% - Énfasis4 17 3 5" xfId="37615" xr:uid="{539C6F53-D76A-4F4A-8735-C66A670A1684}"/>
    <cellStyle name="20% - Énfasis4 17 4" xfId="4481" xr:uid="{27663CD3-5155-4C3B-AD72-8048D4CDD6CB}"/>
    <cellStyle name="20% - Énfasis4 17 4 2" xfId="12189" xr:uid="{45976ADA-DD4E-410A-8AE5-22FAFBF1AD74}"/>
    <cellStyle name="20% - Énfasis4 17 4 2 2" xfId="27601" xr:uid="{A1EA4C0D-578C-402B-8453-7355E8E61D1C}"/>
    <cellStyle name="20% - Énfasis4 17 4 2 2 2" xfId="37625" xr:uid="{E0EEA288-AC87-497A-AED7-96C0045942E0}"/>
    <cellStyle name="20% - Énfasis4 17 4 2 3" xfId="37624" xr:uid="{9B036CE7-37B0-487C-AE34-4E848805F682}"/>
    <cellStyle name="20% - Énfasis4 17 4 3" xfId="19896" xr:uid="{EBE7B3CD-3894-4BD3-A083-6FD80E9ABACC}"/>
    <cellStyle name="20% - Énfasis4 17 4 3 2" xfId="37626" xr:uid="{CBE38883-A4E1-470C-A6D7-47EE8370ABF2}"/>
    <cellStyle name="20% - Énfasis4 17 4 4" xfId="37623" xr:uid="{CD6ED9BA-459C-4EBA-B502-BED3E314A514}"/>
    <cellStyle name="20% - Énfasis4 17 5" xfId="8478" xr:uid="{81565439-2312-4336-9C39-32CF8FE33C76}"/>
    <cellStyle name="20% - Énfasis4 17 5 2" xfId="23891" xr:uid="{76521B3C-B6A5-46F1-9021-4E76EBE1B5C0}"/>
    <cellStyle name="20% - Énfasis4 17 5 2 2" xfId="37628" xr:uid="{7F9BC6CA-A6D0-41E0-BF45-B3EFDD77170E}"/>
    <cellStyle name="20% - Énfasis4 17 5 3" xfId="37627" xr:uid="{8FEEC382-1869-4410-A75A-52673F0FFE99}"/>
    <cellStyle name="20% - Énfasis4 17 6" xfId="16186" xr:uid="{2BFB01FF-8CB2-436B-BF87-0528AC407C29}"/>
    <cellStyle name="20% - Énfasis4 17 6 2" xfId="37629" xr:uid="{A1D794A9-0251-424C-8D4A-4BDFD60DE8A7}"/>
    <cellStyle name="20% - Énfasis4 17 7" xfId="37598" xr:uid="{748E8B16-1122-4448-A031-3B037ED1A16C}"/>
    <cellStyle name="20% - Énfasis4 18" xfId="756" xr:uid="{FED7E3C2-C1DF-4B32-8F38-6B45510884E3}"/>
    <cellStyle name="20% - Énfasis4 18 2" xfId="1417" xr:uid="{3CD41EC6-2056-4309-978E-E5B611FA5BEF}"/>
    <cellStyle name="20% - Énfasis4 18 2 2" xfId="2884" xr:uid="{1C7FAE0D-F3F7-4B66-80A7-3A314D5CAF5E}"/>
    <cellStyle name="20% - Énfasis4 18 2 2 2" xfId="6616" xr:uid="{8274E3C5-E195-4B42-B5C6-B67083B46528}"/>
    <cellStyle name="20% - Énfasis4 18 2 2 2 2" xfId="14324" xr:uid="{260AE1FE-CBAD-44EE-8EEA-38B60528A706}"/>
    <cellStyle name="20% - Énfasis4 18 2 2 2 2 2" xfId="29736" xr:uid="{7BE026F6-4E64-4EB9-ADC9-0C63BECB304E}"/>
    <cellStyle name="20% - Énfasis4 18 2 2 2 2 2 2" xfId="37635" xr:uid="{BBDB2411-FFAB-4360-B218-949747C25ED6}"/>
    <cellStyle name="20% - Énfasis4 18 2 2 2 2 3" xfId="37634" xr:uid="{B98BD9CE-491E-4D52-902A-26BB24B74399}"/>
    <cellStyle name="20% - Énfasis4 18 2 2 2 3" xfId="22031" xr:uid="{121E90D7-FD61-457A-B45E-552C798911A6}"/>
    <cellStyle name="20% - Énfasis4 18 2 2 2 3 2" xfId="37636" xr:uid="{3299D6B1-DA9C-4088-A3C0-3EF745DC5D7A}"/>
    <cellStyle name="20% - Énfasis4 18 2 2 2 4" xfId="37633" xr:uid="{BD48820A-CEF8-4310-A5BC-B54513AAF4B7}"/>
    <cellStyle name="20% - Énfasis4 18 2 2 3" xfId="10595" xr:uid="{8ADEF2C6-E9F0-4AF9-B7AF-02DCA72D6A9D}"/>
    <cellStyle name="20% - Énfasis4 18 2 2 3 2" xfId="26008" xr:uid="{3DEAA9BB-EFB2-4D83-A4EE-4987A6767DB1}"/>
    <cellStyle name="20% - Énfasis4 18 2 2 3 2 2" xfId="37638" xr:uid="{89770182-5554-4B1D-888C-82F017C97A2F}"/>
    <cellStyle name="20% - Énfasis4 18 2 2 3 3" xfId="37637" xr:uid="{4F8A9152-D1F4-48AC-A1E4-906241E8D440}"/>
    <cellStyle name="20% - Énfasis4 18 2 2 4" xfId="18303" xr:uid="{D7B7544A-4F7D-4CB5-B6A6-3C1BF16E9A66}"/>
    <cellStyle name="20% - Énfasis4 18 2 2 4 2" xfId="37639" xr:uid="{8C7D666C-8E8E-47D9-9F04-B12235F44B83}"/>
    <cellStyle name="20% - Énfasis4 18 2 2 5" xfId="37632" xr:uid="{D6A105D9-55ED-4FB4-B518-485DC99F0FA2}"/>
    <cellStyle name="20% - Énfasis4 18 2 3" xfId="5153" xr:uid="{0706DEEB-3FF3-43A3-94C6-5AF606C5B198}"/>
    <cellStyle name="20% - Énfasis4 18 2 3 2" xfId="12861" xr:uid="{48256937-09C4-40BF-BCC2-8489FCB86828}"/>
    <cellStyle name="20% - Énfasis4 18 2 3 2 2" xfId="28273" xr:uid="{DCCC0D4B-4F1B-453B-BB73-7529E17582A0}"/>
    <cellStyle name="20% - Énfasis4 18 2 3 2 2 2" xfId="37642" xr:uid="{C3D117FB-7AA2-4C55-A5ED-FD8E5CB5FC95}"/>
    <cellStyle name="20% - Énfasis4 18 2 3 2 3" xfId="37641" xr:uid="{BC1CC817-1BC1-4214-A1F2-BDF79D7A7E02}"/>
    <cellStyle name="20% - Énfasis4 18 2 3 3" xfId="20568" xr:uid="{29533E8F-4039-40AC-BB84-595EFD053F5D}"/>
    <cellStyle name="20% - Énfasis4 18 2 3 3 2" xfId="37643" xr:uid="{4E0600AB-FDE6-41AA-81AA-BE9E4BCD6D58}"/>
    <cellStyle name="20% - Énfasis4 18 2 3 4" xfId="37640" xr:uid="{C9DEAE8B-7943-42BE-BC91-2F2D828788F6}"/>
    <cellStyle name="20% - Énfasis4 18 2 4" xfId="9136" xr:uid="{6C62BCB9-C6CD-4CCC-95B7-6A8978AB6E0B}"/>
    <cellStyle name="20% - Énfasis4 18 2 4 2" xfId="24549" xr:uid="{D21CFCDA-CA19-40C8-A315-452AFF5B6EC8}"/>
    <cellStyle name="20% - Énfasis4 18 2 4 2 2" xfId="37645" xr:uid="{4515D62B-8728-4906-AEB5-F35887D9239E}"/>
    <cellStyle name="20% - Énfasis4 18 2 4 3" xfId="37644" xr:uid="{A0D42EC5-B1FD-4A37-AB8C-C32F32014C8E}"/>
    <cellStyle name="20% - Énfasis4 18 2 5" xfId="16844" xr:uid="{9BAC2688-C1D9-498D-8B31-6AB33CE88000}"/>
    <cellStyle name="20% - Énfasis4 18 2 5 2" xfId="37646" xr:uid="{26839115-19A8-4156-BC12-C817361FD3D1}"/>
    <cellStyle name="20% - Énfasis4 18 2 6" xfId="37631" xr:uid="{D2127183-5622-4E16-8F7E-54CBD19726B7}"/>
    <cellStyle name="20% - Énfasis4 18 3" xfId="2246" xr:uid="{E856D8FA-C7CA-4659-99B1-068382D3C6AA}"/>
    <cellStyle name="20% - Énfasis4 18 3 2" xfId="5978" xr:uid="{7B3A6665-BA39-4783-AA15-8D3EB5BC46E9}"/>
    <cellStyle name="20% - Énfasis4 18 3 2 2" xfId="13686" xr:uid="{9AB00B9E-4049-429E-A060-4F294441C43B}"/>
    <cellStyle name="20% - Énfasis4 18 3 2 2 2" xfId="29098" xr:uid="{5F8E62B2-B3C1-4F96-B252-0068D3ABBE5D}"/>
    <cellStyle name="20% - Énfasis4 18 3 2 2 2 2" xfId="37650" xr:uid="{4D18AF60-39E4-466D-BAB6-07AAB4BEEB5A}"/>
    <cellStyle name="20% - Énfasis4 18 3 2 2 3" xfId="37649" xr:uid="{E328174F-AAEF-4223-BD88-39E742DFC041}"/>
    <cellStyle name="20% - Énfasis4 18 3 2 3" xfId="21393" xr:uid="{71501BA5-D7A2-487C-BFE4-526202927420}"/>
    <cellStyle name="20% - Énfasis4 18 3 2 3 2" xfId="37651" xr:uid="{D975564D-EBD0-4685-AFC8-2727B7871D74}"/>
    <cellStyle name="20% - Énfasis4 18 3 2 4" xfId="37648" xr:uid="{FC254D18-E3EF-401C-8EBD-5909117BD669}"/>
    <cellStyle name="20% - Énfasis4 18 3 3" xfId="9957" xr:uid="{908B91D3-56C5-43AF-89DA-5A109B8328F9}"/>
    <cellStyle name="20% - Énfasis4 18 3 3 2" xfId="25370" xr:uid="{46FEE8D6-5962-4F5E-99DC-9FA8E8554663}"/>
    <cellStyle name="20% - Énfasis4 18 3 3 2 2" xfId="37653" xr:uid="{219154A5-D61C-483E-ABCA-F7C111AA997D}"/>
    <cellStyle name="20% - Énfasis4 18 3 3 3" xfId="37652" xr:uid="{DA7971CC-3490-4E26-9AA6-45B80907A322}"/>
    <cellStyle name="20% - Énfasis4 18 3 4" xfId="17665" xr:uid="{8602AB60-2CFB-4D80-812E-153F8ED26573}"/>
    <cellStyle name="20% - Énfasis4 18 3 4 2" xfId="37654" xr:uid="{F4D95CE5-9336-4635-AACF-04925A99B2A8}"/>
    <cellStyle name="20% - Énfasis4 18 3 5" xfId="37647" xr:uid="{6954DC7C-A35B-4015-ADAD-D49DDCFB9677}"/>
    <cellStyle name="20% - Énfasis4 18 4" xfId="4501" xr:uid="{47C9C26F-9D4B-4CEB-BB16-E6A5DED41356}"/>
    <cellStyle name="20% - Énfasis4 18 4 2" xfId="12209" xr:uid="{714D7F28-E432-401B-8D66-0B83526A2533}"/>
    <cellStyle name="20% - Énfasis4 18 4 2 2" xfId="27621" xr:uid="{9CF7CB0D-F472-47E2-AF9D-74FC2500F20A}"/>
    <cellStyle name="20% - Énfasis4 18 4 2 2 2" xfId="37657" xr:uid="{47FCEF13-FAB2-4EEF-96A0-7A7F535E70D5}"/>
    <cellStyle name="20% - Énfasis4 18 4 2 3" xfId="37656" xr:uid="{1A8428FB-B61F-4EC8-B450-E6B36AC7FD22}"/>
    <cellStyle name="20% - Énfasis4 18 4 3" xfId="19916" xr:uid="{2C6B20E6-6FD6-4C8F-8556-BD95CF1AEAB8}"/>
    <cellStyle name="20% - Énfasis4 18 4 3 2" xfId="37658" xr:uid="{43114524-0955-480A-A8AD-2A654B77CE1A}"/>
    <cellStyle name="20% - Énfasis4 18 4 4" xfId="37655" xr:uid="{9CDC15C7-729A-46BE-92ED-45DC44335D07}"/>
    <cellStyle name="20% - Énfasis4 18 5" xfId="8498" xr:uid="{B76EDA3D-CC6D-4E91-981D-180B521A3E29}"/>
    <cellStyle name="20% - Énfasis4 18 5 2" xfId="23911" xr:uid="{22E48BBF-389B-4BA2-914F-81F5BA85A379}"/>
    <cellStyle name="20% - Énfasis4 18 5 2 2" xfId="37660" xr:uid="{F1B0A803-EC56-4668-8129-656A616EE5A0}"/>
    <cellStyle name="20% - Énfasis4 18 5 3" xfId="37659" xr:uid="{2D91E7D3-0693-45BE-BCAF-FCA523BC17F1}"/>
    <cellStyle name="20% - Énfasis4 18 6" xfId="16206" xr:uid="{F89C6556-1D34-4438-A3D1-65DC0BAA9BAB}"/>
    <cellStyle name="20% - Énfasis4 18 6 2" xfId="37661" xr:uid="{AAB81788-E269-4116-A383-4DA4C9DBC95F}"/>
    <cellStyle name="20% - Énfasis4 18 7" xfId="37630" xr:uid="{E26533CC-2CFC-464E-A3EA-F6F30AB90DC4}"/>
    <cellStyle name="20% - Énfasis4 19" xfId="775" xr:uid="{24E8EF18-1262-4DC2-8D5A-7A7BC839B405}"/>
    <cellStyle name="20% - Énfasis4 19 2" xfId="2265" xr:uid="{CED2F100-1EC2-40A4-977A-1538A28F8FE6}"/>
    <cellStyle name="20% - Énfasis4 19 2 2" xfId="5997" xr:uid="{1A41441D-0324-42C4-925E-282CF43987AE}"/>
    <cellStyle name="20% - Énfasis4 19 2 2 2" xfId="13705" xr:uid="{A877B78D-F553-48A1-AE2A-66ADB65892D7}"/>
    <cellStyle name="20% - Énfasis4 19 2 2 2 2" xfId="29117" xr:uid="{77CFE3A5-4F6E-46B2-AF5C-E6F1773B9E18}"/>
    <cellStyle name="20% - Énfasis4 19 2 2 2 2 2" xfId="37666" xr:uid="{886AE2B2-15E2-42BE-B092-C42127E40F60}"/>
    <cellStyle name="20% - Énfasis4 19 2 2 2 3" xfId="37665" xr:uid="{C30B5501-3C75-4AA3-AF9E-EC676F89FAB9}"/>
    <cellStyle name="20% - Énfasis4 19 2 2 3" xfId="21412" xr:uid="{6771791F-6311-42D1-B623-4997C3C7EBCF}"/>
    <cellStyle name="20% - Énfasis4 19 2 2 3 2" xfId="37667" xr:uid="{25417DDF-938F-4B98-A412-C3593E7A6A30}"/>
    <cellStyle name="20% - Énfasis4 19 2 2 4" xfId="37664" xr:uid="{E8AC5564-B7E0-4574-89E2-A9FDE5C2CC82}"/>
    <cellStyle name="20% - Énfasis4 19 2 3" xfId="9976" xr:uid="{70F1ABD2-F7A6-4E31-84A6-81B231578D27}"/>
    <cellStyle name="20% - Énfasis4 19 2 3 2" xfId="25389" xr:uid="{DD3E5AB8-265B-493E-AD80-3EAEBB026347}"/>
    <cellStyle name="20% - Énfasis4 19 2 3 2 2" xfId="37669" xr:uid="{DA0BA7DD-6A3D-40E2-8052-5389EC689AA1}"/>
    <cellStyle name="20% - Énfasis4 19 2 3 3" xfId="37668" xr:uid="{F80A5A29-D511-4119-8818-C38EF15130B9}"/>
    <cellStyle name="20% - Énfasis4 19 2 4" xfId="17684" xr:uid="{A68E3A26-EE9C-46E1-81CA-1A78EABFB0EF}"/>
    <cellStyle name="20% - Énfasis4 19 2 4 2" xfId="37670" xr:uid="{5F0930A0-B9BA-4746-947E-07361F411078}"/>
    <cellStyle name="20% - Énfasis4 19 2 5" xfId="37663" xr:uid="{327959F6-934F-4A15-BF03-F1BE37A6388E}"/>
    <cellStyle name="20% - Énfasis4 19 3" xfId="4520" xr:uid="{0CE18D7F-1E48-4638-AA42-D1A33FC4B4C4}"/>
    <cellStyle name="20% - Énfasis4 19 3 2" xfId="12228" xr:uid="{A52A7682-2387-4CB1-B1D8-2647B2B11D8C}"/>
    <cellStyle name="20% - Énfasis4 19 3 2 2" xfId="27640" xr:uid="{CFE799DE-0F95-4217-AB1E-40F3EA8DF46E}"/>
    <cellStyle name="20% - Énfasis4 19 3 2 2 2" xfId="37673" xr:uid="{A1869F96-CF06-4CAA-9C62-D1A80C704AD7}"/>
    <cellStyle name="20% - Énfasis4 19 3 2 3" xfId="37672" xr:uid="{A790FE70-22E8-44FC-B993-5B474FFA39FC}"/>
    <cellStyle name="20% - Énfasis4 19 3 3" xfId="19935" xr:uid="{B2E848EE-087F-494C-92FD-161E3A94A76D}"/>
    <cellStyle name="20% - Énfasis4 19 3 3 2" xfId="37674" xr:uid="{EB3B3E73-7A16-4D0B-B959-1B7BDF6228D8}"/>
    <cellStyle name="20% - Énfasis4 19 3 4" xfId="37671" xr:uid="{46791FE8-754D-4789-9246-4D20F8383BFE}"/>
    <cellStyle name="20% - Énfasis4 19 4" xfId="8517" xr:uid="{A1C8AF60-5FE6-4274-8D41-68474D61E620}"/>
    <cellStyle name="20% - Énfasis4 19 4 2" xfId="23930" xr:uid="{6D442F6C-5CA9-4E85-91F9-755433CE824C}"/>
    <cellStyle name="20% - Énfasis4 19 4 2 2" xfId="37676" xr:uid="{A9D8DB1D-2015-4590-B93F-D03C4AB19937}"/>
    <cellStyle name="20% - Énfasis4 19 4 3" xfId="37675" xr:uid="{FBFB99D5-1D41-43FE-8652-D992CC337A73}"/>
    <cellStyle name="20% - Énfasis4 19 5" xfId="16225" xr:uid="{B57DD3D7-EE14-44FF-ABC4-96AF05D3A944}"/>
    <cellStyle name="20% - Énfasis4 19 5 2" xfId="37677" xr:uid="{041D0646-A1D5-4EB3-9864-3566047EAF3F}"/>
    <cellStyle name="20% - Énfasis4 19 6" xfId="37662" xr:uid="{36F94B6E-1F7A-472D-ADE7-6283D996BE5F}"/>
    <cellStyle name="20% - Énfasis4 2" xfId="176" xr:uid="{72A1B1B6-B794-44ED-AA90-817AB9E0A2A3}"/>
    <cellStyle name="20% - Énfasis4 2 2" xfId="386" xr:uid="{FFBD0797-1D8F-402F-B1AB-C640A94E463A}"/>
    <cellStyle name="20% - Énfasis4 2 2 2" xfId="1048" xr:uid="{579C967A-27BA-4D7F-B041-B7AA134F31F9}"/>
    <cellStyle name="20% - Énfasis4 2 2 2 2" xfId="2516" xr:uid="{72CCE123-8874-4C9C-93DD-D80E85CB2113}"/>
    <cellStyle name="20% - Énfasis4 2 2 2 2 2" xfId="6248" xr:uid="{99A30906-AEA2-4D84-8C75-B973630BA3F6}"/>
    <cellStyle name="20% - Énfasis4 2 2 2 2 2 2" xfId="13956" xr:uid="{8EAA5F98-5E87-4A6D-87BE-9AC501A6BB84}"/>
    <cellStyle name="20% - Énfasis4 2 2 2 2 2 2 2" xfId="29368" xr:uid="{DDF5E688-A291-48D1-BBCE-3E95311C6B7A}"/>
    <cellStyle name="20% - Énfasis4 2 2 2 2 2 2 2 2" xfId="37684" xr:uid="{AA5BF011-FFAE-4F42-950C-8E4E293B7503}"/>
    <cellStyle name="20% - Énfasis4 2 2 2 2 2 2 3" xfId="37683" xr:uid="{D974211D-4EF7-460C-8040-A9688E789CB2}"/>
    <cellStyle name="20% - Énfasis4 2 2 2 2 2 3" xfId="21663" xr:uid="{34241D81-C2EE-4822-979B-43B18D8787BD}"/>
    <cellStyle name="20% - Énfasis4 2 2 2 2 2 3 2" xfId="37685" xr:uid="{58D12582-8B72-440B-9EB2-45C9E8C58921}"/>
    <cellStyle name="20% - Énfasis4 2 2 2 2 2 4" xfId="37682" xr:uid="{3912CED2-BB6E-4D62-B6F0-FDAAEABD509C}"/>
    <cellStyle name="20% - Énfasis4 2 2 2 2 3" xfId="10227" xr:uid="{4A5AFD6D-E064-4806-83CB-6F0BCD07BAC2}"/>
    <cellStyle name="20% - Énfasis4 2 2 2 2 3 2" xfId="25640" xr:uid="{D46CE48B-9F9A-4639-B1FA-87110AD10775}"/>
    <cellStyle name="20% - Énfasis4 2 2 2 2 3 2 2" xfId="37687" xr:uid="{5683A6B2-5688-4040-93AB-DA7754EBA85A}"/>
    <cellStyle name="20% - Énfasis4 2 2 2 2 3 3" xfId="37686" xr:uid="{2F463B18-45C8-4738-9004-78CCCDD53938}"/>
    <cellStyle name="20% - Énfasis4 2 2 2 2 4" xfId="17935" xr:uid="{9B617FA0-536F-47A0-BC9E-AD6169ED470F}"/>
    <cellStyle name="20% - Énfasis4 2 2 2 2 4 2" xfId="37688" xr:uid="{CE89132A-EC78-4FCC-AEBB-E48204E1D787}"/>
    <cellStyle name="20% - Énfasis4 2 2 2 2 5" xfId="37681" xr:uid="{1E968C28-8A20-404C-93A1-339BC682BC07}"/>
    <cellStyle name="20% - Énfasis4 2 2 2 3" xfId="4785" xr:uid="{1A65E3D3-6041-4772-ACC1-4662666A397F}"/>
    <cellStyle name="20% - Énfasis4 2 2 2 3 2" xfId="12493" xr:uid="{F02A08AB-C26C-4473-8ACF-85AF0CB6A98A}"/>
    <cellStyle name="20% - Énfasis4 2 2 2 3 2 2" xfId="27905" xr:uid="{B5100AD5-9892-4CB8-A52A-F176EB587BC9}"/>
    <cellStyle name="20% - Énfasis4 2 2 2 3 2 2 2" xfId="37691" xr:uid="{BEFFE0E0-87BB-45D2-910C-AAA7065DC356}"/>
    <cellStyle name="20% - Énfasis4 2 2 2 3 2 3" xfId="37690" xr:uid="{C64BB272-C6B1-4680-BC7F-529F091DC091}"/>
    <cellStyle name="20% - Énfasis4 2 2 2 3 3" xfId="20200" xr:uid="{E794A40B-C675-4ABB-9C99-DAF333510831}"/>
    <cellStyle name="20% - Énfasis4 2 2 2 3 3 2" xfId="37692" xr:uid="{98B65C6D-AEF4-4E41-8C22-0282534CB4C0}"/>
    <cellStyle name="20% - Énfasis4 2 2 2 3 4" xfId="37689" xr:uid="{47A59E10-5F65-4318-9E19-2AC95397D648}"/>
    <cellStyle name="20% - Énfasis4 2 2 2 4" xfId="8768" xr:uid="{96735F69-67DD-4BCD-938D-5D63F57D1A7B}"/>
    <cellStyle name="20% - Énfasis4 2 2 2 4 2" xfId="24181" xr:uid="{091E1835-13BE-4AA2-A6A5-84593D986912}"/>
    <cellStyle name="20% - Énfasis4 2 2 2 4 2 2" xfId="37694" xr:uid="{3182F401-3339-4692-8998-6EBB28CDB7DA}"/>
    <cellStyle name="20% - Énfasis4 2 2 2 4 3" xfId="37693" xr:uid="{F6E9B192-4564-4268-AEDF-BDDE2351EC9E}"/>
    <cellStyle name="20% - Énfasis4 2 2 2 5" xfId="16476" xr:uid="{437E1D34-A9BA-448B-B836-0170D19FBC7C}"/>
    <cellStyle name="20% - Énfasis4 2 2 2 5 2" xfId="37695" xr:uid="{F0527C69-3E27-4713-8A6A-AA588F4831FD}"/>
    <cellStyle name="20% - Énfasis4 2 2 2 6" xfId="37680" xr:uid="{97C49684-AB45-400E-BA9A-FA599653DB0D}"/>
    <cellStyle name="20% - Énfasis4 2 2 3" xfId="1878" xr:uid="{AEDE4B6C-E7D7-403D-BB6D-7A84978A729F}"/>
    <cellStyle name="20% - Énfasis4 2 2 3 2" xfId="5610" xr:uid="{C3B6F276-36E5-4410-8A36-99BAF2F0F36B}"/>
    <cellStyle name="20% - Énfasis4 2 2 3 2 2" xfId="13318" xr:uid="{909AD83D-927F-4F1D-960C-A710F63FC850}"/>
    <cellStyle name="20% - Énfasis4 2 2 3 2 2 2" xfId="28730" xr:uid="{FA9AD631-B702-4A95-B93E-1340EC73D4F1}"/>
    <cellStyle name="20% - Énfasis4 2 2 3 2 2 2 2" xfId="37699" xr:uid="{816695F8-6173-4655-9629-94A2D6540EBD}"/>
    <cellStyle name="20% - Énfasis4 2 2 3 2 2 3" xfId="37698" xr:uid="{A1949F7F-5F75-4AAB-8A28-082EFAA90044}"/>
    <cellStyle name="20% - Énfasis4 2 2 3 2 3" xfId="21025" xr:uid="{53CF3C0B-69D9-4AE7-844B-8BD7FB00922A}"/>
    <cellStyle name="20% - Énfasis4 2 2 3 2 3 2" xfId="37700" xr:uid="{701D4C71-0154-4EE6-A507-BBF74BD819B1}"/>
    <cellStyle name="20% - Énfasis4 2 2 3 2 4" xfId="37697" xr:uid="{F1A4ACEF-BCD9-4C5F-8328-3A3C16DF52D1}"/>
    <cellStyle name="20% - Énfasis4 2 2 3 3" xfId="9589" xr:uid="{17A2D93F-BBD4-4873-8840-360B4F637221}"/>
    <cellStyle name="20% - Énfasis4 2 2 3 3 2" xfId="25002" xr:uid="{473FFB70-80A7-4FAB-956D-4D221BCC9B3C}"/>
    <cellStyle name="20% - Énfasis4 2 2 3 3 2 2" xfId="37702" xr:uid="{EE260CA6-8216-43A3-8047-B4B6BCF910A5}"/>
    <cellStyle name="20% - Énfasis4 2 2 3 3 3" xfId="37701" xr:uid="{D6EDA1AA-6021-4600-B581-BE97DC748CDA}"/>
    <cellStyle name="20% - Énfasis4 2 2 3 4" xfId="17297" xr:uid="{57255B8F-2DAC-4627-9F63-FC8375CCE9FB}"/>
    <cellStyle name="20% - Énfasis4 2 2 3 4 2" xfId="37703" xr:uid="{3A82D868-33E3-4C5D-98C7-A4792D18E49C}"/>
    <cellStyle name="20% - Énfasis4 2 2 3 5" xfId="37696" xr:uid="{2F6B763F-E1F3-4C05-A9E3-83A9CAE33A1F}"/>
    <cellStyle name="20% - Énfasis4 2 2 4" xfId="4133" xr:uid="{9E5CF33C-F92A-4070-A6E7-4DA7E1BBDB43}"/>
    <cellStyle name="20% - Énfasis4 2 2 4 2" xfId="11841" xr:uid="{5378F7FC-2028-4049-879A-53B22DD79BC5}"/>
    <cellStyle name="20% - Énfasis4 2 2 4 2 2" xfId="27253" xr:uid="{1FBB14B6-7762-4988-A51A-78E8DCD82D50}"/>
    <cellStyle name="20% - Énfasis4 2 2 4 2 2 2" xfId="37706" xr:uid="{DB1DDDE6-FDDF-41A0-BD1F-02B2F461F180}"/>
    <cellStyle name="20% - Énfasis4 2 2 4 2 3" xfId="37705" xr:uid="{488D4B86-50B4-4FB3-83A2-3EA6DF2FCF95}"/>
    <cellStyle name="20% - Énfasis4 2 2 4 3" xfId="19548" xr:uid="{F6066968-4BDE-49CB-B55B-44BA534F2D02}"/>
    <cellStyle name="20% - Énfasis4 2 2 4 3 2" xfId="37707" xr:uid="{1DAE08F8-0D3E-4A5D-B8DB-3276DF472FAD}"/>
    <cellStyle name="20% - Énfasis4 2 2 4 4" xfId="37704" xr:uid="{0A3D72DD-4EE3-4768-9C88-E6226428D0B4}"/>
    <cellStyle name="20% - Énfasis4 2 2 5" xfId="8130" xr:uid="{52D92821-43C7-4B02-A505-AA4189E6C62E}"/>
    <cellStyle name="20% - Énfasis4 2 2 5 2" xfId="23543" xr:uid="{C9D1A314-9DD5-46B2-B06B-004726C3E2F0}"/>
    <cellStyle name="20% - Énfasis4 2 2 5 2 2" xfId="37709" xr:uid="{3CDFD45C-6383-4F5D-B449-BA6DAA94D4C1}"/>
    <cellStyle name="20% - Énfasis4 2 2 5 3" xfId="37708" xr:uid="{F22653BE-BD30-41B1-A1E3-6DAC69EF19C0}"/>
    <cellStyle name="20% - Énfasis4 2 2 6" xfId="15838" xr:uid="{1AAFF96A-D3F4-4B04-92ED-9E11ADA5641B}"/>
    <cellStyle name="20% - Énfasis4 2 2 6 2" xfId="37710" xr:uid="{82EBF989-FB3F-4425-B3C3-0CA0B60F0E5A}"/>
    <cellStyle name="20% - Énfasis4 2 2 7" xfId="37679" xr:uid="{F1A13F2F-82B8-45E9-8B64-F70AC94EB385}"/>
    <cellStyle name="20% - Énfasis4 2 3" xfId="843" xr:uid="{340BDF92-6339-428B-B99F-CFCC9E480E26}"/>
    <cellStyle name="20% - Énfasis4 2 3 2" xfId="2318" xr:uid="{C98530B6-DC08-4FD1-8BB2-8219FFF2BA39}"/>
    <cellStyle name="20% - Énfasis4 2 3 2 2" xfId="6050" xr:uid="{DB9E7D3F-58C2-4475-961C-087BB468CC3F}"/>
    <cellStyle name="20% - Énfasis4 2 3 2 2 2" xfId="13758" xr:uid="{13856300-8E7E-4E83-8204-7698673F37CE}"/>
    <cellStyle name="20% - Énfasis4 2 3 2 2 2 2" xfId="29170" xr:uid="{92B31DD3-3E6E-42B2-95AA-71BEED950A65}"/>
    <cellStyle name="20% - Énfasis4 2 3 2 2 2 2 2" xfId="37715" xr:uid="{599E1DEF-8470-4613-857E-8FC6BC099840}"/>
    <cellStyle name="20% - Énfasis4 2 3 2 2 2 3" xfId="37714" xr:uid="{2FDB6A17-5B89-41C4-B2FD-7A994E10FC64}"/>
    <cellStyle name="20% - Énfasis4 2 3 2 2 3" xfId="21465" xr:uid="{7C7D0504-F986-43E6-8712-38D8456BE33C}"/>
    <cellStyle name="20% - Énfasis4 2 3 2 2 3 2" xfId="37716" xr:uid="{D874B041-AA56-4CAF-9623-C5F3AD7881EB}"/>
    <cellStyle name="20% - Énfasis4 2 3 2 2 4" xfId="37713" xr:uid="{454FA5EF-61E6-4E56-BE09-5D14F48F477A}"/>
    <cellStyle name="20% - Énfasis4 2 3 2 3" xfId="10029" xr:uid="{D21DF093-7507-43D6-843D-F9BC3E28397B}"/>
    <cellStyle name="20% - Énfasis4 2 3 2 3 2" xfId="25442" xr:uid="{A5D198F9-548D-4F8F-BC81-012ACDE7B9B2}"/>
    <cellStyle name="20% - Énfasis4 2 3 2 3 2 2" xfId="37718" xr:uid="{67080AEC-CDA1-4702-82B2-83E4B99EAA5D}"/>
    <cellStyle name="20% - Énfasis4 2 3 2 3 3" xfId="37717" xr:uid="{FAE24698-29E7-4488-8140-DFA543F5BF05}"/>
    <cellStyle name="20% - Énfasis4 2 3 2 4" xfId="17737" xr:uid="{FD00BBBC-82E6-4649-8446-48C6B8E0E5B0}"/>
    <cellStyle name="20% - Énfasis4 2 3 2 4 2" xfId="37719" xr:uid="{B5133B49-F475-458F-8091-16BA97AE60C1}"/>
    <cellStyle name="20% - Énfasis4 2 3 2 5" xfId="37712" xr:uid="{F07FEC95-3743-4106-A1ED-6EA93204218F}"/>
    <cellStyle name="20% - Énfasis4 2 3 3" xfId="4580" xr:uid="{DF8148ED-E168-4EAE-8442-0648E6FC8CF4}"/>
    <cellStyle name="20% - Énfasis4 2 3 3 2" xfId="12288" xr:uid="{53B7B4E2-667B-4DEC-B895-453DC5DA258B}"/>
    <cellStyle name="20% - Énfasis4 2 3 3 2 2" xfId="27700" xr:uid="{2E8D88CD-C10F-43F7-923C-F1B8771CED3B}"/>
    <cellStyle name="20% - Énfasis4 2 3 3 2 2 2" xfId="37722" xr:uid="{8FB113B9-23E2-441C-8CA2-AA4C0EB284B9}"/>
    <cellStyle name="20% - Énfasis4 2 3 3 2 3" xfId="37721" xr:uid="{5BEA5876-C381-4FBB-93B8-43F63828E9BF}"/>
    <cellStyle name="20% - Énfasis4 2 3 3 3" xfId="19995" xr:uid="{BC50B61A-24E7-4741-8A09-19CBBAE4C52D}"/>
    <cellStyle name="20% - Énfasis4 2 3 3 3 2" xfId="37723" xr:uid="{5AC0488C-AA06-49B6-A5A0-B23488D27D42}"/>
    <cellStyle name="20% - Énfasis4 2 3 3 4" xfId="37720" xr:uid="{4BC99C37-1CA0-4951-830F-D355327B5CB3}"/>
    <cellStyle name="20% - Énfasis4 2 3 4" xfId="8570" xr:uid="{3C5999B3-652D-4527-927A-9AE4F5FE2525}"/>
    <cellStyle name="20% - Énfasis4 2 3 4 2" xfId="23983" xr:uid="{06A99A16-214F-4C3D-AF92-EA4DA110906C}"/>
    <cellStyle name="20% - Énfasis4 2 3 4 2 2" xfId="37725" xr:uid="{2A890F99-6D83-42EA-82CE-92438999786D}"/>
    <cellStyle name="20% - Énfasis4 2 3 4 3" xfId="37724" xr:uid="{11A9C8D9-0300-49BE-8B18-5209980E9836}"/>
    <cellStyle name="20% - Énfasis4 2 3 5" xfId="16278" xr:uid="{E502FA3C-D604-4B8A-8C86-3A1EE52F3524}"/>
    <cellStyle name="20% - Énfasis4 2 3 5 2" xfId="37726" xr:uid="{4D396D06-FB0E-45A9-A771-2FD26F544D69}"/>
    <cellStyle name="20% - Énfasis4 2 3 6" xfId="37711" xr:uid="{144CB4F5-F532-46D3-B191-633503D7BB8A}"/>
    <cellStyle name="20% - Énfasis4 2 4" xfId="1680" xr:uid="{69C32672-7DC4-42E4-830D-7D99CD3D4622}"/>
    <cellStyle name="20% - Énfasis4 2 4 2" xfId="5412" xr:uid="{5536DE75-8D46-4D5D-8C5E-365AAE0B9B0F}"/>
    <cellStyle name="20% - Énfasis4 2 4 2 2" xfId="13120" xr:uid="{85024D49-B5A6-4817-AAFA-DF1C3D27F6DA}"/>
    <cellStyle name="20% - Énfasis4 2 4 2 2 2" xfId="28532" xr:uid="{FE7EE5D2-81AA-4755-9963-19B41A224FE3}"/>
    <cellStyle name="20% - Énfasis4 2 4 2 2 2 2" xfId="37730" xr:uid="{735556E8-11E7-4EDB-84B1-CE64D3ED09C4}"/>
    <cellStyle name="20% - Énfasis4 2 4 2 2 3" xfId="37729" xr:uid="{2A98EDEB-D00D-45B5-AE3A-E52D2B77F337}"/>
    <cellStyle name="20% - Énfasis4 2 4 2 3" xfId="20827" xr:uid="{0601179A-C905-4196-AA98-BA7E937BA935}"/>
    <cellStyle name="20% - Énfasis4 2 4 2 3 2" xfId="37731" xr:uid="{F82D3A51-48A4-458B-9D91-706E28944706}"/>
    <cellStyle name="20% - Énfasis4 2 4 2 4" xfId="37728" xr:uid="{F1D8DCEC-F69B-4A5E-8D5F-2145737FE9EC}"/>
    <cellStyle name="20% - Énfasis4 2 4 3" xfId="9391" xr:uid="{8710AE46-7B3A-411D-A389-BBBC37FF33CF}"/>
    <cellStyle name="20% - Énfasis4 2 4 3 2" xfId="24804" xr:uid="{A6DE7A1B-AA61-4FDC-A004-5C92169488BB}"/>
    <cellStyle name="20% - Énfasis4 2 4 3 2 2" xfId="37733" xr:uid="{85ECBC0C-905E-485B-AD43-FADEEE0E1A33}"/>
    <cellStyle name="20% - Énfasis4 2 4 3 3" xfId="37732" xr:uid="{A3FD48C8-BB85-4084-87C2-7B0913F1D8BA}"/>
    <cellStyle name="20% - Énfasis4 2 4 4" xfId="17099" xr:uid="{4A688101-322B-45D8-8BD3-3102F0FB5065}"/>
    <cellStyle name="20% - Énfasis4 2 4 4 2" xfId="37734" xr:uid="{E66137B0-A70F-495B-BD4E-78D80B5EC343}"/>
    <cellStyle name="20% - Énfasis4 2 4 5" xfId="37727" xr:uid="{A1634BFE-D3A4-4FEB-B2A3-181A9FC8F646}"/>
    <cellStyle name="20% - Énfasis4 2 5" xfId="3928" xr:uid="{2E613398-7BDE-43B3-8EDD-5482BD9DB22F}"/>
    <cellStyle name="20% - Énfasis4 2 5 2" xfId="11636" xr:uid="{90ACD155-F075-4A75-B46F-CB77B0E5B5A7}"/>
    <cellStyle name="20% - Énfasis4 2 5 2 2" xfId="27048" xr:uid="{D5540F3A-C6D7-480C-9A7F-2879B2633F1D}"/>
    <cellStyle name="20% - Énfasis4 2 5 2 2 2" xfId="37737" xr:uid="{16B6834A-E8DC-4396-B287-FE91B72EA809}"/>
    <cellStyle name="20% - Énfasis4 2 5 2 3" xfId="37736" xr:uid="{276FC5F4-9E6F-4042-A0D6-A63291160237}"/>
    <cellStyle name="20% - Énfasis4 2 5 3" xfId="19343" xr:uid="{333F3B47-4C08-4AA2-8B5C-A981366A690D}"/>
    <cellStyle name="20% - Énfasis4 2 5 3 2" xfId="37738" xr:uid="{347A7245-A715-47BF-8B61-F4D0BD12CF51}"/>
    <cellStyle name="20% - Énfasis4 2 5 4" xfId="37735" xr:uid="{B926FD3E-DAF5-4765-945A-866C1A582E7B}"/>
    <cellStyle name="20% - Énfasis4 2 6" xfId="7932" xr:uid="{5B6D335B-65CC-4BEC-BF69-442B710641BD}"/>
    <cellStyle name="20% - Énfasis4 2 6 2" xfId="23345" xr:uid="{D5E30B7B-3DF0-4DA7-A384-3A61D8BA40E0}"/>
    <cellStyle name="20% - Énfasis4 2 6 2 2" xfId="37740" xr:uid="{0CD0A91A-9EF5-46F9-B22D-A821001B8EF2}"/>
    <cellStyle name="20% - Énfasis4 2 6 3" xfId="37739" xr:uid="{F21EF916-A06D-4C78-ACB0-565F09945BC0}"/>
    <cellStyle name="20% - Énfasis4 2 7" xfId="15640" xr:uid="{7D0262A7-3282-4A2D-8CC6-7BB2A2C7EF68}"/>
    <cellStyle name="20% - Énfasis4 2 7 2" xfId="37741" xr:uid="{45B42D19-C6B9-4160-A29E-928CAC2E42CA}"/>
    <cellStyle name="20% - Énfasis4 2 8" xfId="37678" xr:uid="{5BD6B64B-E65F-4D6B-81EC-65F3C948E470}"/>
    <cellStyle name="20% - Énfasis4 20" xfId="1439" xr:uid="{5A0149C6-FE3D-436C-BCB2-894DF5165995}"/>
    <cellStyle name="20% - Énfasis4 20 2" xfId="2904" xr:uid="{2C6B2453-6767-4B0D-9E16-16A87949B8CA}"/>
    <cellStyle name="20% - Énfasis4 20 2 2" xfId="6636" xr:uid="{8045E71E-07EF-4E00-A174-0FC0F1DC4442}"/>
    <cellStyle name="20% - Énfasis4 20 2 2 2" xfId="14344" xr:uid="{B00CDB9D-922F-432B-8A39-3F47DF1238A6}"/>
    <cellStyle name="20% - Énfasis4 20 2 2 2 2" xfId="29756" xr:uid="{1550A474-FDFC-4B19-AF38-1CBF296AFA86}"/>
    <cellStyle name="20% - Énfasis4 20 2 2 2 2 2" xfId="37746" xr:uid="{C1D6BC7D-63A9-480A-B09C-26C69C8CFCD9}"/>
    <cellStyle name="20% - Énfasis4 20 2 2 2 3" xfId="37745" xr:uid="{AA1716E8-E491-4AFD-9577-224F69879C91}"/>
    <cellStyle name="20% - Énfasis4 20 2 2 3" xfId="22051" xr:uid="{70B2742A-BBAB-417D-94EE-F04027FF863D}"/>
    <cellStyle name="20% - Énfasis4 20 2 2 3 2" xfId="37747" xr:uid="{9954C9A3-8975-4453-96C8-74CE2A8B37CA}"/>
    <cellStyle name="20% - Énfasis4 20 2 2 4" xfId="37744" xr:uid="{8E74F151-51DA-4907-937B-AA6AAD6A4EBC}"/>
    <cellStyle name="20% - Énfasis4 20 2 3" xfId="10615" xr:uid="{974F3CE3-43EA-4E36-9DF4-FD86AB7D500D}"/>
    <cellStyle name="20% - Énfasis4 20 2 3 2" xfId="26028" xr:uid="{183F724F-7F1D-4246-B194-0BC52921B794}"/>
    <cellStyle name="20% - Énfasis4 20 2 3 2 2" xfId="37749" xr:uid="{7EEA6AF2-004A-4D0C-9719-D3DBE1934C47}"/>
    <cellStyle name="20% - Énfasis4 20 2 3 3" xfId="37748" xr:uid="{8A607F73-E31D-4989-B95C-7582DAF9D252}"/>
    <cellStyle name="20% - Énfasis4 20 2 4" xfId="18323" xr:uid="{880F53F2-B21C-4C07-9368-36C54B836AFA}"/>
    <cellStyle name="20% - Énfasis4 20 2 4 2" xfId="37750" xr:uid="{239BE36C-3534-4D6A-BE4B-5768E53F3EB9}"/>
    <cellStyle name="20% - Énfasis4 20 2 5" xfId="37743" xr:uid="{590FCD72-3E82-4FFA-9C4C-D58D67A0DCC0}"/>
    <cellStyle name="20% - Énfasis4 20 3" xfId="5175" xr:uid="{EA11FDBE-C022-4B08-BBB7-E7ABBB9F64B9}"/>
    <cellStyle name="20% - Énfasis4 20 3 2" xfId="12883" xr:uid="{5170606F-EAA2-4553-8CFE-714991EE9AF6}"/>
    <cellStyle name="20% - Énfasis4 20 3 2 2" xfId="28295" xr:uid="{E9968A45-EE0C-4083-B080-673090BF02D2}"/>
    <cellStyle name="20% - Énfasis4 20 3 2 2 2" xfId="37753" xr:uid="{3560AB63-8A9B-4F78-9EB6-33F71F244ECB}"/>
    <cellStyle name="20% - Énfasis4 20 3 2 3" xfId="37752" xr:uid="{C14061C6-897C-4537-B86C-F6DA342AEFC4}"/>
    <cellStyle name="20% - Énfasis4 20 3 3" xfId="20590" xr:uid="{38791DA6-D36A-46A1-AC19-6A70F3D7C2E7}"/>
    <cellStyle name="20% - Énfasis4 20 3 3 2" xfId="37754" xr:uid="{C414624A-9F01-45BD-8954-84A59536F701}"/>
    <cellStyle name="20% - Énfasis4 20 3 4" xfId="37751" xr:uid="{95C8C701-C52D-45C6-8B80-0D3D63CF3BD8}"/>
    <cellStyle name="20% - Énfasis4 20 4" xfId="9156" xr:uid="{F755F0C3-BD31-42E0-BE23-9CD4B6FD5462}"/>
    <cellStyle name="20% - Énfasis4 20 4 2" xfId="24569" xr:uid="{5600350B-3D19-4D59-B049-978721E1960D}"/>
    <cellStyle name="20% - Énfasis4 20 4 2 2" xfId="37756" xr:uid="{27E2D368-5840-42E6-8A22-3E31E1C2DC2D}"/>
    <cellStyle name="20% - Énfasis4 20 4 3" xfId="37755" xr:uid="{2F0FBAC9-0340-4291-88E5-A39AE59C8003}"/>
    <cellStyle name="20% - Énfasis4 20 5" xfId="16864" xr:uid="{E234C3DA-112F-4EC6-90DC-8E2AE2A30B1C}"/>
    <cellStyle name="20% - Énfasis4 20 5 2" xfId="37757" xr:uid="{206C996F-6B45-4014-9B2C-BC1B84D64E3A}"/>
    <cellStyle name="20% - Énfasis4 20 6" xfId="37742" xr:uid="{75288893-C37C-4FEF-9720-6A19C800DB03}"/>
    <cellStyle name="20% - Énfasis4 21" xfId="1459" xr:uid="{21352DF0-8C6D-4AD5-B5B8-CD57ADD1B353}"/>
    <cellStyle name="20% - Énfasis4 21 2" xfId="2924" xr:uid="{2C0C0F56-C20D-4C7E-B986-A79F01D778BD}"/>
    <cellStyle name="20% - Énfasis4 21 2 2" xfId="6656" xr:uid="{EB4E1535-4D89-4B24-BA42-5849B14C7557}"/>
    <cellStyle name="20% - Énfasis4 21 2 2 2" xfId="14364" xr:uid="{AB0BAAA7-A17C-44B2-99DB-FF68ABBFF84A}"/>
    <cellStyle name="20% - Énfasis4 21 2 2 2 2" xfId="29776" xr:uid="{6B9B1E72-9813-445D-9B4B-8842DADA9A86}"/>
    <cellStyle name="20% - Énfasis4 21 2 2 2 2 2" xfId="37762" xr:uid="{4CAA75BA-8B1F-4CB9-B129-26CCB63790AC}"/>
    <cellStyle name="20% - Énfasis4 21 2 2 2 3" xfId="37761" xr:uid="{1F647042-06C9-4FCB-AD65-36A2B8F2FB59}"/>
    <cellStyle name="20% - Énfasis4 21 2 2 3" xfId="22071" xr:uid="{E061A71A-B75F-4900-85A6-42A3967CCFC1}"/>
    <cellStyle name="20% - Énfasis4 21 2 2 3 2" xfId="37763" xr:uid="{3675D197-DFCD-42FE-BCCC-E85758C2684A}"/>
    <cellStyle name="20% - Énfasis4 21 2 2 4" xfId="37760" xr:uid="{117692E5-33EA-4A69-A1EA-17800C5A8628}"/>
    <cellStyle name="20% - Énfasis4 21 2 3" xfId="10635" xr:uid="{9F1FD1FA-4DF2-4A79-80B0-35B2E7AA96AA}"/>
    <cellStyle name="20% - Énfasis4 21 2 3 2" xfId="26048" xr:uid="{CC2C541D-16BA-4F59-A379-B3C8A894A24D}"/>
    <cellStyle name="20% - Énfasis4 21 2 3 2 2" xfId="37765" xr:uid="{D808EE85-D1F2-45B3-AC01-2BE32F61AFB6}"/>
    <cellStyle name="20% - Énfasis4 21 2 3 3" xfId="37764" xr:uid="{67B4F795-8C5B-460C-887E-2E368FBEE917}"/>
    <cellStyle name="20% - Énfasis4 21 2 4" xfId="18343" xr:uid="{DB9039E2-3D9C-4682-B9D2-A0554CEC94C1}"/>
    <cellStyle name="20% - Énfasis4 21 2 4 2" xfId="37766" xr:uid="{788B1F08-35F6-44C6-B53C-34E7A86A0939}"/>
    <cellStyle name="20% - Énfasis4 21 2 5" xfId="37759" xr:uid="{16CE2749-C35B-4788-A45D-2F6EEEB2622C}"/>
    <cellStyle name="20% - Énfasis4 21 3" xfId="5195" xr:uid="{98C9D43B-A631-48FB-BC66-96F00BF317B4}"/>
    <cellStyle name="20% - Énfasis4 21 3 2" xfId="12903" xr:uid="{AC5C256A-294C-446D-B30E-26105B2E78AB}"/>
    <cellStyle name="20% - Énfasis4 21 3 2 2" xfId="28315" xr:uid="{29469262-55F6-493B-AACF-710254234563}"/>
    <cellStyle name="20% - Énfasis4 21 3 2 2 2" xfId="37769" xr:uid="{13423F85-F9A6-47C5-B55D-21A979F71614}"/>
    <cellStyle name="20% - Énfasis4 21 3 2 3" xfId="37768" xr:uid="{41D98504-818E-476E-8BCF-9354D9E7A602}"/>
    <cellStyle name="20% - Énfasis4 21 3 3" xfId="20610" xr:uid="{E82ED068-BCA5-446C-A86B-3AB3DF0E5A44}"/>
    <cellStyle name="20% - Énfasis4 21 3 3 2" xfId="37770" xr:uid="{32EFACD3-4EE3-4978-B080-0D4E81658E83}"/>
    <cellStyle name="20% - Énfasis4 21 3 4" xfId="37767" xr:uid="{2B1D3452-24E9-4E34-BCCF-283D23685FE1}"/>
    <cellStyle name="20% - Énfasis4 21 4" xfId="9176" xr:uid="{FE49EB9D-DC3C-4BA1-982D-E7B60E43271C}"/>
    <cellStyle name="20% - Énfasis4 21 4 2" xfId="24589" xr:uid="{BDFCC8AE-9E7F-49C9-A84E-683C24FB7856}"/>
    <cellStyle name="20% - Énfasis4 21 4 2 2" xfId="37772" xr:uid="{0816696C-A483-4CAD-B667-6A04D2BB1D52}"/>
    <cellStyle name="20% - Énfasis4 21 4 3" xfId="37771" xr:uid="{4D7BE1A0-1246-4D0A-B56E-48A838417A88}"/>
    <cellStyle name="20% - Énfasis4 21 5" xfId="16884" xr:uid="{66988653-D503-404C-8D2D-20316CE59F2F}"/>
    <cellStyle name="20% - Énfasis4 21 5 2" xfId="37773" xr:uid="{3C745C4E-7208-43EC-AF8E-F7A09F807AFA}"/>
    <cellStyle name="20% - Énfasis4 21 6" xfId="37758" xr:uid="{8504BA62-8A7F-4223-A16F-01D3AF7ECF03}"/>
    <cellStyle name="20% - Énfasis4 22" xfId="1479" xr:uid="{32FAEFAA-E6A4-40FF-813C-9757B4A25D8D}"/>
    <cellStyle name="20% - Énfasis4 22 2" xfId="2944" xr:uid="{0020CFA3-C5BD-4DEA-B590-A26A35C93F46}"/>
    <cellStyle name="20% - Énfasis4 22 2 2" xfId="6676" xr:uid="{D8877AE6-AE89-4C00-BFC2-B990379BF0D6}"/>
    <cellStyle name="20% - Énfasis4 22 2 2 2" xfId="14384" xr:uid="{A7B03994-222A-4125-901B-4D002CF2B453}"/>
    <cellStyle name="20% - Énfasis4 22 2 2 2 2" xfId="29796" xr:uid="{847B4052-7738-4B49-9413-D4A70EDA2C60}"/>
    <cellStyle name="20% - Énfasis4 22 2 2 2 2 2" xfId="37778" xr:uid="{BF206C6F-D61F-445C-B2E5-768689A22F36}"/>
    <cellStyle name="20% - Énfasis4 22 2 2 2 3" xfId="37777" xr:uid="{E1A8069A-04BD-43D3-BAB8-1DFE41701CFE}"/>
    <cellStyle name="20% - Énfasis4 22 2 2 3" xfId="22091" xr:uid="{68CF7422-3429-45F8-A929-A0D00E41F75E}"/>
    <cellStyle name="20% - Énfasis4 22 2 2 3 2" xfId="37779" xr:uid="{254C22FE-E1C2-4D17-8C52-CFB4B01B18E6}"/>
    <cellStyle name="20% - Énfasis4 22 2 2 4" xfId="37776" xr:uid="{4ADC7537-16B1-467C-8A8F-D169F5501B77}"/>
    <cellStyle name="20% - Énfasis4 22 2 3" xfId="10655" xr:uid="{7F32A4FF-0CF5-443A-81D3-7518B0436FAE}"/>
    <cellStyle name="20% - Énfasis4 22 2 3 2" xfId="26068" xr:uid="{67F12DB1-7C45-445F-8CE2-03713C9FF355}"/>
    <cellStyle name="20% - Énfasis4 22 2 3 2 2" xfId="37781" xr:uid="{23A3B924-AC69-4DA4-B7AF-40C2274D1EC8}"/>
    <cellStyle name="20% - Énfasis4 22 2 3 3" xfId="37780" xr:uid="{6E4BB3FA-BE31-4100-BBF7-665B21C05710}"/>
    <cellStyle name="20% - Énfasis4 22 2 4" xfId="18363" xr:uid="{1763C3B0-88E1-4288-A8FD-75EB708BDF44}"/>
    <cellStyle name="20% - Énfasis4 22 2 4 2" xfId="37782" xr:uid="{5CDF7FA0-6F12-41DF-8981-578544980C68}"/>
    <cellStyle name="20% - Énfasis4 22 2 5" xfId="37775" xr:uid="{882F4567-B139-44BF-8F3A-D924EC8D996E}"/>
    <cellStyle name="20% - Énfasis4 22 3" xfId="5215" xr:uid="{F1CA7A44-DA10-47AA-B60B-04F1EF7F7331}"/>
    <cellStyle name="20% - Énfasis4 22 3 2" xfId="12923" xr:uid="{3954A688-F09E-4446-BF96-B2A0D4F0F882}"/>
    <cellStyle name="20% - Énfasis4 22 3 2 2" xfId="28335" xr:uid="{309D0C5C-69B9-4A80-BCC3-80B3B40EF0A1}"/>
    <cellStyle name="20% - Énfasis4 22 3 2 2 2" xfId="37785" xr:uid="{CE9C13FE-0752-4E54-8F09-73747FA94BB5}"/>
    <cellStyle name="20% - Énfasis4 22 3 2 3" xfId="37784" xr:uid="{891EA736-5B55-44FF-92DC-F3ACFD15E2F5}"/>
    <cellStyle name="20% - Énfasis4 22 3 3" xfId="20630" xr:uid="{6816F216-736F-4F06-BCCB-C191CD43A822}"/>
    <cellStyle name="20% - Énfasis4 22 3 3 2" xfId="37786" xr:uid="{BFFE88EF-4CE5-4160-86DD-ABBFB069A17F}"/>
    <cellStyle name="20% - Énfasis4 22 3 4" xfId="37783" xr:uid="{DB62E161-537B-4AEB-835C-F5224314A474}"/>
    <cellStyle name="20% - Énfasis4 22 4" xfId="9196" xr:uid="{A0159204-6308-4110-86E6-478DBE3A81B9}"/>
    <cellStyle name="20% - Énfasis4 22 4 2" xfId="24609" xr:uid="{18326F6E-2470-4B8F-8016-D513951355D0}"/>
    <cellStyle name="20% - Énfasis4 22 4 2 2" xfId="37788" xr:uid="{C2480ED1-9712-427D-A471-1BF35C0FDF33}"/>
    <cellStyle name="20% - Énfasis4 22 4 3" xfId="37787" xr:uid="{A32CD8CD-021A-4369-A8B0-ED5E04278E2C}"/>
    <cellStyle name="20% - Énfasis4 22 5" xfId="16904" xr:uid="{D278C45C-F1FE-4A74-A047-A5A5AFD33C40}"/>
    <cellStyle name="20% - Énfasis4 22 5 2" xfId="37789" xr:uid="{43283ABF-BA25-495B-A6C4-66052D7921A6}"/>
    <cellStyle name="20% - Énfasis4 22 6" xfId="37774" xr:uid="{CE834650-E737-487A-B4DD-581968B3A5AE}"/>
    <cellStyle name="20% - Énfasis4 23" xfId="1499" xr:uid="{011920F6-5E92-469D-8037-7E1AF36AC614}"/>
    <cellStyle name="20% - Énfasis4 23 2" xfId="2964" xr:uid="{46DD67C8-9B9C-4564-BC39-E792EA9BF74E}"/>
    <cellStyle name="20% - Énfasis4 23 2 2" xfId="6696" xr:uid="{5AF997AE-D85B-4351-9654-1457399440C8}"/>
    <cellStyle name="20% - Énfasis4 23 2 2 2" xfId="14404" xr:uid="{11BFD8C3-E8DA-4DA6-A65D-84F7A43FFA00}"/>
    <cellStyle name="20% - Énfasis4 23 2 2 2 2" xfId="29816" xr:uid="{D5667B31-2ADC-4F5A-AAE3-199DA54332A9}"/>
    <cellStyle name="20% - Énfasis4 23 2 2 2 2 2" xfId="37794" xr:uid="{FC278CF2-6E24-4ABF-843A-B44E5B4AC27D}"/>
    <cellStyle name="20% - Énfasis4 23 2 2 2 3" xfId="37793" xr:uid="{01F2E17E-0153-468B-835A-D9CA813CA3FD}"/>
    <cellStyle name="20% - Énfasis4 23 2 2 3" xfId="22111" xr:uid="{075C517C-A7CA-475D-A19D-F009F7AD1CDB}"/>
    <cellStyle name="20% - Énfasis4 23 2 2 3 2" xfId="37795" xr:uid="{21D664A9-B910-43AE-B0CD-B61F600BA9FA}"/>
    <cellStyle name="20% - Énfasis4 23 2 2 4" xfId="37792" xr:uid="{E361A13C-BCD6-4E45-ACC0-443EBF9B9549}"/>
    <cellStyle name="20% - Énfasis4 23 2 3" xfId="10675" xr:uid="{FFB72102-C179-41ED-B055-47775F2A92D7}"/>
    <cellStyle name="20% - Énfasis4 23 2 3 2" xfId="26088" xr:uid="{090ED1BE-E3A1-4AEF-A923-B4E5971B41CD}"/>
    <cellStyle name="20% - Énfasis4 23 2 3 2 2" xfId="37797" xr:uid="{ECE4589D-C64E-4D39-ADDD-C5644A2A6D12}"/>
    <cellStyle name="20% - Énfasis4 23 2 3 3" xfId="37796" xr:uid="{86369CF3-2696-4153-ACF5-DB51320898D6}"/>
    <cellStyle name="20% - Énfasis4 23 2 4" xfId="18383" xr:uid="{9BF844F7-1CA6-495D-AB09-29B0D23599EC}"/>
    <cellStyle name="20% - Énfasis4 23 2 4 2" xfId="37798" xr:uid="{5F08B233-0918-4FAF-AB43-6863AC44F5E9}"/>
    <cellStyle name="20% - Énfasis4 23 2 5" xfId="37791" xr:uid="{32AA1EEE-6E70-46DD-A28F-F85B58F2CDE7}"/>
    <cellStyle name="20% - Énfasis4 23 3" xfId="5235" xr:uid="{F429EB01-97F4-40E2-9D52-67F18AA864E6}"/>
    <cellStyle name="20% - Énfasis4 23 3 2" xfId="12943" xr:uid="{45F30EAE-2751-41C0-AECB-F65EFB5691AD}"/>
    <cellStyle name="20% - Énfasis4 23 3 2 2" xfId="28355" xr:uid="{FCC03DBE-7FE4-4BD9-9581-DA98D012597F}"/>
    <cellStyle name="20% - Énfasis4 23 3 2 2 2" xfId="37801" xr:uid="{7249EC4A-2C80-4A81-BCE3-5CC7008215F1}"/>
    <cellStyle name="20% - Énfasis4 23 3 2 3" xfId="37800" xr:uid="{0FB5C008-97BF-46F9-A15A-E2C19AACF6E0}"/>
    <cellStyle name="20% - Énfasis4 23 3 3" xfId="20650" xr:uid="{B4161D80-C736-4D2D-AD68-4766549A2278}"/>
    <cellStyle name="20% - Énfasis4 23 3 3 2" xfId="37802" xr:uid="{C53E015A-95FE-43C0-9FEB-0474679BFB8B}"/>
    <cellStyle name="20% - Énfasis4 23 3 4" xfId="37799" xr:uid="{63755CA1-42FE-4054-BA64-9EBDEE3A33BC}"/>
    <cellStyle name="20% - Énfasis4 23 4" xfId="9216" xr:uid="{0F4DEA96-53F1-45E7-BDEE-C192494A7412}"/>
    <cellStyle name="20% - Énfasis4 23 4 2" xfId="24629" xr:uid="{F0C05E72-F65D-4FDE-B17C-5152A8D9618E}"/>
    <cellStyle name="20% - Énfasis4 23 4 2 2" xfId="37804" xr:uid="{721C6B14-6002-4903-B6DD-5FE30AB02BB6}"/>
    <cellStyle name="20% - Énfasis4 23 4 3" xfId="37803" xr:uid="{15DBBBD9-3CF6-405F-943A-3195F961637A}"/>
    <cellStyle name="20% - Énfasis4 23 5" xfId="16924" xr:uid="{A8EFB4DE-D7B1-4B00-8F61-848E99E8951F}"/>
    <cellStyle name="20% - Énfasis4 23 5 2" xfId="37805" xr:uid="{56E96F7D-E25C-49DE-802A-A8A6D7166EC2}"/>
    <cellStyle name="20% - Énfasis4 23 6" xfId="37790" xr:uid="{AB21AB49-2989-4887-9D20-E2B9B3CCE887}"/>
    <cellStyle name="20% - Énfasis4 24" xfId="1519" xr:uid="{CD2F7D6C-F01C-4156-B686-AEFC53109BF5}"/>
    <cellStyle name="20% - Énfasis4 24 2" xfId="2984" xr:uid="{3AFFA3D3-1120-4D21-93B8-DC2432707234}"/>
    <cellStyle name="20% - Énfasis4 24 2 2" xfId="6716" xr:uid="{78E0908B-CCCC-4625-99CB-8CD5097602C2}"/>
    <cellStyle name="20% - Énfasis4 24 2 2 2" xfId="14424" xr:uid="{F926F385-6D37-4F99-A72D-F870D3AE81C1}"/>
    <cellStyle name="20% - Énfasis4 24 2 2 2 2" xfId="29836" xr:uid="{8C10C0FB-2DDE-476E-AE49-55BAD01CE9C4}"/>
    <cellStyle name="20% - Énfasis4 24 2 2 2 2 2" xfId="37810" xr:uid="{55447EC5-35E4-4980-A6BD-4AD01318A22E}"/>
    <cellStyle name="20% - Énfasis4 24 2 2 2 3" xfId="37809" xr:uid="{1B38CBD8-78EF-4269-9385-A78A3616E19A}"/>
    <cellStyle name="20% - Énfasis4 24 2 2 3" xfId="22131" xr:uid="{56096760-ED8E-4B34-A81B-11446499AF3D}"/>
    <cellStyle name="20% - Énfasis4 24 2 2 3 2" xfId="37811" xr:uid="{C45E48C4-0B87-49D5-992F-8F79489C1BD6}"/>
    <cellStyle name="20% - Énfasis4 24 2 2 4" xfId="37808" xr:uid="{3CF0A277-8D9B-46CE-A1D4-0487554C723F}"/>
    <cellStyle name="20% - Énfasis4 24 2 3" xfId="10695" xr:uid="{CD380AE3-9A12-48AB-8011-6E1EF469338E}"/>
    <cellStyle name="20% - Énfasis4 24 2 3 2" xfId="26108" xr:uid="{60D45BC5-7E47-4B29-A558-8F9708944CAE}"/>
    <cellStyle name="20% - Énfasis4 24 2 3 2 2" xfId="37813" xr:uid="{FFFE19CE-BC66-4D97-87E9-73B317CB473E}"/>
    <cellStyle name="20% - Énfasis4 24 2 3 3" xfId="37812" xr:uid="{98CB1CD4-629C-4320-9AAA-EB0D06A0CECA}"/>
    <cellStyle name="20% - Énfasis4 24 2 4" xfId="18403" xr:uid="{2EDA9DC0-6FCE-4F9E-91A5-B4E3EF889BCE}"/>
    <cellStyle name="20% - Énfasis4 24 2 4 2" xfId="37814" xr:uid="{B8A27966-A70F-4E6E-82FC-68B364157D20}"/>
    <cellStyle name="20% - Énfasis4 24 2 5" xfId="37807" xr:uid="{807741E4-5A1C-4A33-9287-E130CDAF7CB1}"/>
    <cellStyle name="20% - Énfasis4 24 3" xfId="5255" xr:uid="{2E41D90B-1C18-4E1F-A461-D82B83B926D8}"/>
    <cellStyle name="20% - Énfasis4 24 3 2" xfId="12963" xr:uid="{865148BC-E6F0-45A2-B6FC-81B99AA38D6A}"/>
    <cellStyle name="20% - Énfasis4 24 3 2 2" xfId="28375" xr:uid="{ED016B8F-AFC1-4036-9148-E82FEA7539E0}"/>
    <cellStyle name="20% - Énfasis4 24 3 2 2 2" xfId="37817" xr:uid="{8822CA65-2BC2-4139-B092-DA89B6032DB7}"/>
    <cellStyle name="20% - Énfasis4 24 3 2 3" xfId="37816" xr:uid="{6C104D9D-B0AF-4768-9788-608FD39144AF}"/>
    <cellStyle name="20% - Énfasis4 24 3 3" xfId="20670" xr:uid="{3F2729B6-3B32-412C-9F34-20B9D953EBCB}"/>
    <cellStyle name="20% - Énfasis4 24 3 3 2" xfId="37818" xr:uid="{50A89E63-E8A2-4746-866C-537255440221}"/>
    <cellStyle name="20% - Énfasis4 24 3 4" xfId="37815" xr:uid="{6815C85E-D290-4327-9F0B-61F4A92C2C1D}"/>
    <cellStyle name="20% - Énfasis4 24 4" xfId="9236" xr:uid="{5D8864D9-1520-4A45-93EE-6479030D756D}"/>
    <cellStyle name="20% - Énfasis4 24 4 2" xfId="24649" xr:uid="{7868E88B-B517-437F-B96D-88A72738547B}"/>
    <cellStyle name="20% - Énfasis4 24 4 2 2" xfId="37820" xr:uid="{39E2ABA4-4CB1-4F25-8517-982733265E2B}"/>
    <cellStyle name="20% - Énfasis4 24 4 3" xfId="37819" xr:uid="{F5135265-B597-4824-B1A7-742F1872006D}"/>
    <cellStyle name="20% - Énfasis4 24 5" xfId="16944" xr:uid="{EB695C98-5F97-45B6-845E-EF43B78C649B}"/>
    <cellStyle name="20% - Énfasis4 24 5 2" xfId="37821" xr:uid="{F57C764F-6D82-4B81-A6F6-484548C9E0FB}"/>
    <cellStyle name="20% - Énfasis4 24 6" xfId="37806" xr:uid="{955009B7-E056-4D4D-B376-D5F73B9F4814}"/>
    <cellStyle name="20% - Énfasis4 25" xfId="1539" xr:uid="{444AA22D-9AD7-4F95-B311-4DCD8631E61D}"/>
    <cellStyle name="20% - Énfasis4 25 2" xfId="3004" xr:uid="{BC9B901F-C00E-4845-BAFA-0A2C699EF21D}"/>
    <cellStyle name="20% - Énfasis4 25 2 2" xfId="6736" xr:uid="{F9780157-C87A-4B63-A1B5-C4D05C3C43D8}"/>
    <cellStyle name="20% - Énfasis4 25 2 2 2" xfId="14444" xr:uid="{C7E41680-BC9C-4270-A05B-B9B8FA735FAC}"/>
    <cellStyle name="20% - Énfasis4 25 2 2 2 2" xfId="29856" xr:uid="{1B95DA4E-FD0F-4AD6-B8A0-8BBD2A00CBF1}"/>
    <cellStyle name="20% - Énfasis4 25 2 2 2 2 2" xfId="37826" xr:uid="{F482EBB5-1D08-4176-9DD0-BDAEB2740368}"/>
    <cellStyle name="20% - Énfasis4 25 2 2 2 3" xfId="37825" xr:uid="{1C7BAC3E-440C-4AB3-B6C8-B12E9573AD0A}"/>
    <cellStyle name="20% - Énfasis4 25 2 2 3" xfId="22151" xr:uid="{D5440A04-E83B-420C-A6AB-57BF86D37BDC}"/>
    <cellStyle name="20% - Énfasis4 25 2 2 3 2" xfId="37827" xr:uid="{AFB73B2D-57BE-40D2-8717-2C4AA0C33ED2}"/>
    <cellStyle name="20% - Énfasis4 25 2 2 4" xfId="37824" xr:uid="{AF32E9F0-95F1-437C-9DD5-3449D19A1D68}"/>
    <cellStyle name="20% - Énfasis4 25 2 3" xfId="10715" xr:uid="{087B22CF-A93B-4050-9B74-0190C139C63E}"/>
    <cellStyle name="20% - Énfasis4 25 2 3 2" xfId="26128" xr:uid="{5573B93A-28B1-4CD8-9459-EF525F4E9DCD}"/>
    <cellStyle name="20% - Énfasis4 25 2 3 2 2" xfId="37829" xr:uid="{010C9E35-0C2C-4451-B2CE-0AAC90F9FE84}"/>
    <cellStyle name="20% - Énfasis4 25 2 3 3" xfId="37828" xr:uid="{182AE9A4-530C-45F5-A2CD-A7B15415F1FD}"/>
    <cellStyle name="20% - Énfasis4 25 2 4" xfId="18423" xr:uid="{559A55A5-31FC-457F-A2C6-E5F0AE2E494B}"/>
    <cellStyle name="20% - Énfasis4 25 2 4 2" xfId="37830" xr:uid="{70903AD5-E658-4261-92BB-AD778E83F46D}"/>
    <cellStyle name="20% - Énfasis4 25 2 5" xfId="37823" xr:uid="{FCC9E23B-DFDC-4773-8B5C-F649F8E18B6F}"/>
    <cellStyle name="20% - Énfasis4 25 3" xfId="5275" xr:uid="{229BAB55-6F04-4404-8A5D-D45F5EE71A0A}"/>
    <cellStyle name="20% - Énfasis4 25 3 2" xfId="12983" xr:uid="{7F9763A5-C0BE-48B4-8621-038AE6BFD15C}"/>
    <cellStyle name="20% - Énfasis4 25 3 2 2" xfId="28395" xr:uid="{DC1F620D-EA76-463F-8BF5-414EAC66BC48}"/>
    <cellStyle name="20% - Énfasis4 25 3 2 2 2" xfId="37833" xr:uid="{11CCC75D-DE85-46F3-9208-12C4E67F19E1}"/>
    <cellStyle name="20% - Énfasis4 25 3 2 3" xfId="37832" xr:uid="{D68772A9-1ED5-4C9E-BD0C-7135458ABB28}"/>
    <cellStyle name="20% - Énfasis4 25 3 3" xfId="20690" xr:uid="{2128F308-9E10-4D37-92C3-D4EEE64C1432}"/>
    <cellStyle name="20% - Énfasis4 25 3 3 2" xfId="37834" xr:uid="{7C9FE6EC-038D-487E-8AE2-51C9459C9B45}"/>
    <cellStyle name="20% - Énfasis4 25 3 4" xfId="37831" xr:uid="{7EC5846E-212E-42CD-A706-44F404C9DD3E}"/>
    <cellStyle name="20% - Énfasis4 25 4" xfId="9256" xr:uid="{07410089-3CB5-467D-B17D-FE13F7DF2079}"/>
    <cellStyle name="20% - Énfasis4 25 4 2" xfId="24669" xr:uid="{9BBB1A48-E06B-4BF4-B036-1790F012EEB8}"/>
    <cellStyle name="20% - Énfasis4 25 4 2 2" xfId="37836" xr:uid="{878E4DE0-A6FC-4BA8-A97E-EA459D1DA656}"/>
    <cellStyle name="20% - Énfasis4 25 4 3" xfId="37835" xr:uid="{E3632094-2939-4095-8758-73FB49787884}"/>
    <cellStyle name="20% - Énfasis4 25 5" xfId="16964" xr:uid="{2D9821FE-BE20-4DFB-B021-C7D53D760439}"/>
    <cellStyle name="20% - Énfasis4 25 5 2" xfId="37837" xr:uid="{0CACBF4F-3A32-40F8-B7B0-7112D1A0072B}"/>
    <cellStyle name="20% - Énfasis4 25 6" xfId="37822" xr:uid="{BEEE3B8A-8FA7-4161-BECE-B25DF2AFF3B7}"/>
    <cellStyle name="20% - Énfasis4 26" xfId="1559" xr:uid="{7480292C-3880-4A14-A8D4-909F3A01DC57}"/>
    <cellStyle name="20% - Énfasis4 26 2" xfId="3024" xr:uid="{5D9F3F4D-927A-4A22-9F0B-69416F38FC5A}"/>
    <cellStyle name="20% - Énfasis4 26 2 2" xfId="6756" xr:uid="{831D7791-7A2F-426B-B2FB-5735D4E14EA7}"/>
    <cellStyle name="20% - Énfasis4 26 2 2 2" xfId="14464" xr:uid="{BF24FE05-C20C-40EA-8203-64CB6CF2A1DA}"/>
    <cellStyle name="20% - Énfasis4 26 2 2 2 2" xfId="29876" xr:uid="{8E889449-4DFA-4A82-9436-B252529BA7C3}"/>
    <cellStyle name="20% - Énfasis4 26 2 2 2 2 2" xfId="37842" xr:uid="{3C4F27C8-7ADE-41EA-98E7-265C36196A7E}"/>
    <cellStyle name="20% - Énfasis4 26 2 2 2 3" xfId="37841" xr:uid="{E95D8B29-B146-4283-84E7-B0CBF8D2E91A}"/>
    <cellStyle name="20% - Énfasis4 26 2 2 3" xfId="22171" xr:uid="{CEF90B62-E984-4407-A1BC-F4001BED832E}"/>
    <cellStyle name="20% - Énfasis4 26 2 2 3 2" xfId="37843" xr:uid="{2C104AAB-0AA6-45FB-B1AF-0BE8F845F737}"/>
    <cellStyle name="20% - Énfasis4 26 2 2 4" xfId="37840" xr:uid="{34212847-CA38-4BD1-8430-58CE984FF75E}"/>
    <cellStyle name="20% - Énfasis4 26 2 3" xfId="10735" xr:uid="{656C4BA0-70DD-4D44-A59D-878BACE1F0DD}"/>
    <cellStyle name="20% - Énfasis4 26 2 3 2" xfId="26148" xr:uid="{DEB18508-53D5-4EEF-A762-59514C581885}"/>
    <cellStyle name="20% - Énfasis4 26 2 3 2 2" xfId="37845" xr:uid="{D8C77F7B-FF61-4C2E-89FC-957EC0785474}"/>
    <cellStyle name="20% - Énfasis4 26 2 3 3" xfId="37844" xr:uid="{F5946883-B5A5-4BBC-AE9C-A0BD64E0901C}"/>
    <cellStyle name="20% - Énfasis4 26 2 4" xfId="18443" xr:uid="{485E647B-5C27-40E9-B188-62B1DC0A3F15}"/>
    <cellStyle name="20% - Énfasis4 26 2 4 2" xfId="37846" xr:uid="{867B6287-5440-44A7-9A99-A860665FEC29}"/>
    <cellStyle name="20% - Énfasis4 26 2 5" xfId="37839" xr:uid="{F31818F7-7469-4383-A2E9-E20940B08A7B}"/>
    <cellStyle name="20% - Énfasis4 26 3" xfId="5295" xr:uid="{D97A84E5-4051-45E4-A864-032B0F668B4B}"/>
    <cellStyle name="20% - Énfasis4 26 3 2" xfId="13003" xr:uid="{C80B9C15-F526-484A-8EB6-3087CA376308}"/>
    <cellStyle name="20% - Énfasis4 26 3 2 2" xfId="28415" xr:uid="{353FAB31-1CFB-46B0-A6EE-B20921B99009}"/>
    <cellStyle name="20% - Énfasis4 26 3 2 2 2" xfId="37849" xr:uid="{5DB3FB81-B852-41F6-ABEF-058BF3BFFC2B}"/>
    <cellStyle name="20% - Énfasis4 26 3 2 3" xfId="37848" xr:uid="{6CF32DE7-5238-40A4-928A-DFFB2B30F4E6}"/>
    <cellStyle name="20% - Énfasis4 26 3 3" xfId="20710" xr:uid="{54445FCB-7043-4CA9-AAD6-46B320F62577}"/>
    <cellStyle name="20% - Énfasis4 26 3 3 2" xfId="37850" xr:uid="{F0097886-4689-4FA8-95C8-B64C11394656}"/>
    <cellStyle name="20% - Énfasis4 26 3 4" xfId="37847" xr:uid="{24364CEB-D785-4747-90E9-19062D39BBC5}"/>
    <cellStyle name="20% - Énfasis4 26 4" xfId="9276" xr:uid="{7131BC2C-095F-4FA3-8299-6BF52D8AD800}"/>
    <cellStyle name="20% - Énfasis4 26 4 2" xfId="24689" xr:uid="{D1E4F030-A274-4C16-ADE3-152E22E8BFA9}"/>
    <cellStyle name="20% - Énfasis4 26 4 2 2" xfId="37852" xr:uid="{23934CF5-83F4-4FA3-906E-E31BA8924727}"/>
    <cellStyle name="20% - Énfasis4 26 4 3" xfId="37851" xr:uid="{50670232-0132-4442-9301-4C73B76FC85C}"/>
    <cellStyle name="20% - Énfasis4 26 5" xfId="16984" xr:uid="{63F09634-57BB-4B87-A991-D26D682585C4}"/>
    <cellStyle name="20% - Énfasis4 26 5 2" xfId="37853" xr:uid="{1BF73DBA-6039-4033-9946-0AB2AFAA29BA}"/>
    <cellStyle name="20% - Énfasis4 26 6" xfId="37838" xr:uid="{AE5BAC8F-5384-4F66-8DED-3EC4123C245E}"/>
    <cellStyle name="20% - Énfasis4 27" xfId="1579" xr:uid="{DD2AC42E-B458-4CEE-94A0-74EC9F391923}"/>
    <cellStyle name="20% - Énfasis4 27 2" xfId="3044" xr:uid="{3E71BA00-EB78-420A-85F1-5980F03BBD50}"/>
    <cellStyle name="20% - Énfasis4 27 2 2" xfId="6776" xr:uid="{DD9B2A75-33BB-4820-9CD0-61DF4A07CCC9}"/>
    <cellStyle name="20% - Énfasis4 27 2 2 2" xfId="14484" xr:uid="{CF6C3D36-A8C1-4DCE-9C06-EF5C728F9021}"/>
    <cellStyle name="20% - Énfasis4 27 2 2 2 2" xfId="29896" xr:uid="{24F0719A-0078-4F69-8CC5-160C23A7422A}"/>
    <cellStyle name="20% - Énfasis4 27 2 2 2 2 2" xfId="37858" xr:uid="{08AF73EA-8B68-4C5A-8856-CCB4833311B5}"/>
    <cellStyle name="20% - Énfasis4 27 2 2 2 3" xfId="37857" xr:uid="{736F9ACD-C34C-4CDF-B06D-9DE59D59E34F}"/>
    <cellStyle name="20% - Énfasis4 27 2 2 3" xfId="22191" xr:uid="{AEF2E4D6-12FF-4D0E-81CD-DF30B7211948}"/>
    <cellStyle name="20% - Énfasis4 27 2 2 3 2" xfId="37859" xr:uid="{A5094F59-0F0B-4610-B952-35D657C8DD9E}"/>
    <cellStyle name="20% - Énfasis4 27 2 2 4" xfId="37856" xr:uid="{B5C75714-3CB8-4716-B531-390E975614A8}"/>
    <cellStyle name="20% - Énfasis4 27 2 3" xfId="10755" xr:uid="{1040B55B-676F-4536-A137-125F26D2C865}"/>
    <cellStyle name="20% - Énfasis4 27 2 3 2" xfId="26168" xr:uid="{D42FE0B1-1033-4C61-A0B6-F343E10BBC92}"/>
    <cellStyle name="20% - Énfasis4 27 2 3 2 2" xfId="37861" xr:uid="{2CCCD117-67D4-4E79-B916-157B55E47C0F}"/>
    <cellStyle name="20% - Énfasis4 27 2 3 3" xfId="37860" xr:uid="{4DE6AA72-6809-4D66-89EC-86037C61EBAB}"/>
    <cellStyle name="20% - Énfasis4 27 2 4" xfId="18463" xr:uid="{98B68878-BEE3-4EED-962D-75216887C902}"/>
    <cellStyle name="20% - Énfasis4 27 2 4 2" xfId="37862" xr:uid="{D7E589E0-5FB3-4491-9679-A03082146537}"/>
    <cellStyle name="20% - Énfasis4 27 2 5" xfId="37855" xr:uid="{1DC4B067-01F6-42ED-A25E-6F2069999511}"/>
    <cellStyle name="20% - Énfasis4 27 3" xfId="5315" xr:uid="{B9426A5F-C1CA-487C-B8E0-80BDDC8C5A29}"/>
    <cellStyle name="20% - Énfasis4 27 3 2" xfId="13023" xr:uid="{5C66BEBA-04D5-4AF1-A274-65579D8D70BC}"/>
    <cellStyle name="20% - Énfasis4 27 3 2 2" xfId="28435" xr:uid="{BD0A9E11-EF53-4554-BAF0-070605047ADC}"/>
    <cellStyle name="20% - Énfasis4 27 3 2 2 2" xfId="37865" xr:uid="{4B48B8DA-1477-4329-9B5E-C87E0618932A}"/>
    <cellStyle name="20% - Énfasis4 27 3 2 3" xfId="37864" xr:uid="{F5FD9DCE-D348-4CE6-A70E-C0F0BC079D2D}"/>
    <cellStyle name="20% - Énfasis4 27 3 3" xfId="20730" xr:uid="{A280E402-4F9D-437C-89F4-BA3675064CE2}"/>
    <cellStyle name="20% - Énfasis4 27 3 3 2" xfId="37866" xr:uid="{0DBCAC6B-67D3-4780-A667-E0C246520220}"/>
    <cellStyle name="20% - Énfasis4 27 3 4" xfId="37863" xr:uid="{586A8970-9D2C-40CF-8752-6102F8AA5F83}"/>
    <cellStyle name="20% - Énfasis4 27 4" xfId="9296" xr:uid="{AEB4411D-1449-4C84-8D99-6231FA207815}"/>
    <cellStyle name="20% - Énfasis4 27 4 2" xfId="24709" xr:uid="{9DE3C9BD-5599-4BF4-9D08-BF900682F965}"/>
    <cellStyle name="20% - Énfasis4 27 4 2 2" xfId="37868" xr:uid="{1DAB010E-BC99-46F7-B987-C2F1253AB714}"/>
    <cellStyle name="20% - Énfasis4 27 4 3" xfId="37867" xr:uid="{D899D2F0-E293-4DC3-AC25-FD877963DBA8}"/>
    <cellStyle name="20% - Énfasis4 27 5" xfId="17004" xr:uid="{CFE5C705-1F4B-47FD-A685-EBAECE4F4927}"/>
    <cellStyle name="20% - Énfasis4 27 5 2" xfId="37869" xr:uid="{0F4D2B06-A228-47EA-86D7-C5A22E2BA4D9}"/>
    <cellStyle name="20% - Énfasis4 27 6" xfId="37854" xr:uid="{0DF8F655-AD1A-4EE3-9D4B-54172E4D4EA4}"/>
    <cellStyle name="20% - Énfasis4 28" xfId="1600" xr:uid="{1723450E-D684-4E78-BD61-0FF6DC51D2A6}"/>
    <cellStyle name="20% - Énfasis4 28 2" xfId="3065" xr:uid="{FFDFBC41-6707-4301-8963-032B3EB05525}"/>
    <cellStyle name="20% - Énfasis4 28 2 2" xfId="6797" xr:uid="{209BB4C3-9512-472E-B9A6-99540159FBDA}"/>
    <cellStyle name="20% - Énfasis4 28 2 2 2" xfId="14505" xr:uid="{ADE77395-1D6C-4B22-A61F-5EA684FB92C0}"/>
    <cellStyle name="20% - Énfasis4 28 2 2 2 2" xfId="29917" xr:uid="{83746C64-1DDE-4436-8118-0EC42FF14288}"/>
    <cellStyle name="20% - Énfasis4 28 2 2 2 2 2" xfId="37874" xr:uid="{BE400F30-29C7-495D-A195-BC1614F047EC}"/>
    <cellStyle name="20% - Énfasis4 28 2 2 2 3" xfId="37873" xr:uid="{180C0815-91A1-4969-B239-5DB40645328C}"/>
    <cellStyle name="20% - Énfasis4 28 2 2 3" xfId="22212" xr:uid="{E2AEBFA1-4D8D-4154-AD02-027C35852796}"/>
    <cellStyle name="20% - Énfasis4 28 2 2 3 2" xfId="37875" xr:uid="{B80BC0F7-5D42-44F5-B6E4-DB4521B09ABA}"/>
    <cellStyle name="20% - Énfasis4 28 2 2 4" xfId="37872" xr:uid="{B77B74AA-40E9-4038-8D70-B716ACBC1109}"/>
    <cellStyle name="20% - Énfasis4 28 2 3" xfId="10776" xr:uid="{E4E6754B-53A2-4192-AF3B-FE610CFB1913}"/>
    <cellStyle name="20% - Énfasis4 28 2 3 2" xfId="26189" xr:uid="{69B543D6-5920-4C78-BA1C-B8F971556A87}"/>
    <cellStyle name="20% - Énfasis4 28 2 3 2 2" xfId="37877" xr:uid="{E35A76B2-C874-4767-B248-419542D77B98}"/>
    <cellStyle name="20% - Énfasis4 28 2 3 3" xfId="37876" xr:uid="{67831BC3-AC63-4B88-B0A8-E719095AC0EB}"/>
    <cellStyle name="20% - Énfasis4 28 2 4" xfId="18484" xr:uid="{5AAD879A-53E7-4206-9792-7BC0F504D9B2}"/>
    <cellStyle name="20% - Énfasis4 28 2 4 2" xfId="37878" xr:uid="{EF6E5B68-A4EF-4CD8-8A5A-CCE629082F02}"/>
    <cellStyle name="20% - Énfasis4 28 2 5" xfId="37871" xr:uid="{3DF7EAB3-C697-4310-921B-3F7CB1754D8D}"/>
    <cellStyle name="20% - Énfasis4 28 3" xfId="5336" xr:uid="{1535BB29-ABE5-45B1-8527-D07787C2C771}"/>
    <cellStyle name="20% - Énfasis4 28 3 2" xfId="13044" xr:uid="{F8091421-10C8-461A-8C7E-1D8D20DE2987}"/>
    <cellStyle name="20% - Énfasis4 28 3 2 2" xfId="28456" xr:uid="{257B6EC4-EEEF-44C4-BC10-D631E10A9B6C}"/>
    <cellStyle name="20% - Énfasis4 28 3 2 2 2" xfId="37881" xr:uid="{9BC03785-D336-438A-90C1-8576ED91F1A0}"/>
    <cellStyle name="20% - Énfasis4 28 3 2 3" xfId="37880" xr:uid="{DA8A55C2-AC48-4386-A9FB-FE7E3AF778CB}"/>
    <cellStyle name="20% - Énfasis4 28 3 3" xfId="20751" xr:uid="{98870D5B-4B27-4A81-921E-A0AFA1F48F0C}"/>
    <cellStyle name="20% - Énfasis4 28 3 3 2" xfId="37882" xr:uid="{D362F767-2D92-4B35-A0AD-CCF283BD3965}"/>
    <cellStyle name="20% - Énfasis4 28 3 4" xfId="37879" xr:uid="{23C3A217-0BDC-4818-9D20-2537CBE0053A}"/>
    <cellStyle name="20% - Énfasis4 28 4" xfId="9317" xr:uid="{F70EB3B0-7B77-42BD-A833-763677884CCA}"/>
    <cellStyle name="20% - Énfasis4 28 4 2" xfId="24730" xr:uid="{811BCADB-8717-4D57-9323-796DD5D7608A}"/>
    <cellStyle name="20% - Énfasis4 28 4 2 2" xfId="37884" xr:uid="{69D979DB-080C-471E-95D7-E021428BBC01}"/>
    <cellStyle name="20% - Énfasis4 28 4 3" xfId="37883" xr:uid="{9067CD4B-CC6B-4ED6-9D16-E39CF97FB5A0}"/>
    <cellStyle name="20% - Énfasis4 28 5" xfId="17025" xr:uid="{3040F7ED-CADB-46C4-94BA-C2D66D30E704}"/>
    <cellStyle name="20% - Énfasis4 28 5 2" xfId="37885" xr:uid="{EBE83B0F-85A5-49B2-BF9D-C8DF3A38004E}"/>
    <cellStyle name="20% - Énfasis4 28 6" xfId="37870" xr:uid="{7C893F35-5CBB-422F-BEF1-873EE6C1E33E}"/>
    <cellStyle name="20% - Énfasis4 29" xfId="3085" xr:uid="{F36CC165-0A6C-4A70-B601-B8D65D62B478}"/>
    <cellStyle name="20% - Énfasis4 29 2" xfId="6817" xr:uid="{9D810396-8F33-4769-8D46-E6439279257E}"/>
    <cellStyle name="20% - Énfasis4 29 2 2" xfId="14525" xr:uid="{265166AD-A7FF-4CC7-B89D-86FE1292D3E6}"/>
    <cellStyle name="20% - Énfasis4 29 2 2 2" xfId="29937" xr:uid="{70AA723E-C0CE-4F5F-AE04-57F7794648B4}"/>
    <cellStyle name="20% - Énfasis4 29 2 2 2 2" xfId="37889" xr:uid="{B1232251-4DD1-4A5B-8505-DE80850BB8BC}"/>
    <cellStyle name="20% - Énfasis4 29 2 2 3" xfId="37888" xr:uid="{27DEA15C-3EDF-46E7-B7F8-605EA5F9A0C2}"/>
    <cellStyle name="20% - Énfasis4 29 2 3" xfId="22232" xr:uid="{F3B1520A-48A9-4D00-857C-E2A28C32FF5D}"/>
    <cellStyle name="20% - Énfasis4 29 2 3 2" xfId="37890" xr:uid="{655B03F6-CF77-4211-9919-A5DA391D9C40}"/>
    <cellStyle name="20% - Énfasis4 29 2 4" xfId="37887" xr:uid="{2D8F40EE-4C8F-4020-BA5D-FEC778BFCD69}"/>
    <cellStyle name="20% - Énfasis4 29 3" xfId="10796" xr:uid="{A2D5432C-5C4B-40EE-AD10-9E1005BC4C8D}"/>
    <cellStyle name="20% - Énfasis4 29 3 2" xfId="26209" xr:uid="{8DBBF8A5-7DFD-4432-9CE0-2C09EFDC9528}"/>
    <cellStyle name="20% - Énfasis4 29 3 2 2" xfId="37892" xr:uid="{C1865A9F-5305-4A80-AD60-E01181133DF8}"/>
    <cellStyle name="20% - Énfasis4 29 3 3" xfId="37891" xr:uid="{BC3FFAAF-C1E7-4F70-A391-C797E19CED25}"/>
    <cellStyle name="20% - Énfasis4 29 4" xfId="18504" xr:uid="{231B8BB6-0E56-4C5F-86DB-36D703F024C2}"/>
    <cellStyle name="20% - Énfasis4 29 4 2" xfId="37893" xr:uid="{1E36CC91-1728-429A-A1C2-1444683C8EAC}"/>
    <cellStyle name="20% - Énfasis4 29 5" xfId="37886" xr:uid="{42769206-09F3-4B26-A276-11CF8E21868B}"/>
    <cellStyle name="20% - Énfasis4 3" xfId="247" xr:uid="{034B2876-20FF-48F0-AE8A-DC4033D7D51F}"/>
    <cellStyle name="20% - Énfasis4 3 2" xfId="449" xr:uid="{A9E4382A-4F66-482E-9936-BCCA331B6B17}"/>
    <cellStyle name="20% - Énfasis4 3 2 2" xfId="1110" xr:uid="{8FFD3E4C-9D6A-4641-B877-08AA949E3528}"/>
    <cellStyle name="20% - Énfasis4 3 2 2 2" xfId="2578" xr:uid="{228FCDF0-D2FE-4AB9-837B-F1C42D3CD4DC}"/>
    <cellStyle name="20% - Énfasis4 3 2 2 2 2" xfId="6310" xr:uid="{7BFE838E-9B0C-4C04-9BC0-276918907195}"/>
    <cellStyle name="20% - Énfasis4 3 2 2 2 2 2" xfId="14018" xr:uid="{04C1314F-D44F-4163-BFCE-E14D10E62136}"/>
    <cellStyle name="20% - Énfasis4 3 2 2 2 2 2 2" xfId="29430" xr:uid="{6E43093B-870B-4BBA-9610-7C91680F2BCC}"/>
    <cellStyle name="20% - Énfasis4 3 2 2 2 2 2 2 2" xfId="37900" xr:uid="{8BE7828F-F475-45D2-A599-18C14BABCC68}"/>
    <cellStyle name="20% - Énfasis4 3 2 2 2 2 2 3" xfId="37899" xr:uid="{0E579CB8-05BC-40C8-B3B0-647EB0A59BF5}"/>
    <cellStyle name="20% - Énfasis4 3 2 2 2 2 3" xfId="21725" xr:uid="{F134C748-136A-4F61-ADB3-2519CA89D970}"/>
    <cellStyle name="20% - Énfasis4 3 2 2 2 2 3 2" xfId="37901" xr:uid="{6C55A275-5469-47B1-8627-8690ADC945C8}"/>
    <cellStyle name="20% - Énfasis4 3 2 2 2 2 4" xfId="37898" xr:uid="{5F888402-ACC8-43F4-8FED-9521DF5ADC5B}"/>
    <cellStyle name="20% - Énfasis4 3 2 2 2 3" xfId="10289" xr:uid="{F17FA34D-59A4-44E4-BD93-2CA7357C2DF8}"/>
    <cellStyle name="20% - Énfasis4 3 2 2 2 3 2" xfId="25702" xr:uid="{DE4B644B-652D-46FB-B713-363F408DBC18}"/>
    <cellStyle name="20% - Énfasis4 3 2 2 2 3 2 2" xfId="37903" xr:uid="{34C27019-0A31-4665-8678-749CF480D833}"/>
    <cellStyle name="20% - Énfasis4 3 2 2 2 3 3" xfId="37902" xr:uid="{492C0F94-AF70-4B22-8BB0-74433A6B8ACC}"/>
    <cellStyle name="20% - Énfasis4 3 2 2 2 4" xfId="17997" xr:uid="{4CE63C65-C91B-483E-958E-640C00C64CBE}"/>
    <cellStyle name="20% - Énfasis4 3 2 2 2 4 2" xfId="37904" xr:uid="{A2B6BF54-E233-4F68-8599-0845ED4147B1}"/>
    <cellStyle name="20% - Énfasis4 3 2 2 2 5" xfId="37897" xr:uid="{7CD75A85-6211-4A8A-B42C-A41201D7C346}"/>
    <cellStyle name="20% - Énfasis4 3 2 2 3" xfId="4847" xr:uid="{1ABAD0E0-00A6-4942-9472-C5FDE4945F1C}"/>
    <cellStyle name="20% - Énfasis4 3 2 2 3 2" xfId="12555" xr:uid="{AA40F18D-528C-40EB-A407-CC9D67B04DBF}"/>
    <cellStyle name="20% - Énfasis4 3 2 2 3 2 2" xfId="27967" xr:uid="{8790373D-C7D4-4053-B6AE-38D0FFAC886D}"/>
    <cellStyle name="20% - Énfasis4 3 2 2 3 2 2 2" xfId="37907" xr:uid="{3ED81409-CF04-4E88-8FA7-FF2DF929DFE9}"/>
    <cellStyle name="20% - Énfasis4 3 2 2 3 2 3" xfId="37906" xr:uid="{1A0233E8-7287-4AA4-9A63-C246E8CFDCA3}"/>
    <cellStyle name="20% - Énfasis4 3 2 2 3 3" xfId="20262" xr:uid="{F3A00033-7694-43D3-A5F9-DE037EDAF4F6}"/>
    <cellStyle name="20% - Énfasis4 3 2 2 3 3 2" xfId="37908" xr:uid="{17B41556-7B0F-442C-B5CF-CBFE273EC4AA}"/>
    <cellStyle name="20% - Énfasis4 3 2 2 3 4" xfId="37905" xr:uid="{997A1473-623E-4F8A-859D-25437CD7D837}"/>
    <cellStyle name="20% - Énfasis4 3 2 2 4" xfId="8830" xr:uid="{E69CB0B4-3E80-416C-AFE7-FACD8A509F8B}"/>
    <cellStyle name="20% - Énfasis4 3 2 2 4 2" xfId="24243" xr:uid="{7DC66DF2-F33D-4EA0-8DF8-0968EDC0F248}"/>
    <cellStyle name="20% - Énfasis4 3 2 2 4 2 2" xfId="37910" xr:uid="{9EA55746-042B-4308-B255-52FCCB733424}"/>
    <cellStyle name="20% - Énfasis4 3 2 2 4 3" xfId="37909" xr:uid="{F9A875EC-E94A-4287-9AF6-B650255C093A}"/>
    <cellStyle name="20% - Énfasis4 3 2 2 5" xfId="16538" xr:uid="{6FB88C8F-ADB4-404A-98FD-432515706AA9}"/>
    <cellStyle name="20% - Énfasis4 3 2 2 5 2" xfId="37911" xr:uid="{8667431B-658B-439B-A3C6-1309A92BAB96}"/>
    <cellStyle name="20% - Énfasis4 3 2 2 6" xfId="37896" xr:uid="{CE7B1A3F-1245-4308-8206-6007982D1C39}"/>
    <cellStyle name="20% - Énfasis4 3 2 3" xfId="1940" xr:uid="{9F5B8BCA-4435-4FED-8E94-4FE1B616CF6B}"/>
    <cellStyle name="20% - Énfasis4 3 2 3 2" xfId="5672" xr:uid="{25B52FB1-22AD-43CA-9C2F-4B5D937D73F8}"/>
    <cellStyle name="20% - Énfasis4 3 2 3 2 2" xfId="13380" xr:uid="{347FE3A0-9457-4FAF-8EA0-86946AE04EE8}"/>
    <cellStyle name="20% - Énfasis4 3 2 3 2 2 2" xfId="28792" xr:uid="{08BF73EF-8A82-4966-AE8D-987DB9A71A78}"/>
    <cellStyle name="20% - Énfasis4 3 2 3 2 2 2 2" xfId="37915" xr:uid="{464BB9AB-F54A-4BE7-BE72-6E7039A1B643}"/>
    <cellStyle name="20% - Énfasis4 3 2 3 2 2 3" xfId="37914" xr:uid="{74AB4694-9A4F-400A-8917-87EA4E8B7180}"/>
    <cellStyle name="20% - Énfasis4 3 2 3 2 3" xfId="21087" xr:uid="{692E3910-20BC-4CA1-8BF2-190E6B0C29ED}"/>
    <cellStyle name="20% - Énfasis4 3 2 3 2 3 2" xfId="37916" xr:uid="{8E9E35CE-72AE-4711-9A2A-DCDB4A686A76}"/>
    <cellStyle name="20% - Énfasis4 3 2 3 2 4" xfId="37913" xr:uid="{E7DB5ADF-7F95-42BF-A740-BEE2DEEC4CD5}"/>
    <cellStyle name="20% - Énfasis4 3 2 3 3" xfId="9651" xr:uid="{1E708EE3-A51F-4F65-A038-545E7A156FB7}"/>
    <cellStyle name="20% - Énfasis4 3 2 3 3 2" xfId="25064" xr:uid="{9485BDD2-97B2-4C32-92CB-9C348174D548}"/>
    <cellStyle name="20% - Énfasis4 3 2 3 3 2 2" xfId="37918" xr:uid="{D72A1B0A-1B3C-40D7-A196-2534C8AEB1B4}"/>
    <cellStyle name="20% - Énfasis4 3 2 3 3 3" xfId="37917" xr:uid="{E013189D-9E11-4A55-A8B0-FECB34526CCC}"/>
    <cellStyle name="20% - Énfasis4 3 2 3 4" xfId="17359" xr:uid="{8409411C-FE1D-4AA5-8686-162DB424E5BA}"/>
    <cellStyle name="20% - Énfasis4 3 2 3 4 2" xfId="37919" xr:uid="{5C1B9465-D3D6-4EA0-A576-B2C56E838FDD}"/>
    <cellStyle name="20% - Énfasis4 3 2 3 5" xfId="37912" xr:uid="{44412FAA-8434-4BE5-AA9D-B0F8A09483C3}"/>
    <cellStyle name="20% - Énfasis4 3 2 4" xfId="4195" xr:uid="{C3B1B7E4-C07F-4417-BC5E-81CCEDA17A63}"/>
    <cellStyle name="20% - Énfasis4 3 2 4 2" xfId="11903" xr:uid="{96351C28-BA47-48A0-B995-FF666B9E1639}"/>
    <cellStyle name="20% - Énfasis4 3 2 4 2 2" xfId="27315" xr:uid="{5E7532D0-67AC-42CE-944B-06650D351CFB}"/>
    <cellStyle name="20% - Énfasis4 3 2 4 2 2 2" xfId="37922" xr:uid="{FB8A04BC-9950-4240-AD04-69F4E3E50250}"/>
    <cellStyle name="20% - Énfasis4 3 2 4 2 3" xfId="37921" xr:uid="{55482330-B20F-44AA-A7A0-7EAEEA78C555}"/>
    <cellStyle name="20% - Énfasis4 3 2 4 3" xfId="19610" xr:uid="{4B8C569A-6FA7-439A-93FA-88D70D8432FD}"/>
    <cellStyle name="20% - Énfasis4 3 2 4 3 2" xfId="37923" xr:uid="{E54A3E1C-BC1B-442C-971D-2AC565B3F8C7}"/>
    <cellStyle name="20% - Énfasis4 3 2 4 4" xfId="37920" xr:uid="{9F3F4793-532F-4FF2-9DB4-B89650DC93FD}"/>
    <cellStyle name="20% - Énfasis4 3 2 5" xfId="8192" xr:uid="{0B14C82F-EA8F-47C4-B9F2-8BDD877F69C9}"/>
    <cellStyle name="20% - Énfasis4 3 2 5 2" xfId="23605" xr:uid="{B266F433-4D8D-4BD4-B934-B0C189C1F8EC}"/>
    <cellStyle name="20% - Énfasis4 3 2 5 2 2" xfId="37925" xr:uid="{4205AF67-4C72-4ADE-ADA4-0366A7F5F9E2}"/>
    <cellStyle name="20% - Énfasis4 3 2 5 3" xfId="37924" xr:uid="{A99353F7-3587-4C22-9A21-6A3498A7EABD}"/>
    <cellStyle name="20% - Énfasis4 3 2 6" xfId="15900" xr:uid="{774932D1-D293-425C-8D86-48A06364E969}"/>
    <cellStyle name="20% - Énfasis4 3 2 6 2" xfId="37926" xr:uid="{05D88071-37B8-4517-AEDA-65BB4BF610B6}"/>
    <cellStyle name="20% - Énfasis4 3 2 7" xfId="37895" xr:uid="{F6BC29F4-BDA7-49F3-8CA5-CA4A5F5F2DD9}"/>
    <cellStyle name="20% - Énfasis4 3 3" xfId="910" xr:uid="{926249E3-B166-4F6E-B08F-DF80FBF5FBED}"/>
    <cellStyle name="20% - Énfasis4 3 3 2" xfId="2380" xr:uid="{981106B2-7024-4B62-AEA6-19C057044CB1}"/>
    <cellStyle name="20% - Énfasis4 3 3 2 2" xfId="6112" xr:uid="{B695E9D2-2CCF-41B9-8B9E-FE8EB138FA8E}"/>
    <cellStyle name="20% - Énfasis4 3 3 2 2 2" xfId="13820" xr:uid="{0F7A97DE-FF89-46CB-9E05-C1198433D48B}"/>
    <cellStyle name="20% - Énfasis4 3 3 2 2 2 2" xfId="29232" xr:uid="{5C9221A7-D916-499B-B612-C8283B28EB3A}"/>
    <cellStyle name="20% - Énfasis4 3 3 2 2 2 2 2" xfId="37931" xr:uid="{BDFB65B5-B704-4B1B-9221-CD75D3F468D4}"/>
    <cellStyle name="20% - Énfasis4 3 3 2 2 2 3" xfId="37930" xr:uid="{4E8F7E22-79CD-43C8-B0F4-602625B9DE46}"/>
    <cellStyle name="20% - Énfasis4 3 3 2 2 3" xfId="21527" xr:uid="{0CFB8AE6-8837-4EF0-8F63-71A9FE40DD72}"/>
    <cellStyle name="20% - Énfasis4 3 3 2 2 3 2" xfId="37932" xr:uid="{2C67BE04-5BAE-4F35-A338-A73139E58BB6}"/>
    <cellStyle name="20% - Énfasis4 3 3 2 2 4" xfId="37929" xr:uid="{22B14157-A65F-4671-AD63-701DBA11B3FC}"/>
    <cellStyle name="20% - Énfasis4 3 3 2 3" xfId="10091" xr:uid="{B7E13100-1251-4625-BCA2-43DFD21B3330}"/>
    <cellStyle name="20% - Énfasis4 3 3 2 3 2" xfId="25504" xr:uid="{2368C369-4BC0-4D2D-A1E5-1DA0057EBFFA}"/>
    <cellStyle name="20% - Énfasis4 3 3 2 3 2 2" xfId="37934" xr:uid="{DE62273F-6A26-4CB4-82C7-CD9C0265AB42}"/>
    <cellStyle name="20% - Énfasis4 3 3 2 3 3" xfId="37933" xr:uid="{A19F0D7D-3E0F-459D-BA77-383F0A0D9AAE}"/>
    <cellStyle name="20% - Énfasis4 3 3 2 4" xfId="17799" xr:uid="{CA0A73E8-137E-43AA-863A-4F5BDCD07389}"/>
    <cellStyle name="20% - Énfasis4 3 3 2 4 2" xfId="37935" xr:uid="{D66882C8-4E1F-4353-BB7D-13D1C17B7203}"/>
    <cellStyle name="20% - Énfasis4 3 3 2 5" xfId="37928" xr:uid="{1976C8E6-6D9A-439A-B2FA-5F1B7EB3CD5D}"/>
    <cellStyle name="20% - Énfasis4 3 3 3" xfId="4647" xr:uid="{828C8F7C-3537-4088-962F-02B980CB7E11}"/>
    <cellStyle name="20% - Énfasis4 3 3 3 2" xfId="12355" xr:uid="{658A9A29-A251-406B-9745-11048795B321}"/>
    <cellStyle name="20% - Énfasis4 3 3 3 2 2" xfId="27767" xr:uid="{41C17ABB-FCAF-4C7D-A5D9-03AB9CC28024}"/>
    <cellStyle name="20% - Énfasis4 3 3 3 2 2 2" xfId="37938" xr:uid="{41EA162C-4385-4F53-BE62-8C788CB23C48}"/>
    <cellStyle name="20% - Énfasis4 3 3 3 2 3" xfId="37937" xr:uid="{28A8BF86-98AE-4C8D-9962-BCED9873B68E}"/>
    <cellStyle name="20% - Énfasis4 3 3 3 3" xfId="20062" xr:uid="{0F5EE17D-EDBD-4FB0-8378-1BF01FE98FD6}"/>
    <cellStyle name="20% - Énfasis4 3 3 3 3 2" xfId="37939" xr:uid="{748BE00A-40FA-498D-9D9A-E5EF39C9C817}"/>
    <cellStyle name="20% - Énfasis4 3 3 3 4" xfId="37936" xr:uid="{BE714459-2EC9-4306-A8D0-E0C555CB31E2}"/>
    <cellStyle name="20% - Énfasis4 3 3 4" xfId="8632" xr:uid="{CADE7CE7-BE55-4445-A610-6C9748EBC5D1}"/>
    <cellStyle name="20% - Énfasis4 3 3 4 2" xfId="24045" xr:uid="{DC6B923A-87E3-4E89-9BBF-F32BC8925D1A}"/>
    <cellStyle name="20% - Énfasis4 3 3 4 2 2" xfId="37941" xr:uid="{42346780-97C9-42A4-96DA-28B4E68CED17}"/>
    <cellStyle name="20% - Énfasis4 3 3 4 3" xfId="37940" xr:uid="{38D533AD-81C9-4DFB-97A7-099E1CCE953F}"/>
    <cellStyle name="20% - Énfasis4 3 3 5" xfId="16340" xr:uid="{6ABFBFA8-4576-491D-81FD-195B8E2FAB81}"/>
    <cellStyle name="20% - Énfasis4 3 3 5 2" xfId="37942" xr:uid="{A6965A56-C813-45F9-8B97-209699A0F5E1}"/>
    <cellStyle name="20% - Énfasis4 3 3 6" xfId="37927" xr:uid="{0D4492DB-3695-4D94-B0CE-47AD4891FACA}"/>
    <cellStyle name="20% - Énfasis4 3 4" xfId="1742" xr:uid="{707CEEA3-C77E-4A58-976E-71AD4BAA9570}"/>
    <cellStyle name="20% - Énfasis4 3 4 2" xfId="5474" xr:uid="{BFEFD141-EBF9-4251-9E82-D89EE252146B}"/>
    <cellStyle name="20% - Énfasis4 3 4 2 2" xfId="13182" xr:uid="{8109459B-6924-46F6-8B56-9FA36E7C5C08}"/>
    <cellStyle name="20% - Énfasis4 3 4 2 2 2" xfId="28594" xr:uid="{783BE1BB-603C-4336-8478-3727EA78E834}"/>
    <cellStyle name="20% - Énfasis4 3 4 2 2 2 2" xfId="37946" xr:uid="{7BD79474-9EB4-4574-A7DE-D4CAAB7087E1}"/>
    <cellStyle name="20% - Énfasis4 3 4 2 2 3" xfId="37945" xr:uid="{3F8C3238-21E1-48C2-960F-5917B9DDF70A}"/>
    <cellStyle name="20% - Énfasis4 3 4 2 3" xfId="20889" xr:uid="{167B2052-5AF9-42B5-B0AD-330638653562}"/>
    <cellStyle name="20% - Énfasis4 3 4 2 3 2" xfId="37947" xr:uid="{35C91B8B-AA4B-441F-BD93-A3D499CE1AE5}"/>
    <cellStyle name="20% - Énfasis4 3 4 2 4" xfId="37944" xr:uid="{6B83B705-E0F1-4CBA-86BB-D89F60DCA759}"/>
    <cellStyle name="20% - Énfasis4 3 4 3" xfId="9453" xr:uid="{9484FBFE-BE2C-4E35-890D-2E7A8C6A9B6A}"/>
    <cellStyle name="20% - Énfasis4 3 4 3 2" xfId="24866" xr:uid="{B50A2967-0EB3-4DEB-9258-2057D78C9E7C}"/>
    <cellStyle name="20% - Énfasis4 3 4 3 2 2" xfId="37949" xr:uid="{A6122C90-8C24-4439-B9A8-5BE9BAF68638}"/>
    <cellStyle name="20% - Énfasis4 3 4 3 3" xfId="37948" xr:uid="{2E7D315F-FE10-4C66-BAEF-C9A5CA177863}"/>
    <cellStyle name="20% - Énfasis4 3 4 4" xfId="17161" xr:uid="{3DBD0788-65A4-4D51-A7CE-59DC18FD950E}"/>
    <cellStyle name="20% - Énfasis4 3 4 4 2" xfId="37950" xr:uid="{D61253A1-E82D-4859-BD9F-D4A5C9E9DE7F}"/>
    <cellStyle name="20% - Énfasis4 3 4 5" xfId="37943" xr:uid="{D84EE3D8-F985-4B98-9B1A-069F33CD3BB8}"/>
    <cellStyle name="20% - Énfasis4 3 5" xfId="3995" xr:uid="{8ED71717-A0CC-4F8F-B378-1A09D014E19E}"/>
    <cellStyle name="20% - Énfasis4 3 5 2" xfId="11703" xr:uid="{7B9C681A-297B-484A-9836-11F52AABE774}"/>
    <cellStyle name="20% - Énfasis4 3 5 2 2" xfId="27115" xr:uid="{ABE1E491-AAD0-4989-801B-D7021D2ABEBF}"/>
    <cellStyle name="20% - Énfasis4 3 5 2 2 2" xfId="37953" xr:uid="{567BEE8F-6BF0-4C8B-AACD-F54427CD2050}"/>
    <cellStyle name="20% - Énfasis4 3 5 2 3" xfId="37952" xr:uid="{A3A014E3-B44C-4815-AE09-02F07E3F1321}"/>
    <cellStyle name="20% - Énfasis4 3 5 3" xfId="19410" xr:uid="{4C3320E3-7632-4BA5-A15B-93D1603D4B5D}"/>
    <cellStyle name="20% - Énfasis4 3 5 3 2" xfId="37954" xr:uid="{1D5F8CFE-E97B-4EEA-88CF-12BF3D19DFF3}"/>
    <cellStyle name="20% - Énfasis4 3 5 4" xfId="37951" xr:uid="{523D054D-1508-4820-8ABD-E1A99935BB22}"/>
    <cellStyle name="20% - Énfasis4 3 6" xfId="7994" xr:uid="{7EB4C01A-DC40-4EB4-A53E-376EDF919C98}"/>
    <cellStyle name="20% - Énfasis4 3 6 2" xfId="23407" xr:uid="{72AEDF0C-4CBD-4380-B7B0-4E8B3084B99E}"/>
    <cellStyle name="20% - Énfasis4 3 6 2 2" xfId="37956" xr:uid="{16C8653E-8172-499C-BAFC-1125A0F6AAB2}"/>
    <cellStyle name="20% - Énfasis4 3 6 3" xfId="37955" xr:uid="{98CF9999-FD56-4E96-99ED-F651A9AB4CAE}"/>
    <cellStyle name="20% - Énfasis4 3 7" xfId="15702" xr:uid="{9A4F1327-388F-45DB-88DF-8987966CBEA4}"/>
    <cellStyle name="20% - Énfasis4 3 7 2" xfId="37957" xr:uid="{445ED4D9-1AB5-4A62-AE30-82C1B0147856}"/>
    <cellStyle name="20% - Énfasis4 3 8" xfId="37894" xr:uid="{32927BC8-F3D6-4F45-87BA-20EC284760C9}"/>
    <cellStyle name="20% - Énfasis4 30" xfId="3105" xr:uid="{802B7C08-305F-49A0-A804-EC9B9F9E3895}"/>
    <cellStyle name="20% - Énfasis4 30 2" xfId="6837" xr:uid="{7F8B8E4C-B167-4512-B6BA-2D8F9381FBF0}"/>
    <cellStyle name="20% - Énfasis4 30 2 2" xfId="14545" xr:uid="{3E756C7D-A6C6-411B-9B94-D2241287FCDC}"/>
    <cellStyle name="20% - Énfasis4 30 2 2 2" xfId="29957" xr:uid="{8265CAEB-68B2-4B7F-B1E4-910C81DC33E4}"/>
    <cellStyle name="20% - Énfasis4 30 2 2 2 2" xfId="37961" xr:uid="{1356DD00-294B-45A6-983A-405750018A04}"/>
    <cellStyle name="20% - Énfasis4 30 2 2 3" xfId="37960" xr:uid="{77187380-2E13-450F-982A-6719ECBBD116}"/>
    <cellStyle name="20% - Énfasis4 30 2 3" xfId="22252" xr:uid="{D91FE088-A619-4DB7-B9DF-0197E943DC2D}"/>
    <cellStyle name="20% - Énfasis4 30 2 3 2" xfId="37962" xr:uid="{4A07D625-6077-4B1F-B5DF-9608281E177C}"/>
    <cellStyle name="20% - Énfasis4 30 2 4" xfId="37959" xr:uid="{D88C7794-B4DB-4538-AA60-6A126B5233BF}"/>
    <cellStyle name="20% - Énfasis4 30 3" xfId="10816" xr:uid="{E15F909C-48BF-4E41-B25D-4E61525A4E1E}"/>
    <cellStyle name="20% - Énfasis4 30 3 2" xfId="26229" xr:uid="{F4A797CA-5068-4D15-9A57-A8005E31ADD5}"/>
    <cellStyle name="20% - Énfasis4 30 3 2 2" xfId="37964" xr:uid="{A7DDE259-11F8-4EBD-9D31-B4DEB93EBE1C}"/>
    <cellStyle name="20% - Énfasis4 30 3 3" xfId="37963" xr:uid="{1189CDAE-D1A4-4598-AC4E-A74576CE5A50}"/>
    <cellStyle name="20% - Énfasis4 30 4" xfId="18524" xr:uid="{69121FEB-53DD-4644-A7D5-C4DAD2FF073E}"/>
    <cellStyle name="20% - Énfasis4 30 4 2" xfId="37965" xr:uid="{800CE69D-AB4A-4807-95F8-59E6453E3EC3}"/>
    <cellStyle name="20% - Énfasis4 30 5" xfId="37958" xr:uid="{AECA64BB-FBA9-45CE-8091-AA37F5A70DBE}"/>
    <cellStyle name="20% - Énfasis4 31" xfId="3125" xr:uid="{02F5DE40-E6AE-4A14-98C7-BB4359CBD5F7}"/>
    <cellStyle name="20% - Énfasis4 31 2" xfId="6857" xr:uid="{8AE6AA4E-0878-4EAD-BA8C-CDC22A576DA6}"/>
    <cellStyle name="20% - Énfasis4 31 2 2" xfId="14565" xr:uid="{4D14B75B-1BBA-4A1A-8694-FBDE17C7C1C6}"/>
    <cellStyle name="20% - Énfasis4 31 2 2 2" xfId="29977" xr:uid="{39374550-B963-4B01-80AC-290A6742B2F4}"/>
    <cellStyle name="20% - Énfasis4 31 2 2 2 2" xfId="37969" xr:uid="{781E9F12-8474-4337-9FC8-E9D3D53558F0}"/>
    <cellStyle name="20% - Énfasis4 31 2 2 3" xfId="37968" xr:uid="{570CF69D-3B1E-4A62-8B7A-FA71C349B0FB}"/>
    <cellStyle name="20% - Énfasis4 31 2 3" xfId="22272" xr:uid="{B260F14C-170D-4DF5-8A1C-78682F941262}"/>
    <cellStyle name="20% - Énfasis4 31 2 3 2" xfId="37970" xr:uid="{06C0CAFE-5EFC-4221-926B-9D6AAE7E1BBA}"/>
    <cellStyle name="20% - Énfasis4 31 2 4" xfId="37967" xr:uid="{D358ACAC-7798-4951-9389-895ECD8CCF11}"/>
    <cellStyle name="20% - Énfasis4 31 3" xfId="10836" xr:uid="{E04FBF13-C59B-46CA-A2C7-F2B08DF3545C}"/>
    <cellStyle name="20% - Énfasis4 31 3 2" xfId="26249" xr:uid="{66A5A2BB-D7B2-4D22-97D1-C65088432E83}"/>
    <cellStyle name="20% - Énfasis4 31 3 2 2" xfId="37972" xr:uid="{9EE7E2E7-5A08-48C4-A552-E35AB9E0BED9}"/>
    <cellStyle name="20% - Énfasis4 31 3 3" xfId="37971" xr:uid="{DE73F836-5CEA-4DE2-9D69-F6357F0D6330}"/>
    <cellStyle name="20% - Énfasis4 31 4" xfId="18544" xr:uid="{04547065-729D-478E-BAE3-F618903ABA01}"/>
    <cellStyle name="20% - Énfasis4 31 4 2" xfId="37973" xr:uid="{E1291D51-9E47-4E0A-A268-F73D987F17AA}"/>
    <cellStyle name="20% - Énfasis4 31 5" xfId="37966" xr:uid="{E09DD744-55F0-4B12-818E-95722CBD18B6}"/>
    <cellStyle name="20% - Énfasis4 32" xfId="3145" xr:uid="{32869F0D-43AF-44C0-89AC-D6D345DD074F}"/>
    <cellStyle name="20% - Énfasis4 32 2" xfId="6877" xr:uid="{B88835F4-B0F5-4ADA-8072-CB2E098E1F6D}"/>
    <cellStyle name="20% - Énfasis4 32 2 2" xfId="14585" xr:uid="{947CF36C-F9F2-45C5-B760-1FFE2D1C3153}"/>
    <cellStyle name="20% - Énfasis4 32 2 2 2" xfId="29997" xr:uid="{4149AAF4-5728-45F0-8F8F-4B0DB189D37E}"/>
    <cellStyle name="20% - Énfasis4 32 2 2 2 2" xfId="37977" xr:uid="{518F7AAE-8200-4295-9D95-E1E852768913}"/>
    <cellStyle name="20% - Énfasis4 32 2 2 3" xfId="37976" xr:uid="{7E2496C1-7738-47EF-B4BA-0D7FF081D632}"/>
    <cellStyle name="20% - Énfasis4 32 2 3" xfId="22292" xr:uid="{27155E01-E654-4488-AEE5-B7316C12442B}"/>
    <cellStyle name="20% - Énfasis4 32 2 3 2" xfId="37978" xr:uid="{66A3AD72-756E-4C5C-972C-94E08A0675BC}"/>
    <cellStyle name="20% - Énfasis4 32 2 4" xfId="37975" xr:uid="{6EAD8438-D33B-492B-97B2-2DAEA1313952}"/>
    <cellStyle name="20% - Énfasis4 32 3" xfId="10856" xr:uid="{2E5FFEA6-AA94-468E-A56E-FA83C07E9947}"/>
    <cellStyle name="20% - Énfasis4 32 3 2" xfId="26269" xr:uid="{1A342214-B485-417B-B232-7C0C100F2537}"/>
    <cellStyle name="20% - Énfasis4 32 3 2 2" xfId="37980" xr:uid="{9AC3886C-D584-4CFE-997F-0E03546D0558}"/>
    <cellStyle name="20% - Énfasis4 32 3 3" xfId="37979" xr:uid="{D07DC535-7A4B-4FB4-9E3C-7C4F8B12BF89}"/>
    <cellStyle name="20% - Énfasis4 32 4" xfId="18564" xr:uid="{3CAB8161-B5DC-405F-B5F1-4F3ABB81BDB8}"/>
    <cellStyle name="20% - Énfasis4 32 4 2" xfId="37981" xr:uid="{C97641ED-8D6E-405E-AAE7-45424FCA9212}"/>
    <cellStyle name="20% - Énfasis4 32 5" xfId="37974" xr:uid="{A505FD46-2C3E-4C1A-A398-4AA3B4EB05E4}"/>
    <cellStyle name="20% - Énfasis4 33" xfId="3165" xr:uid="{8C82BF75-7147-436B-861D-1D2C38319BE2}"/>
    <cellStyle name="20% - Énfasis4 33 2" xfId="6897" xr:uid="{55CA533D-A581-4214-B66B-DDBA8011842F}"/>
    <cellStyle name="20% - Énfasis4 33 2 2" xfId="14605" xr:uid="{6F4B9CFE-F94E-4BBC-ADFD-22E82B67A868}"/>
    <cellStyle name="20% - Énfasis4 33 2 2 2" xfId="30017" xr:uid="{F4F13BD5-CB8E-4B4A-B986-2B9F4DE9116E}"/>
    <cellStyle name="20% - Énfasis4 33 2 2 2 2" xfId="37985" xr:uid="{AC98BDE6-5C3C-4EBF-BC45-92A482BA5078}"/>
    <cellStyle name="20% - Énfasis4 33 2 2 3" xfId="37984" xr:uid="{57B25301-E8BE-4E86-B0E4-AA31AB7D4065}"/>
    <cellStyle name="20% - Énfasis4 33 2 3" xfId="22312" xr:uid="{A2D6BAB4-CE1D-4085-A7A8-00BD06F791BF}"/>
    <cellStyle name="20% - Énfasis4 33 2 3 2" xfId="37986" xr:uid="{1AEACC2D-7146-44E6-A2A6-23150EA94C6C}"/>
    <cellStyle name="20% - Énfasis4 33 2 4" xfId="37983" xr:uid="{270EDF9C-7950-40C2-8638-F6B7D4AE1FAB}"/>
    <cellStyle name="20% - Énfasis4 33 3" xfId="10876" xr:uid="{FA0D0C82-6878-4F0C-A9D4-216BD69411F8}"/>
    <cellStyle name="20% - Énfasis4 33 3 2" xfId="26289" xr:uid="{A0C25641-F842-4EFD-8A88-77C43E4B412F}"/>
    <cellStyle name="20% - Énfasis4 33 3 2 2" xfId="37988" xr:uid="{A449E0CE-4AC8-4BA8-BB33-0DCCCB47E504}"/>
    <cellStyle name="20% - Énfasis4 33 3 3" xfId="37987" xr:uid="{C41BD5FA-842B-400A-9505-A1DBEF391CF6}"/>
    <cellStyle name="20% - Énfasis4 33 4" xfId="18584" xr:uid="{73A97993-F919-43FE-8EDD-BE397044D256}"/>
    <cellStyle name="20% - Énfasis4 33 4 2" xfId="37989" xr:uid="{2AB3D1D5-3247-4F0C-A330-7ECC08101400}"/>
    <cellStyle name="20% - Énfasis4 33 5" xfId="37982" xr:uid="{ACABD293-ECB6-4C53-AD63-4DF60DFE1016}"/>
    <cellStyle name="20% - Énfasis4 34" xfId="3185" xr:uid="{54679214-71FC-4C74-ADD3-012C0F9B52E3}"/>
    <cellStyle name="20% - Énfasis4 34 2" xfId="6917" xr:uid="{F25E08B8-0810-41C4-B13A-C11F572437AF}"/>
    <cellStyle name="20% - Énfasis4 34 2 2" xfId="14625" xr:uid="{4EF4AB3D-15D2-4718-A7C5-E577168108EC}"/>
    <cellStyle name="20% - Énfasis4 34 2 2 2" xfId="30037" xr:uid="{3884D567-8A47-481C-BD4C-670FB27D06FA}"/>
    <cellStyle name="20% - Énfasis4 34 2 2 2 2" xfId="37993" xr:uid="{DDB3A005-87A8-4779-BAB4-6331D6030B42}"/>
    <cellStyle name="20% - Énfasis4 34 2 2 3" xfId="37992" xr:uid="{B8180B32-CECB-44C0-B1FE-88CA3D7E01BE}"/>
    <cellStyle name="20% - Énfasis4 34 2 3" xfId="22332" xr:uid="{7FA63DD1-625F-4250-ACBE-55DFADEBB044}"/>
    <cellStyle name="20% - Énfasis4 34 2 3 2" xfId="37994" xr:uid="{2D9BADC3-F7A3-4884-84A5-A2FBD13E80AD}"/>
    <cellStyle name="20% - Énfasis4 34 2 4" xfId="37991" xr:uid="{D4CFDB9E-78B8-469A-8FD4-23632FB31FA3}"/>
    <cellStyle name="20% - Énfasis4 34 3" xfId="10896" xr:uid="{2D2F5F0B-39E8-48FD-A238-A5200C1F38AA}"/>
    <cellStyle name="20% - Énfasis4 34 3 2" xfId="26309" xr:uid="{84F72110-35D3-4F0F-8D46-A19FAC9EBD9A}"/>
    <cellStyle name="20% - Énfasis4 34 3 2 2" xfId="37996" xr:uid="{9D92C460-9709-416B-B94D-3641184C7023}"/>
    <cellStyle name="20% - Énfasis4 34 3 3" xfId="37995" xr:uid="{207480A7-36E9-4043-A7DB-816510B7CFF7}"/>
    <cellStyle name="20% - Énfasis4 34 4" xfId="18604" xr:uid="{BC32907E-B081-4265-B30B-E8E573151BD3}"/>
    <cellStyle name="20% - Énfasis4 34 4 2" xfId="37997" xr:uid="{CADB45B0-D6FC-48F5-B723-7B151F235D49}"/>
    <cellStyle name="20% - Énfasis4 34 5" xfId="37990" xr:uid="{EFDEF4C5-96C8-4A26-9907-5884E1592714}"/>
    <cellStyle name="20% - Énfasis4 35" xfId="3205" xr:uid="{B7C56F1D-C86E-4287-B777-57A4502230BA}"/>
    <cellStyle name="20% - Énfasis4 35 2" xfId="6937" xr:uid="{DFBCE237-8D9A-4070-B0C3-83D1A796C7C5}"/>
    <cellStyle name="20% - Énfasis4 35 2 2" xfId="14645" xr:uid="{FCAEA8F1-4266-44A0-95B3-626AE19F455A}"/>
    <cellStyle name="20% - Énfasis4 35 2 2 2" xfId="30057" xr:uid="{71EED638-FF12-4AB9-AE0C-F7911D9BC1E5}"/>
    <cellStyle name="20% - Énfasis4 35 2 2 2 2" xfId="38001" xr:uid="{C7D83CFC-E70C-43A7-AED6-2C806370F34A}"/>
    <cellStyle name="20% - Énfasis4 35 2 2 3" xfId="38000" xr:uid="{8289B3C0-09B2-4ABE-8400-B133F7763404}"/>
    <cellStyle name="20% - Énfasis4 35 2 3" xfId="22352" xr:uid="{3ECB02BB-4A9C-41C8-BB89-470A69967455}"/>
    <cellStyle name="20% - Énfasis4 35 2 3 2" xfId="38002" xr:uid="{704BD4EB-6C69-456E-84B1-7BA3F009546F}"/>
    <cellStyle name="20% - Énfasis4 35 2 4" xfId="37999" xr:uid="{5ED013BE-28EA-4552-BF14-16649EEB0638}"/>
    <cellStyle name="20% - Énfasis4 35 3" xfId="10916" xr:uid="{C814F6C2-22FA-4F9C-8830-46FC28A8E48A}"/>
    <cellStyle name="20% - Énfasis4 35 3 2" xfId="26329" xr:uid="{56A1AD9E-12BE-41C6-939E-F01050314023}"/>
    <cellStyle name="20% - Énfasis4 35 3 2 2" xfId="38004" xr:uid="{A15DE43D-D646-4407-93DB-3D74D705105A}"/>
    <cellStyle name="20% - Énfasis4 35 3 3" xfId="38003" xr:uid="{1BDED574-323F-420D-82E9-1ED626844DCF}"/>
    <cellStyle name="20% - Énfasis4 35 4" xfId="18624" xr:uid="{829A1F96-0DCD-477D-895A-E915ED5D9E62}"/>
    <cellStyle name="20% - Énfasis4 35 4 2" xfId="38005" xr:uid="{76FDC093-F3A3-43E3-94B1-DF823900D37E}"/>
    <cellStyle name="20% - Énfasis4 35 5" xfId="37998" xr:uid="{02B11173-D089-4111-A299-46DC0D49AF78}"/>
    <cellStyle name="20% - Énfasis4 36" xfId="3225" xr:uid="{9DACAD3E-BDA6-428F-94A7-97FCBB4C7363}"/>
    <cellStyle name="20% - Énfasis4 36 2" xfId="6957" xr:uid="{4B2986F1-58CF-43CE-BB8C-12246B030C55}"/>
    <cellStyle name="20% - Énfasis4 36 2 2" xfId="14665" xr:uid="{9F39E806-4D95-42B6-ABA3-825F6EED69FF}"/>
    <cellStyle name="20% - Énfasis4 36 2 2 2" xfId="30077" xr:uid="{A0334C0D-9A35-49BF-8F14-8DFD000C28AC}"/>
    <cellStyle name="20% - Énfasis4 36 2 2 2 2" xfId="38009" xr:uid="{30FE11ED-CE91-4F4B-A4BC-27B62BB4403F}"/>
    <cellStyle name="20% - Énfasis4 36 2 2 3" xfId="38008" xr:uid="{6212ECE0-43BE-4BE7-ADA7-B82AF221070B}"/>
    <cellStyle name="20% - Énfasis4 36 2 3" xfId="22372" xr:uid="{272961B1-5655-4991-A29E-2E604924A218}"/>
    <cellStyle name="20% - Énfasis4 36 2 3 2" xfId="38010" xr:uid="{60424AF6-955B-43E8-AA77-9AD8C5B0C9EF}"/>
    <cellStyle name="20% - Énfasis4 36 2 4" xfId="38007" xr:uid="{0078F589-EFB8-468C-BA47-CE971F170D47}"/>
    <cellStyle name="20% - Énfasis4 36 3" xfId="10936" xr:uid="{0B28ABD8-8BAA-44D4-84F0-E8EBCFF07C2E}"/>
    <cellStyle name="20% - Énfasis4 36 3 2" xfId="26349" xr:uid="{BF04FC47-D9B9-45AF-A001-ADAFE7052B31}"/>
    <cellStyle name="20% - Énfasis4 36 3 2 2" xfId="38012" xr:uid="{A51A8DA3-8160-4E50-95AB-33D0B767A98F}"/>
    <cellStyle name="20% - Énfasis4 36 3 3" xfId="38011" xr:uid="{0C463F1F-F4B2-4AA2-9476-CACD1615B783}"/>
    <cellStyle name="20% - Énfasis4 36 4" xfId="18644" xr:uid="{201A16CB-AA5D-4E8A-BA0D-1CD7284739AC}"/>
    <cellStyle name="20% - Énfasis4 36 4 2" xfId="38013" xr:uid="{1050B1E4-D1DD-4148-81B3-385D45A38B35}"/>
    <cellStyle name="20% - Énfasis4 36 5" xfId="38006" xr:uid="{E29380DA-47D8-492A-95E3-DDA0986E294F}"/>
    <cellStyle name="20% - Énfasis4 37" xfId="3245" xr:uid="{2C0D24A9-0289-4B6D-8B0A-8ADE20806E80}"/>
    <cellStyle name="20% - Énfasis4 37 2" xfId="6977" xr:uid="{F3EAFF49-A508-46A7-8C5C-9F5CA1C1FFD1}"/>
    <cellStyle name="20% - Énfasis4 37 2 2" xfId="14685" xr:uid="{6033E623-3CCD-42BC-B932-BD5D2F457C8E}"/>
    <cellStyle name="20% - Énfasis4 37 2 2 2" xfId="30097" xr:uid="{F1814A06-B5BB-455F-A37E-A6D80581AA0D}"/>
    <cellStyle name="20% - Énfasis4 37 2 2 2 2" xfId="38017" xr:uid="{D10B4CAB-F936-47AE-8645-46B72C9EAAFC}"/>
    <cellStyle name="20% - Énfasis4 37 2 2 3" xfId="38016" xr:uid="{E82F3B68-B940-47A8-A8A0-D93C358CB3B2}"/>
    <cellStyle name="20% - Énfasis4 37 2 3" xfId="22392" xr:uid="{8756830F-EE75-4E63-94D9-9A0789B1FF19}"/>
    <cellStyle name="20% - Énfasis4 37 2 3 2" xfId="38018" xr:uid="{58E99C96-0221-4FA3-A8BA-762596157E62}"/>
    <cellStyle name="20% - Énfasis4 37 2 4" xfId="38015" xr:uid="{EBF101CF-756C-4A7F-8B5B-3BF57F0CCD17}"/>
    <cellStyle name="20% - Énfasis4 37 3" xfId="10956" xr:uid="{29D190F4-55B2-4087-B8AC-B3F8A57B6017}"/>
    <cellStyle name="20% - Énfasis4 37 3 2" xfId="26369" xr:uid="{7061C288-453B-42EF-B74D-82A3CB40F3D5}"/>
    <cellStyle name="20% - Énfasis4 37 3 2 2" xfId="38020" xr:uid="{977C9829-B612-48B0-B9A0-FB6085C2E031}"/>
    <cellStyle name="20% - Énfasis4 37 3 3" xfId="38019" xr:uid="{54E5E782-F26D-40E7-A4FE-5027997458BF}"/>
    <cellStyle name="20% - Énfasis4 37 4" xfId="18664" xr:uid="{AAE10C34-B92A-4682-8044-20B9719B4E7D}"/>
    <cellStyle name="20% - Énfasis4 37 4 2" xfId="38021" xr:uid="{0C086C30-5A0E-4637-8861-6DDEE6BDB00B}"/>
    <cellStyle name="20% - Énfasis4 37 5" xfId="38014" xr:uid="{3E6BB345-5401-4204-9335-8EA067178D66}"/>
    <cellStyle name="20% - Énfasis4 38" xfId="3265" xr:uid="{D2C08C00-B8B6-48AA-9731-3C02479AE0FB}"/>
    <cellStyle name="20% - Énfasis4 38 2" xfId="6997" xr:uid="{CEB847C8-4FCC-4F11-8355-37D1ABC94030}"/>
    <cellStyle name="20% - Énfasis4 38 2 2" xfId="14705" xr:uid="{B5E9AF30-CAA1-4DF3-B14C-0D064FD05E67}"/>
    <cellStyle name="20% - Énfasis4 38 2 2 2" xfId="30117" xr:uid="{C5C8B3FB-DADD-433C-B0EB-3704A9C125C3}"/>
    <cellStyle name="20% - Énfasis4 38 2 2 2 2" xfId="38025" xr:uid="{0E60E1A3-A959-4040-9279-C5612A98F159}"/>
    <cellStyle name="20% - Énfasis4 38 2 2 3" xfId="38024" xr:uid="{04A3BF16-2242-4587-AC1D-E29DDDD4227D}"/>
    <cellStyle name="20% - Énfasis4 38 2 3" xfId="22412" xr:uid="{8BF5B398-18C9-4A3C-AE58-DD34223B631A}"/>
    <cellStyle name="20% - Énfasis4 38 2 3 2" xfId="38026" xr:uid="{1C3EEB3C-7D05-4662-9174-2A1550CC049F}"/>
    <cellStyle name="20% - Énfasis4 38 2 4" xfId="38023" xr:uid="{ECC8E348-3945-4302-9323-9F4A4E523936}"/>
    <cellStyle name="20% - Énfasis4 38 3" xfId="10976" xr:uid="{A297F940-A68E-4808-9EDB-3B8FCD710FEC}"/>
    <cellStyle name="20% - Énfasis4 38 3 2" xfId="26389" xr:uid="{5FF11DA3-482E-4908-A8F5-0CCB8D2ED39A}"/>
    <cellStyle name="20% - Énfasis4 38 3 2 2" xfId="38028" xr:uid="{492D1A62-BB0D-4710-9FA2-321778373F6F}"/>
    <cellStyle name="20% - Énfasis4 38 3 3" xfId="38027" xr:uid="{73A707B0-1D12-4588-82C2-CB553762A981}"/>
    <cellStyle name="20% - Énfasis4 38 4" xfId="18684" xr:uid="{6C45CF8D-247F-4BA2-AD3E-3869C19E6A76}"/>
    <cellStyle name="20% - Énfasis4 38 4 2" xfId="38029" xr:uid="{19D853CA-1B84-44F2-BCD1-21D0EBDB027B}"/>
    <cellStyle name="20% - Énfasis4 38 5" xfId="38022" xr:uid="{7CA7CF7B-FF66-4C80-967B-6F073C7EB312}"/>
    <cellStyle name="20% - Énfasis4 39" xfId="3285" xr:uid="{3F19F51A-53C4-4BD4-A0B7-F13383095A39}"/>
    <cellStyle name="20% - Énfasis4 39 2" xfId="7017" xr:uid="{B3F76048-20C7-435B-8178-8A2659054B20}"/>
    <cellStyle name="20% - Énfasis4 39 2 2" xfId="14725" xr:uid="{E71A177D-6313-4BC2-9FD0-5C129D8F1416}"/>
    <cellStyle name="20% - Énfasis4 39 2 2 2" xfId="30137" xr:uid="{CF501553-D7A7-438A-B3D9-627BD7E7CD7C}"/>
    <cellStyle name="20% - Énfasis4 39 2 2 2 2" xfId="38033" xr:uid="{4E0B149D-FA3E-4330-A57B-BF062072820E}"/>
    <cellStyle name="20% - Énfasis4 39 2 2 3" xfId="38032" xr:uid="{F06F694B-12FA-49C3-A457-28ED7A1287DA}"/>
    <cellStyle name="20% - Énfasis4 39 2 3" xfId="22432" xr:uid="{FC0C36DC-E49C-432A-AC3E-094504188C37}"/>
    <cellStyle name="20% - Énfasis4 39 2 3 2" xfId="38034" xr:uid="{EB15F425-6FC7-4503-AD40-DECB26A67C8E}"/>
    <cellStyle name="20% - Énfasis4 39 2 4" xfId="38031" xr:uid="{4F8167F1-4116-4C54-ADA6-600F68D4806F}"/>
    <cellStyle name="20% - Énfasis4 39 3" xfId="10996" xr:uid="{C0B356EC-CAFA-4075-92DD-89189986BFED}"/>
    <cellStyle name="20% - Énfasis4 39 3 2" xfId="26409" xr:uid="{6E3C4EBE-7C46-440F-A6EF-6B4D6BDE4DE4}"/>
    <cellStyle name="20% - Énfasis4 39 3 2 2" xfId="38036" xr:uid="{2537171F-67D6-498F-A387-39519F3C4D7D}"/>
    <cellStyle name="20% - Énfasis4 39 3 3" xfId="38035" xr:uid="{086E4429-6825-489E-9FE3-7A34F85540D2}"/>
    <cellStyle name="20% - Énfasis4 39 4" xfId="18704" xr:uid="{77668955-CD41-45D4-B7E7-4F46CDE82486}"/>
    <cellStyle name="20% - Énfasis4 39 4 2" xfId="38037" xr:uid="{E2B079BD-78C9-4F93-80F2-C5B28C97F88B}"/>
    <cellStyle name="20% - Énfasis4 39 5" xfId="38030" xr:uid="{651E6D1F-A4C7-4E40-91E2-D241B30D10A4}"/>
    <cellStyle name="20% - Énfasis4 4" xfId="270" xr:uid="{87D72EFC-A965-4558-8D6F-AF88DFEDEE04}"/>
    <cellStyle name="20% - Énfasis4 4 2" xfId="473" xr:uid="{CE0B30EF-DA89-4E67-9E69-A605CBB5A216}"/>
    <cellStyle name="20% - Énfasis4 4 2 2" xfId="1134" xr:uid="{C81AD4F3-C84E-40C7-8A82-ADA28A31EF02}"/>
    <cellStyle name="20% - Énfasis4 4 2 2 2" xfId="2602" xr:uid="{55A7A977-423B-4D00-A80B-72C1373DEBB8}"/>
    <cellStyle name="20% - Énfasis4 4 2 2 2 2" xfId="6334" xr:uid="{761C3425-1FFE-4F7B-95D8-870D00BF5BBC}"/>
    <cellStyle name="20% - Énfasis4 4 2 2 2 2 2" xfId="14042" xr:uid="{8835CA59-5405-45D7-8413-44367504A9A6}"/>
    <cellStyle name="20% - Énfasis4 4 2 2 2 2 2 2" xfId="29454" xr:uid="{01ABDAA6-6A8E-4BEB-AC3B-37078C321217}"/>
    <cellStyle name="20% - Énfasis4 4 2 2 2 2 2 2 2" xfId="38044" xr:uid="{2A62A149-C7B9-4BCE-A301-D3206B37718A}"/>
    <cellStyle name="20% - Énfasis4 4 2 2 2 2 2 3" xfId="38043" xr:uid="{0098DD91-5E7F-4B71-B590-3065F1B3BF5C}"/>
    <cellStyle name="20% - Énfasis4 4 2 2 2 2 3" xfId="21749" xr:uid="{E7E96AE3-CC94-4C61-92C2-850BAFA5E9EA}"/>
    <cellStyle name="20% - Énfasis4 4 2 2 2 2 3 2" xfId="38045" xr:uid="{1D449133-ED90-45D1-9C8A-C48C24C2371E}"/>
    <cellStyle name="20% - Énfasis4 4 2 2 2 2 4" xfId="38042" xr:uid="{C4607ABF-6F0F-4378-95B6-34B7A2EF7E83}"/>
    <cellStyle name="20% - Énfasis4 4 2 2 2 3" xfId="10313" xr:uid="{1C619DF5-63FA-4E30-BEAB-3F5B57B55626}"/>
    <cellStyle name="20% - Énfasis4 4 2 2 2 3 2" xfId="25726" xr:uid="{183D37EB-EA14-453B-9123-DA5A0A376C1F}"/>
    <cellStyle name="20% - Énfasis4 4 2 2 2 3 2 2" xfId="38047" xr:uid="{2E352833-16E8-471A-A309-7A85D63D9EF0}"/>
    <cellStyle name="20% - Énfasis4 4 2 2 2 3 3" xfId="38046" xr:uid="{4744A197-5822-4867-AE1C-9045CDB3FDC4}"/>
    <cellStyle name="20% - Énfasis4 4 2 2 2 4" xfId="18021" xr:uid="{E4E07390-C29C-4511-8B6F-016D7761E566}"/>
    <cellStyle name="20% - Énfasis4 4 2 2 2 4 2" xfId="38048" xr:uid="{6686E4E6-2981-40FA-B6FF-F6EB7FCCCCA5}"/>
    <cellStyle name="20% - Énfasis4 4 2 2 2 5" xfId="38041" xr:uid="{758F197C-695C-4D39-9D2A-1369179714EC}"/>
    <cellStyle name="20% - Énfasis4 4 2 2 3" xfId="4871" xr:uid="{F3B8FE90-122C-4B47-A89D-C66A15EBE5CA}"/>
    <cellStyle name="20% - Énfasis4 4 2 2 3 2" xfId="12579" xr:uid="{17B64E29-F174-4F40-93F7-006A88627628}"/>
    <cellStyle name="20% - Énfasis4 4 2 2 3 2 2" xfId="27991" xr:uid="{8AF176C5-0928-4E5A-A270-A79988EA0DD9}"/>
    <cellStyle name="20% - Énfasis4 4 2 2 3 2 2 2" xfId="38051" xr:uid="{1C3A14A8-BFC9-4DA0-A648-428C446C1B60}"/>
    <cellStyle name="20% - Énfasis4 4 2 2 3 2 3" xfId="38050" xr:uid="{EA5D277F-3AFE-4C1B-808C-9C0B9BE7FC4E}"/>
    <cellStyle name="20% - Énfasis4 4 2 2 3 3" xfId="20286" xr:uid="{06AD957A-7D01-4B47-B0BA-C3298D41AD04}"/>
    <cellStyle name="20% - Énfasis4 4 2 2 3 3 2" xfId="38052" xr:uid="{2CC3C5F1-0261-4D21-8A2C-B71F9AC88EB9}"/>
    <cellStyle name="20% - Énfasis4 4 2 2 3 4" xfId="38049" xr:uid="{0EAC1768-1632-4E39-B292-ADF576EFA229}"/>
    <cellStyle name="20% - Énfasis4 4 2 2 4" xfId="8854" xr:uid="{1199F668-0666-4AFF-9263-DFC95EF35753}"/>
    <cellStyle name="20% - Énfasis4 4 2 2 4 2" xfId="24267" xr:uid="{719852B6-9AFD-4A0E-A8D9-51586AF54CD2}"/>
    <cellStyle name="20% - Énfasis4 4 2 2 4 2 2" xfId="38054" xr:uid="{949D4E66-6D96-404B-A834-ECAB0EE2672E}"/>
    <cellStyle name="20% - Énfasis4 4 2 2 4 3" xfId="38053" xr:uid="{AD3FF80B-8169-4A2F-9EB3-5522B126B9DA}"/>
    <cellStyle name="20% - Énfasis4 4 2 2 5" xfId="16562" xr:uid="{EC7FB7F3-9AD2-4D25-843A-781FBE1E571F}"/>
    <cellStyle name="20% - Énfasis4 4 2 2 5 2" xfId="38055" xr:uid="{A3FBFD2E-66C0-4D87-92D5-44559C2FB7B1}"/>
    <cellStyle name="20% - Énfasis4 4 2 2 6" xfId="38040" xr:uid="{C51ED27C-BC51-4620-AB3A-612D5D27ACD1}"/>
    <cellStyle name="20% - Énfasis4 4 2 3" xfId="1964" xr:uid="{E48AE1CA-5C05-4836-A792-12B594839D38}"/>
    <cellStyle name="20% - Énfasis4 4 2 3 2" xfId="5696" xr:uid="{D8020237-B63F-4BFF-8C13-DD0B46EB12FB}"/>
    <cellStyle name="20% - Énfasis4 4 2 3 2 2" xfId="13404" xr:uid="{AC0C9D2D-44D8-4791-8C11-2E670A9BC3AB}"/>
    <cellStyle name="20% - Énfasis4 4 2 3 2 2 2" xfId="28816" xr:uid="{2D92D9EC-758D-4BA8-AA47-149C4F52E755}"/>
    <cellStyle name="20% - Énfasis4 4 2 3 2 2 2 2" xfId="38059" xr:uid="{20E8137B-D9F8-482C-B615-2993F7B49259}"/>
    <cellStyle name="20% - Énfasis4 4 2 3 2 2 3" xfId="38058" xr:uid="{A6E0CF33-00DF-4769-B7C0-6F1665FFA537}"/>
    <cellStyle name="20% - Énfasis4 4 2 3 2 3" xfId="21111" xr:uid="{F6F2E059-FC38-4EE5-9672-859A2DD7900D}"/>
    <cellStyle name="20% - Énfasis4 4 2 3 2 3 2" xfId="38060" xr:uid="{222F2725-BE6D-4A91-9DDA-D244E0BF6DB2}"/>
    <cellStyle name="20% - Énfasis4 4 2 3 2 4" xfId="38057" xr:uid="{847B11B9-0A56-43F9-901A-C7877A2593B2}"/>
    <cellStyle name="20% - Énfasis4 4 2 3 3" xfId="9675" xr:uid="{6B8B1DF2-51DD-43ED-915F-F081A9ACD383}"/>
    <cellStyle name="20% - Énfasis4 4 2 3 3 2" xfId="25088" xr:uid="{171245D9-839E-49BC-ABBB-E0C6BD3817AA}"/>
    <cellStyle name="20% - Énfasis4 4 2 3 3 2 2" xfId="38062" xr:uid="{852E7357-40D4-4814-BA7B-19C899A6E5EE}"/>
    <cellStyle name="20% - Énfasis4 4 2 3 3 3" xfId="38061" xr:uid="{69A70BD0-4303-4808-BF0A-08CB05C55564}"/>
    <cellStyle name="20% - Énfasis4 4 2 3 4" xfId="17383" xr:uid="{92A03733-B49E-4642-A22E-A12384F0A492}"/>
    <cellStyle name="20% - Énfasis4 4 2 3 4 2" xfId="38063" xr:uid="{A171BFFC-A0E5-4EBA-B3D5-B332E71A5607}"/>
    <cellStyle name="20% - Énfasis4 4 2 3 5" xfId="38056" xr:uid="{2E004E6E-FDC0-435F-97FF-8195908A6CF6}"/>
    <cellStyle name="20% - Énfasis4 4 2 4" xfId="4219" xr:uid="{55059317-5274-4B06-B2E8-0FF05A4A3021}"/>
    <cellStyle name="20% - Énfasis4 4 2 4 2" xfId="11927" xr:uid="{9BB316AD-598B-41E8-9B6F-9645AA20123C}"/>
    <cellStyle name="20% - Énfasis4 4 2 4 2 2" xfId="27339" xr:uid="{8848CD32-B349-4718-9351-3BFD9A753D1F}"/>
    <cellStyle name="20% - Énfasis4 4 2 4 2 2 2" xfId="38066" xr:uid="{B69B8F06-0483-4860-A896-CA46D3B23DD8}"/>
    <cellStyle name="20% - Énfasis4 4 2 4 2 3" xfId="38065" xr:uid="{7557B0C3-EBBF-4027-837F-659EE2EB355F}"/>
    <cellStyle name="20% - Énfasis4 4 2 4 3" xfId="19634" xr:uid="{AAAE5F17-2D42-4252-96EF-18265A289E3E}"/>
    <cellStyle name="20% - Énfasis4 4 2 4 3 2" xfId="38067" xr:uid="{EE40C771-0EF8-4667-AA64-C3F8B0802B4A}"/>
    <cellStyle name="20% - Énfasis4 4 2 4 4" xfId="38064" xr:uid="{CF28AC16-6388-44F8-B1E3-734838622EC4}"/>
    <cellStyle name="20% - Énfasis4 4 2 5" xfId="8216" xr:uid="{4906273C-9E01-4E5B-B042-E3A180C4B024}"/>
    <cellStyle name="20% - Énfasis4 4 2 5 2" xfId="23629" xr:uid="{D5A4CF4B-DA1E-41CA-8CE6-09A69DD5DBED}"/>
    <cellStyle name="20% - Énfasis4 4 2 5 2 2" xfId="38069" xr:uid="{9B373CD2-57F5-45E3-B1C5-033D04ECB227}"/>
    <cellStyle name="20% - Énfasis4 4 2 5 3" xfId="38068" xr:uid="{E802DC2A-7C07-4E41-BD3F-38EF4D42B483}"/>
    <cellStyle name="20% - Énfasis4 4 2 6" xfId="15924" xr:uid="{8316AE6A-4E42-4B29-9868-95C98185E891}"/>
    <cellStyle name="20% - Énfasis4 4 2 6 2" xfId="38070" xr:uid="{266063F4-AD02-4A92-AA66-DFE1EFD599BF}"/>
    <cellStyle name="20% - Énfasis4 4 2 7" xfId="38039" xr:uid="{8629B4F1-946F-45DC-A13C-199F4F98BAA7}"/>
    <cellStyle name="20% - Énfasis4 4 3" xfId="934" xr:uid="{8C4E8EAF-6E76-4199-81B6-F9CBE878B64C}"/>
    <cellStyle name="20% - Énfasis4 4 3 2" xfId="2404" xr:uid="{D8FFECFD-5D49-4D45-AFEE-0408F4C7A082}"/>
    <cellStyle name="20% - Énfasis4 4 3 2 2" xfId="6136" xr:uid="{777B821B-8DDC-4D2F-B50D-64F4BE7FC81A}"/>
    <cellStyle name="20% - Énfasis4 4 3 2 2 2" xfId="13844" xr:uid="{0FCED93F-7E22-44B0-A831-EC5AE3437A79}"/>
    <cellStyle name="20% - Énfasis4 4 3 2 2 2 2" xfId="29256" xr:uid="{E23B88D2-20A1-47A4-B443-F7361F5D6345}"/>
    <cellStyle name="20% - Énfasis4 4 3 2 2 2 2 2" xfId="38075" xr:uid="{BCDE7F61-3123-4FD4-8643-8410ADC34821}"/>
    <cellStyle name="20% - Énfasis4 4 3 2 2 2 3" xfId="38074" xr:uid="{B21496D5-5AC7-4762-9710-B45A24550D0B}"/>
    <cellStyle name="20% - Énfasis4 4 3 2 2 3" xfId="21551" xr:uid="{B9B02056-D5EB-472A-8D93-EB65E01E676C}"/>
    <cellStyle name="20% - Énfasis4 4 3 2 2 3 2" xfId="38076" xr:uid="{5D2B7BB5-00CC-42E2-A9DD-A5EB1BE13F7E}"/>
    <cellStyle name="20% - Énfasis4 4 3 2 2 4" xfId="38073" xr:uid="{49341A39-45CD-4B26-ACAA-2ECA5E769994}"/>
    <cellStyle name="20% - Énfasis4 4 3 2 3" xfId="10115" xr:uid="{E0097660-D4AB-49AD-B63F-A5179CF6860F}"/>
    <cellStyle name="20% - Énfasis4 4 3 2 3 2" xfId="25528" xr:uid="{FB558DE3-BA90-4898-9981-456B5A9BDE3A}"/>
    <cellStyle name="20% - Énfasis4 4 3 2 3 2 2" xfId="38078" xr:uid="{010A99DB-947C-4BA7-9456-B4AC1C9C31BE}"/>
    <cellStyle name="20% - Énfasis4 4 3 2 3 3" xfId="38077" xr:uid="{65ECFBE1-0D6F-493D-92CA-1E3F1635430E}"/>
    <cellStyle name="20% - Énfasis4 4 3 2 4" xfId="17823" xr:uid="{37614846-F9CC-4CDB-A7C6-3FF651F959FC}"/>
    <cellStyle name="20% - Énfasis4 4 3 2 4 2" xfId="38079" xr:uid="{84994EA3-253E-4043-BF19-B882A931D4FE}"/>
    <cellStyle name="20% - Énfasis4 4 3 2 5" xfId="38072" xr:uid="{5C2CBA1A-7543-4AC9-8134-DC1CBBA926D3}"/>
    <cellStyle name="20% - Énfasis4 4 3 3" xfId="4671" xr:uid="{FB48B817-EF96-4985-BEEF-DC1AF11D013B}"/>
    <cellStyle name="20% - Énfasis4 4 3 3 2" xfId="12379" xr:uid="{95752FED-FEFD-4E3F-B956-1692A9D3EDE3}"/>
    <cellStyle name="20% - Énfasis4 4 3 3 2 2" xfId="27791" xr:uid="{56224971-7754-4ACA-B81A-E7D9AEC5B04A}"/>
    <cellStyle name="20% - Énfasis4 4 3 3 2 2 2" xfId="38082" xr:uid="{9B9758A1-57F9-4A8E-8B4C-8DCCDCF8AAEB}"/>
    <cellStyle name="20% - Énfasis4 4 3 3 2 3" xfId="38081" xr:uid="{B5D25CFB-12DB-4797-A3D3-55CFFF9956C4}"/>
    <cellStyle name="20% - Énfasis4 4 3 3 3" xfId="20086" xr:uid="{C7E176CE-374C-426C-8290-44E6AC3B74AA}"/>
    <cellStyle name="20% - Énfasis4 4 3 3 3 2" xfId="38083" xr:uid="{2230ADD3-8046-437D-82EF-756EFB9B6433}"/>
    <cellStyle name="20% - Énfasis4 4 3 3 4" xfId="38080" xr:uid="{F37C6EBC-1CA4-4E86-A2C2-17396FB05F38}"/>
    <cellStyle name="20% - Énfasis4 4 3 4" xfId="8656" xr:uid="{FF4B689A-F7CE-4A6B-8B25-5496FBDF9333}"/>
    <cellStyle name="20% - Énfasis4 4 3 4 2" xfId="24069" xr:uid="{2BC7A303-73A0-42B3-AB4F-07A2770CF566}"/>
    <cellStyle name="20% - Énfasis4 4 3 4 2 2" xfId="38085" xr:uid="{7A6C7193-D057-496E-81AD-5110F033137D}"/>
    <cellStyle name="20% - Énfasis4 4 3 4 3" xfId="38084" xr:uid="{EA741B00-5979-485D-BD1A-2D6F9C76C889}"/>
    <cellStyle name="20% - Énfasis4 4 3 5" xfId="16364" xr:uid="{90B3D38C-F35D-470F-B8AA-1A3FD04C6AA1}"/>
    <cellStyle name="20% - Énfasis4 4 3 5 2" xfId="38086" xr:uid="{028DC65E-44E5-4E1D-A1EA-B341565E218E}"/>
    <cellStyle name="20% - Énfasis4 4 3 6" xfId="38071" xr:uid="{ED0550E8-32A6-4401-8472-95B38E0CD2C5}"/>
    <cellStyle name="20% - Énfasis4 4 4" xfId="1766" xr:uid="{8C9A685B-9B1E-49F4-B4C8-319335A49167}"/>
    <cellStyle name="20% - Énfasis4 4 4 2" xfId="5498" xr:uid="{7A659406-BABE-44A9-B850-64B8EA2E7FF0}"/>
    <cellStyle name="20% - Énfasis4 4 4 2 2" xfId="13206" xr:uid="{72B07BC0-0523-4B2B-9BF0-65FE3E9DC994}"/>
    <cellStyle name="20% - Énfasis4 4 4 2 2 2" xfId="28618" xr:uid="{9A484085-170A-441F-ABB3-DD593DA8BE0B}"/>
    <cellStyle name="20% - Énfasis4 4 4 2 2 2 2" xfId="38090" xr:uid="{E79E4FD3-0C7D-4270-9037-9A226B6726A1}"/>
    <cellStyle name="20% - Énfasis4 4 4 2 2 3" xfId="38089" xr:uid="{C95B9ADD-5C5B-4DF5-A39B-958491046BF3}"/>
    <cellStyle name="20% - Énfasis4 4 4 2 3" xfId="20913" xr:uid="{894916E8-1F7A-435F-902E-63D7519C7B03}"/>
    <cellStyle name="20% - Énfasis4 4 4 2 3 2" xfId="38091" xr:uid="{00C0A964-7BD0-4224-B17E-CCB90F5EFA8B}"/>
    <cellStyle name="20% - Énfasis4 4 4 2 4" xfId="38088" xr:uid="{8EEEA71B-9C9A-4B1C-B2D7-F0AE78C78B49}"/>
    <cellStyle name="20% - Énfasis4 4 4 3" xfId="9477" xr:uid="{76D822DB-21A6-4528-BDCB-F3DA289DAF9D}"/>
    <cellStyle name="20% - Énfasis4 4 4 3 2" xfId="24890" xr:uid="{8385CC82-82EF-42B0-9EE9-8A5C931C2CFF}"/>
    <cellStyle name="20% - Énfasis4 4 4 3 2 2" xfId="38093" xr:uid="{3525EEAF-7F0B-4FBE-8A45-0FD88889AE78}"/>
    <cellStyle name="20% - Énfasis4 4 4 3 3" xfId="38092" xr:uid="{BC501E2A-A0B5-4BFA-B170-14D311F64516}"/>
    <cellStyle name="20% - Énfasis4 4 4 4" xfId="17185" xr:uid="{E6FB626D-1224-425C-990E-7A32DDE9E0FE}"/>
    <cellStyle name="20% - Énfasis4 4 4 4 2" xfId="38094" xr:uid="{7B2E5F6F-1E89-4864-9164-6881D30AA183}"/>
    <cellStyle name="20% - Énfasis4 4 4 5" xfId="38087" xr:uid="{E6662C3C-1B37-4A7A-AF25-3FBE74ED5D01}"/>
    <cellStyle name="20% - Énfasis4 4 5" xfId="4019" xr:uid="{BB7C4D5B-5C11-4837-B18B-469A1973FE3A}"/>
    <cellStyle name="20% - Énfasis4 4 5 2" xfId="11727" xr:uid="{5CB1005F-73F2-496F-9BB3-BA55D92F2BE9}"/>
    <cellStyle name="20% - Énfasis4 4 5 2 2" xfId="27139" xr:uid="{6032485E-6652-41CC-B956-AC9C689C1AA6}"/>
    <cellStyle name="20% - Énfasis4 4 5 2 2 2" xfId="38097" xr:uid="{53F25F65-7388-4A11-B67D-86FCF68E51D7}"/>
    <cellStyle name="20% - Énfasis4 4 5 2 3" xfId="38096" xr:uid="{74B4DFCC-A7D7-4F9F-87A0-DB4920B9EF42}"/>
    <cellStyle name="20% - Énfasis4 4 5 3" xfId="19434" xr:uid="{95C78CCA-2F27-46D6-84B3-0B7D39C90E8A}"/>
    <cellStyle name="20% - Énfasis4 4 5 3 2" xfId="38098" xr:uid="{4ACFE9F1-F9C6-4A3A-9C74-CA985D1D5A51}"/>
    <cellStyle name="20% - Énfasis4 4 5 4" xfId="38095" xr:uid="{1AB09F60-DA6C-4B5B-B702-7FDABAE96ABB}"/>
    <cellStyle name="20% - Énfasis4 4 6" xfId="8018" xr:uid="{7578FBFE-BA90-4AE0-A4E1-B5B0D6C23A56}"/>
    <cellStyle name="20% - Énfasis4 4 6 2" xfId="23431" xr:uid="{67439501-42C1-4F49-A559-A28B75C90198}"/>
    <cellStyle name="20% - Énfasis4 4 6 2 2" xfId="38100" xr:uid="{5E885371-58FC-4A74-A0EE-5651B7ABEB5B}"/>
    <cellStyle name="20% - Énfasis4 4 6 3" xfId="38099" xr:uid="{EB0B8BED-6AE9-4E92-A4D8-87312DE2AE1A}"/>
    <cellStyle name="20% - Énfasis4 4 7" xfId="15726" xr:uid="{3EFFA7EF-BA12-4797-8FE0-50D2A27394FD}"/>
    <cellStyle name="20% - Énfasis4 4 7 2" xfId="38101" xr:uid="{82FF87D0-238D-4BB0-864A-C8F16DD0E8E4}"/>
    <cellStyle name="20% - Énfasis4 4 8" xfId="38038" xr:uid="{54AF09A5-986C-4795-9AB2-FE9BE390A97D}"/>
    <cellStyle name="20% - Énfasis4 5" xfId="290" xr:uid="{D9C4BDC1-3620-42CF-A24F-D338B5A4537D}"/>
    <cellStyle name="20% - Énfasis4 5 2" xfId="493" xr:uid="{AE8F06A9-5AD7-472C-AE74-5C06337C3F1B}"/>
    <cellStyle name="20% - Énfasis4 5 2 2" xfId="1154" xr:uid="{916DC348-A874-4819-81AF-BCE172890F5F}"/>
    <cellStyle name="20% - Énfasis4 5 2 2 2" xfId="2622" xr:uid="{3058AB7F-3A56-4C89-8B47-49576B25B3DA}"/>
    <cellStyle name="20% - Énfasis4 5 2 2 2 2" xfId="6354" xr:uid="{AE5FCF7E-BF71-42A6-8202-6ACFC0054EFC}"/>
    <cellStyle name="20% - Énfasis4 5 2 2 2 2 2" xfId="14062" xr:uid="{AD0F32CC-4931-46DD-9665-6B5FEB222AE2}"/>
    <cellStyle name="20% - Énfasis4 5 2 2 2 2 2 2" xfId="29474" xr:uid="{90755A33-A6D9-45D0-9089-68BD4E172892}"/>
    <cellStyle name="20% - Énfasis4 5 2 2 2 2 2 2 2" xfId="38108" xr:uid="{1D7627CA-9D56-40AF-B3A9-978FA7C8931D}"/>
    <cellStyle name="20% - Énfasis4 5 2 2 2 2 2 3" xfId="38107" xr:uid="{496119AC-ED03-4CDF-A30C-5B3E20EA9CC6}"/>
    <cellStyle name="20% - Énfasis4 5 2 2 2 2 3" xfId="21769" xr:uid="{32ECC066-686A-41A0-827E-021E2E8C429D}"/>
    <cellStyle name="20% - Énfasis4 5 2 2 2 2 3 2" xfId="38109" xr:uid="{4B6BB19B-2AF3-4B4A-9F76-0972959DCA42}"/>
    <cellStyle name="20% - Énfasis4 5 2 2 2 2 4" xfId="38106" xr:uid="{9DC36CA9-5EFC-4DF7-8E1A-B3A017FCE2F7}"/>
    <cellStyle name="20% - Énfasis4 5 2 2 2 3" xfId="10333" xr:uid="{61EFC0A0-A96A-4CB4-970A-75F084B30C0C}"/>
    <cellStyle name="20% - Énfasis4 5 2 2 2 3 2" xfId="25746" xr:uid="{2C0BA57C-AC85-4E4B-ADCD-A387685242C4}"/>
    <cellStyle name="20% - Énfasis4 5 2 2 2 3 2 2" xfId="38111" xr:uid="{4160C867-F9F9-4259-903C-5C6D16DCD37E}"/>
    <cellStyle name="20% - Énfasis4 5 2 2 2 3 3" xfId="38110" xr:uid="{F836EF1F-75E3-4771-95F1-D2B2FEF11FD7}"/>
    <cellStyle name="20% - Énfasis4 5 2 2 2 4" xfId="18041" xr:uid="{87BA78E8-A24A-4E5C-9051-B28EE00E2CBF}"/>
    <cellStyle name="20% - Énfasis4 5 2 2 2 4 2" xfId="38112" xr:uid="{C69F9428-A5E5-4F45-BD6F-FCC672E69C41}"/>
    <cellStyle name="20% - Énfasis4 5 2 2 2 5" xfId="38105" xr:uid="{FFEB577E-F76A-4BF1-AD9D-0E9259FE8106}"/>
    <cellStyle name="20% - Énfasis4 5 2 2 3" xfId="4891" xr:uid="{B6021C6D-7071-4F53-AFAA-78A9590692BF}"/>
    <cellStyle name="20% - Énfasis4 5 2 2 3 2" xfId="12599" xr:uid="{8E87E3F1-54FD-41AE-9AB4-798AC2173D35}"/>
    <cellStyle name="20% - Énfasis4 5 2 2 3 2 2" xfId="28011" xr:uid="{050E7CAF-DA13-4021-94FE-3F62F0858BC7}"/>
    <cellStyle name="20% - Énfasis4 5 2 2 3 2 2 2" xfId="38115" xr:uid="{E848ACBF-8ABE-460A-8F8E-20E483A1A9E5}"/>
    <cellStyle name="20% - Énfasis4 5 2 2 3 2 3" xfId="38114" xr:uid="{D4732D22-2E43-4F93-B836-EB65200B0AD8}"/>
    <cellStyle name="20% - Énfasis4 5 2 2 3 3" xfId="20306" xr:uid="{FB1490EC-3F15-435F-B3E6-3287341C3FB0}"/>
    <cellStyle name="20% - Énfasis4 5 2 2 3 3 2" xfId="38116" xr:uid="{B285841F-4AC7-48F4-92AB-91F9DFD6B4C7}"/>
    <cellStyle name="20% - Énfasis4 5 2 2 3 4" xfId="38113" xr:uid="{250E3330-F4DD-4861-A20A-B7DE50577E06}"/>
    <cellStyle name="20% - Énfasis4 5 2 2 4" xfId="8874" xr:uid="{5DEF086E-E257-48EB-9F28-CF3DDC2FD9C5}"/>
    <cellStyle name="20% - Énfasis4 5 2 2 4 2" xfId="24287" xr:uid="{1F842E6F-72C7-4745-88A2-C2C07FEB1C62}"/>
    <cellStyle name="20% - Énfasis4 5 2 2 4 2 2" xfId="38118" xr:uid="{8BE79D8A-1DEA-4A3B-8D4C-4EA0108CFBC0}"/>
    <cellStyle name="20% - Énfasis4 5 2 2 4 3" xfId="38117" xr:uid="{C4724BCB-DC58-412D-836D-04F9E67A18BF}"/>
    <cellStyle name="20% - Énfasis4 5 2 2 5" xfId="16582" xr:uid="{494843C9-EE98-47E7-9026-61FAC6A25931}"/>
    <cellStyle name="20% - Énfasis4 5 2 2 5 2" xfId="38119" xr:uid="{2D27ED18-84B6-446B-B91E-518D2E86F886}"/>
    <cellStyle name="20% - Énfasis4 5 2 2 6" xfId="38104" xr:uid="{D2086F8D-CD1B-4E04-AEA2-031B63900B51}"/>
    <cellStyle name="20% - Énfasis4 5 2 3" xfId="1984" xr:uid="{5F435055-6DEB-4F8A-A3BD-6771AAAEBAFC}"/>
    <cellStyle name="20% - Énfasis4 5 2 3 2" xfId="5716" xr:uid="{363B9F57-5B88-4E93-B9E3-7320CF3BBBFB}"/>
    <cellStyle name="20% - Énfasis4 5 2 3 2 2" xfId="13424" xr:uid="{2E1A317F-E94C-4D36-9C3B-88354E6C7A9A}"/>
    <cellStyle name="20% - Énfasis4 5 2 3 2 2 2" xfId="28836" xr:uid="{F67041F9-6EF7-4658-9FE1-D45F619551E7}"/>
    <cellStyle name="20% - Énfasis4 5 2 3 2 2 2 2" xfId="38123" xr:uid="{4AC3B256-8432-4387-945C-F0254588D557}"/>
    <cellStyle name="20% - Énfasis4 5 2 3 2 2 3" xfId="38122" xr:uid="{F8BC39BD-A0E3-4304-95DD-18F54DF6A829}"/>
    <cellStyle name="20% - Énfasis4 5 2 3 2 3" xfId="21131" xr:uid="{308F9381-3DF1-4EAB-936B-46E4FF18B8D7}"/>
    <cellStyle name="20% - Énfasis4 5 2 3 2 3 2" xfId="38124" xr:uid="{FE5C1619-CB56-4E2F-BE53-93AD6013B746}"/>
    <cellStyle name="20% - Énfasis4 5 2 3 2 4" xfId="38121" xr:uid="{86F5CC8B-25D1-4765-9086-70ACBE476FC6}"/>
    <cellStyle name="20% - Énfasis4 5 2 3 3" xfId="9695" xr:uid="{5D38681A-7CD0-4FCC-B684-E6ECB89363F9}"/>
    <cellStyle name="20% - Énfasis4 5 2 3 3 2" xfId="25108" xr:uid="{CA9CAED6-0F76-4FCD-93EC-98672911D552}"/>
    <cellStyle name="20% - Énfasis4 5 2 3 3 2 2" xfId="38126" xr:uid="{B0C2F93F-A97F-479B-914D-55736A68B39E}"/>
    <cellStyle name="20% - Énfasis4 5 2 3 3 3" xfId="38125" xr:uid="{EE3FE97D-FA63-4A70-B5D1-BD3BDC25A844}"/>
    <cellStyle name="20% - Énfasis4 5 2 3 4" xfId="17403" xr:uid="{6F9977B3-59C8-4EEA-A18D-DB0FF98972E1}"/>
    <cellStyle name="20% - Énfasis4 5 2 3 4 2" xfId="38127" xr:uid="{1BBF9141-B7DC-4F5A-AF90-6D0ECACDDA4A}"/>
    <cellStyle name="20% - Énfasis4 5 2 3 5" xfId="38120" xr:uid="{2DA1E9B9-7B42-49F2-801C-86CBD0580651}"/>
    <cellStyle name="20% - Énfasis4 5 2 4" xfId="4239" xr:uid="{2824CF4C-0182-48D6-85EC-4A02722E9024}"/>
    <cellStyle name="20% - Énfasis4 5 2 4 2" xfId="11947" xr:uid="{7D76009E-A28B-40C0-BCAE-256D79E38649}"/>
    <cellStyle name="20% - Énfasis4 5 2 4 2 2" xfId="27359" xr:uid="{AEFE9C8F-2FBB-4093-B252-F25C2A0854E8}"/>
    <cellStyle name="20% - Énfasis4 5 2 4 2 2 2" xfId="38130" xr:uid="{55786262-899F-49E4-9220-E2FE336984A3}"/>
    <cellStyle name="20% - Énfasis4 5 2 4 2 3" xfId="38129" xr:uid="{6DEBB591-4A75-4474-8D91-97542B6B3681}"/>
    <cellStyle name="20% - Énfasis4 5 2 4 3" xfId="19654" xr:uid="{15172E93-597C-46C5-9DED-1306FF76FF2C}"/>
    <cellStyle name="20% - Énfasis4 5 2 4 3 2" xfId="38131" xr:uid="{B0C08A87-01DF-44E4-AF44-222C8EAC7EAA}"/>
    <cellStyle name="20% - Énfasis4 5 2 4 4" xfId="38128" xr:uid="{55EAC94A-FF27-4C05-9EA4-863FBCEB5223}"/>
    <cellStyle name="20% - Énfasis4 5 2 5" xfId="8236" xr:uid="{3EBCB9E7-A8CF-4E4D-B4EF-9045AAED90AE}"/>
    <cellStyle name="20% - Énfasis4 5 2 5 2" xfId="23649" xr:uid="{6FB740EA-BEC5-4355-A333-1ABE5C76BE6F}"/>
    <cellStyle name="20% - Énfasis4 5 2 5 2 2" xfId="38133" xr:uid="{A74199B0-8EDB-465B-B410-AD237F43968C}"/>
    <cellStyle name="20% - Énfasis4 5 2 5 3" xfId="38132" xr:uid="{AA813380-18D7-4D9B-816E-C9B3B4D82542}"/>
    <cellStyle name="20% - Énfasis4 5 2 6" xfId="15944" xr:uid="{1F802880-3727-41AA-BC78-B35AEC29AA9D}"/>
    <cellStyle name="20% - Énfasis4 5 2 6 2" xfId="38134" xr:uid="{E8FE89C3-CD7B-48FE-BAC4-9956937B6582}"/>
    <cellStyle name="20% - Énfasis4 5 2 7" xfId="38103" xr:uid="{8FEA5E49-CDF8-4C3B-B12F-FE0ABF6302A9}"/>
    <cellStyle name="20% - Énfasis4 5 3" xfId="954" xr:uid="{AFD1411B-68E3-4162-9A4C-7A1DBF88666B}"/>
    <cellStyle name="20% - Énfasis4 5 3 2" xfId="2424" xr:uid="{A7AE289A-B586-4178-9B53-0C7476340033}"/>
    <cellStyle name="20% - Énfasis4 5 3 2 2" xfId="6156" xr:uid="{FA14D041-70FF-4F18-BAE5-BE7DBE26A5A0}"/>
    <cellStyle name="20% - Énfasis4 5 3 2 2 2" xfId="13864" xr:uid="{A7CADB65-2504-4753-9226-8E5F972E171F}"/>
    <cellStyle name="20% - Énfasis4 5 3 2 2 2 2" xfId="29276" xr:uid="{DDB43E90-33CA-4A5C-88F7-5615E841254F}"/>
    <cellStyle name="20% - Énfasis4 5 3 2 2 2 2 2" xfId="38139" xr:uid="{D99247D9-94BF-496C-9527-C6561B3BE964}"/>
    <cellStyle name="20% - Énfasis4 5 3 2 2 2 3" xfId="38138" xr:uid="{0A1915ED-809F-4278-8450-F7887ACBAFDB}"/>
    <cellStyle name="20% - Énfasis4 5 3 2 2 3" xfId="21571" xr:uid="{746B9F68-B7FD-4F1A-83BD-E7D4FB7BE70F}"/>
    <cellStyle name="20% - Énfasis4 5 3 2 2 3 2" xfId="38140" xr:uid="{17062A89-563B-4CB8-87C3-A7349123C8A0}"/>
    <cellStyle name="20% - Énfasis4 5 3 2 2 4" xfId="38137" xr:uid="{1692BB19-F7E4-4E57-A085-CCA71DA12AD5}"/>
    <cellStyle name="20% - Énfasis4 5 3 2 3" xfId="10135" xr:uid="{EDC4BF19-F27F-4711-80DD-9015798E0130}"/>
    <cellStyle name="20% - Énfasis4 5 3 2 3 2" xfId="25548" xr:uid="{0E61EBB7-C40B-4153-9504-CE9A98D1625D}"/>
    <cellStyle name="20% - Énfasis4 5 3 2 3 2 2" xfId="38142" xr:uid="{6441C7A1-5054-4BAF-9A34-4D7E3DFC284F}"/>
    <cellStyle name="20% - Énfasis4 5 3 2 3 3" xfId="38141" xr:uid="{188A471C-922B-47FA-970E-F39C158486CA}"/>
    <cellStyle name="20% - Énfasis4 5 3 2 4" xfId="17843" xr:uid="{8C18B79F-0045-471F-9AF6-5ED12CDB29D3}"/>
    <cellStyle name="20% - Énfasis4 5 3 2 4 2" xfId="38143" xr:uid="{BBD35AFD-F9E1-4A4B-ABCC-E9CCB6C6C129}"/>
    <cellStyle name="20% - Énfasis4 5 3 2 5" xfId="38136" xr:uid="{69B1D14C-DF39-4A6C-AB30-4D4AD3B80C91}"/>
    <cellStyle name="20% - Énfasis4 5 3 3" xfId="4691" xr:uid="{CDDB180B-464D-4992-B1B4-77A09EAD81E7}"/>
    <cellStyle name="20% - Énfasis4 5 3 3 2" xfId="12399" xr:uid="{DEE0A1DE-28C6-409B-8268-40192DEDA24A}"/>
    <cellStyle name="20% - Énfasis4 5 3 3 2 2" xfId="27811" xr:uid="{019C11E7-C77E-4206-B37B-5D4A6426DDD9}"/>
    <cellStyle name="20% - Énfasis4 5 3 3 2 2 2" xfId="38146" xr:uid="{F7C28160-C07B-4A99-AEF5-18C9924A9F2D}"/>
    <cellStyle name="20% - Énfasis4 5 3 3 2 3" xfId="38145" xr:uid="{FCC0B23B-70BB-4F39-AF34-AE39B4A75F21}"/>
    <cellStyle name="20% - Énfasis4 5 3 3 3" xfId="20106" xr:uid="{B53CCEF5-D8DA-4136-9355-27F6B514385E}"/>
    <cellStyle name="20% - Énfasis4 5 3 3 3 2" xfId="38147" xr:uid="{853FC7F5-B57C-4F37-9E47-8522CE601CB3}"/>
    <cellStyle name="20% - Énfasis4 5 3 3 4" xfId="38144" xr:uid="{FDF6F161-B199-441E-AD34-0631D23F899C}"/>
    <cellStyle name="20% - Énfasis4 5 3 4" xfId="8676" xr:uid="{44B0061C-4C85-47C7-ADF9-DC29599341F6}"/>
    <cellStyle name="20% - Énfasis4 5 3 4 2" xfId="24089" xr:uid="{38BD1C95-40A1-4C4E-BECD-5E41118B6563}"/>
    <cellStyle name="20% - Énfasis4 5 3 4 2 2" xfId="38149" xr:uid="{9966B59D-374E-4664-B0FA-74EC562F41B2}"/>
    <cellStyle name="20% - Énfasis4 5 3 4 3" xfId="38148" xr:uid="{40D9D36A-3344-47CB-84B1-0C8ABCCCFA88}"/>
    <cellStyle name="20% - Énfasis4 5 3 5" xfId="16384" xr:uid="{08AFB3E0-6CC8-4727-A82F-D83E706191E3}"/>
    <cellStyle name="20% - Énfasis4 5 3 5 2" xfId="38150" xr:uid="{7AFC98D9-6B6B-4644-9FFA-649D8BF06F18}"/>
    <cellStyle name="20% - Énfasis4 5 3 6" xfId="38135" xr:uid="{EC9485C5-FEF2-4A48-A305-CC6540B7F564}"/>
    <cellStyle name="20% - Énfasis4 5 4" xfId="1786" xr:uid="{939EB30D-59DC-43FD-A2F9-B41866F10EAB}"/>
    <cellStyle name="20% - Énfasis4 5 4 2" xfId="5518" xr:uid="{839640E7-AE39-4FDD-A7B1-97232BF8D1A0}"/>
    <cellStyle name="20% - Énfasis4 5 4 2 2" xfId="13226" xr:uid="{F9E80737-443E-4219-87B8-635D1B308E6C}"/>
    <cellStyle name="20% - Énfasis4 5 4 2 2 2" xfId="28638" xr:uid="{2AFF36AE-DC0D-4967-9BFF-8338C0A42687}"/>
    <cellStyle name="20% - Énfasis4 5 4 2 2 2 2" xfId="38154" xr:uid="{3EE46E0F-FD87-4D02-9F0A-0A3A3431DDB7}"/>
    <cellStyle name="20% - Énfasis4 5 4 2 2 3" xfId="38153" xr:uid="{0CD4F2A3-A425-47D3-8781-86E729DC1EB1}"/>
    <cellStyle name="20% - Énfasis4 5 4 2 3" xfId="20933" xr:uid="{365D9A86-BB32-4236-B253-F2E9EC2B6F76}"/>
    <cellStyle name="20% - Énfasis4 5 4 2 3 2" xfId="38155" xr:uid="{EE5C326A-5B52-4D1F-BD50-44685CCE0297}"/>
    <cellStyle name="20% - Énfasis4 5 4 2 4" xfId="38152" xr:uid="{CD882C44-C350-4515-A864-D87A955B5A31}"/>
    <cellStyle name="20% - Énfasis4 5 4 3" xfId="9497" xr:uid="{F03D157B-30CC-43AB-87AC-9284200461CE}"/>
    <cellStyle name="20% - Énfasis4 5 4 3 2" xfId="24910" xr:uid="{75C21CFD-C998-4308-9229-B78605236172}"/>
    <cellStyle name="20% - Énfasis4 5 4 3 2 2" xfId="38157" xr:uid="{02F9E2C9-D68F-4345-9155-E06C0CBA63A1}"/>
    <cellStyle name="20% - Énfasis4 5 4 3 3" xfId="38156" xr:uid="{780C4A01-3448-4D0C-953F-F4B573C92228}"/>
    <cellStyle name="20% - Énfasis4 5 4 4" xfId="17205" xr:uid="{812071B7-B908-4D72-B8BB-21E81AF896EC}"/>
    <cellStyle name="20% - Énfasis4 5 4 4 2" xfId="38158" xr:uid="{EBC05F31-1A77-4531-BC3E-5B5B19CEE5EB}"/>
    <cellStyle name="20% - Énfasis4 5 4 5" xfId="38151" xr:uid="{5F41F770-265B-4E33-88F0-6DAAD2BB4E9A}"/>
    <cellStyle name="20% - Énfasis4 5 5" xfId="4039" xr:uid="{250C4D43-E63A-43A7-A933-FB79EA1AD981}"/>
    <cellStyle name="20% - Énfasis4 5 5 2" xfId="11747" xr:uid="{37CBC2CE-3234-4671-A44D-9A21BA0F6A3F}"/>
    <cellStyle name="20% - Énfasis4 5 5 2 2" xfId="27159" xr:uid="{9575593C-1565-4DA5-92E6-17BE925BDA19}"/>
    <cellStyle name="20% - Énfasis4 5 5 2 2 2" xfId="38161" xr:uid="{3E5D4C75-97BB-49F6-8681-B72DF0BF9904}"/>
    <cellStyle name="20% - Énfasis4 5 5 2 3" xfId="38160" xr:uid="{926C6492-1903-47CB-BC55-DD83DCE86B1E}"/>
    <cellStyle name="20% - Énfasis4 5 5 3" xfId="19454" xr:uid="{16EB8D24-68FC-4B46-978C-E093268B6CD3}"/>
    <cellStyle name="20% - Énfasis4 5 5 3 2" xfId="38162" xr:uid="{D3CA9310-3C39-42B4-9365-22ECACCD4D9E}"/>
    <cellStyle name="20% - Énfasis4 5 5 4" xfId="38159" xr:uid="{9ABF277D-C2E8-44A3-A53F-885696C9A804}"/>
    <cellStyle name="20% - Énfasis4 5 6" xfId="8038" xr:uid="{E6604D53-329B-4F12-B544-3DD10987CD40}"/>
    <cellStyle name="20% - Énfasis4 5 6 2" xfId="23451" xr:uid="{E620877D-00CA-4D55-BB24-4C711D228EBD}"/>
    <cellStyle name="20% - Énfasis4 5 6 2 2" xfId="38164" xr:uid="{E61F85E2-F6FD-4850-8908-B67FAD8B6958}"/>
    <cellStyle name="20% - Énfasis4 5 6 3" xfId="38163" xr:uid="{C9F1A808-186D-4F67-B7FD-ED4EDDD5ED42}"/>
    <cellStyle name="20% - Énfasis4 5 7" xfId="15746" xr:uid="{63E76F59-1D0D-49AC-8298-AA9B34E58550}"/>
    <cellStyle name="20% - Énfasis4 5 7 2" xfId="38165" xr:uid="{3B588073-0ED1-43FF-AC36-BE8D9F23B073}"/>
    <cellStyle name="20% - Énfasis4 5 8" xfId="38102" xr:uid="{0F7E1764-2286-46B1-A482-988E5EB11D20}"/>
    <cellStyle name="20% - Énfasis4 6" xfId="310" xr:uid="{DABF047D-2BA7-4AD7-AA82-364031F82822}"/>
    <cellStyle name="20% - Énfasis4 6 2" xfId="513" xr:uid="{52CE157E-005F-4E2E-82DA-F5C739F2C074}"/>
    <cellStyle name="20% - Énfasis4 6 2 2" xfId="1174" xr:uid="{37A4E4A8-559E-478C-8096-67FB9B8F60AF}"/>
    <cellStyle name="20% - Énfasis4 6 2 2 2" xfId="2642" xr:uid="{DA39CA20-63AD-41F4-8D7E-FE68A03AA1CC}"/>
    <cellStyle name="20% - Énfasis4 6 2 2 2 2" xfId="6374" xr:uid="{EE673953-6C92-4AF8-8267-0496E17EDF8F}"/>
    <cellStyle name="20% - Énfasis4 6 2 2 2 2 2" xfId="14082" xr:uid="{33478DE7-FAC3-432E-AA15-7A8DAEAB5FA0}"/>
    <cellStyle name="20% - Énfasis4 6 2 2 2 2 2 2" xfId="29494" xr:uid="{853B2BFD-1D12-49A0-BA64-9090C40203CF}"/>
    <cellStyle name="20% - Énfasis4 6 2 2 2 2 2 2 2" xfId="38172" xr:uid="{EF072F21-A592-4A75-80AF-2D9B6969ED3E}"/>
    <cellStyle name="20% - Énfasis4 6 2 2 2 2 2 3" xfId="38171" xr:uid="{F076363A-88DB-4A57-870B-D74E2F13B389}"/>
    <cellStyle name="20% - Énfasis4 6 2 2 2 2 3" xfId="21789" xr:uid="{FD98329A-2065-4200-B998-083ECCC0AE4B}"/>
    <cellStyle name="20% - Énfasis4 6 2 2 2 2 3 2" xfId="38173" xr:uid="{151AD86A-DCF2-43EA-B267-607E8A438915}"/>
    <cellStyle name="20% - Énfasis4 6 2 2 2 2 4" xfId="38170" xr:uid="{4CE5AD94-1560-4A3F-B1A6-923328CC2E1E}"/>
    <cellStyle name="20% - Énfasis4 6 2 2 2 3" xfId="10353" xr:uid="{8BD9C0D4-AE44-49E2-871A-737263631ED5}"/>
    <cellStyle name="20% - Énfasis4 6 2 2 2 3 2" xfId="25766" xr:uid="{87C87F0B-A8E3-482A-8EC9-48F2DFF153FB}"/>
    <cellStyle name="20% - Énfasis4 6 2 2 2 3 2 2" xfId="38175" xr:uid="{0559CA5C-AA07-4CE7-ACE8-9E6AF6AD5383}"/>
    <cellStyle name="20% - Énfasis4 6 2 2 2 3 3" xfId="38174" xr:uid="{1AA792F0-C487-46C0-8078-FBE47232CEFE}"/>
    <cellStyle name="20% - Énfasis4 6 2 2 2 4" xfId="18061" xr:uid="{9B320CC6-2C4B-4407-B5D3-973B38B4EE0E}"/>
    <cellStyle name="20% - Énfasis4 6 2 2 2 4 2" xfId="38176" xr:uid="{2090F887-7439-4C13-A996-F6191A7E3F04}"/>
    <cellStyle name="20% - Énfasis4 6 2 2 2 5" xfId="38169" xr:uid="{AC7F1902-AB0C-4DF9-ADD8-BF8ABA575077}"/>
    <cellStyle name="20% - Énfasis4 6 2 2 3" xfId="4911" xr:uid="{2463EB4D-2BE9-40FB-A9E8-7B11AA794450}"/>
    <cellStyle name="20% - Énfasis4 6 2 2 3 2" xfId="12619" xr:uid="{1B857640-093C-4C20-9594-3B39E74461F5}"/>
    <cellStyle name="20% - Énfasis4 6 2 2 3 2 2" xfId="28031" xr:uid="{BB8B5C89-711F-411E-A5DC-9BD8E19FC1AD}"/>
    <cellStyle name="20% - Énfasis4 6 2 2 3 2 2 2" xfId="38179" xr:uid="{8170F2D6-3A49-4A0F-BB9F-CC0FCE677548}"/>
    <cellStyle name="20% - Énfasis4 6 2 2 3 2 3" xfId="38178" xr:uid="{9DEB477D-4BFD-4FF3-83D3-041BEA7865E2}"/>
    <cellStyle name="20% - Énfasis4 6 2 2 3 3" xfId="20326" xr:uid="{078F30D6-21E0-4EF9-A84E-FFA1A3DD9509}"/>
    <cellStyle name="20% - Énfasis4 6 2 2 3 3 2" xfId="38180" xr:uid="{687D2441-69D7-444D-AEFA-76AD8C2A0013}"/>
    <cellStyle name="20% - Énfasis4 6 2 2 3 4" xfId="38177" xr:uid="{85AF808F-3148-4687-8601-2193BA4C6A04}"/>
    <cellStyle name="20% - Énfasis4 6 2 2 4" xfId="8894" xr:uid="{06846F33-39EC-4ED3-95FA-473222F6C5FF}"/>
    <cellStyle name="20% - Énfasis4 6 2 2 4 2" xfId="24307" xr:uid="{842BF4EE-CA46-4AD3-82A1-FD4ACD02326F}"/>
    <cellStyle name="20% - Énfasis4 6 2 2 4 2 2" xfId="38182" xr:uid="{04944A09-01E9-4F80-8F40-3F6C0228835F}"/>
    <cellStyle name="20% - Énfasis4 6 2 2 4 3" xfId="38181" xr:uid="{3EB8936A-D18C-4A23-82CE-37F1746BB9C7}"/>
    <cellStyle name="20% - Énfasis4 6 2 2 5" xfId="16602" xr:uid="{1ABF15CD-A5C2-4F6A-B71B-BBB0DD61948F}"/>
    <cellStyle name="20% - Énfasis4 6 2 2 5 2" xfId="38183" xr:uid="{F10B7007-092F-4427-9F22-F416A54AC19E}"/>
    <cellStyle name="20% - Énfasis4 6 2 2 6" xfId="38168" xr:uid="{4134CA77-6DA4-4CAD-B18E-997A5B533B26}"/>
    <cellStyle name="20% - Énfasis4 6 2 3" xfId="2004" xr:uid="{78865647-04B8-42A9-8B44-3CDA82C82BB2}"/>
    <cellStyle name="20% - Énfasis4 6 2 3 2" xfId="5736" xr:uid="{C2C9FB60-4F3C-4078-B1BE-8CA6FA5AFB7A}"/>
    <cellStyle name="20% - Énfasis4 6 2 3 2 2" xfId="13444" xr:uid="{944FADE7-A99F-4988-9712-61DA526A679C}"/>
    <cellStyle name="20% - Énfasis4 6 2 3 2 2 2" xfId="28856" xr:uid="{3F4A2C52-1685-413C-8F06-E14B506CE866}"/>
    <cellStyle name="20% - Énfasis4 6 2 3 2 2 2 2" xfId="38187" xr:uid="{1FBD84D6-54B1-4BA5-8E1C-11E4EE2DBA9B}"/>
    <cellStyle name="20% - Énfasis4 6 2 3 2 2 3" xfId="38186" xr:uid="{7F988941-55CD-4149-8424-7BF863A7A3D1}"/>
    <cellStyle name="20% - Énfasis4 6 2 3 2 3" xfId="21151" xr:uid="{5ECB9D77-DFDD-4C8E-9B75-B3C9BD65AEF9}"/>
    <cellStyle name="20% - Énfasis4 6 2 3 2 3 2" xfId="38188" xr:uid="{6399891F-145A-433D-99B0-97041556AF9B}"/>
    <cellStyle name="20% - Énfasis4 6 2 3 2 4" xfId="38185" xr:uid="{6F240FD0-A22B-424F-A4A4-1E000D154B5B}"/>
    <cellStyle name="20% - Énfasis4 6 2 3 3" xfId="9715" xr:uid="{4A9E3321-88CC-43EB-BB32-BEB70BBE0FBB}"/>
    <cellStyle name="20% - Énfasis4 6 2 3 3 2" xfId="25128" xr:uid="{E4D2D9D3-6655-4212-81C2-204B26FBA9E8}"/>
    <cellStyle name="20% - Énfasis4 6 2 3 3 2 2" xfId="38190" xr:uid="{B4FA7F1C-4A9D-4199-98A7-D646F08A0FC7}"/>
    <cellStyle name="20% - Énfasis4 6 2 3 3 3" xfId="38189" xr:uid="{501EB3D7-05D1-4A6A-8A4D-7D084C4EF8BB}"/>
    <cellStyle name="20% - Énfasis4 6 2 3 4" xfId="17423" xr:uid="{8570F2DC-53E6-40CD-85F4-3E277A08C622}"/>
    <cellStyle name="20% - Énfasis4 6 2 3 4 2" xfId="38191" xr:uid="{BF92D38A-95D3-4123-8534-2D8D062EB5D4}"/>
    <cellStyle name="20% - Énfasis4 6 2 3 5" xfId="38184" xr:uid="{F00E1755-9110-4E89-A4D8-1B6A469516C8}"/>
    <cellStyle name="20% - Énfasis4 6 2 4" xfId="4259" xr:uid="{F0290F13-7933-402A-AB58-478F3227C516}"/>
    <cellStyle name="20% - Énfasis4 6 2 4 2" xfId="11967" xr:uid="{65A46678-301E-44FA-8391-E0D404D212AB}"/>
    <cellStyle name="20% - Énfasis4 6 2 4 2 2" xfId="27379" xr:uid="{D9D37D32-0FC2-4F4B-9392-B241B8517A50}"/>
    <cellStyle name="20% - Énfasis4 6 2 4 2 2 2" xfId="38194" xr:uid="{6AC83491-AF2A-4CE9-9599-6643D8CF9F61}"/>
    <cellStyle name="20% - Énfasis4 6 2 4 2 3" xfId="38193" xr:uid="{5AFE0E26-3CD8-4611-9E9D-DA7C3E135C9F}"/>
    <cellStyle name="20% - Énfasis4 6 2 4 3" xfId="19674" xr:uid="{4FBD744E-46F5-4FA9-AFEC-E97E9E6C0A40}"/>
    <cellStyle name="20% - Énfasis4 6 2 4 3 2" xfId="38195" xr:uid="{FE1BBC70-99E3-4299-B02B-5C43A428D32C}"/>
    <cellStyle name="20% - Énfasis4 6 2 4 4" xfId="38192" xr:uid="{61EC450B-39B5-4872-97FC-380020F294BC}"/>
    <cellStyle name="20% - Énfasis4 6 2 5" xfId="8256" xr:uid="{371BC633-B597-4E06-9002-9AABCE9D5D09}"/>
    <cellStyle name="20% - Énfasis4 6 2 5 2" xfId="23669" xr:uid="{EACBE394-9A56-4019-B9A8-87ADD8D905A7}"/>
    <cellStyle name="20% - Énfasis4 6 2 5 2 2" xfId="38197" xr:uid="{9D1177ED-7C12-46E6-A1EF-C3B582B9427A}"/>
    <cellStyle name="20% - Énfasis4 6 2 5 3" xfId="38196" xr:uid="{E909715B-1D3F-4960-8FB0-8A12E3469317}"/>
    <cellStyle name="20% - Énfasis4 6 2 6" xfId="15964" xr:uid="{BAC00D72-94F9-4CBA-BFDF-3624B4EB029B}"/>
    <cellStyle name="20% - Énfasis4 6 2 6 2" xfId="38198" xr:uid="{9E2D935B-B37B-46F2-A928-9D35149DCEA6}"/>
    <cellStyle name="20% - Énfasis4 6 2 7" xfId="38167" xr:uid="{5742AFEE-BB37-4C71-ACA8-6A8F48D0D716}"/>
    <cellStyle name="20% - Énfasis4 6 3" xfId="974" xr:uid="{8EA38025-D06D-406A-8B07-EFEA97ED17FC}"/>
    <cellStyle name="20% - Énfasis4 6 3 2" xfId="2444" xr:uid="{6D3E5EA0-D340-40BA-A618-5628C3ADB916}"/>
    <cellStyle name="20% - Énfasis4 6 3 2 2" xfId="6176" xr:uid="{82544631-46A8-4336-BFEA-877B0F430937}"/>
    <cellStyle name="20% - Énfasis4 6 3 2 2 2" xfId="13884" xr:uid="{14EE27BC-3D35-433B-B7B3-36DD7A7E1383}"/>
    <cellStyle name="20% - Énfasis4 6 3 2 2 2 2" xfId="29296" xr:uid="{21E85374-C2F5-4CBF-8DA9-239C02DD16E7}"/>
    <cellStyle name="20% - Énfasis4 6 3 2 2 2 2 2" xfId="38203" xr:uid="{CFD8B81E-46FD-4611-AE3D-E473AA74B757}"/>
    <cellStyle name="20% - Énfasis4 6 3 2 2 2 3" xfId="38202" xr:uid="{E38B5827-E66F-47D5-9E43-6DD10C3C7982}"/>
    <cellStyle name="20% - Énfasis4 6 3 2 2 3" xfId="21591" xr:uid="{31C69B77-CD6F-48AD-9E28-E5CA34A4A48E}"/>
    <cellStyle name="20% - Énfasis4 6 3 2 2 3 2" xfId="38204" xr:uid="{3E9A5AD2-1848-4B1D-8F83-C8B085B97FCB}"/>
    <cellStyle name="20% - Énfasis4 6 3 2 2 4" xfId="38201" xr:uid="{85A66184-6E3F-4261-9225-CCB4D9DED48C}"/>
    <cellStyle name="20% - Énfasis4 6 3 2 3" xfId="10155" xr:uid="{8995D6A7-9BDF-4C21-9FF4-6E1BF41AA1B1}"/>
    <cellStyle name="20% - Énfasis4 6 3 2 3 2" xfId="25568" xr:uid="{5C3A19CB-5D21-4A9C-82E1-C2B154F17E06}"/>
    <cellStyle name="20% - Énfasis4 6 3 2 3 2 2" xfId="38206" xr:uid="{2C317923-0E8E-46C4-8C6B-B5ACC4036ED1}"/>
    <cellStyle name="20% - Énfasis4 6 3 2 3 3" xfId="38205" xr:uid="{17F9DD29-2C24-494F-912B-E76C956B5046}"/>
    <cellStyle name="20% - Énfasis4 6 3 2 4" xfId="17863" xr:uid="{43B7A75E-4445-4EAF-879E-1AA08AB8F14F}"/>
    <cellStyle name="20% - Énfasis4 6 3 2 4 2" xfId="38207" xr:uid="{03B6B22D-CEA1-4079-B517-8E4D4F481B28}"/>
    <cellStyle name="20% - Énfasis4 6 3 2 5" xfId="38200" xr:uid="{7DD179C5-2EE4-4850-92DC-ABD23B890424}"/>
    <cellStyle name="20% - Énfasis4 6 3 3" xfId="4711" xr:uid="{97EB9C5B-5763-4C87-BF4C-2A3F77C2309E}"/>
    <cellStyle name="20% - Énfasis4 6 3 3 2" xfId="12419" xr:uid="{18D302D1-B0B6-4FF0-8DE1-A56F972AE49F}"/>
    <cellStyle name="20% - Énfasis4 6 3 3 2 2" xfId="27831" xr:uid="{F2291606-D337-4F11-839E-B1F46584306B}"/>
    <cellStyle name="20% - Énfasis4 6 3 3 2 2 2" xfId="38210" xr:uid="{7FE0CE95-FB96-4196-BE44-A936EC550A71}"/>
    <cellStyle name="20% - Énfasis4 6 3 3 2 3" xfId="38209" xr:uid="{4449A593-54B6-425B-BF22-55B70AAB49AF}"/>
    <cellStyle name="20% - Énfasis4 6 3 3 3" xfId="20126" xr:uid="{CC0A70AA-3B04-4314-93BF-E6AE1F65B4C7}"/>
    <cellStyle name="20% - Énfasis4 6 3 3 3 2" xfId="38211" xr:uid="{0C9A088B-E28A-498A-894D-6DF4784FC0B7}"/>
    <cellStyle name="20% - Énfasis4 6 3 3 4" xfId="38208" xr:uid="{D3523C4D-565E-4CE2-9F80-1547BA339A68}"/>
    <cellStyle name="20% - Énfasis4 6 3 4" xfId="8696" xr:uid="{7A7C4EA7-88B7-43ED-8B0F-180B569C3E7C}"/>
    <cellStyle name="20% - Énfasis4 6 3 4 2" xfId="24109" xr:uid="{A5E36D69-1866-44D0-9A73-F4D5B9BA50AA}"/>
    <cellStyle name="20% - Énfasis4 6 3 4 2 2" xfId="38213" xr:uid="{8C5F9317-1590-49A4-AB6F-959CB6F673AD}"/>
    <cellStyle name="20% - Énfasis4 6 3 4 3" xfId="38212" xr:uid="{8C787AC3-C5C2-4EEC-A29B-34AEB2755D87}"/>
    <cellStyle name="20% - Énfasis4 6 3 5" xfId="16404" xr:uid="{A9ACED5D-5486-4B26-87D3-C672217871EF}"/>
    <cellStyle name="20% - Énfasis4 6 3 5 2" xfId="38214" xr:uid="{1CDEBC12-9A6F-4C11-A59B-3E79B62591E9}"/>
    <cellStyle name="20% - Énfasis4 6 3 6" xfId="38199" xr:uid="{A47919F1-C76F-44AC-AC43-2D0C61BEB147}"/>
    <cellStyle name="20% - Énfasis4 6 4" xfId="1806" xr:uid="{BBFD57BD-9074-4DE9-A6F3-BF49F66589E9}"/>
    <cellStyle name="20% - Énfasis4 6 4 2" xfId="5538" xr:uid="{32B65227-FFEE-4B0C-9529-79A7C9DFB441}"/>
    <cellStyle name="20% - Énfasis4 6 4 2 2" xfId="13246" xr:uid="{F11DAABD-7CBE-41C9-9041-31B9400AD13B}"/>
    <cellStyle name="20% - Énfasis4 6 4 2 2 2" xfId="28658" xr:uid="{0599D92C-B1F6-417C-B076-4D90D1B19C1B}"/>
    <cellStyle name="20% - Énfasis4 6 4 2 2 2 2" xfId="38218" xr:uid="{8253FC5A-86A4-4502-AD80-4DB164723F20}"/>
    <cellStyle name="20% - Énfasis4 6 4 2 2 3" xfId="38217" xr:uid="{33DFAA95-6D79-4EAE-88D0-8B0B674FBF93}"/>
    <cellStyle name="20% - Énfasis4 6 4 2 3" xfId="20953" xr:uid="{FE2A0324-52AA-48D2-A898-5FE911B22F10}"/>
    <cellStyle name="20% - Énfasis4 6 4 2 3 2" xfId="38219" xr:uid="{F1BCA6BD-F862-4052-AF6F-147012B8D104}"/>
    <cellStyle name="20% - Énfasis4 6 4 2 4" xfId="38216" xr:uid="{4907F834-C6A2-4100-9773-57A1D557F150}"/>
    <cellStyle name="20% - Énfasis4 6 4 3" xfId="9517" xr:uid="{A64364D0-1301-443E-8404-E766C0AC2CA0}"/>
    <cellStyle name="20% - Énfasis4 6 4 3 2" xfId="24930" xr:uid="{A8A1F337-1A95-4041-9C4D-627E98743265}"/>
    <cellStyle name="20% - Énfasis4 6 4 3 2 2" xfId="38221" xr:uid="{310D7148-3458-41B9-A637-9408E6532C40}"/>
    <cellStyle name="20% - Énfasis4 6 4 3 3" xfId="38220" xr:uid="{4FD56542-D586-421A-B9C5-6BAD8F7721C5}"/>
    <cellStyle name="20% - Énfasis4 6 4 4" xfId="17225" xr:uid="{9F40B4F8-39E0-44B1-88E2-8D28DA1D895C}"/>
    <cellStyle name="20% - Énfasis4 6 4 4 2" xfId="38222" xr:uid="{A74F4E03-D124-40C2-A723-DE56D120079D}"/>
    <cellStyle name="20% - Énfasis4 6 4 5" xfId="38215" xr:uid="{C5226EB4-F228-48CE-80B2-FEDA23933CB4}"/>
    <cellStyle name="20% - Énfasis4 6 5" xfId="4059" xr:uid="{3F634A98-1927-4F7C-BAA4-18E9A5084117}"/>
    <cellStyle name="20% - Énfasis4 6 5 2" xfId="11767" xr:uid="{19550448-4804-4A07-B76E-625C565CE7DF}"/>
    <cellStyle name="20% - Énfasis4 6 5 2 2" xfId="27179" xr:uid="{BA13CC07-2C91-437E-9F9B-A54636A0508F}"/>
    <cellStyle name="20% - Énfasis4 6 5 2 2 2" xfId="38225" xr:uid="{1C03A4A6-D6B0-4E13-972C-9EEA7595BBBB}"/>
    <cellStyle name="20% - Énfasis4 6 5 2 3" xfId="38224" xr:uid="{E7E3C9D7-104F-4271-A25A-E49E1AF58B96}"/>
    <cellStyle name="20% - Énfasis4 6 5 3" xfId="19474" xr:uid="{A1511C13-53C6-41E5-8A79-3A30861F6145}"/>
    <cellStyle name="20% - Énfasis4 6 5 3 2" xfId="38226" xr:uid="{707CAD49-C412-4E7F-BF60-6B21FD1BAD6C}"/>
    <cellStyle name="20% - Énfasis4 6 5 4" xfId="38223" xr:uid="{57AB7BAC-F9F7-4DBD-B828-5D53B1014743}"/>
    <cellStyle name="20% - Énfasis4 6 6" xfId="8058" xr:uid="{A9D34D6E-070A-430F-9CCE-8387801F60EE}"/>
    <cellStyle name="20% - Énfasis4 6 6 2" xfId="23471" xr:uid="{A01974AE-957E-44BC-8231-6AD2A6308DC8}"/>
    <cellStyle name="20% - Énfasis4 6 6 2 2" xfId="38228" xr:uid="{AF7444CB-C187-4DAB-AEFA-7D2B3E3F941B}"/>
    <cellStyle name="20% - Énfasis4 6 6 3" xfId="38227" xr:uid="{D81F020A-3BF7-44AB-9672-1269B93D035A}"/>
    <cellStyle name="20% - Énfasis4 6 7" xfId="15766" xr:uid="{044B61E7-860E-4114-B83D-EB55906E20B6}"/>
    <cellStyle name="20% - Énfasis4 6 7 2" xfId="38229" xr:uid="{541E5DF7-A858-4EC5-84DB-651F7D24B129}"/>
    <cellStyle name="20% - Énfasis4 6 8" xfId="38166" xr:uid="{A0D449CF-D798-4E06-9BFF-3862E907B480}"/>
    <cellStyle name="20% - Énfasis4 7" xfId="533" xr:uid="{68C9050C-748A-42A3-A5FF-489728241B7D}"/>
    <cellStyle name="20% - Énfasis4 7 2" xfId="1194" xr:uid="{3B403D80-0792-46D5-A823-D382A3F14505}"/>
    <cellStyle name="20% - Énfasis4 7 2 2" xfId="2662" xr:uid="{EC6B98D1-B18D-4D51-98C6-C5B08319EC74}"/>
    <cellStyle name="20% - Énfasis4 7 2 2 2" xfId="6394" xr:uid="{D53E12C5-1B6C-4DB7-B7AD-BDBC04941892}"/>
    <cellStyle name="20% - Énfasis4 7 2 2 2 2" xfId="14102" xr:uid="{6971698B-C0B6-4707-A6DD-2E72ABD43608}"/>
    <cellStyle name="20% - Énfasis4 7 2 2 2 2 2" xfId="29514" xr:uid="{DA98D00F-79A4-4AAE-AAB7-857BE133AF21}"/>
    <cellStyle name="20% - Énfasis4 7 2 2 2 2 2 2" xfId="38235" xr:uid="{CC4A1B7E-D50C-4F8E-B02A-9135FEAF213D}"/>
    <cellStyle name="20% - Énfasis4 7 2 2 2 2 3" xfId="38234" xr:uid="{0D50E82B-4CCD-426D-BA3B-060A6F27280C}"/>
    <cellStyle name="20% - Énfasis4 7 2 2 2 3" xfId="21809" xr:uid="{9CCC20A6-CD57-4868-99C9-150FE20AE583}"/>
    <cellStyle name="20% - Énfasis4 7 2 2 2 3 2" xfId="38236" xr:uid="{540D18C6-9442-4711-A117-13FA604F095E}"/>
    <cellStyle name="20% - Énfasis4 7 2 2 2 4" xfId="38233" xr:uid="{6BA321E2-D2BF-455F-B0CC-61E63968A4A1}"/>
    <cellStyle name="20% - Énfasis4 7 2 2 3" xfId="10373" xr:uid="{7483BCF5-E61F-4970-84E7-A7F256C22DE4}"/>
    <cellStyle name="20% - Énfasis4 7 2 2 3 2" xfId="25786" xr:uid="{22C707C3-5370-4055-AFE5-0AA626F3EDA2}"/>
    <cellStyle name="20% - Énfasis4 7 2 2 3 2 2" xfId="38238" xr:uid="{C3D5FBFC-3D00-4618-8AF3-AE281FF73FC9}"/>
    <cellStyle name="20% - Énfasis4 7 2 2 3 3" xfId="38237" xr:uid="{CD7AEB94-7FC8-40F4-A4EB-95F6F76539E6}"/>
    <cellStyle name="20% - Énfasis4 7 2 2 4" xfId="18081" xr:uid="{5EE5347C-D098-4C7C-82CF-22A9D145363A}"/>
    <cellStyle name="20% - Énfasis4 7 2 2 4 2" xfId="38239" xr:uid="{C89700A5-2DA8-40AA-9BEE-9B23E48C3841}"/>
    <cellStyle name="20% - Énfasis4 7 2 2 5" xfId="38232" xr:uid="{EB609D65-89D5-4A83-A0D1-6DB0286E09E4}"/>
    <cellStyle name="20% - Énfasis4 7 2 3" xfId="4931" xr:uid="{113F6876-4D21-4DB4-B181-E6EC1345F6C6}"/>
    <cellStyle name="20% - Énfasis4 7 2 3 2" xfId="12639" xr:uid="{8F0713A9-4B1B-42E7-BC76-F440C10BAA6A}"/>
    <cellStyle name="20% - Énfasis4 7 2 3 2 2" xfId="28051" xr:uid="{34CB1E05-549B-40D7-BD18-8EE4AE4A1CE0}"/>
    <cellStyle name="20% - Énfasis4 7 2 3 2 2 2" xfId="38242" xr:uid="{1534B76A-D429-442D-9533-5A11FB56FD32}"/>
    <cellStyle name="20% - Énfasis4 7 2 3 2 3" xfId="38241" xr:uid="{E24809B0-21B7-4094-8B4E-06D5243C8D8C}"/>
    <cellStyle name="20% - Énfasis4 7 2 3 3" xfId="20346" xr:uid="{E4E508FE-7BF0-4573-95E6-16EFC64CFBC5}"/>
    <cellStyle name="20% - Énfasis4 7 2 3 3 2" xfId="38243" xr:uid="{B17F236C-9DD4-410D-A1B4-67374DD48F9B}"/>
    <cellStyle name="20% - Énfasis4 7 2 3 4" xfId="38240" xr:uid="{21D84363-0CE3-40DB-914C-9788A80C72C8}"/>
    <cellStyle name="20% - Énfasis4 7 2 4" xfId="8914" xr:uid="{F801F3DE-92F7-48D5-9636-E27787EE8FBA}"/>
    <cellStyle name="20% - Énfasis4 7 2 4 2" xfId="24327" xr:uid="{9EBB412C-4DE5-46C5-B3E4-C52A64F90573}"/>
    <cellStyle name="20% - Énfasis4 7 2 4 2 2" xfId="38245" xr:uid="{D95ACD31-AF66-4DCC-83A4-C63D3A4BB5A6}"/>
    <cellStyle name="20% - Énfasis4 7 2 4 3" xfId="38244" xr:uid="{74B4031B-ED11-4F08-AF5E-13D15915EB07}"/>
    <cellStyle name="20% - Énfasis4 7 2 5" xfId="16622" xr:uid="{8130404B-BAD0-479A-87C9-4F53A26B15E5}"/>
    <cellStyle name="20% - Énfasis4 7 2 5 2" xfId="38246" xr:uid="{70F88C4D-4C93-43CC-8898-5B9D0429BB97}"/>
    <cellStyle name="20% - Énfasis4 7 2 6" xfId="38231" xr:uid="{807EAC87-85A3-433B-BDEC-B919A95D38EA}"/>
    <cellStyle name="20% - Énfasis4 7 3" xfId="2024" xr:uid="{238D53FA-4AED-4E84-85BA-DA9D16188046}"/>
    <cellStyle name="20% - Énfasis4 7 3 2" xfId="5756" xr:uid="{D0164FAA-CC3A-4658-A2F3-3A8D31101405}"/>
    <cellStyle name="20% - Énfasis4 7 3 2 2" xfId="13464" xr:uid="{81259956-534B-4857-94C6-A7000B659080}"/>
    <cellStyle name="20% - Énfasis4 7 3 2 2 2" xfId="28876" xr:uid="{AC7C8369-1365-4D9F-9DEB-4F2F819370FC}"/>
    <cellStyle name="20% - Énfasis4 7 3 2 2 2 2" xfId="38250" xr:uid="{67318B0D-D4B4-4871-851D-1BE46326368B}"/>
    <cellStyle name="20% - Énfasis4 7 3 2 2 3" xfId="38249" xr:uid="{8D562B21-1FFC-4B43-8364-A95B0CD78675}"/>
    <cellStyle name="20% - Énfasis4 7 3 2 3" xfId="21171" xr:uid="{151EEDB9-98DF-463A-8ADA-24808F6529A8}"/>
    <cellStyle name="20% - Énfasis4 7 3 2 3 2" xfId="38251" xr:uid="{3AC1E58D-5FB3-42CF-B3C3-7F6E15E6D907}"/>
    <cellStyle name="20% - Énfasis4 7 3 2 4" xfId="38248" xr:uid="{37541A31-C7BF-40A6-A8A7-1B1CCADDFA23}"/>
    <cellStyle name="20% - Énfasis4 7 3 3" xfId="9735" xr:uid="{7505EB8B-CA81-434A-97B8-7854F3679A6B}"/>
    <cellStyle name="20% - Énfasis4 7 3 3 2" xfId="25148" xr:uid="{15A54775-BE5F-47BE-A302-833636561789}"/>
    <cellStyle name="20% - Énfasis4 7 3 3 2 2" xfId="38253" xr:uid="{B126F329-A8A2-4B37-B6E5-0F42DBD46457}"/>
    <cellStyle name="20% - Énfasis4 7 3 3 3" xfId="38252" xr:uid="{FA94A92D-08A9-456D-AC03-343F08F83340}"/>
    <cellStyle name="20% - Énfasis4 7 3 4" xfId="17443" xr:uid="{1C481CE3-AF47-4AE9-836B-326BF70B366E}"/>
    <cellStyle name="20% - Énfasis4 7 3 4 2" xfId="38254" xr:uid="{8D8717CC-AD41-44E8-B86E-B384BBDD1789}"/>
    <cellStyle name="20% - Énfasis4 7 3 5" xfId="38247" xr:uid="{7F7F4D9C-A09D-4F0F-8A0E-00CCE8402513}"/>
    <cellStyle name="20% - Énfasis4 7 4" xfId="4279" xr:uid="{19511BF5-D86F-4671-ACA7-BA7BCC64C829}"/>
    <cellStyle name="20% - Énfasis4 7 4 2" xfId="11987" xr:uid="{8195574A-C1C0-4B06-AFEC-9B755BDCAD42}"/>
    <cellStyle name="20% - Énfasis4 7 4 2 2" xfId="27399" xr:uid="{3769A590-456F-4FE2-908F-03FA8C4AA301}"/>
    <cellStyle name="20% - Énfasis4 7 4 2 2 2" xfId="38257" xr:uid="{CA540E29-A738-4EAB-A1EB-C2C5F157E376}"/>
    <cellStyle name="20% - Énfasis4 7 4 2 3" xfId="38256" xr:uid="{97B16DD4-EDCD-4957-8BAD-FF8EB00FFECB}"/>
    <cellStyle name="20% - Énfasis4 7 4 3" xfId="19694" xr:uid="{233661C4-43D9-4920-ADE3-44E32C5D3A62}"/>
    <cellStyle name="20% - Énfasis4 7 4 3 2" xfId="38258" xr:uid="{8EEF27DA-6E19-46E2-89C8-BAE6BBE6699B}"/>
    <cellStyle name="20% - Énfasis4 7 4 4" xfId="38255" xr:uid="{B7EB4CCD-74A0-469A-B3AD-B2E72C3DC4E3}"/>
    <cellStyle name="20% - Énfasis4 7 5" xfId="8276" xr:uid="{44AC2939-9101-4522-8923-A9BBF3AD264B}"/>
    <cellStyle name="20% - Énfasis4 7 5 2" xfId="23689" xr:uid="{D40B9564-3BFA-4779-816E-135B25F25B8A}"/>
    <cellStyle name="20% - Énfasis4 7 5 2 2" xfId="38260" xr:uid="{1FBB4223-534E-41B4-AEE7-D637690995BF}"/>
    <cellStyle name="20% - Énfasis4 7 5 3" xfId="38259" xr:uid="{29E2EC54-51F5-4803-A9FD-17D10071C05E}"/>
    <cellStyle name="20% - Énfasis4 7 6" xfId="15984" xr:uid="{3DB449F4-E974-40CB-B4B9-14EF6A27DF8F}"/>
    <cellStyle name="20% - Énfasis4 7 6 2" xfId="38261" xr:uid="{D2A90D20-2CD8-40A1-8695-347225962D25}"/>
    <cellStyle name="20% - Énfasis4 7 7" xfId="38230" xr:uid="{A2D2B754-83C0-4984-A180-408C5EDDDD87}"/>
    <cellStyle name="20% - Énfasis4 8" xfId="553" xr:uid="{CCCFB0FC-BB22-4569-9401-D904773C258D}"/>
    <cellStyle name="20% - Énfasis4 8 2" xfId="1214" xr:uid="{1AFB664C-2BE8-4A31-A8F4-F74B7082E51F}"/>
    <cellStyle name="20% - Énfasis4 8 2 2" xfId="2682" xr:uid="{835BEEB4-3EB1-4552-BD73-64C41E73F9EC}"/>
    <cellStyle name="20% - Énfasis4 8 2 2 2" xfId="6414" xr:uid="{B0477349-C391-4D1C-B24D-08B4D81521E5}"/>
    <cellStyle name="20% - Énfasis4 8 2 2 2 2" xfId="14122" xr:uid="{613B9DCE-0A2A-4064-B628-5782F78C2999}"/>
    <cellStyle name="20% - Énfasis4 8 2 2 2 2 2" xfId="29534" xr:uid="{4D1163F8-5380-4FEF-BD7A-479984CE1309}"/>
    <cellStyle name="20% - Énfasis4 8 2 2 2 2 2 2" xfId="38267" xr:uid="{8BC32FC9-5564-4866-8C1E-FDBFAA60AAC7}"/>
    <cellStyle name="20% - Énfasis4 8 2 2 2 2 3" xfId="38266" xr:uid="{36F9A124-35C9-4434-A0ED-792F31FF9262}"/>
    <cellStyle name="20% - Énfasis4 8 2 2 2 3" xfId="21829" xr:uid="{41437E5A-BD8F-4EB9-A32B-0D50A2E7F687}"/>
    <cellStyle name="20% - Énfasis4 8 2 2 2 3 2" xfId="38268" xr:uid="{2FCDAF5D-BDE1-4719-9DEF-8ACA23DF943D}"/>
    <cellStyle name="20% - Énfasis4 8 2 2 2 4" xfId="38265" xr:uid="{1C0A65FB-B274-4712-8145-DD46B4A682FC}"/>
    <cellStyle name="20% - Énfasis4 8 2 2 3" xfId="10393" xr:uid="{AACADA57-CCD8-4CD7-A13E-493D31BEE673}"/>
    <cellStyle name="20% - Énfasis4 8 2 2 3 2" xfId="25806" xr:uid="{B3CC83E7-1A72-4F76-B2FE-8A96B1AAD2A9}"/>
    <cellStyle name="20% - Énfasis4 8 2 2 3 2 2" xfId="38270" xr:uid="{0CF5219E-D4AE-422D-A586-6B7ECAFE3FD5}"/>
    <cellStyle name="20% - Énfasis4 8 2 2 3 3" xfId="38269" xr:uid="{026B60C6-515F-4862-9991-A4EF34388C1D}"/>
    <cellStyle name="20% - Énfasis4 8 2 2 4" xfId="18101" xr:uid="{E5B1E9CE-7F05-4625-BEFF-4267A6494FD2}"/>
    <cellStyle name="20% - Énfasis4 8 2 2 4 2" xfId="38271" xr:uid="{D382CC32-7A56-49E4-AD10-DED525CABB1E}"/>
    <cellStyle name="20% - Énfasis4 8 2 2 5" xfId="38264" xr:uid="{38ED3527-7B51-47DA-8A90-6D2480285085}"/>
    <cellStyle name="20% - Énfasis4 8 2 3" xfId="4951" xr:uid="{31FA7D45-3DCE-481D-920D-6DF2B040B874}"/>
    <cellStyle name="20% - Énfasis4 8 2 3 2" xfId="12659" xr:uid="{06B6AFCD-7FDC-421A-BA36-4DDED0FB8075}"/>
    <cellStyle name="20% - Énfasis4 8 2 3 2 2" xfId="28071" xr:uid="{6FEE5FA4-BADD-4CD4-8F20-6493FA11FA7B}"/>
    <cellStyle name="20% - Énfasis4 8 2 3 2 2 2" xfId="38274" xr:uid="{19DE2845-9C0B-4C71-9FA8-FB2012256D9C}"/>
    <cellStyle name="20% - Énfasis4 8 2 3 2 3" xfId="38273" xr:uid="{9B384F25-8929-44B1-9EB6-AE695FC5DB00}"/>
    <cellStyle name="20% - Énfasis4 8 2 3 3" xfId="20366" xr:uid="{63124E63-A32E-47CA-9BB5-F8F9C52609CA}"/>
    <cellStyle name="20% - Énfasis4 8 2 3 3 2" xfId="38275" xr:uid="{E8938DE4-80F8-4274-8F09-5F9417FB3BF7}"/>
    <cellStyle name="20% - Énfasis4 8 2 3 4" xfId="38272" xr:uid="{CA111D0C-394C-4E28-897F-E6128E3D14E3}"/>
    <cellStyle name="20% - Énfasis4 8 2 4" xfId="8934" xr:uid="{D7C6917A-5691-4BB5-955F-0342D2F4E020}"/>
    <cellStyle name="20% - Énfasis4 8 2 4 2" xfId="24347" xr:uid="{F9402723-3054-41EF-972A-0AC624ABFD6E}"/>
    <cellStyle name="20% - Énfasis4 8 2 4 2 2" xfId="38277" xr:uid="{7DA051AA-E6C0-4EE8-A5E8-7E75B7B2FE55}"/>
    <cellStyle name="20% - Énfasis4 8 2 4 3" xfId="38276" xr:uid="{77BE63EF-2052-44D8-8456-0B1C6FBCB045}"/>
    <cellStyle name="20% - Énfasis4 8 2 5" xfId="16642" xr:uid="{57B11395-AD39-4316-B012-4CA408BBFA8B}"/>
    <cellStyle name="20% - Énfasis4 8 2 5 2" xfId="38278" xr:uid="{2B5DA331-EB2C-404A-B182-39352FC1D0CE}"/>
    <cellStyle name="20% - Énfasis4 8 2 6" xfId="38263" xr:uid="{7AE6581C-3FFC-4624-BCA8-6F5C0581710B}"/>
    <cellStyle name="20% - Énfasis4 8 3" xfId="2044" xr:uid="{E5076E6A-5DC7-4BB3-BE26-D0EAF5A499B7}"/>
    <cellStyle name="20% - Énfasis4 8 3 2" xfId="5776" xr:uid="{E2656553-FA11-41A5-A768-3952B8E16B07}"/>
    <cellStyle name="20% - Énfasis4 8 3 2 2" xfId="13484" xr:uid="{B461F730-ABAC-4E6C-A74C-F1F52FF6B51E}"/>
    <cellStyle name="20% - Énfasis4 8 3 2 2 2" xfId="28896" xr:uid="{C326282E-C8F4-4FCA-8789-B7696936EDCD}"/>
    <cellStyle name="20% - Énfasis4 8 3 2 2 2 2" xfId="38282" xr:uid="{AF578A7B-DD4C-4CD6-AB42-2268EB050926}"/>
    <cellStyle name="20% - Énfasis4 8 3 2 2 3" xfId="38281" xr:uid="{7A1F1ACE-099F-4586-9A3A-88DB4A5ECD63}"/>
    <cellStyle name="20% - Énfasis4 8 3 2 3" xfId="21191" xr:uid="{17025E5F-0DCB-4B8B-8829-068BEECB1898}"/>
    <cellStyle name="20% - Énfasis4 8 3 2 3 2" xfId="38283" xr:uid="{FA0241EC-A005-458F-B7D4-D8D522A0F586}"/>
    <cellStyle name="20% - Énfasis4 8 3 2 4" xfId="38280" xr:uid="{132A6AA3-1E7C-4657-B712-F8B3A76A7FF6}"/>
    <cellStyle name="20% - Énfasis4 8 3 3" xfId="9755" xr:uid="{376DF1E4-8E1D-4537-B11C-B0B341375555}"/>
    <cellStyle name="20% - Énfasis4 8 3 3 2" xfId="25168" xr:uid="{4C0B731B-1A78-432C-8CEA-47076E67D9E5}"/>
    <cellStyle name="20% - Énfasis4 8 3 3 2 2" xfId="38285" xr:uid="{3C2CC5AB-3206-4AB6-B3F9-822DAE614406}"/>
    <cellStyle name="20% - Énfasis4 8 3 3 3" xfId="38284" xr:uid="{F7557B56-6265-4B1D-987C-5BCE6708D1DA}"/>
    <cellStyle name="20% - Énfasis4 8 3 4" xfId="17463" xr:uid="{884A4D8E-E7AC-4099-8A76-914D98754ACD}"/>
    <cellStyle name="20% - Énfasis4 8 3 4 2" xfId="38286" xr:uid="{4130D3BE-AA23-43A3-934A-5F5923F735DD}"/>
    <cellStyle name="20% - Énfasis4 8 3 5" xfId="38279" xr:uid="{EF7626C3-0623-4ED5-841E-6BB1D05937AB}"/>
    <cellStyle name="20% - Énfasis4 8 4" xfId="4299" xr:uid="{2314E961-AF1E-47D4-8FF9-4A5917259C3C}"/>
    <cellStyle name="20% - Énfasis4 8 4 2" xfId="12007" xr:uid="{025F1F61-9D23-4348-832E-2424CDA0BE5D}"/>
    <cellStyle name="20% - Énfasis4 8 4 2 2" xfId="27419" xr:uid="{80FC934A-9DBE-4C3A-A514-674A4814611C}"/>
    <cellStyle name="20% - Énfasis4 8 4 2 2 2" xfId="38289" xr:uid="{0842B33B-5F2A-4F4E-AA6A-193200A0C810}"/>
    <cellStyle name="20% - Énfasis4 8 4 2 3" xfId="38288" xr:uid="{50AC7463-CBEA-4B98-81E3-659CEEF9B0DE}"/>
    <cellStyle name="20% - Énfasis4 8 4 3" xfId="19714" xr:uid="{A2FC8CBC-0F09-4D8E-90FC-7DA233890CF1}"/>
    <cellStyle name="20% - Énfasis4 8 4 3 2" xfId="38290" xr:uid="{7BB46165-1605-4ADE-8241-E0B79FB5A143}"/>
    <cellStyle name="20% - Énfasis4 8 4 4" xfId="38287" xr:uid="{6027E4DF-C646-4FB8-8CAB-763BDFE7077C}"/>
    <cellStyle name="20% - Énfasis4 8 5" xfId="8296" xr:uid="{973D470F-68E9-4587-AC1F-74A39BF3ED28}"/>
    <cellStyle name="20% - Énfasis4 8 5 2" xfId="23709" xr:uid="{0621DDF4-4073-431A-B798-0FF8BC6B9A27}"/>
    <cellStyle name="20% - Énfasis4 8 5 2 2" xfId="38292" xr:uid="{662A445B-CCC1-4617-A99C-30D87BA3D57D}"/>
    <cellStyle name="20% - Énfasis4 8 5 3" xfId="38291" xr:uid="{97E16B43-188A-4DCD-9C5A-31B56C965B23}"/>
    <cellStyle name="20% - Énfasis4 8 6" xfId="16004" xr:uid="{0BA85A81-7741-4A6E-988A-456D5278E7D7}"/>
    <cellStyle name="20% - Énfasis4 8 6 2" xfId="38293" xr:uid="{B56C98B0-7848-498C-9805-B9793133CA07}"/>
    <cellStyle name="20% - Énfasis4 8 7" xfId="38262" xr:uid="{D8D3A2F0-BA32-493F-89AA-3E14B4B9BADF}"/>
    <cellStyle name="20% - Énfasis4 9" xfId="573" xr:uid="{A9D5F52E-CD29-4F3D-88BD-BD54B6474C91}"/>
    <cellStyle name="20% - Énfasis4 9 2" xfId="1234" xr:uid="{ACB72967-6F05-4D80-82BC-1637DC19784C}"/>
    <cellStyle name="20% - Énfasis4 9 2 2" xfId="2702" xr:uid="{2AE8BAA2-227C-4285-A314-121456DCC4D9}"/>
    <cellStyle name="20% - Énfasis4 9 2 2 2" xfId="6434" xr:uid="{BB8B8781-6190-470A-A618-D02849B79C17}"/>
    <cellStyle name="20% - Énfasis4 9 2 2 2 2" xfId="14142" xr:uid="{A90B9BF9-C5A2-42AF-998A-027E0BCE71FA}"/>
    <cellStyle name="20% - Énfasis4 9 2 2 2 2 2" xfId="29554" xr:uid="{93098E77-8E6B-4B3B-9505-987CA9A1E4F6}"/>
    <cellStyle name="20% - Énfasis4 9 2 2 2 2 2 2" xfId="38299" xr:uid="{4486292A-566B-431C-B0AB-A45356368A81}"/>
    <cellStyle name="20% - Énfasis4 9 2 2 2 2 3" xfId="38298" xr:uid="{71F26C50-8F87-42C0-AB22-238A18022889}"/>
    <cellStyle name="20% - Énfasis4 9 2 2 2 3" xfId="21849" xr:uid="{CBE7FC47-DA16-41CB-A784-152FC2FCFB84}"/>
    <cellStyle name="20% - Énfasis4 9 2 2 2 3 2" xfId="38300" xr:uid="{7C0E1321-BB40-4A7E-A883-D81F0942D2C4}"/>
    <cellStyle name="20% - Énfasis4 9 2 2 2 4" xfId="38297" xr:uid="{4DAD90FD-092B-4E7B-84CD-E8848EE86F1F}"/>
    <cellStyle name="20% - Énfasis4 9 2 2 3" xfId="10413" xr:uid="{92F0E636-474D-48CB-906B-224A743CAAE0}"/>
    <cellStyle name="20% - Énfasis4 9 2 2 3 2" xfId="25826" xr:uid="{913917BD-B8E2-4ECE-907E-976F45F2325F}"/>
    <cellStyle name="20% - Énfasis4 9 2 2 3 2 2" xfId="38302" xr:uid="{C7FCE12A-2321-41F6-B05B-1E845813FFDA}"/>
    <cellStyle name="20% - Énfasis4 9 2 2 3 3" xfId="38301" xr:uid="{83A181D4-400F-4BBD-BD45-CFDDCD0C381F}"/>
    <cellStyle name="20% - Énfasis4 9 2 2 4" xfId="18121" xr:uid="{722897CB-2EE0-4D98-85BF-F10D090F69D5}"/>
    <cellStyle name="20% - Énfasis4 9 2 2 4 2" xfId="38303" xr:uid="{57102278-F87C-4161-ABDF-B5411769D8B0}"/>
    <cellStyle name="20% - Énfasis4 9 2 2 5" xfId="38296" xr:uid="{B577991A-BCFA-4099-BE4B-3237EBE4988E}"/>
    <cellStyle name="20% - Énfasis4 9 2 3" xfId="4971" xr:uid="{349AD2E3-0898-45C3-BAA9-E4B8A4D2CA1E}"/>
    <cellStyle name="20% - Énfasis4 9 2 3 2" xfId="12679" xr:uid="{B79C57E8-4001-4F52-8CC9-B0DAD5BD26E8}"/>
    <cellStyle name="20% - Énfasis4 9 2 3 2 2" xfId="28091" xr:uid="{11C45FDA-F9BD-4AF3-88F5-06A6A6C57306}"/>
    <cellStyle name="20% - Énfasis4 9 2 3 2 2 2" xfId="38306" xr:uid="{F7C76F22-9149-455A-BAF8-5FD32C894BD0}"/>
    <cellStyle name="20% - Énfasis4 9 2 3 2 3" xfId="38305" xr:uid="{683770C5-07AB-4E98-853E-F773DF95F9DC}"/>
    <cellStyle name="20% - Énfasis4 9 2 3 3" xfId="20386" xr:uid="{B66073A5-2A9E-4518-8A6B-28663055E22E}"/>
    <cellStyle name="20% - Énfasis4 9 2 3 3 2" xfId="38307" xr:uid="{1A0C92AD-6C9C-426C-BEA5-1956EB46673C}"/>
    <cellStyle name="20% - Énfasis4 9 2 3 4" xfId="38304" xr:uid="{AD49002E-326C-4537-986F-3F7571717690}"/>
    <cellStyle name="20% - Énfasis4 9 2 4" xfId="8954" xr:uid="{81C28C1F-12EC-4DD5-A82D-96808D6C35B6}"/>
    <cellStyle name="20% - Énfasis4 9 2 4 2" xfId="24367" xr:uid="{2DC188A6-7A9B-4C6A-A1A0-50A708FF616F}"/>
    <cellStyle name="20% - Énfasis4 9 2 4 2 2" xfId="38309" xr:uid="{86ABC465-C6DA-4FE9-900D-1166F25EA89F}"/>
    <cellStyle name="20% - Énfasis4 9 2 4 3" xfId="38308" xr:uid="{1C799B60-C569-4333-B1A5-08CC43E99B67}"/>
    <cellStyle name="20% - Énfasis4 9 2 5" xfId="16662" xr:uid="{FF06E1F4-56EA-450B-8533-2A1BFA760DFE}"/>
    <cellStyle name="20% - Énfasis4 9 2 5 2" xfId="38310" xr:uid="{BE66C3EE-DED7-4646-AFB4-034BCA30ADD7}"/>
    <cellStyle name="20% - Énfasis4 9 2 6" xfId="38295" xr:uid="{B05D613D-CC5C-42F9-B81B-627A93E081A0}"/>
    <cellStyle name="20% - Énfasis4 9 3" xfId="2064" xr:uid="{DED72413-6F50-40E9-8CE7-92286925BB84}"/>
    <cellStyle name="20% - Énfasis4 9 3 2" xfId="5796" xr:uid="{A45D6DAE-9D6E-47CB-BDE3-7DF72D6B9298}"/>
    <cellStyle name="20% - Énfasis4 9 3 2 2" xfId="13504" xr:uid="{7F1B63A1-744C-4938-AEE8-6A108102649B}"/>
    <cellStyle name="20% - Énfasis4 9 3 2 2 2" xfId="28916" xr:uid="{E3845504-EC67-4E1D-86F3-BF8FCA8B98A8}"/>
    <cellStyle name="20% - Énfasis4 9 3 2 2 2 2" xfId="38314" xr:uid="{2F22EEBA-EFE8-4F13-91E5-8DA8EB00AD46}"/>
    <cellStyle name="20% - Énfasis4 9 3 2 2 3" xfId="38313" xr:uid="{223E50FD-5455-44EB-8A4C-15BBE33ECBC3}"/>
    <cellStyle name="20% - Énfasis4 9 3 2 3" xfId="21211" xr:uid="{28A430CC-5E46-443F-BE26-1EC6BBB4FBD3}"/>
    <cellStyle name="20% - Énfasis4 9 3 2 3 2" xfId="38315" xr:uid="{653C8A75-8E5B-43C9-84FD-A8D438733553}"/>
    <cellStyle name="20% - Énfasis4 9 3 2 4" xfId="38312" xr:uid="{3AA1A5C4-D14F-4F86-84D5-E6E3C6D2917A}"/>
    <cellStyle name="20% - Énfasis4 9 3 3" xfId="9775" xr:uid="{B8C16811-12B9-44EB-B7E6-94437C362E96}"/>
    <cellStyle name="20% - Énfasis4 9 3 3 2" xfId="25188" xr:uid="{2C3BF940-1B35-4C8B-B291-D5302BB860A9}"/>
    <cellStyle name="20% - Énfasis4 9 3 3 2 2" xfId="38317" xr:uid="{FBCF8536-C3EE-4C09-A115-7ABFAF2F3D44}"/>
    <cellStyle name="20% - Énfasis4 9 3 3 3" xfId="38316" xr:uid="{A1701D41-65BE-426B-83ED-B978DA36539A}"/>
    <cellStyle name="20% - Énfasis4 9 3 4" xfId="17483" xr:uid="{E06D913C-4ED2-4C37-AC53-E3E326CDC928}"/>
    <cellStyle name="20% - Énfasis4 9 3 4 2" xfId="38318" xr:uid="{F2ECB60E-5334-40CA-A01B-09D03E5E8905}"/>
    <cellStyle name="20% - Énfasis4 9 3 5" xfId="38311" xr:uid="{51A77566-5E34-482A-AD28-872EA554FA3E}"/>
    <cellStyle name="20% - Énfasis4 9 4" xfId="4319" xr:uid="{21B687CF-69FF-47C7-8811-61A114753158}"/>
    <cellStyle name="20% - Énfasis4 9 4 2" xfId="12027" xr:uid="{59770661-55B5-4669-BB85-F53FDB674D29}"/>
    <cellStyle name="20% - Énfasis4 9 4 2 2" xfId="27439" xr:uid="{9500920A-7FF6-481E-8C42-8FC207ECFD72}"/>
    <cellStyle name="20% - Énfasis4 9 4 2 2 2" xfId="38321" xr:uid="{1C4DD216-5539-4A15-A82B-FE72E208573B}"/>
    <cellStyle name="20% - Énfasis4 9 4 2 3" xfId="38320" xr:uid="{14B163F8-9DD8-4216-8047-E9BE8BF9D3F1}"/>
    <cellStyle name="20% - Énfasis4 9 4 3" xfId="19734" xr:uid="{7CDB8A04-A771-46E1-9E8A-0974B0C4E4B6}"/>
    <cellStyle name="20% - Énfasis4 9 4 3 2" xfId="38322" xr:uid="{D65B153E-85C0-4530-9DDC-8C82B0623951}"/>
    <cellStyle name="20% - Énfasis4 9 4 4" xfId="38319" xr:uid="{3BB63324-5BFB-412E-B04F-F07A8D4AE9FE}"/>
    <cellStyle name="20% - Énfasis4 9 5" xfId="8316" xr:uid="{CD5ADBCC-23A4-4745-AE4B-3E65E56A99DF}"/>
    <cellStyle name="20% - Énfasis4 9 5 2" xfId="23729" xr:uid="{B05866C1-0BFF-4C4A-A0EB-844C2A50EC90}"/>
    <cellStyle name="20% - Énfasis4 9 5 2 2" xfId="38324" xr:uid="{42A54EEB-A3FC-4E90-ABD5-F7CA8B9B99D0}"/>
    <cellStyle name="20% - Énfasis4 9 5 3" xfId="38323" xr:uid="{53946054-C98A-4A02-97FF-666FBEBD60ED}"/>
    <cellStyle name="20% - Énfasis4 9 6" xfId="16024" xr:uid="{51783FFE-A07A-491B-9BA9-79EE34D297B9}"/>
    <cellStyle name="20% - Énfasis4 9 6 2" xfId="38325" xr:uid="{2DE761A5-DF77-449C-82B1-B714CA9592CA}"/>
    <cellStyle name="20% - Énfasis4 9 7" xfId="38294" xr:uid="{0DA4D05B-CA11-487E-8B1E-EF34B7CF5D04}"/>
    <cellStyle name="20% - Énfasis5" xfId="33" builtinId="46" customBuiltin="1"/>
    <cellStyle name="20% - Énfasis5 10" xfId="596" xr:uid="{B7300CF0-525B-4B56-91DF-A544575294E5}"/>
    <cellStyle name="20% - Énfasis5 10 2" xfId="1257" xr:uid="{C4637A32-4076-43F6-841D-FBBCE7A65D49}"/>
    <cellStyle name="20% - Énfasis5 10 2 2" xfId="2725" xr:uid="{498DBACD-B64C-4743-8994-6344B78CCC33}"/>
    <cellStyle name="20% - Énfasis5 10 2 2 2" xfId="6457" xr:uid="{A174B783-07D4-43DC-A1AB-0037ED69C435}"/>
    <cellStyle name="20% - Énfasis5 10 2 2 2 2" xfId="14165" xr:uid="{48CFD648-AEE3-4F92-8479-2713B4F7FEA2}"/>
    <cellStyle name="20% - Énfasis5 10 2 2 2 2 2" xfId="29577" xr:uid="{96144D08-298E-4544-B1A9-C80ED065BF5F}"/>
    <cellStyle name="20% - Énfasis5 10 2 2 2 2 2 2" xfId="38331" xr:uid="{57F9755F-A99F-427A-ABAE-597F1C75B862}"/>
    <cellStyle name="20% - Énfasis5 10 2 2 2 2 3" xfId="38330" xr:uid="{F74187E1-AD9A-434D-96B8-165697EF069B}"/>
    <cellStyle name="20% - Énfasis5 10 2 2 2 3" xfId="21872" xr:uid="{6ED7499F-27BC-4375-8A13-D3174C741CA1}"/>
    <cellStyle name="20% - Énfasis5 10 2 2 2 3 2" xfId="38332" xr:uid="{93B2BF98-0F31-4E28-B15E-0D59D245E19D}"/>
    <cellStyle name="20% - Énfasis5 10 2 2 2 4" xfId="38329" xr:uid="{A35B1634-8E2B-47C7-A301-F1D012323C9A}"/>
    <cellStyle name="20% - Énfasis5 10 2 2 3" xfId="10436" xr:uid="{FDD68F8F-1C83-454F-9C7A-578EE8414C2D}"/>
    <cellStyle name="20% - Énfasis5 10 2 2 3 2" xfId="25849" xr:uid="{790CDDE6-C5ED-47E4-8DF2-462E65CAF211}"/>
    <cellStyle name="20% - Énfasis5 10 2 2 3 2 2" xfId="38334" xr:uid="{A9EF9D55-41B7-4261-B638-6D49C2BF1A40}"/>
    <cellStyle name="20% - Énfasis5 10 2 2 3 3" xfId="38333" xr:uid="{4851722D-9EEF-4199-8E2A-B40B7076758F}"/>
    <cellStyle name="20% - Énfasis5 10 2 2 4" xfId="18144" xr:uid="{A634B643-5DC5-4ED1-B29B-AFFA87E1F0D7}"/>
    <cellStyle name="20% - Énfasis5 10 2 2 4 2" xfId="38335" xr:uid="{43BA4AAE-3371-45B3-BC4E-DC90FDBAA16F}"/>
    <cellStyle name="20% - Énfasis5 10 2 2 5" xfId="38328" xr:uid="{827D3068-5806-4D77-8C0A-50DF311F1542}"/>
    <cellStyle name="20% - Énfasis5 10 2 3" xfId="4994" xr:uid="{7C9FFCF7-F014-41B2-951B-36BB1A7E42FC}"/>
    <cellStyle name="20% - Énfasis5 10 2 3 2" xfId="12702" xr:uid="{5F8E9406-5F4D-4F7B-8A21-16DE4BD2B81E}"/>
    <cellStyle name="20% - Énfasis5 10 2 3 2 2" xfId="28114" xr:uid="{4B3BB096-EB32-438E-9CE2-FAB61393E664}"/>
    <cellStyle name="20% - Énfasis5 10 2 3 2 2 2" xfId="38338" xr:uid="{51D25019-F421-45B3-9610-1B278C3688C3}"/>
    <cellStyle name="20% - Énfasis5 10 2 3 2 3" xfId="38337" xr:uid="{A0C5841B-A686-483F-BAEB-8C6EB4115EA9}"/>
    <cellStyle name="20% - Énfasis5 10 2 3 3" xfId="20409" xr:uid="{06886E6A-246F-481E-946B-8D3018DC1223}"/>
    <cellStyle name="20% - Énfasis5 10 2 3 3 2" xfId="38339" xr:uid="{BF1E3105-15EA-48A4-8734-8E96149F0466}"/>
    <cellStyle name="20% - Énfasis5 10 2 3 4" xfId="38336" xr:uid="{C43DA29B-EC28-45B4-A4F1-F6A5C97E5434}"/>
    <cellStyle name="20% - Énfasis5 10 2 4" xfId="8977" xr:uid="{F9DBB979-ED2A-4EED-9FB9-7E99909148B1}"/>
    <cellStyle name="20% - Énfasis5 10 2 4 2" xfId="24390" xr:uid="{9A777223-AFA7-4F20-A19B-44373E7E3EEF}"/>
    <cellStyle name="20% - Énfasis5 10 2 4 2 2" xfId="38341" xr:uid="{92510C37-1654-485F-B2BF-05980EECAEE8}"/>
    <cellStyle name="20% - Énfasis5 10 2 4 3" xfId="38340" xr:uid="{C4531E00-C5A2-4876-8639-237C18EC52EA}"/>
    <cellStyle name="20% - Énfasis5 10 2 5" xfId="16685" xr:uid="{C475CC6B-3260-4313-8827-F689FD4EDBAF}"/>
    <cellStyle name="20% - Énfasis5 10 2 5 2" xfId="38342" xr:uid="{4263708D-93F8-421E-82FF-4F3D6CCC1569}"/>
    <cellStyle name="20% - Énfasis5 10 2 6" xfId="38327" xr:uid="{01BD253E-621A-4C97-86BF-A2318430B19C}"/>
    <cellStyle name="20% - Énfasis5 10 3" xfId="2087" xr:uid="{EE6250A7-5F3E-4E30-9E62-EC2E10D284D7}"/>
    <cellStyle name="20% - Énfasis5 10 3 2" xfId="5819" xr:uid="{84CFA8B9-ABBC-439D-83F7-954DE4895CB1}"/>
    <cellStyle name="20% - Énfasis5 10 3 2 2" xfId="13527" xr:uid="{4FC91FF2-9EDD-47D5-9AED-7CA98C012093}"/>
    <cellStyle name="20% - Énfasis5 10 3 2 2 2" xfId="28939" xr:uid="{105576CC-9E6F-4D27-9A09-0B06E9D029C7}"/>
    <cellStyle name="20% - Énfasis5 10 3 2 2 2 2" xfId="38346" xr:uid="{07AB2568-8DCA-4C49-BCDD-AEAF771903E9}"/>
    <cellStyle name="20% - Énfasis5 10 3 2 2 3" xfId="38345" xr:uid="{913EDC31-2F42-40A7-834D-33AF0CA77DEC}"/>
    <cellStyle name="20% - Énfasis5 10 3 2 3" xfId="21234" xr:uid="{1B2D4DA6-8FE6-4F5B-ADC8-3A5EC1414F89}"/>
    <cellStyle name="20% - Énfasis5 10 3 2 3 2" xfId="38347" xr:uid="{CF97AE31-2E53-4CDD-A0F3-44390C7979C4}"/>
    <cellStyle name="20% - Énfasis5 10 3 2 4" xfId="38344" xr:uid="{530483E7-52BB-4AF5-850A-32CFC536AE7B}"/>
    <cellStyle name="20% - Énfasis5 10 3 3" xfId="9798" xr:uid="{5F6F904B-5D15-4674-AE5B-619EE910F801}"/>
    <cellStyle name="20% - Énfasis5 10 3 3 2" xfId="25211" xr:uid="{A6753DA9-5A53-47FE-B17E-B6A79DA507C2}"/>
    <cellStyle name="20% - Énfasis5 10 3 3 2 2" xfId="38349" xr:uid="{8AA6360C-CB89-4835-A12D-FFB2CEBE14D9}"/>
    <cellStyle name="20% - Énfasis5 10 3 3 3" xfId="38348" xr:uid="{9E9CC9D0-1BBD-49B2-8FF0-874AAC9089E3}"/>
    <cellStyle name="20% - Énfasis5 10 3 4" xfId="17506" xr:uid="{773E54BC-E099-4B16-A0B8-D1604FE43AC9}"/>
    <cellStyle name="20% - Énfasis5 10 3 4 2" xfId="38350" xr:uid="{AC342C40-CB34-4BCD-A59A-A9254A4271D6}"/>
    <cellStyle name="20% - Énfasis5 10 3 5" xfId="38343" xr:uid="{51CA6911-9570-4549-8D7D-CE61D04B336E}"/>
    <cellStyle name="20% - Énfasis5 10 4" xfId="4342" xr:uid="{595B8C8D-B773-457C-B377-8ED95FD9AB30}"/>
    <cellStyle name="20% - Énfasis5 10 4 2" xfId="12050" xr:uid="{63217044-F17D-4205-A3C4-F269C6E20331}"/>
    <cellStyle name="20% - Énfasis5 10 4 2 2" xfId="27462" xr:uid="{97DC8C91-0C4F-4D34-A427-57B62E259FA4}"/>
    <cellStyle name="20% - Énfasis5 10 4 2 2 2" xfId="38353" xr:uid="{DBA02FC9-45F4-474D-BB48-1BA4EB64FECE}"/>
    <cellStyle name="20% - Énfasis5 10 4 2 3" xfId="38352" xr:uid="{C3907905-E908-41D3-99CC-7B70BA8114B0}"/>
    <cellStyle name="20% - Énfasis5 10 4 3" xfId="19757" xr:uid="{0A042132-9189-4413-8591-2B2611757F33}"/>
    <cellStyle name="20% - Énfasis5 10 4 3 2" xfId="38354" xr:uid="{20FF4D53-C041-4BA0-A500-4CC6E81F05B5}"/>
    <cellStyle name="20% - Énfasis5 10 4 4" xfId="38351" xr:uid="{4F439F7C-B02F-4F2D-9CDC-2FCE272FE0AC}"/>
    <cellStyle name="20% - Énfasis5 10 5" xfId="8339" xr:uid="{3484387B-B7D0-4DD8-BA4F-51AEA937B242}"/>
    <cellStyle name="20% - Énfasis5 10 5 2" xfId="23752" xr:uid="{BFE62E9C-A4D6-4EF5-A641-CAC6D1D44945}"/>
    <cellStyle name="20% - Énfasis5 10 5 2 2" xfId="38356" xr:uid="{4ADB82FC-3BC2-4A4B-B08E-E057034DD521}"/>
    <cellStyle name="20% - Énfasis5 10 5 3" xfId="38355" xr:uid="{0CCFC138-26CD-4C2C-B4CD-A3DB3C1A9920}"/>
    <cellStyle name="20% - Énfasis5 10 6" xfId="16047" xr:uid="{9BECBD01-0120-405D-8160-99240F95D78B}"/>
    <cellStyle name="20% - Énfasis5 10 6 2" xfId="38357" xr:uid="{E9FACEC4-C905-4575-B694-4A981FD3ACD4}"/>
    <cellStyle name="20% - Énfasis5 10 7" xfId="38326" xr:uid="{9D2B6CE8-824F-4DB9-B160-8046CD398BA0}"/>
    <cellStyle name="20% - Énfasis5 11" xfId="617" xr:uid="{7F095F94-B7F2-4442-909B-39073D4AA2BE}"/>
    <cellStyle name="20% - Énfasis5 11 2" xfId="1278" xr:uid="{09557486-3367-411B-A908-9F88F9C5EC63}"/>
    <cellStyle name="20% - Énfasis5 11 2 2" xfId="2745" xr:uid="{676DFEE4-2E13-4E7E-96ED-589A164D6DEC}"/>
    <cellStyle name="20% - Énfasis5 11 2 2 2" xfId="6477" xr:uid="{E20927B5-7A95-42CB-9C41-0C4A85232698}"/>
    <cellStyle name="20% - Énfasis5 11 2 2 2 2" xfId="14185" xr:uid="{D00B8B43-92D9-40C6-A51E-9FE83B581C6C}"/>
    <cellStyle name="20% - Énfasis5 11 2 2 2 2 2" xfId="29597" xr:uid="{CAF7C71D-33BE-47C4-A572-F94F9302C200}"/>
    <cellStyle name="20% - Énfasis5 11 2 2 2 2 2 2" xfId="38363" xr:uid="{D82F6338-C4E0-4784-934C-C7822F781239}"/>
    <cellStyle name="20% - Énfasis5 11 2 2 2 2 3" xfId="38362" xr:uid="{A3CD3734-D2C2-48C6-8608-6A1A6D9D8C72}"/>
    <cellStyle name="20% - Énfasis5 11 2 2 2 3" xfId="21892" xr:uid="{8FC8DB48-36DC-4344-84D2-33709A9B032F}"/>
    <cellStyle name="20% - Énfasis5 11 2 2 2 3 2" xfId="38364" xr:uid="{3C906FEA-E4FF-45CD-A12C-E90F2418108D}"/>
    <cellStyle name="20% - Énfasis5 11 2 2 2 4" xfId="38361" xr:uid="{0DA62098-9C37-426F-9630-D96B3304BD4C}"/>
    <cellStyle name="20% - Énfasis5 11 2 2 3" xfId="10456" xr:uid="{E60E5798-9FFA-4C02-A62B-0C0355A098B8}"/>
    <cellStyle name="20% - Énfasis5 11 2 2 3 2" xfId="25869" xr:uid="{1EFAAF88-F892-4B2F-89F6-A9345FFAE7C6}"/>
    <cellStyle name="20% - Énfasis5 11 2 2 3 2 2" xfId="38366" xr:uid="{D770AC61-E169-4FBD-AC14-F8505250C2C9}"/>
    <cellStyle name="20% - Énfasis5 11 2 2 3 3" xfId="38365" xr:uid="{D58786C8-E092-420E-8FE5-F8C18D8EC639}"/>
    <cellStyle name="20% - Énfasis5 11 2 2 4" xfId="18164" xr:uid="{896BA83C-B44C-4D46-98B5-903D29F93E31}"/>
    <cellStyle name="20% - Énfasis5 11 2 2 4 2" xfId="38367" xr:uid="{9FF6C63F-82ED-4AD0-929F-BAE790A37180}"/>
    <cellStyle name="20% - Énfasis5 11 2 2 5" xfId="38360" xr:uid="{E1B82104-AE71-43B5-8B2B-5A1A22717DEF}"/>
    <cellStyle name="20% - Énfasis5 11 2 3" xfId="5014" xr:uid="{C7EB413E-783A-4510-BF0D-7177F50A60CB}"/>
    <cellStyle name="20% - Énfasis5 11 2 3 2" xfId="12722" xr:uid="{F95463A3-3B66-44F0-843D-600546324F4C}"/>
    <cellStyle name="20% - Énfasis5 11 2 3 2 2" xfId="28134" xr:uid="{F0E536A2-2D9C-45F2-B7C0-A7F4AFB9D014}"/>
    <cellStyle name="20% - Énfasis5 11 2 3 2 2 2" xfId="38370" xr:uid="{EAB0DC02-275B-431D-AE2B-E2638C60B502}"/>
    <cellStyle name="20% - Énfasis5 11 2 3 2 3" xfId="38369" xr:uid="{4A3AA2FB-9D99-4CD2-BFB8-CAD30686948D}"/>
    <cellStyle name="20% - Énfasis5 11 2 3 3" xfId="20429" xr:uid="{F0E2529F-F7FA-47D1-8B20-67BAF2143ADB}"/>
    <cellStyle name="20% - Énfasis5 11 2 3 3 2" xfId="38371" xr:uid="{8AC8B645-1C72-4E8D-839F-2D68DCBF7F78}"/>
    <cellStyle name="20% - Énfasis5 11 2 3 4" xfId="38368" xr:uid="{CBFFB9AE-C8F7-4786-9D46-4FFB05DC452D}"/>
    <cellStyle name="20% - Énfasis5 11 2 4" xfId="8997" xr:uid="{7BE3C162-679E-422C-9457-12DFCA8D5174}"/>
    <cellStyle name="20% - Énfasis5 11 2 4 2" xfId="24410" xr:uid="{90E7F49C-D016-4913-A54F-F0AE9EA5E6D3}"/>
    <cellStyle name="20% - Énfasis5 11 2 4 2 2" xfId="38373" xr:uid="{27EBE7CD-A5BE-4ADF-AA24-AE60C3231236}"/>
    <cellStyle name="20% - Énfasis5 11 2 4 3" xfId="38372" xr:uid="{BF465AC4-5770-4F3F-8CA8-94E2F48C7E55}"/>
    <cellStyle name="20% - Énfasis5 11 2 5" xfId="16705" xr:uid="{272D5458-938D-4A90-A6A8-588E00321BFA}"/>
    <cellStyle name="20% - Énfasis5 11 2 5 2" xfId="38374" xr:uid="{4FA26560-2E86-4951-A230-DBE97613CD41}"/>
    <cellStyle name="20% - Énfasis5 11 2 6" xfId="38359" xr:uid="{0F4FA5BF-84E1-4525-915B-75E88FA5DD3D}"/>
    <cellStyle name="20% - Énfasis5 11 3" xfId="2107" xr:uid="{882FC84A-F414-4110-A089-BF7DBA82510F}"/>
    <cellStyle name="20% - Énfasis5 11 3 2" xfId="5839" xr:uid="{423E87A7-9B3F-4EDF-A8C3-4FB935C7F8FE}"/>
    <cellStyle name="20% - Énfasis5 11 3 2 2" xfId="13547" xr:uid="{6B2FEDC7-D080-4099-889C-8E7E75A9BB4F}"/>
    <cellStyle name="20% - Énfasis5 11 3 2 2 2" xfId="28959" xr:uid="{B3D34F7F-86E7-42A5-B76C-34A8E7101BB3}"/>
    <cellStyle name="20% - Énfasis5 11 3 2 2 2 2" xfId="38378" xr:uid="{487E8712-382D-49C3-B0FC-C3CD9F9D1465}"/>
    <cellStyle name="20% - Énfasis5 11 3 2 2 3" xfId="38377" xr:uid="{76D56208-38D7-4287-92FF-4D1FFF95479E}"/>
    <cellStyle name="20% - Énfasis5 11 3 2 3" xfId="21254" xr:uid="{DA4ECE02-DD71-4E69-B913-6B843056CC22}"/>
    <cellStyle name="20% - Énfasis5 11 3 2 3 2" xfId="38379" xr:uid="{832531E9-599B-4A7B-A4F2-EC17D8FC5FE7}"/>
    <cellStyle name="20% - Énfasis5 11 3 2 4" xfId="38376" xr:uid="{0C0429FA-CE3D-4D63-92F9-FEBEF1EC25D5}"/>
    <cellStyle name="20% - Énfasis5 11 3 3" xfId="9818" xr:uid="{4D82520D-A7F9-42F4-B587-0CA1293A8632}"/>
    <cellStyle name="20% - Énfasis5 11 3 3 2" xfId="25231" xr:uid="{C59F3E30-A7D4-4A74-8547-7339BD6B3E89}"/>
    <cellStyle name="20% - Énfasis5 11 3 3 2 2" xfId="38381" xr:uid="{08ABF59A-D38E-41E6-AA40-0287835935ED}"/>
    <cellStyle name="20% - Énfasis5 11 3 3 3" xfId="38380" xr:uid="{5DC82D0A-7841-45AD-86EC-EDAE053C76C2}"/>
    <cellStyle name="20% - Énfasis5 11 3 4" xfId="17526" xr:uid="{80E0FA89-4E74-473B-8BED-E77414B03724}"/>
    <cellStyle name="20% - Énfasis5 11 3 4 2" xfId="38382" xr:uid="{FD6DB8FE-D5B3-4F01-95A9-D1B36A750B76}"/>
    <cellStyle name="20% - Énfasis5 11 3 5" xfId="38375" xr:uid="{34760CB7-9851-493B-BC80-201703FC34CD}"/>
    <cellStyle name="20% - Énfasis5 11 4" xfId="4362" xr:uid="{1A2648B1-52F7-4A29-9F54-D13BFF1AD0AB}"/>
    <cellStyle name="20% - Énfasis5 11 4 2" xfId="12070" xr:uid="{B0F7C398-7496-4D0D-B2A8-1E8F8BDD7C92}"/>
    <cellStyle name="20% - Énfasis5 11 4 2 2" xfId="27482" xr:uid="{CCFBD500-4532-46F8-BF63-D5D08F4A5316}"/>
    <cellStyle name="20% - Énfasis5 11 4 2 2 2" xfId="38385" xr:uid="{9538F46F-14F0-48E6-ACD4-58C8CF93017E}"/>
    <cellStyle name="20% - Énfasis5 11 4 2 3" xfId="38384" xr:uid="{62CAB48C-FFD3-47F7-A0BF-362A7C7A75A0}"/>
    <cellStyle name="20% - Énfasis5 11 4 3" xfId="19777" xr:uid="{F5E919AA-1D93-40D2-8E3C-676067AC43AB}"/>
    <cellStyle name="20% - Énfasis5 11 4 3 2" xfId="38386" xr:uid="{A8573EA0-B815-4694-A04E-A14AC243B782}"/>
    <cellStyle name="20% - Énfasis5 11 4 4" xfId="38383" xr:uid="{9B8DEA9E-EB65-4243-A098-5C2C23166A1E}"/>
    <cellStyle name="20% - Énfasis5 11 5" xfId="8359" xr:uid="{A63B488D-8DC1-4D34-9607-61020798CAAD}"/>
    <cellStyle name="20% - Énfasis5 11 5 2" xfId="23772" xr:uid="{2013C455-837C-48E5-8DC4-D4E5F4722A63}"/>
    <cellStyle name="20% - Énfasis5 11 5 2 2" xfId="38388" xr:uid="{3FEEE141-53EE-467E-9A2D-B0D01CE2F537}"/>
    <cellStyle name="20% - Énfasis5 11 5 3" xfId="38387" xr:uid="{F5DBF47D-9CC3-4FC8-B7AB-B8D6647FADA4}"/>
    <cellStyle name="20% - Énfasis5 11 6" xfId="16067" xr:uid="{CE5661F2-CC05-4FFF-86B7-B66275359967}"/>
    <cellStyle name="20% - Énfasis5 11 6 2" xfId="38389" xr:uid="{0DBF4CAF-48E0-4FC3-9D89-84FBE18038B9}"/>
    <cellStyle name="20% - Énfasis5 11 7" xfId="38358" xr:uid="{895E3559-FEE5-4582-98FC-7ABFA8D2E255}"/>
    <cellStyle name="20% - Énfasis5 12" xfId="637" xr:uid="{77679BA1-A917-48FA-A0F1-37273B150637}"/>
    <cellStyle name="20% - Énfasis5 12 2" xfId="1298" xr:uid="{2B219D5F-AD49-477E-9C1B-C6451C114102}"/>
    <cellStyle name="20% - Énfasis5 12 2 2" xfId="2765" xr:uid="{3CD4BE7C-4D8B-4E20-B577-AD2CFAEA7CEA}"/>
    <cellStyle name="20% - Énfasis5 12 2 2 2" xfId="6497" xr:uid="{9CBA3711-CC3A-4047-A746-0DBAA56EC13A}"/>
    <cellStyle name="20% - Énfasis5 12 2 2 2 2" xfId="14205" xr:uid="{ABA2A582-768A-48B2-BBB7-82DAD56E149C}"/>
    <cellStyle name="20% - Énfasis5 12 2 2 2 2 2" xfId="29617" xr:uid="{3BA67628-66D8-433C-9387-255F9112F37A}"/>
    <cellStyle name="20% - Énfasis5 12 2 2 2 2 2 2" xfId="38395" xr:uid="{F7BD9143-6216-4F4E-AFF8-2B0CE946BEE4}"/>
    <cellStyle name="20% - Énfasis5 12 2 2 2 2 3" xfId="38394" xr:uid="{BD1F2F9A-59CC-49DC-B492-245076CC6A78}"/>
    <cellStyle name="20% - Énfasis5 12 2 2 2 3" xfId="21912" xr:uid="{8482923F-2216-45F1-86BA-B53E9D52FC26}"/>
    <cellStyle name="20% - Énfasis5 12 2 2 2 3 2" xfId="38396" xr:uid="{3AE9EA4E-AB87-4C6A-BDBF-3096B51C9304}"/>
    <cellStyle name="20% - Énfasis5 12 2 2 2 4" xfId="38393" xr:uid="{4E4DD94D-1C63-4C59-879C-1B43172BE241}"/>
    <cellStyle name="20% - Énfasis5 12 2 2 3" xfId="10476" xr:uid="{30013E0F-6E82-4C73-8629-47EAEAD83037}"/>
    <cellStyle name="20% - Énfasis5 12 2 2 3 2" xfId="25889" xr:uid="{0C497281-7CC6-46E2-9D36-3FDE004D8850}"/>
    <cellStyle name="20% - Énfasis5 12 2 2 3 2 2" xfId="38398" xr:uid="{6C88754E-156B-4936-9140-02EFFEE3921A}"/>
    <cellStyle name="20% - Énfasis5 12 2 2 3 3" xfId="38397" xr:uid="{36A18B09-01C6-41D9-842C-4EAC70B5B619}"/>
    <cellStyle name="20% - Énfasis5 12 2 2 4" xfId="18184" xr:uid="{483BF418-5CDC-48F5-B23D-256B614A275B}"/>
    <cellStyle name="20% - Énfasis5 12 2 2 4 2" xfId="38399" xr:uid="{DCA7A217-A42C-4AC2-963D-5A85E77C0D50}"/>
    <cellStyle name="20% - Énfasis5 12 2 2 5" xfId="38392" xr:uid="{3A9BCF06-D1EA-405A-AE0B-EB3CD2C0D259}"/>
    <cellStyle name="20% - Énfasis5 12 2 3" xfId="5034" xr:uid="{5845B2E9-9585-437A-BA4F-79917E59FC87}"/>
    <cellStyle name="20% - Énfasis5 12 2 3 2" xfId="12742" xr:uid="{DE328054-8335-4F59-871D-AE38DE5FB1EE}"/>
    <cellStyle name="20% - Énfasis5 12 2 3 2 2" xfId="28154" xr:uid="{6BF38501-CAE2-454C-A3AA-EB7215ABDDB9}"/>
    <cellStyle name="20% - Énfasis5 12 2 3 2 2 2" xfId="38402" xr:uid="{521B517C-9C63-4760-92AD-5D41C5892A9A}"/>
    <cellStyle name="20% - Énfasis5 12 2 3 2 3" xfId="38401" xr:uid="{A2F09E13-BDCE-4B24-A706-B3257602804E}"/>
    <cellStyle name="20% - Énfasis5 12 2 3 3" xfId="20449" xr:uid="{DBCBA434-8459-496A-8DCE-40998D3C876E}"/>
    <cellStyle name="20% - Énfasis5 12 2 3 3 2" xfId="38403" xr:uid="{94F58A7D-1CFE-4354-BAEB-668477E26676}"/>
    <cellStyle name="20% - Énfasis5 12 2 3 4" xfId="38400" xr:uid="{7597CD0A-7BE1-4AD4-9EDE-8FE4620D53B8}"/>
    <cellStyle name="20% - Énfasis5 12 2 4" xfId="9017" xr:uid="{E25AD96C-A421-4D95-9BD5-3316D5DDF59C}"/>
    <cellStyle name="20% - Énfasis5 12 2 4 2" xfId="24430" xr:uid="{58041626-8663-4326-86A2-DE7793607AC0}"/>
    <cellStyle name="20% - Énfasis5 12 2 4 2 2" xfId="38405" xr:uid="{BF0870C5-EBBF-459A-9F8D-1DB24D7166B9}"/>
    <cellStyle name="20% - Énfasis5 12 2 4 3" xfId="38404" xr:uid="{A2F85E8B-BF1D-4800-B36A-FC6707664668}"/>
    <cellStyle name="20% - Énfasis5 12 2 5" xfId="16725" xr:uid="{9CC46DA5-49C3-4C58-B172-AB7E18A872BB}"/>
    <cellStyle name="20% - Énfasis5 12 2 5 2" xfId="38406" xr:uid="{5A807419-F197-4396-B236-53155894BB11}"/>
    <cellStyle name="20% - Énfasis5 12 2 6" xfId="38391" xr:uid="{FB865768-7281-4C27-BC8A-330F865DA463}"/>
    <cellStyle name="20% - Énfasis5 12 3" xfId="2127" xr:uid="{0744F408-7567-4E04-8CD1-5F3445CC3867}"/>
    <cellStyle name="20% - Énfasis5 12 3 2" xfId="5859" xr:uid="{B7B8CB5A-1CA3-4AD8-8DF1-2AD91874FF23}"/>
    <cellStyle name="20% - Énfasis5 12 3 2 2" xfId="13567" xr:uid="{239DC0C1-6F7E-4D97-AC6E-7F5E918CD3EB}"/>
    <cellStyle name="20% - Énfasis5 12 3 2 2 2" xfId="28979" xr:uid="{110B506C-CB5B-4C11-BCD5-229CDBAD842A}"/>
    <cellStyle name="20% - Énfasis5 12 3 2 2 2 2" xfId="38410" xr:uid="{1DFE7088-5286-4030-AB22-019A894825A8}"/>
    <cellStyle name="20% - Énfasis5 12 3 2 2 3" xfId="38409" xr:uid="{A20F24DB-4A2B-44AB-B4CE-1AA70C186D53}"/>
    <cellStyle name="20% - Énfasis5 12 3 2 3" xfId="21274" xr:uid="{9644229A-351A-465A-BE15-17A89B4DB54F}"/>
    <cellStyle name="20% - Énfasis5 12 3 2 3 2" xfId="38411" xr:uid="{746B0410-F5D4-4283-8F07-B8FCF75828F6}"/>
    <cellStyle name="20% - Énfasis5 12 3 2 4" xfId="38408" xr:uid="{7D64724A-B086-4E5C-A835-5CE3249E8580}"/>
    <cellStyle name="20% - Énfasis5 12 3 3" xfId="9838" xr:uid="{0C2DB2EC-F637-4127-9810-78A9C7DA5B09}"/>
    <cellStyle name="20% - Énfasis5 12 3 3 2" xfId="25251" xr:uid="{339BA748-3071-4976-B7E3-9755F96A6ED4}"/>
    <cellStyle name="20% - Énfasis5 12 3 3 2 2" xfId="38413" xr:uid="{14A18D49-5A59-4A18-8A25-A0BC74EC747E}"/>
    <cellStyle name="20% - Énfasis5 12 3 3 3" xfId="38412" xr:uid="{3214EF2D-E6AA-48D3-BF90-A361FC56BFAF}"/>
    <cellStyle name="20% - Énfasis5 12 3 4" xfId="17546" xr:uid="{13BA167E-6406-4096-93F4-1DB8B30981D2}"/>
    <cellStyle name="20% - Énfasis5 12 3 4 2" xfId="38414" xr:uid="{DCB036EC-1212-4F85-B510-8C091A71859A}"/>
    <cellStyle name="20% - Énfasis5 12 3 5" xfId="38407" xr:uid="{58445F47-8CA2-4209-95A6-A2D42F70D7D9}"/>
    <cellStyle name="20% - Énfasis5 12 4" xfId="4382" xr:uid="{2C854A7E-3136-405B-A9A1-8E1D0CA3739E}"/>
    <cellStyle name="20% - Énfasis5 12 4 2" xfId="12090" xr:uid="{A2DE5FBF-18AB-424F-AF21-F49210B82055}"/>
    <cellStyle name="20% - Énfasis5 12 4 2 2" xfId="27502" xr:uid="{AF218244-3051-410B-AAAC-C22C13CAAC4E}"/>
    <cellStyle name="20% - Énfasis5 12 4 2 2 2" xfId="38417" xr:uid="{D9B69764-6619-4BF1-B650-4913BC35117C}"/>
    <cellStyle name="20% - Énfasis5 12 4 2 3" xfId="38416" xr:uid="{69588715-E79D-42DF-A16D-079EBF66D572}"/>
    <cellStyle name="20% - Énfasis5 12 4 3" xfId="19797" xr:uid="{734A4E4C-E6B1-4E83-9C85-768262F7CDCB}"/>
    <cellStyle name="20% - Énfasis5 12 4 3 2" xfId="38418" xr:uid="{C4023923-4332-43ED-899F-6B4410172822}"/>
    <cellStyle name="20% - Énfasis5 12 4 4" xfId="38415" xr:uid="{915922BC-4287-4AA3-B8BB-3B52AB321194}"/>
    <cellStyle name="20% - Énfasis5 12 5" xfId="8379" xr:uid="{37CA971A-775C-45DA-B9D0-89D24825E191}"/>
    <cellStyle name="20% - Énfasis5 12 5 2" xfId="23792" xr:uid="{0715C93F-3DEB-420A-AB95-8D414F08D437}"/>
    <cellStyle name="20% - Énfasis5 12 5 2 2" xfId="38420" xr:uid="{610B62D5-6310-47C1-B4A2-2EB2AE317D87}"/>
    <cellStyle name="20% - Énfasis5 12 5 3" xfId="38419" xr:uid="{F18CC716-6227-47A1-A531-1767B1F0321E}"/>
    <cellStyle name="20% - Énfasis5 12 6" xfId="16087" xr:uid="{24307620-3659-46DA-B9F6-3E45BA702D8B}"/>
    <cellStyle name="20% - Énfasis5 12 6 2" xfId="38421" xr:uid="{81336CB5-7F8C-4CE4-A047-9315905B0287}"/>
    <cellStyle name="20% - Énfasis5 12 7" xfId="38390" xr:uid="{4473659C-C227-439A-99A8-C28A53763A25}"/>
    <cellStyle name="20% - Énfasis5 13" xfId="658" xr:uid="{DF8B389E-B4C2-49A9-B9D7-280FB7E295EE}"/>
    <cellStyle name="20% - Énfasis5 13 2" xfId="1319" xr:uid="{D76A80E9-DDB7-4264-866C-AF5E945196B2}"/>
    <cellStyle name="20% - Énfasis5 13 2 2" xfId="2786" xr:uid="{4476C00B-8283-44CF-9FCB-0C9421730AB7}"/>
    <cellStyle name="20% - Énfasis5 13 2 2 2" xfId="6518" xr:uid="{64C236A2-25C5-46FE-AE1F-4864F185CE63}"/>
    <cellStyle name="20% - Énfasis5 13 2 2 2 2" xfId="14226" xr:uid="{361E3B7B-F76E-45CC-B6F7-F6C26F2B645C}"/>
    <cellStyle name="20% - Énfasis5 13 2 2 2 2 2" xfId="29638" xr:uid="{E2A2BBD0-EB86-4D15-ADF7-DEFB010F1A5C}"/>
    <cellStyle name="20% - Énfasis5 13 2 2 2 2 2 2" xfId="38427" xr:uid="{094ACB4C-6E48-4431-8892-99ADD165D957}"/>
    <cellStyle name="20% - Énfasis5 13 2 2 2 2 3" xfId="38426" xr:uid="{93E0C1D1-27BD-4C82-8A86-A2961B5065A3}"/>
    <cellStyle name="20% - Énfasis5 13 2 2 2 3" xfId="21933" xr:uid="{4AA0711C-02BC-446F-8820-0331142F9764}"/>
    <cellStyle name="20% - Énfasis5 13 2 2 2 3 2" xfId="38428" xr:uid="{786EF4D5-4922-43CE-B8E6-691D6737D32B}"/>
    <cellStyle name="20% - Énfasis5 13 2 2 2 4" xfId="38425" xr:uid="{CB2561D8-43DC-4610-A1A1-5185F9D4C6B4}"/>
    <cellStyle name="20% - Énfasis5 13 2 2 3" xfId="10497" xr:uid="{BDDAB11D-C7C2-4850-A21E-C35C6BE6033E}"/>
    <cellStyle name="20% - Énfasis5 13 2 2 3 2" xfId="25910" xr:uid="{5A24CC15-2315-46F6-A40D-64BCF4655008}"/>
    <cellStyle name="20% - Énfasis5 13 2 2 3 2 2" xfId="38430" xr:uid="{A158010F-4D1F-489D-83DC-24BA467ED907}"/>
    <cellStyle name="20% - Énfasis5 13 2 2 3 3" xfId="38429" xr:uid="{23C322AB-280E-4409-9BAB-B236426B53A6}"/>
    <cellStyle name="20% - Énfasis5 13 2 2 4" xfId="18205" xr:uid="{BFAB689A-591B-4E27-8A18-38DFAE0F170E}"/>
    <cellStyle name="20% - Énfasis5 13 2 2 4 2" xfId="38431" xr:uid="{191204E8-0753-42C4-BAF4-81A3B8D22FA2}"/>
    <cellStyle name="20% - Énfasis5 13 2 2 5" xfId="38424" xr:uid="{5EECE338-66FA-4A5B-B334-AE8D3E2E6CCC}"/>
    <cellStyle name="20% - Énfasis5 13 2 3" xfId="5055" xr:uid="{A7BE400C-308E-409E-BBD0-102A16F5B578}"/>
    <cellStyle name="20% - Énfasis5 13 2 3 2" xfId="12763" xr:uid="{76B39EBD-A401-41FB-9EE5-16D338D48B4F}"/>
    <cellStyle name="20% - Énfasis5 13 2 3 2 2" xfId="28175" xr:uid="{BCD1EA83-42A7-4617-9C1D-E575A54AAE24}"/>
    <cellStyle name="20% - Énfasis5 13 2 3 2 2 2" xfId="38434" xr:uid="{B41DE5D7-4444-4F30-BA72-12D4DE42F30E}"/>
    <cellStyle name="20% - Énfasis5 13 2 3 2 3" xfId="38433" xr:uid="{915A0DBA-524D-44B1-914E-06B1C2B29B16}"/>
    <cellStyle name="20% - Énfasis5 13 2 3 3" xfId="20470" xr:uid="{DCEAA60B-B597-4FA8-B04A-08F6B69169F0}"/>
    <cellStyle name="20% - Énfasis5 13 2 3 3 2" xfId="38435" xr:uid="{0246CFCD-7409-4C10-A277-970522FBDDC6}"/>
    <cellStyle name="20% - Énfasis5 13 2 3 4" xfId="38432" xr:uid="{DCE5CFD5-C868-45F8-B11B-D6BBC9EBBD17}"/>
    <cellStyle name="20% - Énfasis5 13 2 4" xfId="9038" xr:uid="{6A9E3DAD-F7B7-48F5-80DF-A7F225A84E4D}"/>
    <cellStyle name="20% - Énfasis5 13 2 4 2" xfId="24451" xr:uid="{CF72570D-313E-45F6-B148-57673EC6CA4A}"/>
    <cellStyle name="20% - Énfasis5 13 2 4 2 2" xfId="38437" xr:uid="{93DDE6BF-4D5D-4852-BB7D-2B4757E2A539}"/>
    <cellStyle name="20% - Énfasis5 13 2 4 3" xfId="38436" xr:uid="{0D66EC4E-9B56-42AD-9E8D-20D0594689E2}"/>
    <cellStyle name="20% - Énfasis5 13 2 5" xfId="16746" xr:uid="{FD63A123-99C7-437B-AE05-50680DBD2BC3}"/>
    <cellStyle name="20% - Énfasis5 13 2 5 2" xfId="38438" xr:uid="{05FF513D-54F7-40D9-B911-50FC22C5D042}"/>
    <cellStyle name="20% - Énfasis5 13 2 6" xfId="38423" xr:uid="{5B76634B-D2CE-40B3-8260-6C236AF73106}"/>
    <cellStyle name="20% - Énfasis5 13 3" xfId="2148" xr:uid="{3224BD01-1DB8-4AC6-86BF-891711D4058F}"/>
    <cellStyle name="20% - Énfasis5 13 3 2" xfId="5880" xr:uid="{ADADA798-CADB-478F-A798-04A4E7AD52E5}"/>
    <cellStyle name="20% - Énfasis5 13 3 2 2" xfId="13588" xr:uid="{AD88A630-B83F-4511-9BDC-868C420E2278}"/>
    <cellStyle name="20% - Énfasis5 13 3 2 2 2" xfId="29000" xr:uid="{BF783C24-1E25-4573-96C4-9C6E570D5975}"/>
    <cellStyle name="20% - Énfasis5 13 3 2 2 2 2" xfId="38442" xr:uid="{AC7B1144-BD42-4287-9804-71CAC9769F0D}"/>
    <cellStyle name="20% - Énfasis5 13 3 2 2 3" xfId="38441" xr:uid="{7367D5BA-0D14-4A35-9320-0929089AC3BB}"/>
    <cellStyle name="20% - Énfasis5 13 3 2 3" xfId="21295" xr:uid="{32169C12-200D-48B4-95BD-6F94DF1E579D}"/>
    <cellStyle name="20% - Énfasis5 13 3 2 3 2" xfId="38443" xr:uid="{4FB8C283-9F97-422C-99AD-005C25E11AB8}"/>
    <cellStyle name="20% - Énfasis5 13 3 2 4" xfId="38440" xr:uid="{87DB8F55-5E3E-4014-BDB3-C0F4B22CC5F3}"/>
    <cellStyle name="20% - Énfasis5 13 3 3" xfId="9859" xr:uid="{F63BB3FF-105B-409F-AFE0-9187FAC19A04}"/>
    <cellStyle name="20% - Énfasis5 13 3 3 2" xfId="25272" xr:uid="{C3899A65-BB04-4050-B70A-079D8B9C732A}"/>
    <cellStyle name="20% - Énfasis5 13 3 3 2 2" xfId="38445" xr:uid="{0D9D2164-0C65-40FF-96B6-F97D24F3FDEE}"/>
    <cellStyle name="20% - Énfasis5 13 3 3 3" xfId="38444" xr:uid="{C40D1367-88E6-4EA9-BE23-2671C588354A}"/>
    <cellStyle name="20% - Énfasis5 13 3 4" xfId="17567" xr:uid="{C8AF4546-3883-4263-AEE7-A97035E8F467}"/>
    <cellStyle name="20% - Énfasis5 13 3 4 2" xfId="38446" xr:uid="{0EF0983A-43E6-45CE-BC8A-EABC996F0B5D}"/>
    <cellStyle name="20% - Énfasis5 13 3 5" xfId="38439" xr:uid="{7F402589-5C9C-4A3C-BC82-6AFF102CD567}"/>
    <cellStyle name="20% - Énfasis5 13 4" xfId="4403" xr:uid="{127B55B6-4490-4DEA-B9DF-B7CC0055AB2D}"/>
    <cellStyle name="20% - Énfasis5 13 4 2" xfId="12111" xr:uid="{1F99E650-ED21-4D15-957D-343C2464F3CD}"/>
    <cellStyle name="20% - Énfasis5 13 4 2 2" xfId="27523" xr:uid="{16EDD987-D79E-413C-9CC0-0DCC4C0CC896}"/>
    <cellStyle name="20% - Énfasis5 13 4 2 2 2" xfId="38449" xr:uid="{88B8DD9D-66DE-48BC-AAB4-76B2AE921DC5}"/>
    <cellStyle name="20% - Énfasis5 13 4 2 3" xfId="38448" xr:uid="{9EBBABE9-871D-4C1D-B663-A0B71C924C0B}"/>
    <cellStyle name="20% - Énfasis5 13 4 3" xfId="19818" xr:uid="{DD3107A1-E740-4E98-8318-4210D35CA781}"/>
    <cellStyle name="20% - Énfasis5 13 4 3 2" xfId="38450" xr:uid="{399F2E1D-26CE-498F-9C1F-592F80A75155}"/>
    <cellStyle name="20% - Énfasis5 13 4 4" xfId="38447" xr:uid="{6A38D339-2385-41DE-B44B-38B85D677CA5}"/>
    <cellStyle name="20% - Énfasis5 13 5" xfId="8400" xr:uid="{4D0A6D9F-8B33-443C-BCDC-0FA4BBBC9A4D}"/>
    <cellStyle name="20% - Énfasis5 13 5 2" xfId="23813" xr:uid="{3BC9DD89-4E41-4C17-9647-EB3BD79369B6}"/>
    <cellStyle name="20% - Énfasis5 13 5 2 2" xfId="38452" xr:uid="{B44ADCC7-60B6-4F00-96A9-C65866A467D8}"/>
    <cellStyle name="20% - Énfasis5 13 5 3" xfId="38451" xr:uid="{E7C6C19B-AA3C-44ED-8EF4-D01A88B26353}"/>
    <cellStyle name="20% - Énfasis5 13 6" xfId="16108" xr:uid="{09244BB3-E255-4D61-86E3-5F2903CE1906}"/>
    <cellStyle name="20% - Énfasis5 13 6 2" xfId="38453" xr:uid="{12EC6B3E-430D-42E8-A52E-222C8267C2CF}"/>
    <cellStyle name="20% - Énfasis5 13 7" xfId="38422" xr:uid="{C10F47E8-E90F-49C3-BBEA-0FBB64D40D53}"/>
    <cellStyle name="20% - Énfasis5 14" xfId="678" xr:uid="{EBD95667-8DE4-418B-A231-EFD20B05BCB1}"/>
    <cellStyle name="20% - Énfasis5 14 2" xfId="1339" xr:uid="{1ACB5B0C-1A76-4520-82FF-34D16D83035A}"/>
    <cellStyle name="20% - Énfasis5 14 2 2" xfId="2806" xr:uid="{D4B9022D-3DF2-4BF7-81D6-7959E1538E47}"/>
    <cellStyle name="20% - Énfasis5 14 2 2 2" xfId="6538" xr:uid="{3F8FE4DD-D690-4124-ABF7-2A4D0DE586CD}"/>
    <cellStyle name="20% - Énfasis5 14 2 2 2 2" xfId="14246" xr:uid="{0B79E4A8-AF24-4EA2-9895-CC3F1D02020B}"/>
    <cellStyle name="20% - Énfasis5 14 2 2 2 2 2" xfId="29658" xr:uid="{CDFB55FF-5E62-4BC4-9C11-18C8AF1695A4}"/>
    <cellStyle name="20% - Énfasis5 14 2 2 2 2 2 2" xfId="38459" xr:uid="{BAF45B54-3C66-40E1-919E-443567F575DF}"/>
    <cellStyle name="20% - Énfasis5 14 2 2 2 2 3" xfId="38458" xr:uid="{9F61CABC-61DB-4ABA-811F-07C16820151B}"/>
    <cellStyle name="20% - Énfasis5 14 2 2 2 3" xfId="21953" xr:uid="{E50E23BA-BA3C-424B-84AE-1F5EDA40A860}"/>
    <cellStyle name="20% - Énfasis5 14 2 2 2 3 2" xfId="38460" xr:uid="{7F025679-F3F2-4CD6-96A5-DA69F6506082}"/>
    <cellStyle name="20% - Énfasis5 14 2 2 2 4" xfId="38457" xr:uid="{363FF23E-ED77-4799-A1F8-47B0695D4A2C}"/>
    <cellStyle name="20% - Énfasis5 14 2 2 3" xfId="10517" xr:uid="{98F859C0-C461-472D-988E-8B461DC9FC2C}"/>
    <cellStyle name="20% - Énfasis5 14 2 2 3 2" xfId="25930" xr:uid="{E4A8E327-AE98-4E2A-BC8A-0282C14E78A1}"/>
    <cellStyle name="20% - Énfasis5 14 2 2 3 2 2" xfId="38462" xr:uid="{1DA45BC7-9A50-40EF-BFC7-F3772F5344DE}"/>
    <cellStyle name="20% - Énfasis5 14 2 2 3 3" xfId="38461" xr:uid="{9DA49C9B-FF7C-400E-B7CA-B6F4CCA85E84}"/>
    <cellStyle name="20% - Énfasis5 14 2 2 4" xfId="18225" xr:uid="{C00BD5F2-1703-4511-AE2B-94FC22DD6933}"/>
    <cellStyle name="20% - Énfasis5 14 2 2 4 2" xfId="38463" xr:uid="{28CDBB75-9401-429A-B99E-DA6B32640F56}"/>
    <cellStyle name="20% - Énfasis5 14 2 2 5" xfId="38456" xr:uid="{DC503CF1-76C9-477C-92AF-5220A4916535}"/>
    <cellStyle name="20% - Énfasis5 14 2 3" xfId="5075" xr:uid="{8CF35751-560E-4EFE-BE4A-C5C50EE4FD99}"/>
    <cellStyle name="20% - Énfasis5 14 2 3 2" xfId="12783" xr:uid="{035B5B2D-55F9-4AEB-A103-F96AA33AD283}"/>
    <cellStyle name="20% - Énfasis5 14 2 3 2 2" xfId="28195" xr:uid="{69E691C9-A4CB-43A6-9D3F-46E110B21D84}"/>
    <cellStyle name="20% - Énfasis5 14 2 3 2 2 2" xfId="38466" xr:uid="{1E1ABC4A-C65C-4D65-81DD-BEB72F8EBA71}"/>
    <cellStyle name="20% - Énfasis5 14 2 3 2 3" xfId="38465" xr:uid="{DA5FEE95-E325-4D49-B612-3DC39B8CD1CD}"/>
    <cellStyle name="20% - Énfasis5 14 2 3 3" xfId="20490" xr:uid="{44D3978F-5B6D-4AA8-BE3A-978CF64DD0E8}"/>
    <cellStyle name="20% - Énfasis5 14 2 3 3 2" xfId="38467" xr:uid="{50E3E1E4-60AB-48B4-BCF3-AE951B36C17C}"/>
    <cellStyle name="20% - Énfasis5 14 2 3 4" xfId="38464" xr:uid="{0FC36CE3-FE4D-44B4-B0DF-DEE2B5E037C4}"/>
    <cellStyle name="20% - Énfasis5 14 2 4" xfId="9058" xr:uid="{DCDFA2EF-534B-4EA0-9978-BA16D55A1CDC}"/>
    <cellStyle name="20% - Énfasis5 14 2 4 2" xfId="24471" xr:uid="{15CDC9C5-2638-4BF4-8065-116580C4076B}"/>
    <cellStyle name="20% - Énfasis5 14 2 4 2 2" xfId="38469" xr:uid="{74560A1D-EFEC-4369-87DC-E7B654AADDD6}"/>
    <cellStyle name="20% - Énfasis5 14 2 4 3" xfId="38468" xr:uid="{73DB25E5-A202-4151-A256-051770450E08}"/>
    <cellStyle name="20% - Énfasis5 14 2 5" xfId="16766" xr:uid="{D234B41C-7A5A-40AC-B6D2-FBC921DAE284}"/>
    <cellStyle name="20% - Énfasis5 14 2 5 2" xfId="38470" xr:uid="{852962D0-0593-4E6B-90EC-B29072976412}"/>
    <cellStyle name="20% - Énfasis5 14 2 6" xfId="38455" xr:uid="{26DE9CB1-D456-445F-9DCA-9212A9207157}"/>
    <cellStyle name="20% - Énfasis5 14 3" xfId="2168" xr:uid="{80BB49B0-4B67-4D6B-9C94-4570B18BC3D3}"/>
    <cellStyle name="20% - Énfasis5 14 3 2" xfId="5900" xr:uid="{ABB4D57C-DDED-4EC3-B0DA-8488C6DE717D}"/>
    <cellStyle name="20% - Énfasis5 14 3 2 2" xfId="13608" xr:uid="{885C34DA-E2F9-4C8A-B7F0-72DDECEE8014}"/>
    <cellStyle name="20% - Énfasis5 14 3 2 2 2" xfId="29020" xr:uid="{E52C8268-0C03-477E-9906-8C89084DD757}"/>
    <cellStyle name="20% - Énfasis5 14 3 2 2 2 2" xfId="38474" xr:uid="{6C69900D-8A0A-4B07-8976-65D139A56BDE}"/>
    <cellStyle name="20% - Énfasis5 14 3 2 2 3" xfId="38473" xr:uid="{8BD73934-3395-4417-90E1-EC4E8B44188C}"/>
    <cellStyle name="20% - Énfasis5 14 3 2 3" xfId="21315" xr:uid="{8E74C674-B01E-4A14-B6F5-8E37B4803438}"/>
    <cellStyle name="20% - Énfasis5 14 3 2 3 2" xfId="38475" xr:uid="{9FB1B231-BC46-4132-B1C3-FE0D32166569}"/>
    <cellStyle name="20% - Énfasis5 14 3 2 4" xfId="38472" xr:uid="{A7BEE645-F04D-4C80-85D0-91DA8396CB38}"/>
    <cellStyle name="20% - Énfasis5 14 3 3" xfId="9879" xr:uid="{4AA579B9-6206-4BF3-B85C-985818DE5B27}"/>
    <cellStyle name="20% - Énfasis5 14 3 3 2" xfId="25292" xr:uid="{67FFD569-D95B-49D3-84E4-20E799895615}"/>
    <cellStyle name="20% - Énfasis5 14 3 3 2 2" xfId="38477" xr:uid="{64EB607E-7A41-4618-9900-3258BD401E8A}"/>
    <cellStyle name="20% - Énfasis5 14 3 3 3" xfId="38476" xr:uid="{A831A01E-C20F-4F09-AAE7-62ABD4DDA566}"/>
    <cellStyle name="20% - Énfasis5 14 3 4" xfId="17587" xr:uid="{266BB7EB-E76D-464F-A6E7-0FD32E7DA26A}"/>
    <cellStyle name="20% - Énfasis5 14 3 4 2" xfId="38478" xr:uid="{1B0BF2D9-9B61-4C34-A88A-D27667B3C72C}"/>
    <cellStyle name="20% - Énfasis5 14 3 5" xfId="38471" xr:uid="{039E24EE-2B69-464E-8BD6-E810EA77DFAE}"/>
    <cellStyle name="20% - Énfasis5 14 4" xfId="4423" xr:uid="{B9AED4F5-E628-4F41-963C-086528F50D18}"/>
    <cellStyle name="20% - Énfasis5 14 4 2" xfId="12131" xr:uid="{DD8EA224-FF62-4EF6-B054-299FD112C85A}"/>
    <cellStyle name="20% - Énfasis5 14 4 2 2" xfId="27543" xr:uid="{DD888FC9-C48D-4B57-AC90-712B4E34F3FE}"/>
    <cellStyle name="20% - Énfasis5 14 4 2 2 2" xfId="38481" xr:uid="{C7012E16-1819-4904-8A63-72C5534CD38F}"/>
    <cellStyle name="20% - Énfasis5 14 4 2 3" xfId="38480" xr:uid="{23A8189C-C984-44DA-8932-5670D02DE97C}"/>
    <cellStyle name="20% - Énfasis5 14 4 3" xfId="19838" xr:uid="{38634D3C-79BE-423C-B05C-72745621D104}"/>
    <cellStyle name="20% - Énfasis5 14 4 3 2" xfId="38482" xr:uid="{143FF521-62ED-4173-9A45-09380097DBB9}"/>
    <cellStyle name="20% - Énfasis5 14 4 4" xfId="38479" xr:uid="{4F001F3C-BE00-4655-929B-CF5DBA385205}"/>
    <cellStyle name="20% - Énfasis5 14 5" xfId="8420" xr:uid="{4C769842-AB66-4001-A6FC-2299929C63B2}"/>
    <cellStyle name="20% - Énfasis5 14 5 2" xfId="23833" xr:uid="{AE0772E9-C95C-477A-BC99-4266D01C3C30}"/>
    <cellStyle name="20% - Énfasis5 14 5 2 2" xfId="38484" xr:uid="{A320D319-2001-4AA9-947F-6473AD8CE60A}"/>
    <cellStyle name="20% - Énfasis5 14 5 3" xfId="38483" xr:uid="{0460743D-AD70-40F5-AAC9-2FD05B2BC769}"/>
    <cellStyle name="20% - Énfasis5 14 6" xfId="16128" xr:uid="{177983DB-C1C0-47C0-AFB1-4C724B94128C}"/>
    <cellStyle name="20% - Énfasis5 14 6 2" xfId="38485" xr:uid="{B8EFDC37-D830-4DD8-A374-E657468077CD}"/>
    <cellStyle name="20% - Énfasis5 14 7" xfId="38454" xr:uid="{4BC9C410-B88F-48C4-A14F-CFE7AABA5DC4}"/>
    <cellStyle name="20% - Énfasis5 15" xfId="698" xr:uid="{5AA74640-1BDB-40D8-A4EC-78CA23101931}"/>
    <cellStyle name="20% - Énfasis5 15 2" xfId="1359" xr:uid="{C02FEAC9-95F0-4D21-ABB1-76BC8E15EB8B}"/>
    <cellStyle name="20% - Énfasis5 15 2 2" xfId="2826" xr:uid="{CF5A27A7-A761-476F-A9FA-D8F28BB900B0}"/>
    <cellStyle name="20% - Énfasis5 15 2 2 2" xfId="6558" xr:uid="{7E93B866-ED95-4D24-BAF9-EFBFCB4D69FD}"/>
    <cellStyle name="20% - Énfasis5 15 2 2 2 2" xfId="14266" xr:uid="{583411DF-4ABD-4A36-842E-E05841C89E6D}"/>
    <cellStyle name="20% - Énfasis5 15 2 2 2 2 2" xfId="29678" xr:uid="{8CCF2762-A5F1-4897-98FB-36EAD25B89FC}"/>
    <cellStyle name="20% - Énfasis5 15 2 2 2 2 2 2" xfId="38491" xr:uid="{DB8E76B5-AF9B-4092-8AFA-7E409782D018}"/>
    <cellStyle name="20% - Énfasis5 15 2 2 2 2 3" xfId="38490" xr:uid="{4FDDFBDA-5FF4-446D-AE49-1B4925028087}"/>
    <cellStyle name="20% - Énfasis5 15 2 2 2 3" xfId="21973" xr:uid="{2C17370A-E1A8-4A6D-9484-AABB76ECF1D9}"/>
    <cellStyle name="20% - Énfasis5 15 2 2 2 3 2" xfId="38492" xr:uid="{DA13A93B-98DE-4D19-B330-82AD9867383E}"/>
    <cellStyle name="20% - Énfasis5 15 2 2 2 4" xfId="38489" xr:uid="{9147534D-FACA-4302-AB4B-0839E22A3501}"/>
    <cellStyle name="20% - Énfasis5 15 2 2 3" xfId="10537" xr:uid="{2EDEA4DD-46F3-4DBE-B1B6-420392C561D2}"/>
    <cellStyle name="20% - Énfasis5 15 2 2 3 2" xfId="25950" xr:uid="{396097E0-6150-41D5-B401-A95685803E1C}"/>
    <cellStyle name="20% - Énfasis5 15 2 2 3 2 2" xfId="38494" xr:uid="{D7FDCA63-F730-43B7-8E83-7BF10AA77962}"/>
    <cellStyle name="20% - Énfasis5 15 2 2 3 3" xfId="38493" xr:uid="{55E04CD3-BC1D-4D7A-AC47-8373CFB33674}"/>
    <cellStyle name="20% - Énfasis5 15 2 2 4" xfId="18245" xr:uid="{3A6248FB-2E38-4224-BACE-35790F16C903}"/>
    <cellStyle name="20% - Énfasis5 15 2 2 4 2" xfId="38495" xr:uid="{19B7B066-92A1-4EB7-8999-29EBC30E3EEE}"/>
    <cellStyle name="20% - Énfasis5 15 2 2 5" xfId="38488" xr:uid="{923964C3-ED53-4052-9A61-54B6A3409338}"/>
    <cellStyle name="20% - Énfasis5 15 2 3" xfId="5095" xr:uid="{6F3EA4A1-C530-4E78-AB24-342E6584A496}"/>
    <cellStyle name="20% - Énfasis5 15 2 3 2" xfId="12803" xr:uid="{E5CF1ED2-C17E-4E0B-BAF8-2ADB406D579E}"/>
    <cellStyle name="20% - Énfasis5 15 2 3 2 2" xfId="28215" xr:uid="{368CDE2F-249A-4A09-9C1E-05B8024DAE99}"/>
    <cellStyle name="20% - Énfasis5 15 2 3 2 2 2" xfId="38498" xr:uid="{53638BC0-2A32-4688-B271-C1A5881EA795}"/>
    <cellStyle name="20% - Énfasis5 15 2 3 2 3" xfId="38497" xr:uid="{3B13899B-3572-4511-8B45-CDFCF0B31992}"/>
    <cellStyle name="20% - Énfasis5 15 2 3 3" xfId="20510" xr:uid="{3D558000-53BF-49F6-82CC-AA28607E2FAD}"/>
    <cellStyle name="20% - Énfasis5 15 2 3 3 2" xfId="38499" xr:uid="{30FBA742-0FDD-46F6-8C96-82C2394160AE}"/>
    <cellStyle name="20% - Énfasis5 15 2 3 4" xfId="38496" xr:uid="{33CB0FE7-E5ED-46DA-9D52-FA58400A4DD5}"/>
    <cellStyle name="20% - Énfasis5 15 2 4" xfId="9078" xr:uid="{3E7D6772-28E0-4FC4-ADE9-56F46A60C772}"/>
    <cellStyle name="20% - Énfasis5 15 2 4 2" xfId="24491" xr:uid="{8093C489-9B57-4FB7-A138-ABC3D3BA3BF9}"/>
    <cellStyle name="20% - Énfasis5 15 2 4 2 2" xfId="38501" xr:uid="{299A32D5-50F9-4F49-9B3D-99C9E58F3283}"/>
    <cellStyle name="20% - Énfasis5 15 2 4 3" xfId="38500" xr:uid="{643A7286-884C-45B5-ADA9-6030A2882428}"/>
    <cellStyle name="20% - Énfasis5 15 2 5" xfId="16786" xr:uid="{3BCEBA1A-0A91-41BC-A933-90D239796FC4}"/>
    <cellStyle name="20% - Énfasis5 15 2 5 2" xfId="38502" xr:uid="{1AC8B6C7-DF33-4DDA-82BF-544A63BC7675}"/>
    <cellStyle name="20% - Énfasis5 15 2 6" xfId="38487" xr:uid="{BAB21D5D-6D66-4CFD-A013-045269EC8109}"/>
    <cellStyle name="20% - Énfasis5 15 3" xfId="2188" xr:uid="{70F14191-BC69-4D68-A5D2-DA7F8D8D2F9B}"/>
    <cellStyle name="20% - Énfasis5 15 3 2" xfId="5920" xr:uid="{6D0F45AE-BF9A-4539-8FAA-9E7038426C84}"/>
    <cellStyle name="20% - Énfasis5 15 3 2 2" xfId="13628" xr:uid="{15D3650E-5756-4868-B91B-0EAF3FF6058F}"/>
    <cellStyle name="20% - Énfasis5 15 3 2 2 2" xfId="29040" xr:uid="{8FE5F10A-948C-43CA-8708-3EDE77CFACB7}"/>
    <cellStyle name="20% - Énfasis5 15 3 2 2 2 2" xfId="38506" xr:uid="{6D206A59-EAA0-4DB6-9CD2-917D2F513B41}"/>
    <cellStyle name="20% - Énfasis5 15 3 2 2 3" xfId="38505" xr:uid="{C36F8A5E-D407-4EE9-8E51-E765AAF67DF4}"/>
    <cellStyle name="20% - Énfasis5 15 3 2 3" xfId="21335" xr:uid="{154FA744-EB4B-42ED-9E14-67705DB1DE8C}"/>
    <cellStyle name="20% - Énfasis5 15 3 2 3 2" xfId="38507" xr:uid="{9D4B283D-A89E-4E55-8A81-265EA0952375}"/>
    <cellStyle name="20% - Énfasis5 15 3 2 4" xfId="38504" xr:uid="{2494D96A-5E21-45B4-A5A6-B1A7D37483D2}"/>
    <cellStyle name="20% - Énfasis5 15 3 3" xfId="9899" xr:uid="{57EAEF34-982A-4D6A-8D4F-72D6127E609B}"/>
    <cellStyle name="20% - Énfasis5 15 3 3 2" xfId="25312" xr:uid="{92E98B47-9DEB-42BC-A37E-9B8B6F347AAC}"/>
    <cellStyle name="20% - Énfasis5 15 3 3 2 2" xfId="38509" xr:uid="{2D80EDB7-9951-4640-8662-F202F5CC4B82}"/>
    <cellStyle name="20% - Énfasis5 15 3 3 3" xfId="38508" xr:uid="{CCDAAFD5-6ACC-4F32-8767-3841763C00E3}"/>
    <cellStyle name="20% - Énfasis5 15 3 4" xfId="17607" xr:uid="{560BAE2B-C153-402F-8170-84D4CBBE9A47}"/>
    <cellStyle name="20% - Énfasis5 15 3 4 2" xfId="38510" xr:uid="{3B8368F6-8203-4B49-90A1-ABF0046A7B76}"/>
    <cellStyle name="20% - Énfasis5 15 3 5" xfId="38503" xr:uid="{F67FBD97-01E5-4326-8628-5C1EB284BBD6}"/>
    <cellStyle name="20% - Énfasis5 15 4" xfId="4443" xr:uid="{F7A964C8-23CD-448A-B78A-FFFDA94E1556}"/>
    <cellStyle name="20% - Énfasis5 15 4 2" xfId="12151" xr:uid="{1796DA49-09F9-46DC-B022-080B70FC1632}"/>
    <cellStyle name="20% - Énfasis5 15 4 2 2" xfId="27563" xr:uid="{64948A74-B3B5-4B7D-BF63-0DA65A3DE7B5}"/>
    <cellStyle name="20% - Énfasis5 15 4 2 2 2" xfId="38513" xr:uid="{DB9E9097-4909-4877-8F71-CFFBEEE1FADE}"/>
    <cellStyle name="20% - Énfasis5 15 4 2 3" xfId="38512" xr:uid="{81B4BE80-CD01-4777-81AE-619CC5AEBC58}"/>
    <cellStyle name="20% - Énfasis5 15 4 3" xfId="19858" xr:uid="{9BABEA78-1FFC-42BA-8DDC-5F8E1C96B83B}"/>
    <cellStyle name="20% - Énfasis5 15 4 3 2" xfId="38514" xr:uid="{26D93ACB-324F-4425-A7B0-7EA6A30DA461}"/>
    <cellStyle name="20% - Énfasis5 15 4 4" xfId="38511" xr:uid="{E1C2DB2D-DFFB-4595-83D3-7540984FB193}"/>
    <cellStyle name="20% - Énfasis5 15 5" xfId="8440" xr:uid="{E1374954-079E-499F-A5BE-C4F99C3AF6F8}"/>
    <cellStyle name="20% - Énfasis5 15 5 2" xfId="23853" xr:uid="{4F86A1E3-6DE3-4DC8-90EF-56257A478E58}"/>
    <cellStyle name="20% - Énfasis5 15 5 2 2" xfId="38516" xr:uid="{284B751D-9DE8-452B-B690-61ED7EA0D113}"/>
    <cellStyle name="20% - Énfasis5 15 5 3" xfId="38515" xr:uid="{BCCF4AD6-CCA8-4CB2-9725-914930C3E783}"/>
    <cellStyle name="20% - Énfasis5 15 6" xfId="16148" xr:uid="{F53132E2-DAF5-429A-9741-2A8D1DBDFF95}"/>
    <cellStyle name="20% - Énfasis5 15 6 2" xfId="38517" xr:uid="{888F8050-CDE3-40BF-B5E9-AF2795F36ECC}"/>
    <cellStyle name="20% - Énfasis5 15 7" xfId="38486" xr:uid="{B8F259EA-5119-42E2-B498-B847EB226CE6}"/>
    <cellStyle name="20% - Énfasis5 16" xfId="719" xr:uid="{547826BA-D2CA-46A4-A938-6FEC0C99E5C4}"/>
    <cellStyle name="20% - Énfasis5 16 2" xfId="1380" xr:uid="{3E6F3D6D-3498-4E3E-8E56-22B11AA095ED}"/>
    <cellStyle name="20% - Énfasis5 16 2 2" xfId="2847" xr:uid="{B67CB1B1-F9A8-40C1-B98D-4E4502B4A95D}"/>
    <cellStyle name="20% - Énfasis5 16 2 2 2" xfId="6579" xr:uid="{307C407E-7B19-44B2-A627-C27C0DADA43B}"/>
    <cellStyle name="20% - Énfasis5 16 2 2 2 2" xfId="14287" xr:uid="{A49A0867-B313-415B-A0FC-44D7C98FE121}"/>
    <cellStyle name="20% - Énfasis5 16 2 2 2 2 2" xfId="29699" xr:uid="{2DE95104-D8F1-4FF7-B449-9AFC8A6237D0}"/>
    <cellStyle name="20% - Énfasis5 16 2 2 2 2 2 2" xfId="38523" xr:uid="{E4036D41-675F-47EF-9037-1EF4441ED60E}"/>
    <cellStyle name="20% - Énfasis5 16 2 2 2 2 3" xfId="38522" xr:uid="{D5213A0A-2F5B-40DF-988C-34A3092380DF}"/>
    <cellStyle name="20% - Énfasis5 16 2 2 2 3" xfId="21994" xr:uid="{A2BF1B3D-8839-453A-A201-672118F35543}"/>
    <cellStyle name="20% - Énfasis5 16 2 2 2 3 2" xfId="38524" xr:uid="{EC959021-9968-4CE8-9172-C3F64A0D12A9}"/>
    <cellStyle name="20% - Énfasis5 16 2 2 2 4" xfId="38521" xr:uid="{CA480944-CB58-49D8-8FFA-42B5D4E1AD8A}"/>
    <cellStyle name="20% - Énfasis5 16 2 2 3" xfId="10558" xr:uid="{42E9DF52-3F26-4AB6-A8F9-7AE69B9DAC42}"/>
    <cellStyle name="20% - Énfasis5 16 2 2 3 2" xfId="25971" xr:uid="{E9763F6C-C252-4390-B954-8F8B682310B7}"/>
    <cellStyle name="20% - Énfasis5 16 2 2 3 2 2" xfId="38526" xr:uid="{DB36B381-2E81-43BA-9B63-8750F4D6DCCE}"/>
    <cellStyle name="20% - Énfasis5 16 2 2 3 3" xfId="38525" xr:uid="{7EE60CC2-36EB-4B2A-86A8-5EF9CE6ACD61}"/>
    <cellStyle name="20% - Énfasis5 16 2 2 4" xfId="18266" xr:uid="{AA52CFCA-3D26-4BEB-9D07-03467C11EDC8}"/>
    <cellStyle name="20% - Énfasis5 16 2 2 4 2" xfId="38527" xr:uid="{8CA9699E-8777-4637-B6EE-99CF79F83346}"/>
    <cellStyle name="20% - Énfasis5 16 2 2 5" xfId="38520" xr:uid="{6AD1896B-0197-4B72-A07C-175B3CC5161A}"/>
    <cellStyle name="20% - Énfasis5 16 2 3" xfId="5116" xr:uid="{681E7996-2CBE-40E1-948E-6A84EA5C4BFC}"/>
    <cellStyle name="20% - Énfasis5 16 2 3 2" xfId="12824" xr:uid="{69F35B52-BDC8-445E-929E-C35A9DC50B78}"/>
    <cellStyle name="20% - Énfasis5 16 2 3 2 2" xfId="28236" xr:uid="{FA5442A4-4B9C-4DAD-B148-CA58C2100CA0}"/>
    <cellStyle name="20% - Énfasis5 16 2 3 2 2 2" xfId="38530" xr:uid="{8CCCC9B8-E9F8-4564-86FB-FA06EF68204C}"/>
    <cellStyle name="20% - Énfasis5 16 2 3 2 3" xfId="38529" xr:uid="{B032F4C2-D670-48D0-9E5B-8B1B3526627B}"/>
    <cellStyle name="20% - Énfasis5 16 2 3 3" xfId="20531" xr:uid="{C4521524-509F-4273-A727-EFCBD432C701}"/>
    <cellStyle name="20% - Énfasis5 16 2 3 3 2" xfId="38531" xr:uid="{A8658B4D-F1FB-4630-9A41-298C2D882113}"/>
    <cellStyle name="20% - Énfasis5 16 2 3 4" xfId="38528" xr:uid="{03A7BAAD-CE37-4487-883A-C2558AA01146}"/>
    <cellStyle name="20% - Énfasis5 16 2 4" xfId="9099" xr:uid="{D7EC2DF4-1CE5-4625-8951-702F344AB847}"/>
    <cellStyle name="20% - Énfasis5 16 2 4 2" xfId="24512" xr:uid="{4B13F50F-E59A-47CA-AD83-AEAEC7A42AAF}"/>
    <cellStyle name="20% - Énfasis5 16 2 4 2 2" xfId="38533" xr:uid="{50745F8E-D2A8-4475-885C-5BB31E7535A1}"/>
    <cellStyle name="20% - Énfasis5 16 2 4 3" xfId="38532" xr:uid="{7945A4A8-9E2D-45DE-9363-09C1219CD06E}"/>
    <cellStyle name="20% - Énfasis5 16 2 5" xfId="16807" xr:uid="{D4D0FD1E-0744-41B1-BAE3-5079D83A47B5}"/>
    <cellStyle name="20% - Énfasis5 16 2 5 2" xfId="38534" xr:uid="{1CB95DD9-6D5A-471E-986A-5C06F6C3C3AB}"/>
    <cellStyle name="20% - Énfasis5 16 2 6" xfId="38519" xr:uid="{60A3A86E-5D2F-4DDC-BA97-5B805F05E3A9}"/>
    <cellStyle name="20% - Énfasis5 16 3" xfId="2209" xr:uid="{065C2920-0FD1-4FFD-B5B6-304839578B25}"/>
    <cellStyle name="20% - Énfasis5 16 3 2" xfId="5941" xr:uid="{09FF96BF-CDC5-4B5B-9018-B959EFC785AB}"/>
    <cellStyle name="20% - Énfasis5 16 3 2 2" xfId="13649" xr:uid="{51A22DA9-D74A-450F-99B9-994639A7815F}"/>
    <cellStyle name="20% - Énfasis5 16 3 2 2 2" xfId="29061" xr:uid="{E0C012EE-3A1A-4219-ABF5-4119D3D70352}"/>
    <cellStyle name="20% - Énfasis5 16 3 2 2 2 2" xfId="38538" xr:uid="{3D632A76-9DF2-4DF5-9223-DD4B7628162F}"/>
    <cellStyle name="20% - Énfasis5 16 3 2 2 3" xfId="38537" xr:uid="{EF7F6317-8D43-44E7-A2A7-5D0CD0365ECF}"/>
    <cellStyle name="20% - Énfasis5 16 3 2 3" xfId="21356" xr:uid="{DB01F7DD-CEF5-4E9F-A227-A24056ABE48A}"/>
    <cellStyle name="20% - Énfasis5 16 3 2 3 2" xfId="38539" xr:uid="{F6476EB9-E7C3-4C5F-86EE-14D5C6D51510}"/>
    <cellStyle name="20% - Énfasis5 16 3 2 4" xfId="38536" xr:uid="{74D5F5A1-4475-4A68-8A22-80785A572A67}"/>
    <cellStyle name="20% - Énfasis5 16 3 3" xfId="9920" xr:uid="{1BD3BB80-552E-4DA0-8721-4B2B753CC481}"/>
    <cellStyle name="20% - Énfasis5 16 3 3 2" xfId="25333" xr:uid="{E474049F-E021-4B8E-9DFF-2B8AA3ADEEF9}"/>
    <cellStyle name="20% - Énfasis5 16 3 3 2 2" xfId="38541" xr:uid="{8C678A50-9701-4DCA-AA55-F76890309031}"/>
    <cellStyle name="20% - Énfasis5 16 3 3 3" xfId="38540" xr:uid="{8CF52DD5-6193-4959-BDE8-29CFDED242E2}"/>
    <cellStyle name="20% - Énfasis5 16 3 4" xfId="17628" xr:uid="{678A4244-EC34-4CA9-9D23-B2E9BE1089A5}"/>
    <cellStyle name="20% - Énfasis5 16 3 4 2" xfId="38542" xr:uid="{7703F5D7-714B-44AC-8685-4A3DF417DF67}"/>
    <cellStyle name="20% - Énfasis5 16 3 5" xfId="38535" xr:uid="{A3E13A8D-A4B6-4C7F-9719-E016FEBF143F}"/>
    <cellStyle name="20% - Énfasis5 16 4" xfId="4464" xr:uid="{D6EFDA49-1948-435C-BE7D-B3C64C73CE63}"/>
    <cellStyle name="20% - Énfasis5 16 4 2" xfId="12172" xr:uid="{4977011E-5A59-4267-8C22-B19BCE959659}"/>
    <cellStyle name="20% - Énfasis5 16 4 2 2" xfId="27584" xr:uid="{1CA964A8-8300-4DE8-BB14-B99593916A5A}"/>
    <cellStyle name="20% - Énfasis5 16 4 2 2 2" xfId="38545" xr:uid="{08D9A7CD-2B78-485B-A3B8-FE62B41B2236}"/>
    <cellStyle name="20% - Énfasis5 16 4 2 3" xfId="38544" xr:uid="{37E5EB3E-2E30-4DB1-908B-C154B4A111FF}"/>
    <cellStyle name="20% - Énfasis5 16 4 3" xfId="19879" xr:uid="{AF83B481-C10F-4741-835F-0D86CE98FDF3}"/>
    <cellStyle name="20% - Énfasis5 16 4 3 2" xfId="38546" xr:uid="{1215713F-A6E6-4BD6-A1BA-34E7810D3433}"/>
    <cellStyle name="20% - Énfasis5 16 4 4" xfId="38543" xr:uid="{A036A8B1-98BB-4582-87EF-1D0823244C35}"/>
    <cellStyle name="20% - Énfasis5 16 5" xfId="8461" xr:uid="{038CF667-AB7F-4881-AE6D-D2A7AC26D007}"/>
    <cellStyle name="20% - Énfasis5 16 5 2" xfId="23874" xr:uid="{DE956CE6-06A7-4974-9526-67451292D721}"/>
    <cellStyle name="20% - Énfasis5 16 5 2 2" xfId="38548" xr:uid="{9B868319-5DBA-4294-89D0-1E378845A361}"/>
    <cellStyle name="20% - Énfasis5 16 5 3" xfId="38547" xr:uid="{6F9B49E4-4B89-41C8-85B0-2D330E34910D}"/>
    <cellStyle name="20% - Énfasis5 16 6" xfId="16169" xr:uid="{A53726C6-04E0-4224-9E6E-882EB77FCFEC}"/>
    <cellStyle name="20% - Énfasis5 16 6 2" xfId="38549" xr:uid="{610BF60E-29E3-4B62-AC8C-DBE86B9A626E}"/>
    <cellStyle name="20% - Énfasis5 16 7" xfId="38518" xr:uid="{0C128842-7299-463F-85EA-1BA02FCD079C}"/>
    <cellStyle name="20% - Énfasis5 17" xfId="739" xr:uid="{DE648E32-8A3C-4680-99E5-5BFF30984D35}"/>
    <cellStyle name="20% - Énfasis5 17 2" xfId="1400" xr:uid="{40D87222-9772-46BC-BFD4-17F2E9EA02C6}"/>
    <cellStyle name="20% - Énfasis5 17 2 2" xfId="2867" xr:uid="{C1F938BB-0F18-4337-AA59-FDC8F5F8C08F}"/>
    <cellStyle name="20% - Énfasis5 17 2 2 2" xfId="6599" xr:uid="{CF7C70D0-D3DE-4C46-9771-7139F76AB78B}"/>
    <cellStyle name="20% - Énfasis5 17 2 2 2 2" xfId="14307" xr:uid="{539FC8F0-25F3-46A3-90AB-3977F562CF81}"/>
    <cellStyle name="20% - Énfasis5 17 2 2 2 2 2" xfId="29719" xr:uid="{F3CF1808-DCDF-4CA9-8DC7-0B44A9A24D3E}"/>
    <cellStyle name="20% - Énfasis5 17 2 2 2 2 2 2" xfId="38555" xr:uid="{BDBE5132-E556-4F40-9041-54F27C24CC57}"/>
    <cellStyle name="20% - Énfasis5 17 2 2 2 2 3" xfId="38554" xr:uid="{F54E976D-8496-4283-8219-CA4479BE83D8}"/>
    <cellStyle name="20% - Énfasis5 17 2 2 2 3" xfId="22014" xr:uid="{FD404494-DE8C-4BA8-AA7B-3216B8D2968A}"/>
    <cellStyle name="20% - Énfasis5 17 2 2 2 3 2" xfId="38556" xr:uid="{14549865-E3F1-4AAB-A4D4-7F941F676DA7}"/>
    <cellStyle name="20% - Énfasis5 17 2 2 2 4" xfId="38553" xr:uid="{B5BCDA1E-888D-49A1-9CA4-498F30C011A6}"/>
    <cellStyle name="20% - Énfasis5 17 2 2 3" xfId="10578" xr:uid="{14BC77C6-139C-4A54-A0BF-8AAB40F412BB}"/>
    <cellStyle name="20% - Énfasis5 17 2 2 3 2" xfId="25991" xr:uid="{FBEC884C-24E8-4214-86AD-62DEFE3B1191}"/>
    <cellStyle name="20% - Énfasis5 17 2 2 3 2 2" xfId="38558" xr:uid="{16A19242-D4EC-482E-B509-AFD1E9084B66}"/>
    <cellStyle name="20% - Énfasis5 17 2 2 3 3" xfId="38557" xr:uid="{F31720A4-FBEC-4229-B935-0F2317E4D095}"/>
    <cellStyle name="20% - Énfasis5 17 2 2 4" xfId="18286" xr:uid="{E3C2BE70-5F68-4BFB-9BA7-B8AEE2DDDF22}"/>
    <cellStyle name="20% - Énfasis5 17 2 2 4 2" xfId="38559" xr:uid="{33ACCC98-A6A7-4482-A76D-2449B7745C89}"/>
    <cellStyle name="20% - Énfasis5 17 2 2 5" xfId="38552" xr:uid="{5BEE714D-33DC-46C7-A546-B1A90A551F81}"/>
    <cellStyle name="20% - Énfasis5 17 2 3" xfId="5136" xr:uid="{EE91223B-7D7E-4353-AF17-13C3611A3B34}"/>
    <cellStyle name="20% - Énfasis5 17 2 3 2" xfId="12844" xr:uid="{9B7CBBB2-45C4-4811-8B3D-14798BD19268}"/>
    <cellStyle name="20% - Énfasis5 17 2 3 2 2" xfId="28256" xr:uid="{B22A01AB-7A2F-452A-97BA-5C371DC66264}"/>
    <cellStyle name="20% - Énfasis5 17 2 3 2 2 2" xfId="38562" xr:uid="{9987CB31-9B7D-459A-8C82-4A7D1A9143AE}"/>
    <cellStyle name="20% - Énfasis5 17 2 3 2 3" xfId="38561" xr:uid="{7662CD6B-0204-47B9-8D17-753D38373754}"/>
    <cellStyle name="20% - Énfasis5 17 2 3 3" xfId="20551" xr:uid="{2DB0C3A5-93E8-45BD-99B9-E1FB714788EB}"/>
    <cellStyle name="20% - Énfasis5 17 2 3 3 2" xfId="38563" xr:uid="{D420EE30-FAB1-405B-9978-0B65A583FAEE}"/>
    <cellStyle name="20% - Énfasis5 17 2 3 4" xfId="38560" xr:uid="{F07BDA33-4A76-4555-9E50-E5F222466835}"/>
    <cellStyle name="20% - Énfasis5 17 2 4" xfId="9119" xr:uid="{84472B27-471C-48EF-B9DD-FF9738A62F6E}"/>
    <cellStyle name="20% - Énfasis5 17 2 4 2" xfId="24532" xr:uid="{031B9086-84C3-4663-ACAB-56963F93979C}"/>
    <cellStyle name="20% - Énfasis5 17 2 4 2 2" xfId="38565" xr:uid="{8594BE4C-A541-4606-B4D3-6335AC448796}"/>
    <cellStyle name="20% - Énfasis5 17 2 4 3" xfId="38564" xr:uid="{8D4A54E7-C774-4DD2-84AA-C7B5C5663A2E}"/>
    <cellStyle name="20% - Énfasis5 17 2 5" xfId="16827" xr:uid="{B4598A8F-389E-412B-A1CE-80624070D3FF}"/>
    <cellStyle name="20% - Énfasis5 17 2 5 2" xfId="38566" xr:uid="{F2853639-B181-4A34-98EF-409F6005D5FB}"/>
    <cellStyle name="20% - Énfasis5 17 2 6" xfId="38551" xr:uid="{AA03374E-B69B-47E8-992F-A0B679CDF376}"/>
    <cellStyle name="20% - Énfasis5 17 3" xfId="2229" xr:uid="{7543E4D6-9791-4768-AA79-1D8D343C8600}"/>
    <cellStyle name="20% - Énfasis5 17 3 2" xfId="5961" xr:uid="{5A68D54A-6FD5-4460-8F00-402F731E8F1B}"/>
    <cellStyle name="20% - Énfasis5 17 3 2 2" xfId="13669" xr:uid="{DDC1A614-AB0B-40FB-A0E2-2123316A1D5B}"/>
    <cellStyle name="20% - Énfasis5 17 3 2 2 2" xfId="29081" xr:uid="{674A413B-2A8F-4717-A764-45B20E7AE9A4}"/>
    <cellStyle name="20% - Énfasis5 17 3 2 2 2 2" xfId="38570" xr:uid="{9BF780CF-EF8A-403E-8FD0-173F90E63ADE}"/>
    <cellStyle name="20% - Énfasis5 17 3 2 2 3" xfId="38569" xr:uid="{946D1BD3-A7C0-498F-916A-729772B8F61F}"/>
    <cellStyle name="20% - Énfasis5 17 3 2 3" xfId="21376" xr:uid="{DBE33D24-632E-4CA6-9591-3097EB8646E1}"/>
    <cellStyle name="20% - Énfasis5 17 3 2 3 2" xfId="38571" xr:uid="{151AE834-1DC6-4B97-A3C0-4A098A745CA8}"/>
    <cellStyle name="20% - Énfasis5 17 3 2 4" xfId="38568" xr:uid="{032B8DCF-A169-4196-9BE7-087F9D1DA11F}"/>
    <cellStyle name="20% - Énfasis5 17 3 3" xfId="9940" xr:uid="{F8E89F07-4E58-460A-8F1D-FF7234E6933C}"/>
    <cellStyle name="20% - Énfasis5 17 3 3 2" xfId="25353" xr:uid="{E4B132AE-544F-436E-8BD9-ECABA0FB5C5D}"/>
    <cellStyle name="20% - Énfasis5 17 3 3 2 2" xfId="38573" xr:uid="{AC1C18A3-B604-406B-B64D-85566991C3B0}"/>
    <cellStyle name="20% - Énfasis5 17 3 3 3" xfId="38572" xr:uid="{EE724BE0-A36F-4933-A31F-8E5ECA50CBB0}"/>
    <cellStyle name="20% - Énfasis5 17 3 4" xfId="17648" xr:uid="{601047F1-6494-4628-A830-EC381760073B}"/>
    <cellStyle name="20% - Énfasis5 17 3 4 2" xfId="38574" xr:uid="{6027DB7D-3A80-414A-B942-B6E2829A0033}"/>
    <cellStyle name="20% - Énfasis5 17 3 5" xfId="38567" xr:uid="{68902AF4-55CB-49B3-BE07-D8AA3A814926}"/>
    <cellStyle name="20% - Énfasis5 17 4" xfId="4484" xr:uid="{89C120CD-E683-4145-B9B3-998BE5D96A26}"/>
    <cellStyle name="20% - Énfasis5 17 4 2" xfId="12192" xr:uid="{702E3D33-4ADD-451A-BCFC-9EE041E3C0F0}"/>
    <cellStyle name="20% - Énfasis5 17 4 2 2" xfId="27604" xr:uid="{3CCBDD70-D6FF-48EF-8452-A917A6DE0032}"/>
    <cellStyle name="20% - Énfasis5 17 4 2 2 2" xfId="38577" xr:uid="{0C59B37B-DC23-46C1-AD69-4D9E459821F4}"/>
    <cellStyle name="20% - Énfasis5 17 4 2 3" xfId="38576" xr:uid="{D61A9DE7-39B3-4ED2-A57A-61ADFE01A206}"/>
    <cellStyle name="20% - Énfasis5 17 4 3" xfId="19899" xr:uid="{3B9FA8BB-04E7-492C-B612-D226581D8137}"/>
    <cellStyle name="20% - Énfasis5 17 4 3 2" xfId="38578" xr:uid="{B92D689A-67AB-48EB-9C85-F9581F13AF48}"/>
    <cellStyle name="20% - Énfasis5 17 4 4" xfId="38575" xr:uid="{3D90915C-BF8D-42EF-9C6B-355AC2B9F91A}"/>
    <cellStyle name="20% - Énfasis5 17 5" xfId="8481" xr:uid="{C31F24FA-DC18-4A0B-B10B-153F518BECC3}"/>
    <cellStyle name="20% - Énfasis5 17 5 2" xfId="23894" xr:uid="{C6A803A2-4E30-424C-A708-285520819438}"/>
    <cellStyle name="20% - Énfasis5 17 5 2 2" xfId="38580" xr:uid="{86265CC9-D3B5-473A-B51F-E58B23C51146}"/>
    <cellStyle name="20% - Énfasis5 17 5 3" xfId="38579" xr:uid="{58A01193-2112-4D90-B799-7E539B9534A5}"/>
    <cellStyle name="20% - Énfasis5 17 6" xfId="16189" xr:uid="{647032C4-E4AD-4F49-8DFB-C217000A3A18}"/>
    <cellStyle name="20% - Énfasis5 17 6 2" xfId="38581" xr:uid="{985BC154-BBA0-47DE-8B81-E037CF55B269}"/>
    <cellStyle name="20% - Énfasis5 17 7" xfId="38550" xr:uid="{542CAB0A-07E5-4146-BCBB-F9F8FDFC3596}"/>
    <cellStyle name="20% - Énfasis5 18" xfId="759" xr:uid="{A31F5603-B757-4507-9B53-E15047A50A92}"/>
    <cellStyle name="20% - Énfasis5 18 2" xfId="1420" xr:uid="{331479EE-4C1D-49AB-8EC2-C408C04C55D5}"/>
    <cellStyle name="20% - Énfasis5 18 2 2" xfId="2887" xr:uid="{C48445A7-13E2-4D2E-847A-A549443C7FA7}"/>
    <cellStyle name="20% - Énfasis5 18 2 2 2" xfId="6619" xr:uid="{000D5B59-882C-4C0F-902C-1F714B0F447A}"/>
    <cellStyle name="20% - Énfasis5 18 2 2 2 2" xfId="14327" xr:uid="{03578DD0-689D-448D-9A17-D4465A683733}"/>
    <cellStyle name="20% - Énfasis5 18 2 2 2 2 2" xfId="29739" xr:uid="{30979F70-408D-43BC-BAB4-2B70768BCCFB}"/>
    <cellStyle name="20% - Énfasis5 18 2 2 2 2 2 2" xfId="38587" xr:uid="{57E0AE86-A8EC-4103-8C7F-504AAD91BC07}"/>
    <cellStyle name="20% - Énfasis5 18 2 2 2 2 3" xfId="38586" xr:uid="{2DECE07F-D917-45D9-B789-C1FA20CA14C8}"/>
    <cellStyle name="20% - Énfasis5 18 2 2 2 3" xfId="22034" xr:uid="{9E39C50A-8ECF-4011-AE5C-E0290E37AF86}"/>
    <cellStyle name="20% - Énfasis5 18 2 2 2 3 2" xfId="38588" xr:uid="{1C3992A7-C44E-417F-986F-E336D7CEB4B2}"/>
    <cellStyle name="20% - Énfasis5 18 2 2 2 4" xfId="38585" xr:uid="{FF217013-5A8C-45AF-902D-2AC4202AE772}"/>
    <cellStyle name="20% - Énfasis5 18 2 2 3" xfId="10598" xr:uid="{CF4D0F94-D235-4E22-99F9-D6C69485F84B}"/>
    <cellStyle name="20% - Énfasis5 18 2 2 3 2" xfId="26011" xr:uid="{EBEC9896-66B3-4B50-85CB-073358F033C2}"/>
    <cellStyle name="20% - Énfasis5 18 2 2 3 2 2" xfId="38590" xr:uid="{744529D5-8846-4542-9EB2-3F1215091E2E}"/>
    <cellStyle name="20% - Énfasis5 18 2 2 3 3" xfId="38589" xr:uid="{F0735536-4A43-4434-8E70-DB2924752C99}"/>
    <cellStyle name="20% - Énfasis5 18 2 2 4" xfId="18306" xr:uid="{4E30B8A7-33C5-4DCE-9168-6A975EE9E10F}"/>
    <cellStyle name="20% - Énfasis5 18 2 2 4 2" xfId="38591" xr:uid="{97B966A3-2D65-4290-9323-B46A17F5AD0E}"/>
    <cellStyle name="20% - Énfasis5 18 2 2 5" xfId="38584" xr:uid="{C5447788-6B3C-4C9B-A989-9D5EAF34380B}"/>
    <cellStyle name="20% - Énfasis5 18 2 3" xfId="5156" xr:uid="{BD4E3F49-47AA-4643-82D7-BEC59CA63D5C}"/>
    <cellStyle name="20% - Énfasis5 18 2 3 2" xfId="12864" xr:uid="{2E06FAA7-144D-40BE-8540-E250FBDBC16D}"/>
    <cellStyle name="20% - Énfasis5 18 2 3 2 2" xfId="28276" xr:uid="{615F6805-ED0D-4CAC-B2D6-877CB1B32789}"/>
    <cellStyle name="20% - Énfasis5 18 2 3 2 2 2" xfId="38594" xr:uid="{8F9ABBEF-FE2D-4993-BD13-CD8A8D3FE79E}"/>
    <cellStyle name="20% - Énfasis5 18 2 3 2 3" xfId="38593" xr:uid="{19987DBD-36C7-4A7A-8DE8-7E9E466ECCF3}"/>
    <cellStyle name="20% - Énfasis5 18 2 3 3" xfId="20571" xr:uid="{706DD593-E512-402D-B246-D18C0EAF2A79}"/>
    <cellStyle name="20% - Énfasis5 18 2 3 3 2" xfId="38595" xr:uid="{8F037918-6687-4030-A347-AAC98C7E590C}"/>
    <cellStyle name="20% - Énfasis5 18 2 3 4" xfId="38592" xr:uid="{94992E0D-1EF0-4CB6-B0C3-CEA7C8C0D48D}"/>
    <cellStyle name="20% - Énfasis5 18 2 4" xfId="9139" xr:uid="{7EFFC9F4-F568-44C6-89AF-0363979BD085}"/>
    <cellStyle name="20% - Énfasis5 18 2 4 2" xfId="24552" xr:uid="{8B048AF9-B3B9-4426-A8C3-980C62D461A0}"/>
    <cellStyle name="20% - Énfasis5 18 2 4 2 2" xfId="38597" xr:uid="{9C46B6F8-505F-4499-87E6-1B7285560C14}"/>
    <cellStyle name="20% - Énfasis5 18 2 4 3" xfId="38596" xr:uid="{84C098AE-A935-49F3-9D78-66C0FF3B9B06}"/>
    <cellStyle name="20% - Énfasis5 18 2 5" xfId="16847" xr:uid="{6C11846C-67B4-4E5B-8143-5324D467E56B}"/>
    <cellStyle name="20% - Énfasis5 18 2 5 2" xfId="38598" xr:uid="{B1372C4E-97DD-4FD1-9CC7-1DB0F89650DD}"/>
    <cellStyle name="20% - Énfasis5 18 2 6" xfId="38583" xr:uid="{6252AD12-574D-4B24-BA7A-7F1F8753FC4C}"/>
    <cellStyle name="20% - Énfasis5 18 3" xfId="2249" xr:uid="{E3A6E558-6F6E-4D86-80C7-DE5E8DC3D823}"/>
    <cellStyle name="20% - Énfasis5 18 3 2" xfId="5981" xr:uid="{6A135F28-94C1-4549-841F-28F74E62E7A2}"/>
    <cellStyle name="20% - Énfasis5 18 3 2 2" xfId="13689" xr:uid="{62D03206-5728-4C3F-A8F4-D7FBADF1843E}"/>
    <cellStyle name="20% - Énfasis5 18 3 2 2 2" xfId="29101" xr:uid="{A13BE3C1-F7AE-43F7-B94D-5A7A7622E53E}"/>
    <cellStyle name="20% - Énfasis5 18 3 2 2 2 2" xfId="38602" xr:uid="{7A0EC465-EF42-4947-9084-AFEB0EDAC233}"/>
    <cellStyle name="20% - Énfasis5 18 3 2 2 3" xfId="38601" xr:uid="{55CF666F-3AE0-4CC1-91B7-6F1C05F0FF10}"/>
    <cellStyle name="20% - Énfasis5 18 3 2 3" xfId="21396" xr:uid="{ACADBB2C-889C-4D3B-BB1C-C774857B5B3B}"/>
    <cellStyle name="20% - Énfasis5 18 3 2 3 2" xfId="38603" xr:uid="{399D0588-CA54-4AFF-97C4-43E705CA3830}"/>
    <cellStyle name="20% - Énfasis5 18 3 2 4" xfId="38600" xr:uid="{C3CDD62B-B4F1-41FA-AF17-A993E734CCCC}"/>
    <cellStyle name="20% - Énfasis5 18 3 3" xfId="9960" xr:uid="{6567D9A6-2516-4C08-AEAA-F61982476FB9}"/>
    <cellStyle name="20% - Énfasis5 18 3 3 2" xfId="25373" xr:uid="{B8E0E364-B563-4E9F-B225-16EA6662C11A}"/>
    <cellStyle name="20% - Énfasis5 18 3 3 2 2" xfId="38605" xr:uid="{C17A0EE8-6BD6-4CE0-96DA-523E5F986616}"/>
    <cellStyle name="20% - Énfasis5 18 3 3 3" xfId="38604" xr:uid="{D589D310-C2AD-49D8-A358-1F36CA4367DF}"/>
    <cellStyle name="20% - Énfasis5 18 3 4" xfId="17668" xr:uid="{E4467C3E-E4C5-4DB5-AB09-CAE498277A8B}"/>
    <cellStyle name="20% - Énfasis5 18 3 4 2" xfId="38606" xr:uid="{21DA0A7E-5BC3-4801-896D-29BC8A05995C}"/>
    <cellStyle name="20% - Énfasis5 18 3 5" xfId="38599" xr:uid="{D52BA0C0-5BBD-4088-AB9A-9824BA1EC470}"/>
    <cellStyle name="20% - Énfasis5 18 4" xfId="4504" xr:uid="{584DE2CE-9039-4D69-87BA-BF3DF01C5024}"/>
    <cellStyle name="20% - Énfasis5 18 4 2" xfId="12212" xr:uid="{0D74B95B-807A-43FB-B17A-24D9D0944344}"/>
    <cellStyle name="20% - Énfasis5 18 4 2 2" xfId="27624" xr:uid="{33D69F55-8672-4338-9DC5-804358EA77CC}"/>
    <cellStyle name="20% - Énfasis5 18 4 2 2 2" xfId="38609" xr:uid="{FB174FCD-E715-4E06-90F2-2313ADA07891}"/>
    <cellStyle name="20% - Énfasis5 18 4 2 3" xfId="38608" xr:uid="{AF3AF138-146D-4124-B513-F73F4DD7E064}"/>
    <cellStyle name="20% - Énfasis5 18 4 3" xfId="19919" xr:uid="{9F9F2221-AC15-4232-BDB3-35642D484228}"/>
    <cellStyle name="20% - Énfasis5 18 4 3 2" xfId="38610" xr:uid="{FA3E3413-0DD2-4774-9BAD-832BB88F1771}"/>
    <cellStyle name="20% - Énfasis5 18 4 4" xfId="38607" xr:uid="{50AF8CA8-3980-4172-AD4D-956754D0B36D}"/>
    <cellStyle name="20% - Énfasis5 18 5" xfId="8501" xr:uid="{913957C7-98FA-4A8E-91EE-D1368EC73428}"/>
    <cellStyle name="20% - Énfasis5 18 5 2" xfId="23914" xr:uid="{C2B18829-FE67-4780-A522-FF3D60312B9F}"/>
    <cellStyle name="20% - Énfasis5 18 5 2 2" xfId="38612" xr:uid="{57D006A1-0EC9-457A-8F49-22D4DA0F7DF9}"/>
    <cellStyle name="20% - Énfasis5 18 5 3" xfId="38611" xr:uid="{957DF683-4D54-4CF9-BB9F-1F5DB7659B33}"/>
    <cellStyle name="20% - Énfasis5 18 6" xfId="16209" xr:uid="{27D3C41C-A663-4E8C-991D-B6D28012D2DB}"/>
    <cellStyle name="20% - Énfasis5 18 6 2" xfId="38613" xr:uid="{2E7B0687-E66B-4FE6-A530-C88665954BC3}"/>
    <cellStyle name="20% - Énfasis5 18 7" xfId="38582" xr:uid="{ECCD2617-E2AD-4625-A8F1-B8F6BCEA81BF}"/>
    <cellStyle name="20% - Énfasis5 19" xfId="778" xr:uid="{343D4DC3-C2EA-41D1-86A9-4693C5C4C488}"/>
    <cellStyle name="20% - Énfasis5 19 2" xfId="2268" xr:uid="{E5908D2A-20C2-4C20-8277-0C6A2ED5299E}"/>
    <cellStyle name="20% - Énfasis5 19 2 2" xfId="6000" xr:uid="{8A64063D-6518-4D3B-B4DC-89AAD637DBC4}"/>
    <cellStyle name="20% - Énfasis5 19 2 2 2" xfId="13708" xr:uid="{55452373-87A2-4C04-B8CA-328DED801CDD}"/>
    <cellStyle name="20% - Énfasis5 19 2 2 2 2" xfId="29120" xr:uid="{8F7D7447-C9F2-4672-9EB8-FAA20914EFBA}"/>
    <cellStyle name="20% - Énfasis5 19 2 2 2 2 2" xfId="38618" xr:uid="{CA82AB2E-B27B-4A2B-A7E3-2F83A19A780A}"/>
    <cellStyle name="20% - Énfasis5 19 2 2 2 3" xfId="38617" xr:uid="{FA862228-9E49-433B-BE63-FF4E50F32A2B}"/>
    <cellStyle name="20% - Énfasis5 19 2 2 3" xfId="21415" xr:uid="{FE63AD96-A935-4FC8-8A26-D5E40C1BE437}"/>
    <cellStyle name="20% - Énfasis5 19 2 2 3 2" xfId="38619" xr:uid="{4020D220-5B1D-4864-BEEA-E58BB2320A4F}"/>
    <cellStyle name="20% - Énfasis5 19 2 2 4" xfId="38616" xr:uid="{2AA17B88-8C0A-47B2-869B-EA43785E629F}"/>
    <cellStyle name="20% - Énfasis5 19 2 3" xfId="9979" xr:uid="{5CD2A543-A9EE-4CDE-B731-FBD075379D63}"/>
    <cellStyle name="20% - Énfasis5 19 2 3 2" xfId="25392" xr:uid="{9DDB8EA8-FC6D-4698-BFEE-41726CBDD8C5}"/>
    <cellStyle name="20% - Énfasis5 19 2 3 2 2" xfId="38621" xr:uid="{C284F670-64FF-4FD9-AA92-0ADB9113E8A6}"/>
    <cellStyle name="20% - Énfasis5 19 2 3 3" xfId="38620" xr:uid="{B8627E0F-A9AE-480D-9B7F-2382200C3BE1}"/>
    <cellStyle name="20% - Énfasis5 19 2 4" xfId="17687" xr:uid="{06F896A0-1B3F-477D-9D39-AA1482D92D79}"/>
    <cellStyle name="20% - Énfasis5 19 2 4 2" xfId="38622" xr:uid="{4B1D91A1-AF81-41E7-BE0A-4EBD6BAFBC4E}"/>
    <cellStyle name="20% - Énfasis5 19 2 5" xfId="38615" xr:uid="{4AC8DC71-167C-4625-9A9A-31E97E2726CD}"/>
    <cellStyle name="20% - Énfasis5 19 3" xfId="4523" xr:uid="{C7C989D6-FC95-41C1-A6DD-11BC464ABC52}"/>
    <cellStyle name="20% - Énfasis5 19 3 2" xfId="12231" xr:uid="{B9EC61B5-0BE1-44A8-A749-EFCB510A09C9}"/>
    <cellStyle name="20% - Énfasis5 19 3 2 2" xfId="27643" xr:uid="{A0BBA425-207C-471B-8F66-C05B806643EE}"/>
    <cellStyle name="20% - Énfasis5 19 3 2 2 2" xfId="38625" xr:uid="{262AA4E2-4C59-4A93-BBE4-A37C3CC272BD}"/>
    <cellStyle name="20% - Énfasis5 19 3 2 3" xfId="38624" xr:uid="{7B05E28C-41E3-4505-9771-AB4C69728520}"/>
    <cellStyle name="20% - Énfasis5 19 3 3" xfId="19938" xr:uid="{464C351D-1107-4BB0-95A9-B4804548DEFC}"/>
    <cellStyle name="20% - Énfasis5 19 3 3 2" xfId="38626" xr:uid="{06AF358E-433A-4397-BD26-9A78B145240B}"/>
    <cellStyle name="20% - Énfasis5 19 3 4" xfId="38623" xr:uid="{DD3171B5-0D68-429A-91AA-A903571350D9}"/>
    <cellStyle name="20% - Énfasis5 19 4" xfId="8520" xr:uid="{56C6FC1F-EF42-4435-994B-DBD6E3599E1F}"/>
    <cellStyle name="20% - Énfasis5 19 4 2" xfId="23933" xr:uid="{69DB37F1-3870-413B-BD09-69F66AB15125}"/>
    <cellStyle name="20% - Énfasis5 19 4 2 2" xfId="38628" xr:uid="{79CCCCEE-C70E-45C1-A000-CF5F3C18B9B2}"/>
    <cellStyle name="20% - Énfasis5 19 4 3" xfId="38627" xr:uid="{8C087E48-6986-4222-814C-4ACC1866F9E1}"/>
    <cellStyle name="20% - Énfasis5 19 5" xfId="16228" xr:uid="{FD4E556C-5142-49E9-BF25-0AA7944F781C}"/>
    <cellStyle name="20% - Énfasis5 19 5 2" xfId="38629" xr:uid="{786101FF-6C17-4D93-AE67-15E795132403}"/>
    <cellStyle name="20% - Énfasis5 19 6" xfId="38614" xr:uid="{36C1158E-8C60-46E4-8A34-7FB3D5956EFA}"/>
    <cellStyle name="20% - Énfasis5 2" xfId="178" xr:uid="{7E140279-D2D0-41DE-962D-79C3905B5B8C}"/>
    <cellStyle name="20% - Énfasis5 2 2" xfId="388" xr:uid="{62F2599D-CF20-4627-99B1-52B53575F8A7}"/>
    <cellStyle name="20% - Énfasis5 2 2 2" xfId="1050" xr:uid="{94485182-F018-4D85-B4A0-F4FA97AE6573}"/>
    <cellStyle name="20% - Énfasis5 2 2 2 2" xfId="2518" xr:uid="{035A5EC8-0532-488A-9A4D-295AD9FA2E97}"/>
    <cellStyle name="20% - Énfasis5 2 2 2 2 2" xfId="6250" xr:uid="{BA20C7F6-D24D-4BA1-8890-93F279414C30}"/>
    <cellStyle name="20% - Énfasis5 2 2 2 2 2 2" xfId="13958" xr:uid="{C75BEDF8-CB63-463E-BBCE-2B6BEC74CB66}"/>
    <cellStyle name="20% - Énfasis5 2 2 2 2 2 2 2" xfId="29370" xr:uid="{A30A3730-0178-4B3D-B62E-C3321FACB85C}"/>
    <cellStyle name="20% - Énfasis5 2 2 2 2 2 2 2 2" xfId="38636" xr:uid="{9433B8D1-5838-4F47-A949-EB623D416633}"/>
    <cellStyle name="20% - Énfasis5 2 2 2 2 2 2 3" xfId="38635" xr:uid="{FCDD8E01-DC1E-4B5E-B922-3C18A98F385F}"/>
    <cellStyle name="20% - Énfasis5 2 2 2 2 2 3" xfId="21665" xr:uid="{1005A744-EADB-4B91-9C6E-2B75C1558346}"/>
    <cellStyle name="20% - Énfasis5 2 2 2 2 2 3 2" xfId="38637" xr:uid="{A3415304-9065-4EB7-B236-37EF5E0440FC}"/>
    <cellStyle name="20% - Énfasis5 2 2 2 2 2 4" xfId="38634" xr:uid="{E5DBFB1C-B1A2-4A3F-9DC9-EC835C23BF38}"/>
    <cellStyle name="20% - Énfasis5 2 2 2 2 3" xfId="10229" xr:uid="{13AB6244-9C80-432C-9BEB-74B38946B23F}"/>
    <cellStyle name="20% - Énfasis5 2 2 2 2 3 2" xfId="25642" xr:uid="{4E4B12B6-3D4A-4C94-800F-2E24382DAA5A}"/>
    <cellStyle name="20% - Énfasis5 2 2 2 2 3 2 2" xfId="38639" xr:uid="{444EF21A-19A7-4CD3-97CC-BEBED7F3ED49}"/>
    <cellStyle name="20% - Énfasis5 2 2 2 2 3 3" xfId="38638" xr:uid="{CCCE7239-5419-411F-82FC-21A0F1D15DB5}"/>
    <cellStyle name="20% - Énfasis5 2 2 2 2 4" xfId="17937" xr:uid="{EE5E4261-7A5E-4309-9EFE-1BF2B9E023F8}"/>
    <cellStyle name="20% - Énfasis5 2 2 2 2 4 2" xfId="38640" xr:uid="{3CE74FA0-79AD-4286-9BA2-51836AAAE7F4}"/>
    <cellStyle name="20% - Énfasis5 2 2 2 2 5" xfId="38633" xr:uid="{F396243A-6C24-4990-992C-36E1520896EB}"/>
    <cellStyle name="20% - Énfasis5 2 2 2 3" xfId="4787" xr:uid="{E38A3223-AB31-4E35-8B0C-1C79B3FAA140}"/>
    <cellStyle name="20% - Énfasis5 2 2 2 3 2" xfId="12495" xr:uid="{D295FD5D-F354-4BA8-9F3E-F230608A0EA2}"/>
    <cellStyle name="20% - Énfasis5 2 2 2 3 2 2" xfId="27907" xr:uid="{D854DF5B-C7BF-4DEA-8F6A-ED9AABC3EDFA}"/>
    <cellStyle name="20% - Énfasis5 2 2 2 3 2 2 2" xfId="38643" xr:uid="{94032536-6400-4F58-85F5-B4EFF01D5565}"/>
    <cellStyle name="20% - Énfasis5 2 2 2 3 2 3" xfId="38642" xr:uid="{B416EB0F-57BB-4C12-B7F1-CE63C7CDCB6F}"/>
    <cellStyle name="20% - Énfasis5 2 2 2 3 3" xfId="20202" xr:uid="{829DE647-E2CE-460E-A42D-AF39FB7ADAE3}"/>
    <cellStyle name="20% - Énfasis5 2 2 2 3 3 2" xfId="38644" xr:uid="{603DC4E6-31B9-41DA-B83D-83DF3BC05F60}"/>
    <cellStyle name="20% - Énfasis5 2 2 2 3 4" xfId="38641" xr:uid="{301943C8-CE35-4CED-91A2-AFA0D7F7F277}"/>
    <cellStyle name="20% - Énfasis5 2 2 2 4" xfId="8770" xr:uid="{B53766BD-5F89-4982-8F1E-89599CE4A334}"/>
    <cellStyle name="20% - Énfasis5 2 2 2 4 2" xfId="24183" xr:uid="{8C43D1FF-A71E-4F1F-A4C5-643A7B075D74}"/>
    <cellStyle name="20% - Énfasis5 2 2 2 4 2 2" xfId="38646" xr:uid="{AA6FEB5D-1AEC-45F3-82FB-F4AE27DB4F40}"/>
    <cellStyle name="20% - Énfasis5 2 2 2 4 3" xfId="38645" xr:uid="{0BA16603-4319-4DF7-AF49-EBB56B8FEBFC}"/>
    <cellStyle name="20% - Énfasis5 2 2 2 5" xfId="16478" xr:uid="{84706889-7188-4A3F-A0DC-C77DF00B154B}"/>
    <cellStyle name="20% - Énfasis5 2 2 2 5 2" xfId="38647" xr:uid="{8501E50B-6BB0-4381-A3C8-343E63F1526A}"/>
    <cellStyle name="20% - Énfasis5 2 2 2 6" xfId="38632" xr:uid="{67B1B2D6-5253-4225-8DD4-613F8AAAFC3D}"/>
    <cellStyle name="20% - Énfasis5 2 2 3" xfId="1880" xr:uid="{A6FCA8D9-88D6-4A8E-A3EC-877C4D378C4D}"/>
    <cellStyle name="20% - Énfasis5 2 2 3 2" xfId="5612" xr:uid="{17BF078B-0904-4D85-98F1-54B1B44C7C1D}"/>
    <cellStyle name="20% - Énfasis5 2 2 3 2 2" xfId="13320" xr:uid="{C01523EA-C992-4BA2-91D0-95286FEB6E87}"/>
    <cellStyle name="20% - Énfasis5 2 2 3 2 2 2" xfId="28732" xr:uid="{160CD8FC-2973-4FE4-AF09-71DA762ACEEE}"/>
    <cellStyle name="20% - Énfasis5 2 2 3 2 2 2 2" xfId="38651" xr:uid="{B7BE409F-B984-4C4C-A6E5-CC81C59939D7}"/>
    <cellStyle name="20% - Énfasis5 2 2 3 2 2 3" xfId="38650" xr:uid="{EA24E747-8DDE-4D0F-8335-5E75301EBCE3}"/>
    <cellStyle name="20% - Énfasis5 2 2 3 2 3" xfId="21027" xr:uid="{3237D1E2-4DC2-4B4F-BF2A-45F9C5619879}"/>
    <cellStyle name="20% - Énfasis5 2 2 3 2 3 2" xfId="38652" xr:uid="{0C2E1275-DBB3-4756-A1B0-9CD74180F4C5}"/>
    <cellStyle name="20% - Énfasis5 2 2 3 2 4" xfId="38649" xr:uid="{2CE9F3DC-768D-46E1-8959-FB2FB037D6D7}"/>
    <cellStyle name="20% - Énfasis5 2 2 3 3" xfId="9591" xr:uid="{4B4394CD-A197-4C41-805E-CCFA61EAEC30}"/>
    <cellStyle name="20% - Énfasis5 2 2 3 3 2" xfId="25004" xr:uid="{100C7D91-807C-45CE-A9F9-71E985D583C1}"/>
    <cellStyle name="20% - Énfasis5 2 2 3 3 2 2" xfId="38654" xr:uid="{0580F771-7D6B-4526-A0FF-573282763036}"/>
    <cellStyle name="20% - Énfasis5 2 2 3 3 3" xfId="38653" xr:uid="{DEA55B38-F3F0-4A38-9CBD-5F9229BDC70E}"/>
    <cellStyle name="20% - Énfasis5 2 2 3 4" xfId="17299" xr:uid="{5C9DC6C4-2171-4EB8-9AD7-CBAF78529C03}"/>
    <cellStyle name="20% - Énfasis5 2 2 3 4 2" xfId="38655" xr:uid="{B5281DC4-02FE-4FFD-ACE7-7A3F7516928B}"/>
    <cellStyle name="20% - Énfasis5 2 2 3 5" xfId="38648" xr:uid="{3F496DA3-03FE-45EE-B333-88FB2B39EA31}"/>
    <cellStyle name="20% - Énfasis5 2 2 4" xfId="4135" xr:uid="{3CFAD1BF-D42A-4D50-82CB-2FFDB70317E9}"/>
    <cellStyle name="20% - Énfasis5 2 2 4 2" xfId="11843" xr:uid="{3147D794-0C93-4BC8-954D-55FD0B21627B}"/>
    <cellStyle name="20% - Énfasis5 2 2 4 2 2" xfId="27255" xr:uid="{6BE21D4A-FA4C-4F59-AA97-8B530AF1132F}"/>
    <cellStyle name="20% - Énfasis5 2 2 4 2 2 2" xfId="38658" xr:uid="{2A556B45-B2E2-4B24-89A5-2D7C05D378B6}"/>
    <cellStyle name="20% - Énfasis5 2 2 4 2 3" xfId="38657" xr:uid="{C1C6077C-4BD6-43A9-AD5F-21EC54566944}"/>
    <cellStyle name="20% - Énfasis5 2 2 4 3" xfId="19550" xr:uid="{121F14AC-96A3-4BF1-8D4A-BF4A2391507D}"/>
    <cellStyle name="20% - Énfasis5 2 2 4 3 2" xfId="38659" xr:uid="{7E2E6CBF-B09A-4B29-AACD-93A2BE00439C}"/>
    <cellStyle name="20% - Énfasis5 2 2 4 4" xfId="38656" xr:uid="{BD5447AF-1973-4C37-AC60-7FB708CF704A}"/>
    <cellStyle name="20% - Énfasis5 2 2 5" xfId="8132" xr:uid="{88BB3836-1B02-4CAA-9C5C-1708831F2A2D}"/>
    <cellStyle name="20% - Énfasis5 2 2 5 2" xfId="23545" xr:uid="{CFCFF678-DBFF-4091-A11C-EAEE8F2712BC}"/>
    <cellStyle name="20% - Énfasis5 2 2 5 2 2" xfId="38661" xr:uid="{FFFB4262-7551-4081-9327-353B5B9434C3}"/>
    <cellStyle name="20% - Énfasis5 2 2 5 3" xfId="38660" xr:uid="{41608C5A-03C3-4209-A7D4-20DD4A652358}"/>
    <cellStyle name="20% - Énfasis5 2 2 6" xfId="15840" xr:uid="{C050DE9D-D144-4673-AEE9-DC2B2F8E2853}"/>
    <cellStyle name="20% - Énfasis5 2 2 6 2" xfId="38662" xr:uid="{04F8CB7F-0E64-4311-9B7F-38A84D87D494}"/>
    <cellStyle name="20% - Énfasis5 2 2 7" xfId="38631" xr:uid="{B025A564-E40F-4963-8625-ECBE6C7095F8}"/>
    <cellStyle name="20% - Énfasis5 2 3" xfId="845" xr:uid="{31780B24-CA18-4097-B226-952C891DFF50}"/>
    <cellStyle name="20% - Énfasis5 2 3 2" xfId="2320" xr:uid="{FA31A604-4521-4268-8142-75117E59738C}"/>
    <cellStyle name="20% - Énfasis5 2 3 2 2" xfId="6052" xr:uid="{4C5DB3EA-FF88-4A0E-B2C4-D94A923F8C1E}"/>
    <cellStyle name="20% - Énfasis5 2 3 2 2 2" xfId="13760" xr:uid="{562E3541-099A-462B-A519-EA93D96F2739}"/>
    <cellStyle name="20% - Énfasis5 2 3 2 2 2 2" xfId="29172" xr:uid="{7031B935-0B60-49CA-B576-0516DDDBCCC0}"/>
    <cellStyle name="20% - Énfasis5 2 3 2 2 2 2 2" xfId="38667" xr:uid="{BE1F5790-FF99-4E54-84F5-A00A30E9B393}"/>
    <cellStyle name="20% - Énfasis5 2 3 2 2 2 3" xfId="38666" xr:uid="{932596E4-5153-4203-A1AE-5E2AD3A39A11}"/>
    <cellStyle name="20% - Énfasis5 2 3 2 2 3" xfId="21467" xr:uid="{F93A8CE2-061C-47CF-874E-31B57FACF752}"/>
    <cellStyle name="20% - Énfasis5 2 3 2 2 3 2" xfId="38668" xr:uid="{6490E94D-214F-4529-A427-5C68DA3464B5}"/>
    <cellStyle name="20% - Énfasis5 2 3 2 2 4" xfId="38665" xr:uid="{6A26B579-56A6-431B-84E3-51BFAB3C1D5C}"/>
    <cellStyle name="20% - Énfasis5 2 3 2 3" xfId="10031" xr:uid="{E6183B65-9EB7-49E0-854F-0CF9EF9993F9}"/>
    <cellStyle name="20% - Énfasis5 2 3 2 3 2" xfId="25444" xr:uid="{5EC78A30-C1A2-4CB1-AFA8-77725F308970}"/>
    <cellStyle name="20% - Énfasis5 2 3 2 3 2 2" xfId="38670" xr:uid="{578D58D1-18DE-4268-9ED6-CF7140E2207B}"/>
    <cellStyle name="20% - Énfasis5 2 3 2 3 3" xfId="38669" xr:uid="{66E46E60-5B60-434E-83A2-0435F8623743}"/>
    <cellStyle name="20% - Énfasis5 2 3 2 4" xfId="17739" xr:uid="{A513E988-7E91-4F85-B274-D52F4B2A6C5D}"/>
    <cellStyle name="20% - Énfasis5 2 3 2 4 2" xfId="38671" xr:uid="{F81556C9-BB00-489E-A42E-BD40D2848D18}"/>
    <cellStyle name="20% - Énfasis5 2 3 2 5" xfId="38664" xr:uid="{37BAB7FB-1B33-43D8-95B8-4C99E74B458F}"/>
    <cellStyle name="20% - Énfasis5 2 3 3" xfId="4582" xr:uid="{6A7A457F-EA8D-4225-8A58-CA1A2F652119}"/>
    <cellStyle name="20% - Énfasis5 2 3 3 2" xfId="12290" xr:uid="{746A0C70-605D-431C-9EEF-20E42ABDC50A}"/>
    <cellStyle name="20% - Énfasis5 2 3 3 2 2" xfId="27702" xr:uid="{980F81E9-C571-4B1F-B4D3-61BF03B89BF1}"/>
    <cellStyle name="20% - Énfasis5 2 3 3 2 2 2" xfId="38674" xr:uid="{7A41BE7F-E2D1-4D4E-9AA7-52D883623574}"/>
    <cellStyle name="20% - Énfasis5 2 3 3 2 3" xfId="38673" xr:uid="{6471EC58-A7D7-45A1-9355-9FD4A6808056}"/>
    <cellStyle name="20% - Énfasis5 2 3 3 3" xfId="19997" xr:uid="{31F00566-42C1-4436-865E-6B0DD738E8DF}"/>
    <cellStyle name="20% - Énfasis5 2 3 3 3 2" xfId="38675" xr:uid="{EA3AC1B4-D9D0-4A29-AA51-00C3AABEF4ED}"/>
    <cellStyle name="20% - Énfasis5 2 3 3 4" xfId="38672" xr:uid="{6DCDFD6A-FE89-4DEE-A617-37E9A2465780}"/>
    <cellStyle name="20% - Énfasis5 2 3 4" xfId="8572" xr:uid="{91F5EBE8-5228-46BD-98DC-16C5556300E7}"/>
    <cellStyle name="20% - Énfasis5 2 3 4 2" xfId="23985" xr:uid="{64EC943E-E8B0-4DA6-AE4E-9D7FEAE218BA}"/>
    <cellStyle name="20% - Énfasis5 2 3 4 2 2" xfId="38677" xr:uid="{7EABEFA0-0C67-4A2D-B7C1-F62D8FD4E32F}"/>
    <cellStyle name="20% - Énfasis5 2 3 4 3" xfId="38676" xr:uid="{50CA0239-01F6-4B6B-B678-4714E58D38E1}"/>
    <cellStyle name="20% - Énfasis5 2 3 5" xfId="16280" xr:uid="{F282C276-8E77-489E-9CCE-C4DEA9BE28FF}"/>
    <cellStyle name="20% - Énfasis5 2 3 5 2" xfId="38678" xr:uid="{05AD4C20-6307-4A0F-94FD-0B20C5DB1167}"/>
    <cellStyle name="20% - Énfasis5 2 3 6" xfId="38663" xr:uid="{21E091F8-71F1-4899-B651-CEBACBE08A72}"/>
    <cellStyle name="20% - Énfasis5 2 4" xfId="1682" xr:uid="{9DF9F885-E069-4675-BBF7-80EB1DEBE893}"/>
    <cellStyle name="20% - Énfasis5 2 4 2" xfId="5414" xr:uid="{C7457378-6054-4855-83B4-45E3CC870B92}"/>
    <cellStyle name="20% - Énfasis5 2 4 2 2" xfId="13122" xr:uid="{54A4302F-7AA0-4A08-A575-7A14078C8099}"/>
    <cellStyle name="20% - Énfasis5 2 4 2 2 2" xfId="28534" xr:uid="{E0E47C2C-4652-4C1C-AA16-9427FC86CB8A}"/>
    <cellStyle name="20% - Énfasis5 2 4 2 2 2 2" xfId="38682" xr:uid="{CF53E2E0-A021-4BA9-8917-5BD1F1B29557}"/>
    <cellStyle name="20% - Énfasis5 2 4 2 2 3" xfId="38681" xr:uid="{E3F393E0-2073-49AD-8123-D5E90FB6C7F7}"/>
    <cellStyle name="20% - Énfasis5 2 4 2 3" xfId="20829" xr:uid="{2F28E96D-C99A-4FDC-9715-C9B2CE197D2E}"/>
    <cellStyle name="20% - Énfasis5 2 4 2 3 2" xfId="38683" xr:uid="{06252BFD-055C-47C4-BAC6-DB72CF83079F}"/>
    <cellStyle name="20% - Énfasis5 2 4 2 4" xfId="38680" xr:uid="{BEA32692-5DCD-4BD5-8011-6AEE830B571E}"/>
    <cellStyle name="20% - Énfasis5 2 4 3" xfId="9393" xr:uid="{646D90B1-764E-4C58-8C75-F3201A509BB3}"/>
    <cellStyle name="20% - Énfasis5 2 4 3 2" xfId="24806" xr:uid="{A091767D-30AE-403B-94CC-8AACEF27EB16}"/>
    <cellStyle name="20% - Énfasis5 2 4 3 2 2" xfId="38685" xr:uid="{B9720D8F-EE65-4F14-924E-7B63F9863223}"/>
    <cellStyle name="20% - Énfasis5 2 4 3 3" xfId="38684" xr:uid="{F8C66A4B-EAD0-4873-B317-BF299BC3F1C2}"/>
    <cellStyle name="20% - Énfasis5 2 4 4" xfId="17101" xr:uid="{AA253094-39C7-4BFD-88F1-C3A2C7F53167}"/>
    <cellStyle name="20% - Énfasis5 2 4 4 2" xfId="38686" xr:uid="{A695A4EB-9163-4730-8EA0-BD1678632894}"/>
    <cellStyle name="20% - Énfasis5 2 4 5" xfId="38679" xr:uid="{A215F7D9-FB9D-478B-AFFF-CDD3997C45A8}"/>
    <cellStyle name="20% - Énfasis5 2 5" xfId="3930" xr:uid="{620B3E29-00F0-4424-AA75-0D2F1E15CF2F}"/>
    <cellStyle name="20% - Énfasis5 2 5 2" xfId="11638" xr:uid="{41D73A5E-AEFD-450F-8E71-6F3630B953A7}"/>
    <cellStyle name="20% - Énfasis5 2 5 2 2" xfId="27050" xr:uid="{59409E1B-D6AB-48CE-AF0E-0E82F3F87939}"/>
    <cellStyle name="20% - Énfasis5 2 5 2 2 2" xfId="38689" xr:uid="{D6E9AFFE-48D4-4EAB-8408-19E55FD9AA7F}"/>
    <cellStyle name="20% - Énfasis5 2 5 2 3" xfId="38688" xr:uid="{883FE3EE-148D-4BBE-8822-4A89419CE464}"/>
    <cellStyle name="20% - Énfasis5 2 5 3" xfId="19345" xr:uid="{BF9B6AFF-D730-45A5-89A5-3823F87108AF}"/>
    <cellStyle name="20% - Énfasis5 2 5 3 2" xfId="38690" xr:uid="{8F6E832B-9E1A-4352-A506-B4C91B3725BB}"/>
    <cellStyle name="20% - Énfasis5 2 5 4" xfId="38687" xr:uid="{A8B32E8D-8C7E-4252-AD10-5CF38EBE71BA}"/>
    <cellStyle name="20% - Énfasis5 2 6" xfId="7934" xr:uid="{A0FF6385-9700-4641-BDE6-667647F29361}"/>
    <cellStyle name="20% - Énfasis5 2 6 2" xfId="23347" xr:uid="{7AF33A58-9F11-4674-A118-9BC137774F58}"/>
    <cellStyle name="20% - Énfasis5 2 6 2 2" xfId="38692" xr:uid="{5F32C73D-74E1-439F-A82F-C9E96140D593}"/>
    <cellStyle name="20% - Énfasis5 2 6 3" xfId="38691" xr:uid="{B6B8C778-3C19-490A-B738-4841856F84A7}"/>
    <cellStyle name="20% - Énfasis5 2 7" xfId="15642" xr:uid="{27150731-D27A-422E-B271-85AEBA44C17B}"/>
    <cellStyle name="20% - Énfasis5 2 7 2" xfId="38693" xr:uid="{C9F0B4A8-DDC2-495C-8A51-57F01CF2F505}"/>
    <cellStyle name="20% - Énfasis5 2 8" xfId="38630" xr:uid="{C19A6F54-75CB-4061-8289-F9012566CDCD}"/>
    <cellStyle name="20% - Énfasis5 20" xfId="1442" xr:uid="{B8091C74-2D8E-4DFC-8A1A-9DDF2CDEE479}"/>
    <cellStyle name="20% - Énfasis5 20 2" xfId="2907" xr:uid="{B10AC819-4885-4CF4-A515-5E14705E56C8}"/>
    <cellStyle name="20% - Énfasis5 20 2 2" xfId="6639" xr:uid="{AF07866E-428C-440A-83FF-5B7C24BEF7EF}"/>
    <cellStyle name="20% - Énfasis5 20 2 2 2" xfId="14347" xr:uid="{99D824FD-84CD-460E-9E65-4F35F8A9753B}"/>
    <cellStyle name="20% - Énfasis5 20 2 2 2 2" xfId="29759" xr:uid="{BC72A35E-22C7-419E-804F-0A99021D330A}"/>
    <cellStyle name="20% - Énfasis5 20 2 2 2 2 2" xfId="38698" xr:uid="{EC6F33B1-847F-4322-8006-E853B56C6945}"/>
    <cellStyle name="20% - Énfasis5 20 2 2 2 3" xfId="38697" xr:uid="{E9CA8B67-B8E0-4367-AD66-35CE92C611AE}"/>
    <cellStyle name="20% - Énfasis5 20 2 2 3" xfId="22054" xr:uid="{507A46D5-A266-4C24-AFF1-7B11CFF6F900}"/>
    <cellStyle name="20% - Énfasis5 20 2 2 3 2" xfId="38699" xr:uid="{A06A9427-E8D7-4697-9CAF-1B2A9BB0FE40}"/>
    <cellStyle name="20% - Énfasis5 20 2 2 4" xfId="38696" xr:uid="{43FCE81D-9689-491B-8EE0-0EF8CA98CF15}"/>
    <cellStyle name="20% - Énfasis5 20 2 3" xfId="10618" xr:uid="{53555046-2585-4E04-8548-669A11993AE8}"/>
    <cellStyle name="20% - Énfasis5 20 2 3 2" xfId="26031" xr:uid="{673CD7D9-B727-4108-A083-568246D7EBB4}"/>
    <cellStyle name="20% - Énfasis5 20 2 3 2 2" xfId="38701" xr:uid="{47D869A1-22BA-45E4-B5C3-AB9BD12C1FB6}"/>
    <cellStyle name="20% - Énfasis5 20 2 3 3" xfId="38700" xr:uid="{6984B68D-272E-46B5-AEC0-AF369D0F233A}"/>
    <cellStyle name="20% - Énfasis5 20 2 4" xfId="18326" xr:uid="{8683953E-13D4-40E9-805D-99D08899768E}"/>
    <cellStyle name="20% - Énfasis5 20 2 4 2" xfId="38702" xr:uid="{36477E98-F8FE-4A48-9092-F122D4136DC3}"/>
    <cellStyle name="20% - Énfasis5 20 2 5" xfId="38695" xr:uid="{C996BB0C-4302-4178-8F35-C890A9169CD8}"/>
    <cellStyle name="20% - Énfasis5 20 3" xfId="5178" xr:uid="{93663CC7-FD3D-4909-B177-700293C6E5F6}"/>
    <cellStyle name="20% - Énfasis5 20 3 2" xfId="12886" xr:uid="{38E0E976-4CDE-41AE-B05D-53BFE825E0A9}"/>
    <cellStyle name="20% - Énfasis5 20 3 2 2" xfId="28298" xr:uid="{9D2EE13F-BA94-4855-AF38-42B41AC87337}"/>
    <cellStyle name="20% - Énfasis5 20 3 2 2 2" xfId="38705" xr:uid="{D98262AF-7AD2-4A03-8EE1-EF7660E0FE38}"/>
    <cellStyle name="20% - Énfasis5 20 3 2 3" xfId="38704" xr:uid="{D9ADFA68-9330-4CF8-8261-4D87E880A134}"/>
    <cellStyle name="20% - Énfasis5 20 3 3" xfId="20593" xr:uid="{0B6D208A-8F99-4E7F-89F5-96711CC1F515}"/>
    <cellStyle name="20% - Énfasis5 20 3 3 2" xfId="38706" xr:uid="{B6F9BFE5-B91C-4469-B943-2F3D5B9E8EB3}"/>
    <cellStyle name="20% - Énfasis5 20 3 4" xfId="38703" xr:uid="{DDFA8C55-B540-41FC-A7A8-6F50DBF43ABB}"/>
    <cellStyle name="20% - Énfasis5 20 4" xfId="9159" xr:uid="{66F366A3-10E1-4D05-B1B0-1C930BA5E159}"/>
    <cellStyle name="20% - Énfasis5 20 4 2" xfId="24572" xr:uid="{F271F936-9B67-4087-BB27-4DC8285B1577}"/>
    <cellStyle name="20% - Énfasis5 20 4 2 2" xfId="38708" xr:uid="{B228C3CC-AE75-40EE-A053-4181B6594678}"/>
    <cellStyle name="20% - Énfasis5 20 4 3" xfId="38707" xr:uid="{57822AE0-CD6C-49AF-90AC-A9C6369ECD5C}"/>
    <cellStyle name="20% - Énfasis5 20 5" xfId="16867" xr:uid="{5DB4DC26-4689-4AF0-BC2E-B98A5983A058}"/>
    <cellStyle name="20% - Énfasis5 20 5 2" xfId="38709" xr:uid="{A2DBA960-3F70-4879-8099-D2C5EE96F13F}"/>
    <cellStyle name="20% - Énfasis5 20 6" xfId="38694" xr:uid="{42F88F61-41CE-41F5-BD20-1A968A17B27F}"/>
    <cellStyle name="20% - Énfasis5 21" xfId="1462" xr:uid="{5CB67317-6C06-4163-94F7-5BE1F1B06341}"/>
    <cellStyle name="20% - Énfasis5 21 2" xfId="2927" xr:uid="{6D517F7A-06D6-485F-B3F5-7DDA94E0DEAB}"/>
    <cellStyle name="20% - Énfasis5 21 2 2" xfId="6659" xr:uid="{8FA494CC-6628-4173-BF0C-E17A08B967D9}"/>
    <cellStyle name="20% - Énfasis5 21 2 2 2" xfId="14367" xr:uid="{F73DA26C-B233-493B-9A1F-E90FA6B44AEE}"/>
    <cellStyle name="20% - Énfasis5 21 2 2 2 2" xfId="29779" xr:uid="{C9C798DA-1657-46C9-9382-3F69F439F1C6}"/>
    <cellStyle name="20% - Énfasis5 21 2 2 2 2 2" xfId="38714" xr:uid="{A1719640-3AC2-4FFC-B1BC-1EA66476D915}"/>
    <cellStyle name="20% - Énfasis5 21 2 2 2 3" xfId="38713" xr:uid="{4DE0C243-1779-45E7-9E7B-B1F2C2C0566E}"/>
    <cellStyle name="20% - Énfasis5 21 2 2 3" xfId="22074" xr:uid="{4690EFF9-7B02-41E4-9EA3-0917DB828902}"/>
    <cellStyle name="20% - Énfasis5 21 2 2 3 2" xfId="38715" xr:uid="{F1162236-41BC-407A-A24F-22586B31B170}"/>
    <cellStyle name="20% - Énfasis5 21 2 2 4" xfId="38712" xr:uid="{68D4627A-4A27-44ED-9E5C-A1F918E6CA09}"/>
    <cellStyle name="20% - Énfasis5 21 2 3" xfId="10638" xr:uid="{D24257E6-20DB-4F7C-8391-EAEDE5B8B9CA}"/>
    <cellStyle name="20% - Énfasis5 21 2 3 2" xfId="26051" xr:uid="{7BA41E14-E50F-48CC-9E57-62FD3889776D}"/>
    <cellStyle name="20% - Énfasis5 21 2 3 2 2" xfId="38717" xr:uid="{B238DD52-21B2-4B95-8A51-A86D47A49734}"/>
    <cellStyle name="20% - Énfasis5 21 2 3 3" xfId="38716" xr:uid="{E6BEC580-2218-4875-8191-B184FFF06EB9}"/>
    <cellStyle name="20% - Énfasis5 21 2 4" xfId="18346" xr:uid="{4FB343F3-4EB7-48D8-85EF-11E7B3D92BF7}"/>
    <cellStyle name="20% - Énfasis5 21 2 4 2" xfId="38718" xr:uid="{2B7D4AA5-F1E8-472C-AC66-A84D696B9AE6}"/>
    <cellStyle name="20% - Énfasis5 21 2 5" xfId="38711" xr:uid="{2A60DBB1-E610-4A0E-880D-428D9FBD47A9}"/>
    <cellStyle name="20% - Énfasis5 21 3" xfId="5198" xr:uid="{6F6A0760-2DD4-4F25-9618-8224E78EBB21}"/>
    <cellStyle name="20% - Énfasis5 21 3 2" xfId="12906" xr:uid="{F294A024-C0A7-4A90-9141-308B4F560FE3}"/>
    <cellStyle name="20% - Énfasis5 21 3 2 2" xfId="28318" xr:uid="{C24625B3-B685-4B57-B555-A487E8AEC3B9}"/>
    <cellStyle name="20% - Énfasis5 21 3 2 2 2" xfId="38721" xr:uid="{645F68DA-5024-441C-A5A3-4BC51852EFAB}"/>
    <cellStyle name="20% - Énfasis5 21 3 2 3" xfId="38720" xr:uid="{D5BF8CC9-BF6A-416B-BD14-DE17313D19C4}"/>
    <cellStyle name="20% - Énfasis5 21 3 3" xfId="20613" xr:uid="{8D5188BB-D91B-4F4B-ABE4-EA5A5A78D1A4}"/>
    <cellStyle name="20% - Énfasis5 21 3 3 2" xfId="38722" xr:uid="{D7F240AB-2244-4BBB-878F-20292BDCE8FC}"/>
    <cellStyle name="20% - Énfasis5 21 3 4" xfId="38719" xr:uid="{ABEF75BD-210A-4E6B-9AF2-42F9C4E9DE38}"/>
    <cellStyle name="20% - Énfasis5 21 4" xfId="9179" xr:uid="{53F62D65-AA51-4BD8-933A-32D0C684699B}"/>
    <cellStyle name="20% - Énfasis5 21 4 2" xfId="24592" xr:uid="{32E33423-0FA4-491D-9B05-73B77A53A542}"/>
    <cellStyle name="20% - Énfasis5 21 4 2 2" xfId="38724" xr:uid="{C3F841FF-4AB4-460A-8C14-C2D89E1A378E}"/>
    <cellStyle name="20% - Énfasis5 21 4 3" xfId="38723" xr:uid="{B45C7517-04AF-4932-9B8D-5C0D97120AE6}"/>
    <cellStyle name="20% - Énfasis5 21 5" xfId="16887" xr:uid="{8DB92160-06A0-4972-AA6B-DD5EB6169452}"/>
    <cellStyle name="20% - Énfasis5 21 5 2" xfId="38725" xr:uid="{D053A38F-B8A2-428F-9559-A9B11899A6E2}"/>
    <cellStyle name="20% - Énfasis5 21 6" xfId="38710" xr:uid="{17797688-EDBB-4499-A2E5-5F9B6AA1AA7D}"/>
    <cellStyle name="20% - Énfasis5 22" xfId="1482" xr:uid="{F2BB3EC0-0407-4B02-838E-2B3C43B1C267}"/>
    <cellStyle name="20% - Énfasis5 22 2" xfId="2947" xr:uid="{1BDC49C3-6E08-4672-8568-EB7B1CC042C8}"/>
    <cellStyle name="20% - Énfasis5 22 2 2" xfId="6679" xr:uid="{BD328F1D-5C87-49EC-8E09-C8A44875DAF7}"/>
    <cellStyle name="20% - Énfasis5 22 2 2 2" xfId="14387" xr:uid="{B769E7E4-7358-4BCC-929E-60CEF633FDF3}"/>
    <cellStyle name="20% - Énfasis5 22 2 2 2 2" xfId="29799" xr:uid="{846BA770-9DB8-4B9F-B167-5A5C580774FE}"/>
    <cellStyle name="20% - Énfasis5 22 2 2 2 2 2" xfId="38730" xr:uid="{0C5593FD-AA99-489B-AACA-F7630CF70C7A}"/>
    <cellStyle name="20% - Énfasis5 22 2 2 2 3" xfId="38729" xr:uid="{792DD8DC-5F61-4BE1-ADFF-0DDDC0662F1F}"/>
    <cellStyle name="20% - Énfasis5 22 2 2 3" xfId="22094" xr:uid="{57867AEA-B17B-4867-98D0-BACD63B69574}"/>
    <cellStyle name="20% - Énfasis5 22 2 2 3 2" xfId="38731" xr:uid="{432A0EB2-DF2C-40DB-A4DC-9818B40F5AB5}"/>
    <cellStyle name="20% - Énfasis5 22 2 2 4" xfId="38728" xr:uid="{559052A8-303C-4E61-9972-84DF8A232466}"/>
    <cellStyle name="20% - Énfasis5 22 2 3" xfId="10658" xr:uid="{F87CD7AE-B13F-422C-BBAE-5C2B21FF4355}"/>
    <cellStyle name="20% - Énfasis5 22 2 3 2" xfId="26071" xr:uid="{4635E56E-9106-43E3-BCF7-4830A5228F73}"/>
    <cellStyle name="20% - Énfasis5 22 2 3 2 2" xfId="38733" xr:uid="{A4AB8F02-BC78-4821-B116-57A3C1760CB5}"/>
    <cellStyle name="20% - Énfasis5 22 2 3 3" xfId="38732" xr:uid="{80FF9CB0-8028-4956-99D1-85FE6589A06B}"/>
    <cellStyle name="20% - Énfasis5 22 2 4" xfId="18366" xr:uid="{F9DA82CC-4DF8-414D-9FC5-E6C1C39C8F5C}"/>
    <cellStyle name="20% - Énfasis5 22 2 4 2" xfId="38734" xr:uid="{7B6133F3-1671-4427-B4CC-F98E5245A9D3}"/>
    <cellStyle name="20% - Énfasis5 22 2 5" xfId="38727" xr:uid="{4675167D-48D2-4A02-98CE-53D6D3A7DFFE}"/>
    <cellStyle name="20% - Énfasis5 22 3" xfId="5218" xr:uid="{92B89DD9-FDDD-40C9-AB72-4B0A0EB2E890}"/>
    <cellStyle name="20% - Énfasis5 22 3 2" xfId="12926" xr:uid="{5B8BC9EB-1C6F-47D2-8135-658325F2B915}"/>
    <cellStyle name="20% - Énfasis5 22 3 2 2" xfId="28338" xr:uid="{3984A807-C67B-4B4D-B72B-E02A5898B9D1}"/>
    <cellStyle name="20% - Énfasis5 22 3 2 2 2" xfId="38737" xr:uid="{7678D5CE-29CA-452A-9029-A2ED6559153C}"/>
    <cellStyle name="20% - Énfasis5 22 3 2 3" xfId="38736" xr:uid="{946D1801-8B30-4D0D-9EA4-AC1004E34DBB}"/>
    <cellStyle name="20% - Énfasis5 22 3 3" xfId="20633" xr:uid="{DBDE5384-A860-4DA1-8766-5B5C63DA6701}"/>
    <cellStyle name="20% - Énfasis5 22 3 3 2" xfId="38738" xr:uid="{A101AF6D-4D0B-431B-B27E-15E8409AA2AB}"/>
    <cellStyle name="20% - Énfasis5 22 3 4" xfId="38735" xr:uid="{A0D37CC2-BCCC-4551-9511-3F0460BDFAB1}"/>
    <cellStyle name="20% - Énfasis5 22 4" xfId="9199" xr:uid="{69940F70-E1C0-400E-A5A4-EB72FF26A02B}"/>
    <cellStyle name="20% - Énfasis5 22 4 2" xfId="24612" xr:uid="{F007D5E1-43DE-4CB3-B6EC-8803BE023AA6}"/>
    <cellStyle name="20% - Énfasis5 22 4 2 2" xfId="38740" xr:uid="{22CC20FE-A653-4549-8FC2-1B2E2BEFCE9B}"/>
    <cellStyle name="20% - Énfasis5 22 4 3" xfId="38739" xr:uid="{766D338D-20FC-475B-941B-435C87F479D4}"/>
    <cellStyle name="20% - Énfasis5 22 5" xfId="16907" xr:uid="{BCD550A0-478C-4ED9-AAA8-30802ACF8788}"/>
    <cellStyle name="20% - Énfasis5 22 5 2" xfId="38741" xr:uid="{BB364413-5AED-4523-9BAB-0C7293438148}"/>
    <cellStyle name="20% - Énfasis5 22 6" xfId="38726" xr:uid="{C790C748-D49D-4C53-8B5A-9457D0EE371A}"/>
    <cellStyle name="20% - Énfasis5 23" xfId="1502" xr:uid="{CF909296-738F-47BF-8164-BE91C06EEFEA}"/>
    <cellStyle name="20% - Énfasis5 23 2" xfId="2967" xr:uid="{565351FC-92F5-421D-BB85-1509C4AE6A9F}"/>
    <cellStyle name="20% - Énfasis5 23 2 2" xfId="6699" xr:uid="{CD40C1F2-9F17-4154-B56A-A9C4E03D5985}"/>
    <cellStyle name="20% - Énfasis5 23 2 2 2" xfId="14407" xr:uid="{E83CEB71-0925-4BAF-BA43-DAA8BC06F790}"/>
    <cellStyle name="20% - Énfasis5 23 2 2 2 2" xfId="29819" xr:uid="{A98108CD-A755-4DD5-B7AE-0B1FE8902133}"/>
    <cellStyle name="20% - Énfasis5 23 2 2 2 2 2" xfId="38746" xr:uid="{A3ED23EF-1E54-4B85-AC2D-87F37DD103A2}"/>
    <cellStyle name="20% - Énfasis5 23 2 2 2 3" xfId="38745" xr:uid="{66AFFC85-6BF8-42EC-A334-FD8C739F1D0D}"/>
    <cellStyle name="20% - Énfasis5 23 2 2 3" xfId="22114" xr:uid="{6DE848EE-A039-4581-8541-3661E49917ED}"/>
    <cellStyle name="20% - Énfasis5 23 2 2 3 2" xfId="38747" xr:uid="{FA5001FA-32A1-4197-BD8B-F58AC474BF97}"/>
    <cellStyle name="20% - Énfasis5 23 2 2 4" xfId="38744" xr:uid="{6D29619D-AAAC-40E5-A3FE-8AEE7C958FC8}"/>
    <cellStyle name="20% - Énfasis5 23 2 3" xfId="10678" xr:uid="{DDB7515B-8F8B-4103-9314-021A2399A1EA}"/>
    <cellStyle name="20% - Énfasis5 23 2 3 2" xfId="26091" xr:uid="{3359E0F7-8592-45B2-91D8-975E7AEF0FB8}"/>
    <cellStyle name="20% - Énfasis5 23 2 3 2 2" xfId="38749" xr:uid="{BC9685C0-4041-4E6B-A73F-BBC7625ECA5D}"/>
    <cellStyle name="20% - Énfasis5 23 2 3 3" xfId="38748" xr:uid="{98DC87A5-2ACF-4251-BD5E-F03B02F7E8EE}"/>
    <cellStyle name="20% - Énfasis5 23 2 4" xfId="18386" xr:uid="{94BDEB5D-CDE9-441B-ABCC-D62669EA67BB}"/>
    <cellStyle name="20% - Énfasis5 23 2 4 2" xfId="38750" xr:uid="{03673043-936D-4B49-8048-563B05CC02BE}"/>
    <cellStyle name="20% - Énfasis5 23 2 5" xfId="38743" xr:uid="{712973C2-A737-4EF5-BB3F-122AABCD8C66}"/>
    <cellStyle name="20% - Énfasis5 23 3" xfId="5238" xr:uid="{07950FDC-8AB1-4CEA-92EC-CE698B930357}"/>
    <cellStyle name="20% - Énfasis5 23 3 2" xfId="12946" xr:uid="{5FBCD95A-6275-4D60-BC46-3F38ECFD7345}"/>
    <cellStyle name="20% - Énfasis5 23 3 2 2" xfId="28358" xr:uid="{ECF9B890-645A-47D0-B20C-A4CCC11F3BB5}"/>
    <cellStyle name="20% - Énfasis5 23 3 2 2 2" xfId="38753" xr:uid="{35FB61EC-05A1-4469-BFF7-E14CC19AF50B}"/>
    <cellStyle name="20% - Énfasis5 23 3 2 3" xfId="38752" xr:uid="{9DD8AA28-9587-4B88-AB69-CC6F49FDD963}"/>
    <cellStyle name="20% - Énfasis5 23 3 3" xfId="20653" xr:uid="{8231CF3D-308B-4E6A-962F-B08FF2C44E8C}"/>
    <cellStyle name="20% - Énfasis5 23 3 3 2" xfId="38754" xr:uid="{DE5181E1-CD81-4915-B1E2-80D5854DD609}"/>
    <cellStyle name="20% - Énfasis5 23 3 4" xfId="38751" xr:uid="{88F22EDF-D5BF-46C8-BCD3-00AC1F351DE6}"/>
    <cellStyle name="20% - Énfasis5 23 4" xfId="9219" xr:uid="{1C3AB1DA-DE52-49A7-8DE6-D5215632A456}"/>
    <cellStyle name="20% - Énfasis5 23 4 2" xfId="24632" xr:uid="{418F6629-8AB5-4B4B-AAD6-C780E87CB4B2}"/>
    <cellStyle name="20% - Énfasis5 23 4 2 2" xfId="38756" xr:uid="{9CA1C88F-1E4C-4E52-8EF1-51DFB71400CA}"/>
    <cellStyle name="20% - Énfasis5 23 4 3" xfId="38755" xr:uid="{A5F7EF5F-EF08-448C-B3EF-EF223683CCA5}"/>
    <cellStyle name="20% - Énfasis5 23 5" xfId="16927" xr:uid="{497E0487-D5A1-40BF-BB02-2163CB8A8398}"/>
    <cellStyle name="20% - Énfasis5 23 5 2" xfId="38757" xr:uid="{1F80FDAF-CBEF-40DD-8677-EE6AD8AAEEC4}"/>
    <cellStyle name="20% - Énfasis5 23 6" xfId="38742" xr:uid="{76105698-0D82-406B-9E5C-4D46F591A102}"/>
    <cellStyle name="20% - Énfasis5 24" xfId="1522" xr:uid="{A3B5AE80-7E41-49FD-905A-D910E02AAE34}"/>
    <cellStyle name="20% - Énfasis5 24 2" xfId="2987" xr:uid="{98375DD7-8D73-45AE-96BC-1012BDDC8363}"/>
    <cellStyle name="20% - Énfasis5 24 2 2" xfId="6719" xr:uid="{382554D1-2363-4D37-B3D8-EFC179417E87}"/>
    <cellStyle name="20% - Énfasis5 24 2 2 2" xfId="14427" xr:uid="{CFFEC75A-8C62-48DA-B9E9-834B9F6D1EF0}"/>
    <cellStyle name="20% - Énfasis5 24 2 2 2 2" xfId="29839" xr:uid="{91B8BE41-FB38-4854-AE54-145219001484}"/>
    <cellStyle name="20% - Énfasis5 24 2 2 2 2 2" xfId="38762" xr:uid="{5D90DF4C-7923-4164-A829-23640D7FB655}"/>
    <cellStyle name="20% - Énfasis5 24 2 2 2 3" xfId="38761" xr:uid="{826F65E1-88B1-408D-B41F-5EC3D50F26E1}"/>
    <cellStyle name="20% - Énfasis5 24 2 2 3" xfId="22134" xr:uid="{D4A5E35D-5ED9-4717-952E-0B48EC1E70AD}"/>
    <cellStyle name="20% - Énfasis5 24 2 2 3 2" xfId="38763" xr:uid="{0A39EF0E-40A6-4B17-99D5-86DEC28567AE}"/>
    <cellStyle name="20% - Énfasis5 24 2 2 4" xfId="38760" xr:uid="{D84A1EC1-2FF0-4B99-99FF-62A52ACB3D13}"/>
    <cellStyle name="20% - Énfasis5 24 2 3" xfId="10698" xr:uid="{AF553805-25E0-412E-9430-2426F83B6163}"/>
    <cellStyle name="20% - Énfasis5 24 2 3 2" xfId="26111" xr:uid="{C30A5242-FD04-4F1B-8595-17B46BDBAA85}"/>
    <cellStyle name="20% - Énfasis5 24 2 3 2 2" xfId="38765" xr:uid="{1E7CC80B-BFDD-493C-A364-6636C6494BC1}"/>
    <cellStyle name="20% - Énfasis5 24 2 3 3" xfId="38764" xr:uid="{286CE471-A8A5-46D6-9513-0BE5EA9DFAB5}"/>
    <cellStyle name="20% - Énfasis5 24 2 4" xfId="18406" xr:uid="{EFA7D447-0CC6-404D-A1A6-565599BB34F0}"/>
    <cellStyle name="20% - Énfasis5 24 2 4 2" xfId="38766" xr:uid="{D7EBC2EC-829F-41DB-9ED4-0CBE33C4461D}"/>
    <cellStyle name="20% - Énfasis5 24 2 5" xfId="38759" xr:uid="{94F03594-AD59-4A6A-885F-B9A44F3FFCD3}"/>
    <cellStyle name="20% - Énfasis5 24 3" xfId="5258" xr:uid="{1C5924B5-061F-4FA4-A2CD-245884A432EE}"/>
    <cellStyle name="20% - Énfasis5 24 3 2" xfId="12966" xr:uid="{ABA0E909-6622-49D1-B188-4D67B29058B3}"/>
    <cellStyle name="20% - Énfasis5 24 3 2 2" xfId="28378" xr:uid="{51A4C7EB-C6D5-4B05-9AEC-175B5E81069E}"/>
    <cellStyle name="20% - Énfasis5 24 3 2 2 2" xfId="38769" xr:uid="{5FD150E5-262C-40CA-AF2F-0D5EEC91477A}"/>
    <cellStyle name="20% - Énfasis5 24 3 2 3" xfId="38768" xr:uid="{005E1408-FE88-47F7-9484-D58856BB3F18}"/>
    <cellStyle name="20% - Énfasis5 24 3 3" xfId="20673" xr:uid="{F604F2EF-D537-4419-BB77-863E0E276AA5}"/>
    <cellStyle name="20% - Énfasis5 24 3 3 2" xfId="38770" xr:uid="{2833F9CA-861F-42A1-AC49-8FC63868E5FF}"/>
    <cellStyle name="20% - Énfasis5 24 3 4" xfId="38767" xr:uid="{4C4E8D0E-5A1E-4988-9C51-439212697F1F}"/>
    <cellStyle name="20% - Énfasis5 24 4" xfId="9239" xr:uid="{E6244AA5-972D-46CC-A33C-71C43DBE24A4}"/>
    <cellStyle name="20% - Énfasis5 24 4 2" xfId="24652" xr:uid="{19D57553-A3C6-4D06-A509-205BE717B6EE}"/>
    <cellStyle name="20% - Énfasis5 24 4 2 2" xfId="38772" xr:uid="{A3B05E3C-FE55-4D3A-8C6B-380938BA51BC}"/>
    <cellStyle name="20% - Énfasis5 24 4 3" xfId="38771" xr:uid="{7CBE0956-5102-448F-A8A8-2AB068D1CA1D}"/>
    <cellStyle name="20% - Énfasis5 24 5" xfId="16947" xr:uid="{7D66BC48-9A7A-4121-AD45-0F977EDD6291}"/>
    <cellStyle name="20% - Énfasis5 24 5 2" xfId="38773" xr:uid="{128F382E-2254-4C36-83FC-2611BF87DFB4}"/>
    <cellStyle name="20% - Énfasis5 24 6" xfId="38758" xr:uid="{C85166FC-6E58-4755-86E7-4FD91E75340E}"/>
    <cellStyle name="20% - Énfasis5 25" xfId="1542" xr:uid="{CA28407E-4075-4703-AED4-3D152C964BD2}"/>
    <cellStyle name="20% - Énfasis5 25 2" xfId="3007" xr:uid="{00683863-5856-42C0-B1ED-2773F0C6C622}"/>
    <cellStyle name="20% - Énfasis5 25 2 2" xfId="6739" xr:uid="{17F2D294-9743-4FFA-8757-A4D8972FC723}"/>
    <cellStyle name="20% - Énfasis5 25 2 2 2" xfId="14447" xr:uid="{EB69FDD7-3721-4F74-B84B-3575AC6E76F5}"/>
    <cellStyle name="20% - Énfasis5 25 2 2 2 2" xfId="29859" xr:uid="{4E0700FA-5D91-4D2C-A99B-7EE87657A40B}"/>
    <cellStyle name="20% - Énfasis5 25 2 2 2 2 2" xfId="38778" xr:uid="{69CF4C71-19A0-4E03-A50C-8C8CFE96B00A}"/>
    <cellStyle name="20% - Énfasis5 25 2 2 2 3" xfId="38777" xr:uid="{33FFDFB5-8C79-4A2A-AB0F-1F20B3749C41}"/>
    <cellStyle name="20% - Énfasis5 25 2 2 3" xfId="22154" xr:uid="{E533FD3E-6185-48EB-9233-E31CD5DE0AC1}"/>
    <cellStyle name="20% - Énfasis5 25 2 2 3 2" xfId="38779" xr:uid="{5EBD6499-4BA9-4A0F-A752-0EAA5ADF4405}"/>
    <cellStyle name="20% - Énfasis5 25 2 2 4" xfId="38776" xr:uid="{243C7D19-FA92-406E-8D01-107169446FD2}"/>
    <cellStyle name="20% - Énfasis5 25 2 3" xfId="10718" xr:uid="{55AB2138-164C-4E9D-81CB-45E73F7C597D}"/>
    <cellStyle name="20% - Énfasis5 25 2 3 2" xfId="26131" xr:uid="{6C1B1C45-7D3F-4925-A550-B4D6E8D7C4C3}"/>
    <cellStyle name="20% - Énfasis5 25 2 3 2 2" xfId="38781" xr:uid="{DDB26D76-E402-4B97-94B3-73B47C556396}"/>
    <cellStyle name="20% - Énfasis5 25 2 3 3" xfId="38780" xr:uid="{F0865D7E-EF6C-4218-BEDD-FF94114E627A}"/>
    <cellStyle name="20% - Énfasis5 25 2 4" xfId="18426" xr:uid="{CC3626CF-0FD2-4FD8-854B-70D64569195F}"/>
    <cellStyle name="20% - Énfasis5 25 2 4 2" xfId="38782" xr:uid="{9847C4A6-4405-4267-A2EE-5237ABA751A3}"/>
    <cellStyle name="20% - Énfasis5 25 2 5" xfId="38775" xr:uid="{FB1040D5-3D3E-4FF0-8387-55799E5E5D85}"/>
    <cellStyle name="20% - Énfasis5 25 3" xfId="5278" xr:uid="{D308B19C-9E21-45F2-8043-4735D23B8808}"/>
    <cellStyle name="20% - Énfasis5 25 3 2" xfId="12986" xr:uid="{84799B56-B983-481C-93B7-E99558434E97}"/>
    <cellStyle name="20% - Énfasis5 25 3 2 2" xfId="28398" xr:uid="{C1142A9D-C54E-4D90-BA22-2F412CBF7210}"/>
    <cellStyle name="20% - Énfasis5 25 3 2 2 2" xfId="38785" xr:uid="{4CDC29BA-8B37-44C9-92B2-5DF37000365F}"/>
    <cellStyle name="20% - Énfasis5 25 3 2 3" xfId="38784" xr:uid="{C9559F01-789F-4A92-8148-DA7CCD36EBBF}"/>
    <cellStyle name="20% - Énfasis5 25 3 3" xfId="20693" xr:uid="{4D9A70A8-5696-4F3D-A316-3DCBFF12A6A6}"/>
    <cellStyle name="20% - Énfasis5 25 3 3 2" xfId="38786" xr:uid="{10B3144A-F381-4ECD-873F-49DD4A975014}"/>
    <cellStyle name="20% - Énfasis5 25 3 4" xfId="38783" xr:uid="{5EFEFE0F-6CB5-4C4B-A9A5-B9D314E58CC1}"/>
    <cellStyle name="20% - Énfasis5 25 4" xfId="9259" xr:uid="{3C11EC4B-84A0-4A98-AF36-E078F9697CAF}"/>
    <cellStyle name="20% - Énfasis5 25 4 2" xfId="24672" xr:uid="{AA54AC0B-7FD3-4AB4-B916-DDFD30AF7BDC}"/>
    <cellStyle name="20% - Énfasis5 25 4 2 2" xfId="38788" xr:uid="{A7DCFA74-114C-4F97-9356-2F163B0543C7}"/>
    <cellStyle name="20% - Énfasis5 25 4 3" xfId="38787" xr:uid="{21FCF927-D7BB-4591-A673-7B710D0CF8BE}"/>
    <cellStyle name="20% - Énfasis5 25 5" xfId="16967" xr:uid="{752BE680-3EE8-43AE-BE86-55EFDABE9764}"/>
    <cellStyle name="20% - Énfasis5 25 5 2" xfId="38789" xr:uid="{A100339E-7B7E-4C5B-B250-5D68B531DD6E}"/>
    <cellStyle name="20% - Énfasis5 25 6" xfId="38774" xr:uid="{EA97FD26-E8A6-4CC4-B984-E70EA0C1B817}"/>
    <cellStyle name="20% - Énfasis5 26" xfId="1562" xr:uid="{0E6FAC58-9E9B-48F6-8659-0FBF23144D6B}"/>
    <cellStyle name="20% - Énfasis5 26 2" xfId="3027" xr:uid="{A3D01434-5B06-4276-A14E-EB66336C35C1}"/>
    <cellStyle name="20% - Énfasis5 26 2 2" xfId="6759" xr:uid="{9ACBD710-2D83-486E-86F5-F06B1602FA92}"/>
    <cellStyle name="20% - Énfasis5 26 2 2 2" xfId="14467" xr:uid="{43B2FDE1-A665-4F38-BE5C-1B1D3AA90FE5}"/>
    <cellStyle name="20% - Énfasis5 26 2 2 2 2" xfId="29879" xr:uid="{C6D8DE4E-B305-4798-AE6B-808D6BEDCA45}"/>
    <cellStyle name="20% - Énfasis5 26 2 2 2 2 2" xfId="38794" xr:uid="{1A89E09A-B9CF-49EE-A7C2-14FACFE67E82}"/>
    <cellStyle name="20% - Énfasis5 26 2 2 2 3" xfId="38793" xr:uid="{1F66464A-84F5-47D2-AD1F-2D9C4B0F654C}"/>
    <cellStyle name="20% - Énfasis5 26 2 2 3" xfId="22174" xr:uid="{BEA41006-E2BC-4AB9-9470-C799DC71A90B}"/>
    <cellStyle name="20% - Énfasis5 26 2 2 3 2" xfId="38795" xr:uid="{FB28EA20-1EAA-426E-9CC9-0CFEA3A7ABFF}"/>
    <cellStyle name="20% - Énfasis5 26 2 2 4" xfId="38792" xr:uid="{7E215B04-0A83-442B-8BB1-C39A9F6DD6A3}"/>
    <cellStyle name="20% - Énfasis5 26 2 3" xfId="10738" xr:uid="{7742382E-92E7-4406-B9D5-FAACD4BD95AF}"/>
    <cellStyle name="20% - Énfasis5 26 2 3 2" xfId="26151" xr:uid="{E852A207-1553-4652-92A8-55BF621C633F}"/>
    <cellStyle name="20% - Énfasis5 26 2 3 2 2" xfId="38797" xr:uid="{8B172B35-DF22-44EE-B64C-B81EF0F13E22}"/>
    <cellStyle name="20% - Énfasis5 26 2 3 3" xfId="38796" xr:uid="{08AC0A8C-B086-4D53-A60C-39EAFFC0DB82}"/>
    <cellStyle name="20% - Énfasis5 26 2 4" xfId="18446" xr:uid="{1035CA22-9370-47F8-8BFB-FBC99DBDFA8A}"/>
    <cellStyle name="20% - Énfasis5 26 2 4 2" xfId="38798" xr:uid="{4E02422F-C872-4BDD-9276-721D05DF0720}"/>
    <cellStyle name="20% - Énfasis5 26 2 5" xfId="38791" xr:uid="{8CF55632-A658-4BB6-BA2B-61E788D84432}"/>
    <cellStyle name="20% - Énfasis5 26 3" xfId="5298" xr:uid="{66E63C60-4C96-496E-997A-5057285F0074}"/>
    <cellStyle name="20% - Énfasis5 26 3 2" xfId="13006" xr:uid="{314FE596-FD6C-4486-B86E-2AFF8B75A82A}"/>
    <cellStyle name="20% - Énfasis5 26 3 2 2" xfId="28418" xr:uid="{A8782CEC-65D3-47F4-BD5E-6F6D2FF80ED4}"/>
    <cellStyle name="20% - Énfasis5 26 3 2 2 2" xfId="38801" xr:uid="{97C4DB63-8A28-4CA7-8196-482EDFEF532F}"/>
    <cellStyle name="20% - Énfasis5 26 3 2 3" xfId="38800" xr:uid="{1FDFA6DA-49DD-4691-B2CF-3F6B81D6D1E2}"/>
    <cellStyle name="20% - Énfasis5 26 3 3" xfId="20713" xr:uid="{6239EA6A-554F-4166-A23C-E1140F617BA3}"/>
    <cellStyle name="20% - Énfasis5 26 3 3 2" xfId="38802" xr:uid="{F8317764-D8FC-46DC-BCB9-4BA556529E77}"/>
    <cellStyle name="20% - Énfasis5 26 3 4" xfId="38799" xr:uid="{627C805E-BBCF-4478-AF7C-EFC852337FB0}"/>
    <cellStyle name="20% - Énfasis5 26 4" xfId="9279" xr:uid="{C40FB012-C487-4CA7-8F27-3CCFFCC83DC1}"/>
    <cellStyle name="20% - Énfasis5 26 4 2" xfId="24692" xr:uid="{AB750CB4-77B1-49BF-B7CF-2777C49224AF}"/>
    <cellStyle name="20% - Énfasis5 26 4 2 2" xfId="38804" xr:uid="{07964452-8E6B-4B99-911F-61A1844C314D}"/>
    <cellStyle name="20% - Énfasis5 26 4 3" xfId="38803" xr:uid="{52FC0579-4E4F-4429-B17D-BE43DF0CF2F5}"/>
    <cellStyle name="20% - Énfasis5 26 5" xfId="16987" xr:uid="{4804F68C-20F2-42AF-866B-F7E22D29EBDB}"/>
    <cellStyle name="20% - Énfasis5 26 5 2" xfId="38805" xr:uid="{08EFE360-0EA6-4D83-8CA3-CDCDBEF2F67B}"/>
    <cellStyle name="20% - Énfasis5 26 6" xfId="38790" xr:uid="{C1C5339F-CE3C-45C0-9FB0-AB3D98510690}"/>
    <cellStyle name="20% - Énfasis5 27" xfId="1582" xr:uid="{287CE7E7-AF04-4045-9E08-2E4822DB63D3}"/>
    <cellStyle name="20% - Énfasis5 27 2" xfId="3047" xr:uid="{4FF8F1DC-677D-4080-A567-E83286B19244}"/>
    <cellStyle name="20% - Énfasis5 27 2 2" xfId="6779" xr:uid="{A20D354C-481A-4431-A87F-A549109AF931}"/>
    <cellStyle name="20% - Énfasis5 27 2 2 2" xfId="14487" xr:uid="{B1A727DF-C9AC-4F2B-A6B6-FFDCE5C32993}"/>
    <cellStyle name="20% - Énfasis5 27 2 2 2 2" xfId="29899" xr:uid="{5F0F5866-FD2D-4162-9BD2-5F4EB2F3DEDA}"/>
    <cellStyle name="20% - Énfasis5 27 2 2 2 2 2" xfId="38810" xr:uid="{D0544CE8-491A-4140-BB79-6A8C50EDEBBD}"/>
    <cellStyle name="20% - Énfasis5 27 2 2 2 3" xfId="38809" xr:uid="{1948268B-E10C-4D08-88EE-767DB3077C8C}"/>
    <cellStyle name="20% - Énfasis5 27 2 2 3" xfId="22194" xr:uid="{04557202-125A-42EB-BD0B-D210A9275E39}"/>
    <cellStyle name="20% - Énfasis5 27 2 2 3 2" xfId="38811" xr:uid="{6EDC57B0-60F2-4611-AA70-9F71F5A5AB43}"/>
    <cellStyle name="20% - Énfasis5 27 2 2 4" xfId="38808" xr:uid="{6393199D-AAE8-4884-B469-13867AE9B556}"/>
    <cellStyle name="20% - Énfasis5 27 2 3" xfId="10758" xr:uid="{025549B9-F95D-4F48-87C3-567816B41C56}"/>
    <cellStyle name="20% - Énfasis5 27 2 3 2" xfId="26171" xr:uid="{34F07B91-8D74-4876-A2DB-5A4F66350F45}"/>
    <cellStyle name="20% - Énfasis5 27 2 3 2 2" xfId="38813" xr:uid="{68AF62E4-5649-441C-9813-E670E1E2B6D8}"/>
    <cellStyle name="20% - Énfasis5 27 2 3 3" xfId="38812" xr:uid="{6F5488B0-DB0E-45E6-9FDB-1D84B2DEA066}"/>
    <cellStyle name="20% - Énfasis5 27 2 4" xfId="18466" xr:uid="{FABA3AB0-3568-4D34-942D-952CA764F866}"/>
    <cellStyle name="20% - Énfasis5 27 2 4 2" xfId="38814" xr:uid="{7CAFDEE1-5615-430B-A1E5-8CB76CEA0F3D}"/>
    <cellStyle name="20% - Énfasis5 27 2 5" xfId="38807" xr:uid="{E606B4D3-7C84-4F0A-A869-CC437FD960CD}"/>
    <cellStyle name="20% - Énfasis5 27 3" xfId="5318" xr:uid="{1C516EDD-B1F6-4D6B-9E31-F7ED1B19D568}"/>
    <cellStyle name="20% - Énfasis5 27 3 2" xfId="13026" xr:uid="{660E6A20-938B-48E8-8CDF-D6B817E08CAB}"/>
    <cellStyle name="20% - Énfasis5 27 3 2 2" xfId="28438" xr:uid="{8D4BE7CA-B5B6-4B69-8E10-A4F97E985665}"/>
    <cellStyle name="20% - Énfasis5 27 3 2 2 2" xfId="38817" xr:uid="{61BCC973-0825-4FA4-83AA-6B5A9A2F753C}"/>
    <cellStyle name="20% - Énfasis5 27 3 2 3" xfId="38816" xr:uid="{AC110644-42BD-4971-A265-F6B7BF70387E}"/>
    <cellStyle name="20% - Énfasis5 27 3 3" xfId="20733" xr:uid="{0BCF4DBD-3E47-4F6D-8191-5D4406047FC3}"/>
    <cellStyle name="20% - Énfasis5 27 3 3 2" xfId="38818" xr:uid="{B9F0D6F1-3371-45EB-91CB-150235A5CEA3}"/>
    <cellStyle name="20% - Énfasis5 27 3 4" xfId="38815" xr:uid="{986A901E-F0CF-403D-9979-787E0C9D9AEF}"/>
    <cellStyle name="20% - Énfasis5 27 4" xfId="9299" xr:uid="{35D07724-F02A-48C5-AA96-086F4D93DFE3}"/>
    <cellStyle name="20% - Énfasis5 27 4 2" xfId="24712" xr:uid="{38ED473E-0851-47C6-B986-377338FF73BE}"/>
    <cellStyle name="20% - Énfasis5 27 4 2 2" xfId="38820" xr:uid="{966169E1-BCD5-4581-A835-3FF69449B317}"/>
    <cellStyle name="20% - Énfasis5 27 4 3" xfId="38819" xr:uid="{52C94924-0D40-48C0-B5C7-2CC6C9217C4A}"/>
    <cellStyle name="20% - Énfasis5 27 5" xfId="17007" xr:uid="{66F689FF-C9B1-4E49-B815-520884271C8C}"/>
    <cellStyle name="20% - Énfasis5 27 5 2" xfId="38821" xr:uid="{0C471416-E3C0-45B4-B097-54B7C25DBB9F}"/>
    <cellStyle name="20% - Énfasis5 27 6" xfId="38806" xr:uid="{6C9B7CAC-B705-4A32-B90C-1D3E419CEB5A}"/>
    <cellStyle name="20% - Énfasis5 28" xfId="1603" xr:uid="{8C3B7630-2DAA-4C06-A657-E49CE55CB416}"/>
    <cellStyle name="20% - Énfasis5 28 2" xfId="3068" xr:uid="{25250763-3A3F-4B99-B353-471B91F1578B}"/>
    <cellStyle name="20% - Énfasis5 28 2 2" xfId="6800" xr:uid="{D4AA03CD-98FF-4FFD-AB99-D9B6BBE28254}"/>
    <cellStyle name="20% - Énfasis5 28 2 2 2" xfId="14508" xr:uid="{9935B182-0270-4D07-B6B7-1E0054A10EFF}"/>
    <cellStyle name="20% - Énfasis5 28 2 2 2 2" xfId="29920" xr:uid="{51012B92-4DDC-44A4-903B-CCA97400F7CA}"/>
    <cellStyle name="20% - Énfasis5 28 2 2 2 2 2" xfId="38826" xr:uid="{1D111008-27B4-43EE-915F-C1894083FA53}"/>
    <cellStyle name="20% - Énfasis5 28 2 2 2 3" xfId="38825" xr:uid="{149B7620-A9F7-419D-A164-5ED8D85031CE}"/>
    <cellStyle name="20% - Énfasis5 28 2 2 3" xfId="22215" xr:uid="{3F28763B-4EC0-4CE7-BBAD-42439FB73D1F}"/>
    <cellStyle name="20% - Énfasis5 28 2 2 3 2" xfId="38827" xr:uid="{6EF58EAF-D545-4061-B5E7-0A27593D0838}"/>
    <cellStyle name="20% - Énfasis5 28 2 2 4" xfId="38824" xr:uid="{0CCE0F8E-8577-467F-A766-CB970526EFC8}"/>
    <cellStyle name="20% - Énfasis5 28 2 3" xfId="10779" xr:uid="{0DDCA20B-7568-48C6-8356-39172885ABEC}"/>
    <cellStyle name="20% - Énfasis5 28 2 3 2" xfId="26192" xr:uid="{CC574BED-4169-4ABF-8871-4F27418A1137}"/>
    <cellStyle name="20% - Énfasis5 28 2 3 2 2" xfId="38829" xr:uid="{2A071296-514F-492E-9868-2F741B1A789C}"/>
    <cellStyle name="20% - Énfasis5 28 2 3 3" xfId="38828" xr:uid="{1075C6D6-7555-45BD-B3D8-C5BA360C1B1A}"/>
    <cellStyle name="20% - Énfasis5 28 2 4" xfId="18487" xr:uid="{74332D8E-92FD-406E-A7E7-34A9315C19BA}"/>
    <cellStyle name="20% - Énfasis5 28 2 4 2" xfId="38830" xr:uid="{9E06CF76-5DEF-47F7-95E1-7D016506BFB8}"/>
    <cellStyle name="20% - Énfasis5 28 2 5" xfId="38823" xr:uid="{6E4FBD73-AA7D-4209-9775-3C125A3A7761}"/>
    <cellStyle name="20% - Énfasis5 28 3" xfId="5339" xr:uid="{FED4682B-AEC0-4B98-B0FE-7395F4788DB7}"/>
    <cellStyle name="20% - Énfasis5 28 3 2" xfId="13047" xr:uid="{A9D995C8-10FB-459C-886D-F9938B1515F1}"/>
    <cellStyle name="20% - Énfasis5 28 3 2 2" xfId="28459" xr:uid="{B080328B-3E16-417B-BFFA-2656BA55254E}"/>
    <cellStyle name="20% - Énfasis5 28 3 2 2 2" xfId="38833" xr:uid="{BAEDE840-11C4-4F79-8CAA-5B7347FFF7F6}"/>
    <cellStyle name="20% - Énfasis5 28 3 2 3" xfId="38832" xr:uid="{7ED08002-2987-46EC-B7F8-419284314644}"/>
    <cellStyle name="20% - Énfasis5 28 3 3" xfId="20754" xr:uid="{E8ECCDB5-6824-4951-99FC-ECD776C6B59B}"/>
    <cellStyle name="20% - Énfasis5 28 3 3 2" xfId="38834" xr:uid="{E657F40E-3F00-4F68-906B-F812FF5923F3}"/>
    <cellStyle name="20% - Énfasis5 28 3 4" xfId="38831" xr:uid="{067D92F0-CB54-4959-BD8D-BCEE4A76CCB8}"/>
    <cellStyle name="20% - Énfasis5 28 4" xfId="9320" xr:uid="{CD1A0BDE-3AC6-4FD3-BBCD-D3D12808AC4D}"/>
    <cellStyle name="20% - Énfasis5 28 4 2" xfId="24733" xr:uid="{1D6DF565-666F-4519-B111-4427022B8FFC}"/>
    <cellStyle name="20% - Énfasis5 28 4 2 2" xfId="38836" xr:uid="{5637C0C7-1736-4A59-90BE-AD0F1424D7BC}"/>
    <cellStyle name="20% - Énfasis5 28 4 3" xfId="38835" xr:uid="{ED5B4160-EA64-444E-9CB8-7C5AA9318114}"/>
    <cellStyle name="20% - Énfasis5 28 5" xfId="17028" xr:uid="{D653ADCA-77BD-4FFE-A923-6019A9AEE14C}"/>
    <cellStyle name="20% - Énfasis5 28 5 2" xfId="38837" xr:uid="{34D86537-E5C2-4339-A006-1505FA4206D8}"/>
    <cellStyle name="20% - Énfasis5 28 6" xfId="38822" xr:uid="{52B177CE-C027-40FC-8420-30D1C9D216D0}"/>
    <cellStyle name="20% - Énfasis5 29" xfId="3088" xr:uid="{039EE169-1C20-4563-9A97-E7825B48AF9D}"/>
    <cellStyle name="20% - Énfasis5 29 2" xfId="6820" xr:uid="{7222C968-94C1-404B-A629-8AB327FFC19E}"/>
    <cellStyle name="20% - Énfasis5 29 2 2" xfId="14528" xr:uid="{8819044D-237A-4D5B-AD69-92D7A9C1ED3B}"/>
    <cellStyle name="20% - Énfasis5 29 2 2 2" xfId="29940" xr:uid="{647BE3B2-C077-4B0E-9AB8-9D4F585B41A2}"/>
    <cellStyle name="20% - Énfasis5 29 2 2 2 2" xfId="38841" xr:uid="{8EB07FE0-D188-4D7E-9E5D-9AAFE1054C1A}"/>
    <cellStyle name="20% - Énfasis5 29 2 2 3" xfId="38840" xr:uid="{D78A7D1E-4C9F-44F0-B29C-F12CF158A099}"/>
    <cellStyle name="20% - Énfasis5 29 2 3" xfId="22235" xr:uid="{30862DA2-2114-49F6-A0BE-1FC92A9F0AC2}"/>
    <cellStyle name="20% - Énfasis5 29 2 3 2" xfId="38842" xr:uid="{0611EC7E-3431-4605-AE84-D8432A0BF2E6}"/>
    <cellStyle name="20% - Énfasis5 29 2 4" xfId="38839" xr:uid="{C2947FE9-4E54-4345-A8E9-F38E70004ADD}"/>
    <cellStyle name="20% - Énfasis5 29 3" xfId="10799" xr:uid="{173E3744-535F-4FB4-8D9A-8A2A2131C6FD}"/>
    <cellStyle name="20% - Énfasis5 29 3 2" xfId="26212" xr:uid="{2CA18491-6FD9-47F0-B33F-E07DA640F74E}"/>
    <cellStyle name="20% - Énfasis5 29 3 2 2" xfId="38844" xr:uid="{BC06A736-EAE9-47C1-9F2D-6EA4F32B9D60}"/>
    <cellStyle name="20% - Énfasis5 29 3 3" xfId="38843" xr:uid="{B93D96F0-B32A-44B3-9206-5CBC4B2972A3}"/>
    <cellStyle name="20% - Énfasis5 29 4" xfId="18507" xr:uid="{C5BA84A6-861B-45B8-B223-366916F17338}"/>
    <cellStyle name="20% - Énfasis5 29 4 2" xfId="38845" xr:uid="{4A89BB0F-D8E3-49A6-BA7D-A2DAA95F2FED}"/>
    <cellStyle name="20% - Énfasis5 29 5" xfId="38838" xr:uid="{5594E813-8FE7-46A2-AC64-7000164B28A7}"/>
    <cellStyle name="20% - Énfasis5 3" xfId="250" xr:uid="{A1C281BD-5B31-48D4-94B5-FEDF0E751441}"/>
    <cellStyle name="20% - Énfasis5 3 2" xfId="452" xr:uid="{E6ACAC37-5859-4946-87AE-A1EEAB4299A5}"/>
    <cellStyle name="20% - Énfasis5 3 2 2" xfId="1113" xr:uid="{33B493F1-91E3-4292-AF55-E10752B2C1D1}"/>
    <cellStyle name="20% - Énfasis5 3 2 2 2" xfId="2581" xr:uid="{77013B53-061A-403D-89A8-2E6F6867BCA2}"/>
    <cellStyle name="20% - Énfasis5 3 2 2 2 2" xfId="6313" xr:uid="{DF2F8CCA-5143-4D59-92E9-0A9FAA27D97D}"/>
    <cellStyle name="20% - Énfasis5 3 2 2 2 2 2" xfId="14021" xr:uid="{A0E732A9-5A58-46EC-88F2-535B7CADEEA4}"/>
    <cellStyle name="20% - Énfasis5 3 2 2 2 2 2 2" xfId="29433" xr:uid="{6E155B27-4BB7-4105-8AEC-365FE0B22461}"/>
    <cellStyle name="20% - Énfasis5 3 2 2 2 2 2 2 2" xfId="38852" xr:uid="{4CADD692-97EA-46E2-B7B9-3FFE9D686F1C}"/>
    <cellStyle name="20% - Énfasis5 3 2 2 2 2 2 3" xfId="38851" xr:uid="{32A6155D-88F6-447C-B3FF-E8A5DE332961}"/>
    <cellStyle name="20% - Énfasis5 3 2 2 2 2 3" xfId="21728" xr:uid="{8C4FF205-3A43-4B71-A6CC-AA1E8CDD5677}"/>
    <cellStyle name="20% - Énfasis5 3 2 2 2 2 3 2" xfId="38853" xr:uid="{94F6DEA6-0FC9-4398-B8D2-2156CB1A4F2E}"/>
    <cellStyle name="20% - Énfasis5 3 2 2 2 2 4" xfId="38850" xr:uid="{746E323E-DFFC-48D2-806F-C074D0542C8D}"/>
    <cellStyle name="20% - Énfasis5 3 2 2 2 3" xfId="10292" xr:uid="{712FF999-DB47-42E9-80C1-B231DEB66BAA}"/>
    <cellStyle name="20% - Énfasis5 3 2 2 2 3 2" xfId="25705" xr:uid="{64CF6355-DE08-405E-ADAC-C04CAF597045}"/>
    <cellStyle name="20% - Énfasis5 3 2 2 2 3 2 2" xfId="38855" xr:uid="{657687DB-0692-4930-9FFB-E08366E19305}"/>
    <cellStyle name="20% - Énfasis5 3 2 2 2 3 3" xfId="38854" xr:uid="{F6CCEC16-5DD4-4E29-B6CA-139650A7A485}"/>
    <cellStyle name="20% - Énfasis5 3 2 2 2 4" xfId="18000" xr:uid="{03572C3F-83F0-42EC-B828-3C9B497587E1}"/>
    <cellStyle name="20% - Énfasis5 3 2 2 2 4 2" xfId="38856" xr:uid="{B3344F01-95BD-45CC-BA66-A594A28CEA94}"/>
    <cellStyle name="20% - Énfasis5 3 2 2 2 5" xfId="38849" xr:uid="{5F19A2CD-0D70-4B5B-835F-63B1649CA64D}"/>
    <cellStyle name="20% - Énfasis5 3 2 2 3" xfId="4850" xr:uid="{EB034277-308F-44D9-A90D-930D981D41DB}"/>
    <cellStyle name="20% - Énfasis5 3 2 2 3 2" xfId="12558" xr:uid="{EB07081A-1199-4DB2-A642-BA0972261E08}"/>
    <cellStyle name="20% - Énfasis5 3 2 2 3 2 2" xfId="27970" xr:uid="{2529C514-9B06-45D6-85DF-331E3ABDCA3A}"/>
    <cellStyle name="20% - Énfasis5 3 2 2 3 2 2 2" xfId="38859" xr:uid="{0489E1B7-4A2D-4855-A25B-8B825DCF35E8}"/>
    <cellStyle name="20% - Énfasis5 3 2 2 3 2 3" xfId="38858" xr:uid="{F1AC65AB-C8DB-4E42-BE8B-73F118841358}"/>
    <cellStyle name="20% - Énfasis5 3 2 2 3 3" xfId="20265" xr:uid="{3C403DED-1346-40A6-9669-8FB1B7B778DC}"/>
    <cellStyle name="20% - Énfasis5 3 2 2 3 3 2" xfId="38860" xr:uid="{F0BF7CAB-805F-4F14-9C54-E1EACC4CF5B2}"/>
    <cellStyle name="20% - Énfasis5 3 2 2 3 4" xfId="38857" xr:uid="{0CF00C4D-1A45-4859-9D4D-03191638B79A}"/>
    <cellStyle name="20% - Énfasis5 3 2 2 4" xfId="8833" xr:uid="{C691FAC6-E600-4492-887D-5D2D13B8BF50}"/>
    <cellStyle name="20% - Énfasis5 3 2 2 4 2" xfId="24246" xr:uid="{7CA06CA2-47EA-44B5-AE36-86DFC15354D9}"/>
    <cellStyle name="20% - Énfasis5 3 2 2 4 2 2" xfId="38862" xr:uid="{B8282EAD-32FA-462C-A054-AF88F35193F8}"/>
    <cellStyle name="20% - Énfasis5 3 2 2 4 3" xfId="38861" xr:uid="{76032DFE-3965-42C0-8A6F-8C12F3F14287}"/>
    <cellStyle name="20% - Énfasis5 3 2 2 5" xfId="16541" xr:uid="{59652E4F-EAC3-4EC5-96BE-5DD334EDE472}"/>
    <cellStyle name="20% - Énfasis5 3 2 2 5 2" xfId="38863" xr:uid="{04E16690-C9D6-431A-8FE5-43C0E2EF7E10}"/>
    <cellStyle name="20% - Énfasis5 3 2 2 6" xfId="38848" xr:uid="{179A87F9-0445-4E21-AC27-6F27E6280C42}"/>
    <cellStyle name="20% - Énfasis5 3 2 3" xfId="1943" xr:uid="{53AD53B4-FBD2-451E-A327-EFDAE052E010}"/>
    <cellStyle name="20% - Énfasis5 3 2 3 2" xfId="5675" xr:uid="{D806555A-F9E8-4472-9F02-EF5960F9734A}"/>
    <cellStyle name="20% - Énfasis5 3 2 3 2 2" xfId="13383" xr:uid="{D60FC350-37F5-42E8-81ED-416253ACDD37}"/>
    <cellStyle name="20% - Énfasis5 3 2 3 2 2 2" xfId="28795" xr:uid="{4836E4B3-E651-434D-B6F1-72B6C39C918E}"/>
    <cellStyle name="20% - Énfasis5 3 2 3 2 2 2 2" xfId="38867" xr:uid="{9488DB53-AFC3-4752-AC5E-A950E3A6F410}"/>
    <cellStyle name="20% - Énfasis5 3 2 3 2 2 3" xfId="38866" xr:uid="{7F9ED19B-4278-4747-B370-8DB76E9DFE0D}"/>
    <cellStyle name="20% - Énfasis5 3 2 3 2 3" xfId="21090" xr:uid="{068C6218-8E5A-4680-B3AE-EFE9EDA18090}"/>
    <cellStyle name="20% - Énfasis5 3 2 3 2 3 2" xfId="38868" xr:uid="{34172191-0669-46D0-BB4E-34EA539FF23D}"/>
    <cellStyle name="20% - Énfasis5 3 2 3 2 4" xfId="38865" xr:uid="{9D3B4845-B928-43AC-94C2-492518F6C4B2}"/>
    <cellStyle name="20% - Énfasis5 3 2 3 3" xfId="9654" xr:uid="{AE9AB15C-BCD9-4D32-AFBC-2D9C505C6544}"/>
    <cellStyle name="20% - Énfasis5 3 2 3 3 2" xfId="25067" xr:uid="{47895683-CE0C-4EE3-87DB-6AB2746A1673}"/>
    <cellStyle name="20% - Énfasis5 3 2 3 3 2 2" xfId="38870" xr:uid="{BCFE9295-F479-47D6-AC3D-65E2B6003756}"/>
    <cellStyle name="20% - Énfasis5 3 2 3 3 3" xfId="38869" xr:uid="{5A3649B5-B023-4771-8419-D4F09CE983EB}"/>
    <cellStyle name="20% - Énfasis5 3 2 3 4" xfId="17362" xr:uid="{89C9A3AB-BC48-4341-8758-A072A26A01A0}"/>
    <cellStyle name="20% - Énfasis5 3 2 3 4 2" xfId="38871" xr:uid="{BB788CF5-204B-48E3-A40F-6DB858EBA1B1}"/>
    <cellStyle name="20% - Énfasis5 3 2 3 5" xfId="38864" xr:uid="{E9CBE03F-8C06-4BDA-94A5-410CD7612DB1}"/>
    <cellStyle name="20% - Énfasis5 3 2 4" xfId="4198" xr:uid="{FF96309E-DAE0-48C2-A669-250A125727D8}"/>
    <cellStyle name="20% - Énfasis5 3 2 4 2" xfId="11906" xr:uid="{E1E5A72A-FDBA-4089-BD8F-03AC208B1E06}"/>
    <cellStyle name="20% - Énfasis5 3 2 4 2 2" xfId="27318" xr:uid="{C2F7A397-1E92-4544-99C6-70C12E092F5A}"/>
    <cellStyle name="20% - Énfasis5 3 2 4 2 2 2" xfId="38874" xr:uid="{6B51CFEA-0004-4389-972D-019A545D9760}"/>
    <cellStyle name="20% - Énfasis5 3 2 4 2 3" xfId="38873" xr:uid="{4060498B-AA62-4EB3-BE5F-E0D9514EAD97}"/>
    <cellStyle name="20% - Énfasis5 3 2 4 3" xfId="19613" xr:uid="{47BB9531-9AA2-445C-A56D-695FD3D5FDEE}"/>
    <cellStyle name="20% - Énfasis5 3 2 4 3 2" xfId="38875" xr:uid="{4D51E6B5-11D5-4D9B-9CAB-F26E5BE22ED4}"/>
    <cellStyle name="20% - Énfasis5 3 2 4 4" xfId="38872" xr:uid="{B6CB4AA2-C261-44FE-9313-798B9C67485A}"/>
    <cellStyle name="20% - Énfasis5 3 2 5" xfId="8195" xr:uid="{B979508D-AFF1-4357-8DD4-B27297F2E66D}"/>
    <cellStyle name="20% - Énfasis5 3 2 5 2" xfId="23608" xr:uid="{C48716FE-C1D3-4201-A458-D9B740D01E01}"/>
    <cellStyle name="20% - Énfasis5 3 2 5 2 2" xfId="38877" xr:uid="{9BE3D664-264C-4B7E-86B9-6B950C236BB6}"/>
    <cellStyle name="20% - Énfasis5 3 2 5 3" xfId="38876" xr:uid="{F1BEFCC1-A4A6-47B2-AAEF-03A17E7093F1}"/>
    <cellStyle name="20% - Énfasis5 3 2 6" xfId="15903" xr:uid="{7E53BB6B-0E69-4C09-BD88-62A79E8AEBFA}"/>
    <cellStyle name="20% - Énfasis5 3 2 6 2" xfId="38878" xr:uid="{4D60CC30-FF4F-4BF0-914C-CC89C8945797}"/>
    <cellStyle name="20% - Énfasis5 3 2 7" xfId="38847" xr:uid="{2628F602-4882-46C1-883E-272915B02B59}"/>
    <cellStyle name="20% - Énfasis5 3 3" xfId="913" xr:uid="{CA605E18-4F73-4BE1-8EBE-1366566FA189}"/>
    <cellStyle name="20% - Énfasis5 3 3 2" xfId="2383" xr:uid="{0C1658AA-075A-4215-8C63-265457E74B88}"/>
    <cellStyle name="20% - Énfasis5 3 3 2 2" xfId="6115" xr:uid="{1A7FF625-A6A1-4423-80F8-94817902DBBC}"/>
    <cellStyle name="20% - Énfasis5 3 3 2 2 2" xfId="13823" xr:uid="{A68A981E-33B3-44C1-92CF-B32320E5F091}"/>
    <cellStyle name="20% - Énfasis5 3 3 2 2 2 2" xfId="29235" xr:uid="{46572B85-BD10-4B4D-A343-FE61F5397970}"/>
    <cellStyle name="20% - Énfasis5 3 3 2 2 2 2 2" xfId="38883" xr:uid="{688993B3-A727-414F-BA9F-CA087E4D2CA7}"/>
    <cellStyle name="20% - Énfasis5 3 3 2 2 2 3" xfId="38882" xr:uid="{68D09D2A-973D-47E6-9DE5-BD299C5A7214}"/>
    <cellStyle name="20% - Énfasis5 3 3 2 2 3" xfId="21530" xr:uid="{CB58C5BF-60F5-446C-A5FD-DACB8C894C01}"/>
    <cellStyle name="20% - Énfasis5 3 3 2 2 3 2" xfId="38884" xr:uid="{BFEB4896-43A4-4399-BADD-2D538DAB6EBB}"/>
    <cellStyle name="20% - Énfasis5 3 3 2 2 4" xfId="38881" xr:uid="{D00F0594-20B0-45C1-AF20-D0AB8D49FA7C}"/>
    <cellStyle name="20% - Énfasis5 3 3 2 3" xfId="10094" xr:uid="{A197A243-7C7B-48B0-935D-65258905B777}"/>
    <cellStyle name="20% - Énfasis5 3 3 2 3 2" xfId="25507" xr:uid="{6678EE5B-71D0-463B-9186-3BDB49E1250B}"/>
    <cellStyle name="20% - Énfasis5 3 3 2 3 2 2" xfId="38886" xr:uid="{1C8119D2-AE2A-4649-BED8-B9CE561110B6}"/>
    <cellStyle name="20% - Énfasis5 3 3 2 3 3" xfId="38885" xr:uid="{2622DB00-BE1B-44CE-9575-4BB6B29987E0}"/>
    <cellStyle name="20% - Énfasis5 3 3 2 4" xfId="17802" xr:uid="{3FB75CF5-6D83-4523-866E-8DD97CFA0EDB}"/>
    <cellStyle name="20% - Énfasis5 3 3 2 4 2" xfId="38887" xr:uid="{A7727FBB-A8BF-4ABE-BE1A-8428BBF0A80E}"/>
    <cellStyle name="20% - Énfasis5 3 3 2 5" xfId="38880" xr:uid="{4AC4AF68-3F86-417D-A6BB-74DA8541595A}"/>
    <cellStyle name="20% - Énfasis5 3 3 3" xfId="4650" xr:uid="{0C7378F5-6557-4989-BA4B-FABEF4487744}"/>
    <cellStyle name="20% - Énfasis5 3 3 3 2" xfId="12358" xr:uid="{F2C3981F-94B3-467F-BE48-CC7C977D1C18}"/>
    <cellStyle name="20% - Énfasis5 3 3 3 2 2" xfId="27770" xr:uid="{08417FE2-4428-44EE-A7D5-44C895ACA123}"/>
    <cellStyle name="20% - Énfasis5 3 3 3 2 2 2" xfId="38890" xr:uid="{A94CF20E-2FAB-423E-8CE3-D7C1979C99B8}"/>
    <cellStyle name="20% - Énfasis5 3 3 3 2 3" xfId="38889" xr:uid="{4395F669-F074-4397-9A54-5ED98514AC68}"/>
    <cellStyle name="20% - Énfasis5 3 3 3 3" xfId="20065" xr:uid="{0428BF4D-18AD-4F29-97F7-A164B78103EE}"/>
    <cellStyle name="20% - Énfasis5 3 3 3 3 2" xfId="38891" xr:uid="{63A8C35E-41AF-4770-ACD8-5140A34BCDCE}"/>
    <cellStyle name="20% - Énfasis5 3 3 3 4" xfId="38888" xr:uid="{87CB2A07-94F9-48D1-9E5F-2DF20F228EC8}"/>
    <cellStyle name="20% - Énfasis5 3 3 4" xfId="8635" xr:uid="{A979A970-98F1-46CB-9A22-9E2209A8296E}"/>
    <cellStyle name="20% - Énfasis5 3 3 4 2" xfId="24048" xr:uid="{F8759AB2-4378-4364-961C-09784E8E4107}"/>
    <cellStyle name="20% - Énfasis5 3 3 4 2 2" xfId="38893" xr:uid="{5A16BE26-5809-4179-953F-0011F8C6111F}"/>
    <cellStyle name="20% - Énfasis5 3 3 4 3" xfId="38892" xr:uid="{668CBCD9-E428-46E1-A342-005FFA37E3E9}"/>
    <cellStyle name="20% - Énfasis5 3 3 5" xfId="16343" xr:uid="{7D190941-685F-4A91-BA92-54CF5AE799FA}"/>
    <cellStyle name="20% - Énfasis5 3 3 5 2" xfId="38894" xr:uid="{8626A243-852B-41A2-AC08-4B1F7B17C3A8}"/>
    <cellStyle name="20% - Énfasis5 3 3 6" xfId="38879" xr:uid="{A8D0B0FB-A83B-432D-8089-2DC00CECFF25}"/>
    <cellStyle name="20% - Énfasis5 3 4" xfId="1745" xr:uid="{66BC91A6-BB88-47F6-A27A-47F376B23962}"/>
    <cellStyle name="20% - Énfasis5 3 4 2" xfId="5477" xr:uid="{38C58B1F-E22B-49B1-8748-8B7F335DED6D}"/>
    <cellStyle name="20% - Énfasis5 3 4 2 2" xfId="13185" xr:uid="{CE1D233E-E48F-435C-9916-B01BB93454C2}"/>
    <cellStyle name="20% - Énfasis5 3 4 2 2 2" xfId="28597" xr:uid="{C084049D-4A75-4721-84ED-4BA6577BB2EA}"/>
    <cellStyle name="20% - Énfasis5 3 4 2 2 2 2" xfId="38898" xr:uid="{4CA0E476-7FEF-403A-88BB-B9EF0DAEF8BA}"/>
    <cellStyle name="20% - Énfasis5 3 4 2 2 3" xfId="38897" xr:uid="{75F47E47-C56E-4D57-A00B-07F992BAD19D}"/>
    <cellStyle name="20% - Énfasis5 3 4 2 3" xfId="20892" xr:uid="{8461FAB9-2979-4A9A-8132-04E8E2AD2362}"/>
    <cellStyle name="20% - Énfasis5 3 4 2 3 2" xfId="38899" xr:uid="{803E565B-2047-4694-9E42-564E8AAB3A1C}"/>
    <cellStyle name="20% - Énfasis5 3 4 2 4" xfId="38896" xr:uid="{9BD2E6C4-37BE-4896-8F28-826CF679E2AF}"/>
    <cellStyle name="20% - Énfasis5 3 4 3" xfId="9456" xr:uid="{B73FAB43-3634-42C0-9819-327FE016CD21}"/>
    <cellStyle name="20% - Énfasis5 3 4 3 2" xfId="24869" xr:uid="{02CC2928-36B7-452B-A6BB-3AC007EBE395}"/>
    <cellStyle name="20% - Énfasis5 3 4 3 2 2" xfId="38901" xr:uid="{E1713653-8958-4A07-B88D-F604C79F53E2}"/>
    <cellStyle name="20% - Énfasis5 3 4 3 3" xfId="38900" xr:uid="{4AC86A1A-D2DB-4EDF-B546-B772B505C2DF}"/>
    <cellStyle name="20% - Énfasis5 3 4 4" xfId="17164" xr:uid="{EFEE56D8-CE16-4FCE-BA7D-BA4FED1D81B5}"/>
    <cellStyle name="20% - Énfasis5 3 4 4 2" xfId="38902" xr:uid="{C0DD51FC-1424-45CE-81CE-B3A12A22EB80}"/>
    <cellStyle name="20% - Énfasis5 3 4 5" xfId="38895" xr:uid="{E676EDD0-2BE9-4066-A09A-288CE2948320}"/>
    <cellStyle name="20% - Énfasis5 3 5" xfId="3998" xr:uid="{696D5873-4CE6-481A-B614-6FA7F791E954}"/>
    <cellStyle name="20% - Énfasis5 3 5 2" xfId="11706" xr:uid="{960C09EF-FAC9-42C6-B1D5-2FA0A44FD680}"/>
    <cellStyle name="20% - Énfasis5 3 5 2 2" xfId="27118" xr:uid="{733823D3-4D77-4B2C-A28F-007FED5D5855}"/>
    <cellStyle name="20% - Énfasis5 3 5 2 2 2" xfId="38905" xr:uid="{63A502CB-AB05-49CD-B3B3-300AC0A27DB4}"/>
    <cellStyle name="20% - Énfasis5 3 5 2 3" xfId="38904" xr:uid="{9218C860-960D-4C19-A92C-675C9001D849}"/>
    <cellStyle name="20% - Énfasis5 3 5 3" xfId="19413" xr:uid="{38F94F8D-58D8-4B02-B50F-68B9745FF1FD}"/>
    <cellStyle name="20% - Énfasis5 3 5 3 2" xfId="38906" xr:uid="{20EC7C23-0A54-4587-9E51-A3D2A25AAB56}"/>
    <cellStyle name="20% - Énfasis5 3 5 4" xfId="38903" xr:uid="{44E6A0FE-0003-4460-81CE-09B437356131}"/>
    <cellStyle name="20% - Énfasis5 3 6" xfId="7997" xr:uid="{08D21F8D-FAF4-4115-B62F-2EA80A83D47A}"/>
    <cellStyle name="20% - Énfasis5 3 6 2" xfId="23410" xr:uid="{C8CC3B9A-AC9B-4541-B526-E47E4A1C8EA5}"/>
    <cellStyle name="20% - Énfasis5 3 6 2 2" xfId="38908" xr:uid="{64483C3C-C603-46BB-8EB7-2353F1BA52D0}"/>
    <cellStyle name="20% - Énfasis5 3 6 3" xfId="38907" xr:uid="{BCC8A5D2-E2FE-4C2F-836B-47F8640563AB}"/>
    <cellStyle name="20% - Énfasis5 3 7" xfId="15705" xr:uid="{35E11A25-C96A-4307-9444-C3D6A1B377C3}"/>
    <cellStyle name="20% - Énfasis5 3 7 2" xfId="38909" xr:uid="{7E79BAD5-A28E-4620-973E-8BD3F6535E93}"/>
    <cellStyle name="20% - Énfasis5 3 8" xfId="38846" xr:uid="{9A46BB85-5556-441C-A88D-72D2BE3308B7}"/>
    <cellStyle name="20% - Énfasis5 30" xfId="3108" xr:uid="{ACD9A2AD-0C0B-48A8-AA7C-2F42358444A9}"/>
    <cellStyle name="20% - Énfasis5 30 2" xfId="6840" xr:uid="{954C1C7F-A7FD-4FEA-8652-3A5E560C6593}"/>
    <cellStyle name="20% - Énfasis5 30 2 2" xfId="14548" xr:uid="{D22EE4C3-9D90-4C0F-AA3D-96C36768FCA4}"/>
    <cellStyle name="20% - Énfasis5 30 2 2 2" xfId="29960" xr:uid="{528DC84C-83BB-4823-8D7A-ABAA32C27D41}"/>
    <cellStyle name="20% - Énfasis5 30 2 2 2 2" xfId="38913" xr:uid="{432D2847-069A-42B7-A3F3-B4FFDA66E483}"/>
    <cellStyle name="20% - Énfasis5 30 2 2 3" xfId="38912" xr:uid="{E59FB6AA-8ADC-42DC-91C1-C0A1B9235735}"/>
    <cellStyle name="20% - Énfasis5 30 2 3" xfId="22255" xr:uid="{05DE2688-2087-4903-9155-CC266DDED6B5}"/>
    <cellStyle name="20% - Énfasis5 30 2 3 2" xfId="38914" xr:uid="{5F7860F7-1F16-4897-907F-40FBFE5CA547}"/>
    <cellStyle name="20% - Énfasis5 30 2 4" xfId="38911" xr:uid="{73EEC228-168D-4227-A0C6-F60E25367740}"/>
    <cellStyle name="20% - Énfasis5 30 3" xfId="10819" xr:uid="{53FA75CD-16CC-4A96-93FD-4C5AEF4DC96B}"/>
    <cellStyle name="20% - Énfasis5 30 3 2" xfId="26232" xr:uid="{95E7BD64-BEF8-4660-95F3-107E35930A97}"/>
    <cellStyle name="20% - Énfasis5 30 3 2 2" xfId="38916" xr:uid="{A1DACD61-55AE-4433-B657-A96B11AB091C}"/>
    <cellStyle name="20% - Énfasis5 30 3 3" xfId="38915" xr:uid="{C2775D0F-C602-46AD-9371-1BDA9710BFA1}"/>
    <cellStyle name="20% - Énfasis5 30 4" xfId="18527" xr:uid="{3FF02A60-4442-4838-8C91-EF6FBED52D3A}"/>
    <cellStyle name="20% - Énfasis5 30 4 2" xfId="38917" xr:uid="{478D6358-EA7D-4EA5-B527-B3B7B78359C1}"/>
    <cellStyle name="20% - Énfasis5 30 5" xfId="38910" xr:uid="{5AEA125F-1AE9-4E39-8D38-618736D8F78A}"/>
    <cellStyle name="20% - Énfasis5 31" xfId="3128" xr:uid="{042124D9-ED6F-4A4D-91DE-84469EA96B7A}"/>
    <cellStyle name="20% - Énfasis5 31 2" xfId="6860" xr:uid="{028364E0-99A8-4702-971C-42E3C7216A90}"/>
    <cellStyle name="20% - Énfasis5 31 2 2" xfId="14568" xr:uid="{46A39C14-A44A-415D-AC16-F191AEB98410}"/>
    <cellStyle name="20% - Énfasis5 31 2 2 2" xfId="29980" xr:uid="{BDF5DEE9-1AD7-443A-83A3-7556FE0F900E}"/>
    <cellStyle name="20% - Énfasis5 31 2 2 2 2" xfId="38921" xr:uid="{3DF7D2BB-3C45-48B7-98FE-2F2039C8BD3E}"/>
    <cellStyle name="20% - Énfasis5 31 2 2 3" xfId="38920" xr:uid="{55AD75A2-DDDF-4329-B602-6019906A5043}"/>
    <cellStyle name="20% - Énfasis5 31 2 3" xfId="22275" xr:uid="{3BE50EAC-27BA-444C-9D56-D472BFA0BA95}"/>
    <cellStyle name="20% - Énfasis5 31 2 3 2" xfId="38922" xr:uid="{64392C9F-0E03-43C6-8F2F-E5AB57AF9937}"/>
    <cellStyle name="20% - Énfasis5 31 2 4" xfId="38919" xr:uid="{24F96854-B25C-4024-8E47-55EBA2062C42}"/>
    <cellStyle name="20% - Énfasis5 31 3" xfId="10839" xr:uid="{C37C196B-8C61-469D-B148-D950BED4D330}"/>
    <cellStyle name="20% - Énfasis5 31 3 2" xfId="26252" xr:uid="{D1F354FB-FC57-479E-AC35-D9EF70418A00}"/>
    <cellStyle name="20% - Énfasis5 31 3 2 2" xfId="38924" xr:uid="{F0854727-441F-4E69-B06B-E10DD3F6AB9D}"/>
    <cellStyle name="20% - Énfasis5 31 3 3" xfId="38923" xr:uid="{6C43A832-F161-448C-A2DB-27B20D4BA1AE}"/>
    <cellStyle name="20% - Énfasis5 31 4" xfId="18547" xr:uid="{2CE71133-38A2-4777-B081-74DD7B559766}"/>
    <cellStyle name="20% - Énfasis5 31 4 2" xfId="38925" xr:uid="{AEAD5ED1-B5F3-4B9C-B573-603FA3D00461}"/>
    <cellStyle name="20% - Énfasis5 31 5" xfId="38918" xr:uid="{3E4BA3CA-733B-45A5-B18C-EE0A3FF69E09}"/>
    <cellStyle name="20% - Énfasis5 32" xfId="3148" xr:uid="{E324D7F5-03D5-47CD-BFD3-E105FCBF22CF}"/>
    <cellStyle name="20% - Énfasis5 32 2" xfId="6880" xr:uid="{E4AE71E3-25D8-4C64-891F-267812412E36}"/>
    <cellStyle name="20% - Énfasis5 32 2 2" xfId="14588" xr:uid="{27402FFD-75F5-4E72-8605-AF3FC4CA7515}"/>
    <cellStyle name="20% - Énfasis5 32 2 2 2" xfId="30000" xr:uid="{8724245F-85CB-48B5-B943-FF246A25CA54}"/>
    <cellStyle name="20% - Énfasis5 32 2 2 2 2" xfId="38929" xr:uid="{3AA24D44-6621-4F4D-B20F-FB59AB8AC356}"/>
    <cellStyle name="20% - Énfasis5 32 2 2 3" xfId="38928" xr:uid="{D8F9584E-F67B-40C1-801B-37E4823C239A}"/>
    <cellStyle name="20% - Énfasis5 32 2 3" xfId="22295" xr:uid="{2D78D69E-4B1A-409A-B5F8-A07231B6A412}"/>
    <cellStyle name="20% - Énfasis5 32 2 3 2" xfId="38930" xr:uid="{4B0519EB-0830-4966-BB12-57DF3AC6F20C}"/>
    <cellStyle name="20% - Énfasis5 32 2 4" xfId="38927" xr:uid="{C80CF4F8-2CA0-4990-8360-E9F7A9CBB85A}"/>
    <cellStyle name="20% - Énfasis5 32 3" xfId="10859" xr:uid="{4257B7E2-E418-4B23-BAFE-5E459FAE3296}"/>
    <cellStyle name="20% - Énfasis5 32 3 2" xfId="26272" xr:uid="{A363752B-EAAB-4610-9A89-0213611C1F09}"/>
    <cellStyle name="20% - Énfasis5 32 3 2 2" xfId="38932" xr:uid="{400789F2-6E68-4A22-8F03-AB138E27C01E}"/>
    <cellStyle name="20% - Énfasis5 32 3 3" xfId="38931" xr:uid="{CADAAC52-D976-4F09-92C6-B22FFCBDF1E8}"/>
    <cellStyle name="20% - Énfasis5 32 4" xfId="18567" xr:uid="{B29D6C1F-9BD6-47B8-A946-509E77D59291}"/>
    <cellStyle name="20% - Énfasis5 32 4 2" xfId="38933" xr:uid="{CE9C05FA-1DCE-4BBC-9869-98490A99640B}"/>
    <cellStyle name="20% - Énfasis5 32 5" xfId="38926" xr:uid="{A0B742B6-FD12-4989-82D4-6CB5E4F16E2F}"/>
    <cellStyle name="20% - Énfasis5 33" xfId="3168" xr:uid="{C6741F9E-4AD2-4319-8DD2-C0F0AC0F3CF7}"/>
    <cellStyle name="20% - Énfasis5 33 2" xfId="6900" xr:uid="{160B6E65-D591-4871-B097-B31D57A72BD0}"/>
    <cellStyle name="20% - Énfasis5 33 2 2" xfId="14608" xr:uid="{551C8BC2-C095-4235-9A35-C22158C542AC}"/>
    <cellStyle name="20% - Énfasis5 33 2 2 2" xfId="30020" xr:uid="{17648726-0497-4612-AFD2-9E05C9973430}"/>
    <cellStyle name="20% - Énfasis5 33 2 2 2 2" xfId="38937" xr:uid="{CCBA1897-DE31-42C1-A18F-09868C176388}"/>
    <cellStyle name="20% - Énfasis5 33 2 2 3" xfId="38936" xr:uid="{7FCF2F21-2339-459D-B6AB-C80980879A4C}"/>
    <cellStyle name="20% - Énfasis5 33 2 3" xfId="22315" xr:uid="{F8B81CF1-5C5F-4BCC-AA0F-5059D59A5D2C}"/>
    <cellStyle name="20% - Énfasis5 33 2 3 2" xfId="38938" xr:uid="{BA03DB0A-BA2F-4EEF-8242-2430C31FC5E7}"/>
    <cellStyle name="20% - Énfasis5 33 2 4" xfId="38935" xr:uid="{66C49565-CE79-4153-B6A1-B2D1547ACC62}"/>
    <cellStyle name="20% - Énfasis5 33 3" xfId="10879" xr:uid="{E56386ED-9765-4A4D-A337-016AEA7AD653}"/>
    <cellStyle name="20% - Énfasis5 33 3 2" xfId="26292" xr:uid="{05054C7D-ABCE-41E3-A0AD-A05DE5CEA9B5}"/>
    <cellStyle name="20% - Énfasis5 33 3 2 2" xfId="38940" xr:uid="{1B6E4106-920F-460F-AFF6-D80896C766ED}"/>
    <cellStyle name="20% - Énfasis5 33 3 3" xfId="38939" xr:uid="{312AC8DA-3867-4F33-8F16-A612FE1A7759}"/>
    <cellStyle name="20% - Énfasis5 33 4" xfId="18587" xr:uid="{05627321-18CB-4FD7-83E9-F6DDE09CD683}"/>
    <cellStyle name="20% - Énfasis5 33 4 2" xfId="38941" xr:uid="{73C8B4D5-E332-49E1-A9E8-54CF2DF7C9F1}"/>
    <cellStyle name="20% - Énfasis5 33 5" xfId="38934" xr:uid="{11209F53-CD46-411C-B962-F40F995843B3}"/>
    <cellStyle name="20% - Énfasis5 34" xfId="3188" xr:uid="{3932A830-68C8-4D12-BE30-7CE850811E5E}"/>
    <cellStyle name="20% - Énfasis5 34 2" xfId="6920" xr:uid="{111309BD-D7EC-4832-80D6-8C85DF126366}"/>
    <cellStyle name="20% - Énfasis5 34 2 2" xfId="14628" xr:uid="{0808A75E-5834-405D-AE5C-680DDE313F7B}"/>
    <cellStyle name="20% - Énfasis5 34 2 2 2" xfId="30040" xr:uid="{E807E667-6E88-4EE8-9083-CCF062FF0E60}"/>
    <cellStyle name="20% - Énfasis5 34 2 2 2 2" xfId="38945" xr:uid="{50FC3999-5E8F-4B68-AE41-3B1BE7B074A8}"/>
    <cellStyle name="20% - Énfasis5 34 2 2 3" xfId="38944" xr:uid="{7B376353-C870-4578-9611-B77869560303}"/>
    <cellStyle name="20% - Énfasis5 34 2 3" xfId="22335" xr:uid="{267060B4-80E3-4C27-910F-F82F8C005FFC}"/>
    <cellStyle name="20% - Énfasis5 34 2 3 2" xfId="38946" xr:uid="{7007B64A-419C-4785-B22E-1C664318EE07}"/>
    <cellStyle name="20% - Énfasis5 34 2 4" xfId="38943" xr:uid="{E062B87B-938E-4F38-97A2-3C6B63011375}"/>
    <cellStyle name="20% - Énfasis5 34 3" xfId="10899" xr:uid="{A0E02F83-FD57-408E-985A-FD8407CF313C}"/>
    <cellStyle name="20% - Énfasis5 34 3 2" xfId="26312" xr:uid="{31B0470B-3066-427E-87F2-523875DEDC23}"/>
    <cellStyle name="20% - Énfasis5 34 3 2 2" xfId="38948" xr:uid="{CB4B88DF-027F-490D-83C0-74A2A7B516EF}"/>
    <cellStyle name="20% - Énfasis5 34 3 3" xfId="38947" xr:uid="{3C1165EA-9696-4DBF-B0D9-CED737609620}"/>
    <cellStyle name="20% - Énfasis5 34 4" xfId="18607" xr:uid="{236894E0-09BE-4FEC-B0FE-98F28F0F931F}"/>
    <cellStyle name="20% - Énfasis5 34 4 2" xfId="38949" xr:uid="{A1AF1097-C42A-42E1-97AE-9FDFC642C99B}"/>
    <cellStyle name="20% - Énfasis5 34 5" xfId="38942" xr:uid="{9CBD5CB7-A907-4087-85FA-DA414251A24A}"/>
    <cellStyle name="20% - Énfasis5 35" xfId="3208" xr:uid="{588B5542-FBCE-4CE9-9A30-6D351EAD78EB}"/>
    <cellStyle name="20% - Énfasis5 35 2" xfId="6940" xr:uid="{F9D83BD4-F07F-4707-B5D6-E44B18F56F9D}"/>
    <cellStyle name="20% - Énfasis5 35 2 2" xfId="14648" xr:uid="{0F8F4A43-4AFF-4E0E-8CC0-AEF9642886D2}"/>
    <cellStyle name="20% - Énfasis5 35 2 2 2" xfId="30060" xr:uid="{AAB2C5B9-893E-439B-8F04-998C38628E99}"/>
    <cellStyle name="20% - Énfasis5 35 2 2 2 2" xfId="38953" xr:uid="{7A7DC301-911A-43CC-87DD-54ED65C4A195}"/>
    <cellStyle name="20% - Énfasis5 35 2 2 3" xfId="38952" xr:uid="{2EF3D353-B5F9-475F-BBA6-0FDB670C26F6}"/>
    <cellStyle name="20% - Énfasis5 35 2 3" xfId="22355" xr:uid="{037FA80E-9D8F-4344-9523-8A3CD771F983}"/>
    <cellStyle name="20% - Énfasis5 35 2 3 2" xfId="38954" xr:uid="{7D536F1E-0BFE-46D3-982A-F8D581A86522}"/>
    <cellStyle name="20% - Énfasis5 35 2 4" xfId="38951" xr:uid="{5F5C2A25-2ACD-4ABF-B68B-1E1254686343}"/>
    <cellStyle name="20% - Énfasis5 35 3" xfId="10919" xr:uid="{BC196194-EE1A-43C8-992C-D7DB8C273F59}"/>
    <cellStyle name="20% - Énfasis5 35 3 2" xfId="26332" xr:uid="{AA4B97C4-0146-4B3E-B68B-78D6AC026701}"/>
    <cellStyle name="20% - Énfasis5 35 3 2 2" xfId="38956" xr:uid="{C13931DC-901B-4B25-84C6-16C0079BF6D3}"/>
    <cellStyle name="20% - Énfasis5 35 3 3" xfId="38955" xr:uid="{7226424F-27AA-4B75-B6DD-D537ECA12796}"/>
    <cellStyle name="20% - Énfasis5 35 4" xfId="18627" xr:uid="{53366EE0-F3C4-45F6-9467-8979CFBDBAB3}"/>
    <cellStyle name="20% - Énfasis5 35 4 2" xfId="38957" xr:uid="{BB3915D4-1B6B-4D65-9045-74DAC8E9E133}"/>
    <cellStyle name="20% - Énfasis5 35 5" xfId="38950" xr:uid="{96494E63-0DB9-434E-8CCA-1C6CD3ECFFE6}"/>
    <cellStyle name="20% - Énfasis5 36" xfId="3228" xr:uid="{63C7FF9D-893C-4EB7-9380-B6183BA44874}"/>
    <cellStyle name="20% - Énfasis5 36 2" xfId="6960" xr:uid="{C396D2B7-B55A-4B63-A394-51FB34ADDC24}"/>
    <cellStyle name="20% - Énfasis5 36 2 2" xfId="14668" xr:uid="{115C8C2A-5028-4E55-84C9-59D88F4A3D08}"/>
    <cellStyle name="20% - Énfasis5 36 2 2 2" xfId="30080" xr:uid="{C75DDB66-5CB8-4C7B-BAB2-EEDA802B04F1}"/>
    <cellStyle name="20% - Énfasis5 36 2 2 2 2" xfId="38961" xr:uid="{1ADBD674-B78A-4FA1-8732-70EA2B3042A0}"/>
    <cellStyle name="20% - Énfasis5 36 2 2 3" xfId="38960" xr:uid="{D0925DEC-1DEF-4438-ACE3-555F714051A6}"/>
    <cellStyle name="20% - Énfasis5 36 2 3" xfId="22375" xr:uid="{E276B0B3-14B5-43DB-AC73-F7E9BB832F68}"/>
    <cellStyle name="20% - Énfasis5 36 2 3 2" xfId="38962" xr:uid="{BF86C55B-AA25-426F-BD45-CF9F47238491}"/>
    <cellStyle name="20% - Énfasis5 36 2 4" xfId="38959" xr:uid="{97683CB8-5900-4DF3-B242-407CE17217F1}"/>
    <cellStyle name="20% - Énfasis5 36 3" xfId="10939" xr:uid="{56DFC681-56E8-4A07-B5A4-EFECFDB290AB}"/>
    <cellStyle name="20% - Énfasis5 36 3 2" xfId="26352" xr:uid="{8DA70458-7589-402A-8ED3-F471B50EF83A}"/>
    <cellStyle name="20% - Énfasis5 36 3 2 2" xfId="38964" xr:uid="{A12885E8-33D9-417F-92BA-72F003A3713A}"/>
    <cellStyle name="20% - Énfasis5 36 3 3" xfId="38963" xr:uid="{F0C82E66-DFC1-4715-AAAD-838D308FE905}"/>
    <cellStyle name="20% - Énfasis5 36 4" xfId="18647" xr:uid="{F12E1ED3-C5E1-446E-87CA-6B069F80689A}"/>
    <cellStyle name="20% - Énfasis5 36 4 2" xfId="38965" xr:uid="{4C75F3B9-EBFA-4936-B637-5417179A8223}"/>
    <cellStyle name="20% - Énfasis5 36 5" xfId="38958" xr:uid="{4DEA118E-4F15-4E59-8D2E-CEC6CB91CBE4}"/>
    <cellStyle name="20% - Énfasis5 37" xfId="3248" xr:uid="{0E7F980E-5932-49EC-89EC-8945A7AF9EFA}"/>
    <cellStyle name="20% - Énfasis5 37 2" xfId="6980" xr:uid="{EA6812B4-B44A-485C-B408-611734079CBE}"/>
    <cellStyle name="20% - Énfasis5 37 2 2" xfId="14688" xr:uid="{765FA839-6623-4C39-B8E0-67B761C66E24}"/>
    <cellStyle name="20% - Énfasis5 37 2 2 2" xfId="30100" xr:uid="{C015E90A-E883-4C23-B86D-6019A424C54C}"/>
    <cellStyle name="20% - Énfasis5 37 2 2 2 2" xfId="38969" xr:uid="{597B97A3-F027-43A3-853E-3502B3294ABC}"/>
    <cellStyle name="20% - Énfasis5 37 2 2 3" xfId="38968" xr:uid="{8CC6A99B-C1A0-4991-B92F-6724A358CD5E}"/>
    <cellStyle name="20% - Énfasis5 37 2 3" xfId="22395" xr:uid="{511E966C-872A-4808-BB40-DE20AC0B75CC}"/>
    <cellStyle name="20% - Énfasis5 37 2 3 2" xfId="38970" xr:uid="{B5604504-E3FA-45B3-AA9A-DBF6E3315912}"/>
    <cellStyle name="20% - Énfasis5 37 2 4" xfId="38967" xr:uid="{81F0B1E7-5456-4002-B478-758DF908987D}"/>
    <cellStyle name="20% - Énfasis5 37 3" xfId="10959" xr:uid="{65AF4251-A238-4907-8FA5-B0877363087E}"/>
    <cellStyle name="20% - Énfasis5 37 3 2" xfId="26372" xr:uid="{83070F89-AE45-477E-82E7-EC46187F64B7}"/>
    <cellStyle name="20% - Énfasis5 37 3 2 2" xfId="38972" xr:uid="{756A8CD8-317A-4679-85BF-1A8AD85B0B55}"/>
    <cellStyle name="20% - Énfasis5 37 3 3" xfId="38971" xr:uid="{E2D3E509-0EBA-4901-A798-744E7EC44A25}"/>
    <cellStyle name="20% - Énfasis5 37 4" xfId="18667" xr:uid="{4843C367-C075-4CD8-A41D-F899F09A0DEB}"/>
    <cellStyle name="20% - Énfasis5 37 4 2" xfId="38973" xr:uid="{06A170AD-5B1E-47F5-BD60-BE0CEFD8F376}"/>
    <cellStyle name="20% - Énfasis5 37 5" xfId="38966" xr:uid="{D0474B52-1ACD-44F6-AD20-D744A0CD898B}"/>
    <cellStyle name="20% - Énfasis5 38" xfId="3268" xr:uid="{1D6A7CBF-D0DD-4DC1-9049-1DCB3654FC49}"/>
    <cellStyle name="20% - Énfasis5 38 2" xfId="7000" xr:uid="{581C7000-46AF-434B-BD7D-2EAB22141D9C}"/>
    <cellStyle name="20% - Énfasis5 38 2 2" xfId="14708" xr:uid="{2E6A66A9-8259-4438-91B7-2E05312D2E80}"/>
    <cellStyle name="20% - Énfasis5 38 2 2 2" xfId="30120" xr:uid="{F7738923-0281-4E62-BF7A-5AE6A97DB9E3}"/>
    <cellStyle name="20% - Énfasis5 38 2 2 2 2" xfId="38977" xr:uid="{DA9E604A-700F-4587-A6AA-5B407308E6A5}"/>
    <cellStyle name="20% - Énfasis5 38 2 2 3" xfId="38976" xr:uid="{AC9F8605-18E7-4E85-9FB7-189783180555}"/>
    <cellStyle name="20% - Énfasis5 38 2 3" xfId="22415" xr:uid="{4D2C2E31-2982-46A4-9D39-A4BB7040F0A8}"/>
    <cellStyle name="20% - Énfasis5 38 2 3 2" xfId="38978" xr:uid="{05DD90AE-5A1C-46FC-88D8-DC20D2171880}"/>
    <cellStyle name="20% - Énfasis5 38 2 4" xfId="38975" xr:uid="{2649BC75-AD68-4BCC-A604-30E733287A75}"/>
    <cellStyle name="20% - Énfasis5 38 3" xfId="10979" xr:uid="{6CF65CC9-800D-438A-AF5B-0D851703754C}"/>
    <cellStyle name="20% - Énfasis5 38 3 2" xfId="26392" xr:uid="{19FA34F3-E716-4FA7-9CA3-30163DE16971}"/>
    <cellStyle name="20% - Énfasis5 38 3 2 2" xfId="38980" xr:uid="{59472AE8-AD64-4E34-8A60-779043C11A67}"/>
    <cellStyle name="20% - Énfasis5 38 3 3" xfId="38979" xr:uid="{7A164193-BEA0-4FD4-8CD7-22A6477E4881}"/>
    <cellStyle name="20% - Énfasis5 38 4" xfId="18687" xr:uid="{01A6F6E6-8C5A-49AB-B80E-90F01522B850}"/>
    <cellStyle name="20% - Énfasis5 38 4 2" xfId="38981" xr:uid="{9ED63762-1A43-499D-BF51-D40144AE8BFA}"/>
    <cellStyle name="20% - Énfasis5 38 5" xfId="38974" xr:uid="{9121C2F8-A01F-4ECC-B65B-F18310EE7254}"/>
    <cellStyle name="20% - Énfasis5 39" xfId="3288" xr:uid="{CC952350-9804-47C0-9631-AC92162CDAC8}"/>
    <cellStyle name="20% - Énfasis5 39 2" xfId="7020" xr:uid="{BACA4EA8-F647-4FE1-9D83-CF827283A1C4}"/>
    <cellStyle name="20% - Énfasis5 39 2 2" xfId="14728" xr:uid="{58AE7701-47E4-4410-9269-21CE2ABF8F63}"/>
    <cellStyle name="20% - Énfasis5 39 2 2 2" xfId="30140" xr:uid="{CFBD5634-5288-470C-953B-6C2C861903A3}"/>
    <cellStyle name="20% - Énfasis5 39 2 2 2 2" xfId="38985" xr:uid="{A445FEFC-3752-4F1A-96C7-04CAE3D42ADF}"/>
    <cellStyle name="20% - Énfasis5 39 2 2 3" xfId="38984" xr:uid="{82295506-B898-4F2E-BC82-230B88BB15A9}"/>
    <cellStyle name="20% - Énfasis5 39 2 3" xfId="22435" xr:uid="{D27E46F5-7567-4EB7-9BD1-D60D134C832A}"/>
    <cellStyle name="20% - Énfasis5 39 2 3 2" xfId="38986" xr:uid="{FC0B9FFE-C8CB-433F-B1C9-9CC4DBDDFFEB}"/>
    <cellStyle name="20% - Énfasis5 39 2 4" xfId="38983" xr:uid="{CEC9B1AC-60A6-42FA-98FD-358C55D98C16}"/>
    <cellStyle name="20% - Énfasis5 39 3" xfId="10999" xr:uid="{38F43C1D-7CAB-4361-931E-75D012378932}"/>
    <cellStyle name="20% - Énfasis5 39 3 2" xfId="26412" xr:uid="{D29832FE-5800-4043-92BA-5E01C3FD252B}"/>
    <cellStyle name="20% - Énfasis5 39 3 2 2" xfId="38988" xr:uid="{081DE8A8-250F-4F2D-BC7A-F995DDA5C6E1}"/>
    <cellStyle name="20% - Énfasis5 39 3 3" xfId="38987" xr:uid="{D8D7F963-0B46-441A-AA6D-2E4B668BB445}"/>
    <cellStyle name="20% - Énfasis5 39 4" xfId="18707" xr:uid="{B7B86EC1-C4A6-4215-9DE9-02348B17E94A}"/>
    <cellStyle name="20% - Énfasis5 39 4 2" xfId="38989" xr:uid="{0690A4DA-8F02-482A-BFB7-78CBF419C13B}"/>
    <cellStyle name="20% - Énfasis5 39 5" xfId="38982" xr:uid="{774FD9CE-E4B1-403D-8731-D6B2CF932D1A}"/>
    <cellStyle name="20% - Énfasis5 4" xfId="273" xr:uid="{155829EE-D0C5-423C-BB04-1914203F4630}"/>
    <cellStyle name="20% - Énfasis5 4 2" xfId="476" xr:uid="{C3ED769F-70EF-498C-B081-D03F132BB904}"/>
    <cellStyle name="20% - Énfasis5 4 2 2" xfId="1137" xr:uid="{E3DC579E-9516-43A4-9E1F-B8922D7C03C9}"/>
    <cellStyle name="20% - Énfasis5 4 2 2 2" xfId="2605" xr:uid="{0E495356-54B0-4CB4-AF77-439D8C7C4EB6}"/>
    <cellStyle name="20% - Énfasis5 4 2 2 2 2" xfId="6337" xr:uid="{67944FFC-383B-4C4B-ACAC-48D9950F18B6}"/>
    <cellStyle name="20% - Énfasis5 4 2 2 2 2 2" xfId="14045" xr:uid="{B7686CD2-BEC4-4EC4-94C4-CE6CA6778204}"/>
    <cellStyle name="20% - Énfasis5 4 2 2 2 2 2 2" xfId="29457" xr:uid="{66381358-C363-418E-829A-5D20DDCD9BC3}"/>
    <cellStyle name="20% - Énfasis5 4 2 2 2 2 2 2 2" xfId="38996" xr:uid="{EA435372-EEEB-4FD4-AD9A-731D0FAB4B14}"/>
    <cellStyle name="20% - Énfasis5 4 2 2 2 2 2 3" xfId="38995" xr:uid="{7E6D37B1-24E0-470A-AAB8-EC3A7B1862B6}"/>
    <cellStyle name="20% - Énfasis5 4 2 2 2 2 3" xfId="21752" xr:uid="{E115350D-963C-49EB-8A21-9A6D59F8CF7A}"/>
    <cellStyle name="20% - Énfasis5 4 2 2 2 2 3 2" xfId="38997" xr:uid="{FA93CBF9-53D0-4ADF-A7B2-B9A551E047D1}"/>
    <cellStyle name="20% - Énfasis5 4 2 2 2 2 4" xfId="38994" xr:uid="{5F102925-7D65-4AD2-AE38-9A3FAD47D05D}"/>
    <cellStyle name="20% - Énfasis5 4 2 2 2 3" xfId="10316" xr:uid="{B66D79CE-B1E4-4C5A-A26A-ECC786CE20F7}"/>
    <cellStyle name="20% - Énfasis5 4 2 2 2 3 2" xfId="25729" xr:uid="{06520AFB-9C62-4BC1-94E5-CC59198233DE}"/>
    <cellStyle name="20% - Énfasis5 4 2 2 2 3 2 2" xfId="38999" xr:uid="{0CA26BEE-66B0-49F5-A5F6-272C2FC02D05}"/>
    <cellStyle name="20% - Énfasis5 4 2 2 2 3 3" xfId="38998" xr:uid="{34CA3787-6764-460C-B856-BD3EFDDEF2D3}"/>
    <cellStyle name="20% - Énfasis5 4 2 2 2 4" xfId="18024" xr:uid="{039C62BF-7089-4F56-A2A4-92CEB57ACAB3}"/>
    <cellStyle name="20% - Énfasis5 4 2 2 2 4 2" xfId="39000" xr:uid="{E8274005-4CEA-4995-9114-ADD9585F718A}"/>
    <cellStyle name="20% - Énfasis5 4 2 2 2 5" xfId="38993" xr:uid="{F6E74843-F157-4DE1-B9DF-629FD5213D9A}"/>
    <cellStyle name="20% - Énfasis5 4 2 2 3" xfId="4874" xr:uid="{CFF58423-CB8F-4A29-993B-C7CE7CE4EC02}"/>
    <cellStyle name="20% - Énfasis5 4 2 2 3 2" xfId="12582" xr:uid="{43639CB6-B5A7-4C61-A018-FF708279DBA2}"/>
    <cellStyle name="20% - Énfasis5 4 2 2 3 2 2" xfId="27994" xr:uid="{855ED556-5525-4020-BC9D-F2922DC1240B}"/>
    <cellStyle name="20% - Énfasis5 4 2 2 3 2 2 2" xfId="39003" xr:uid="{B1CA4727-1792-411D-BAD6-6CF0988023C7}"/>
    <cellStyle name="20% - Énfasis5 4 2 2 3 2 3" xfId="39002" xr:uid="{58072723-D82F-46E9-AE19-B0B837EF52B7}"/>
    <cellStyle name="20% - Énfasis5 4 2 2 3 3" xfId="20289" xr:uid="{B2FCD1CE-941C-420E-8D5A-48CFE58B118A}"/>
    <cellStyle name="20% - Énfasis5 4 2 2 3 3 2" xfId="39004" xr:uid="{97700839-4B27-4AEB-9A88-D9BA07FA49D9}"/>
    <cellStyle name="20% - Énfasis5 4 2 2 3 4" xfId="39001" xr:uid="{12D77DDF-6F41-40B0-B9D6-D537DF33FC96}"/>
    <cellStyle name="20% - Énfasis5 4 2 2 4" xfId="8857" xr:uid="{4B01B9AC-B303-46F6-A34B-7437BF8AA11B}"/>
    <cellStyle name="20% - Énfasis5 4 2 2 4 2" xfId="24270" xr:uid="{BAE49E0B-B555-49F2-9DFE-7FC5BCCFC59B}"/>
    <cellStyle name="20% - Énfasis5 4 2 2 4 2 2" xfId="39006" xr:uid="{D8BC1C8B-A146-4F77-83CB-17110C04E5C4}"/>
    <cellStyle name="20% - Énfasis5 4 2 2 4 3" xfId="39005" xr:uid="{8046072B-43E8-4366-AE54-433F93BCA30F}"/>
    <cellStyle name="20% - Énfasis5 4 2 2 5" xfId="16565" xr:uid="{3F382FAB-475B-4A64-8D11-2088566A2E2B}"/>
    <cellStyle name="20% - Énfasis5 4 2 2 5 2" xfId="39007" xr:uid="{D822FED3-9994-494F-AA0A-99C46178F4AF}"/>
    <cellStyle name="20% - Énfasis5 4 2 2 6" xfId="38992" xr:uid="{3055F825-620C-44A5-B748-1600B1E749EE}"/>
    <cellStyle name="20% - Énfasis5 4 2 3" xfId="1967" xr:uid="{8F819FE9-9B49-4450-9227-DA3B858137B8}"/>
    <cellStyle name="20% - Énfasis5 4 2 3 2" xfId="5699" xr:uid="{14385D5B-F0E2-4553-ADC8-70D03E2D32D4}"/>
    <cellStyle name="20% - Énfasis5 4 2 3 2 2" xfId="13407" xr:uid="{886A241D-AAC6-4B8E-8BF5-25F970ED0396}"/>
    <cellStyle name="20% - Énfasis5 4 2 3 2 2 2" xfId="28819" xr:uid="{D472E432-6BDA-4D92-81BB-3B5BDF85228D}"/>
    <cellStyle name="20% - Énfasis5 4 2 3 2 2 2 2" xfId="39011" xr:uid="{BAE3E0BF-3C03-40DB-8401-6614E8237D6A}"/>
    <cellStyle name="20% - Énfasis5 4 2 3 2 2 3" xfId="39010" xr:uid="{347C43F6-8EE7-4729-914E-78E9A36F1EED}"/>
    <cellStyle name="20% - Énfasis5 4 2 3 2 3" xfId="21114" xr:uid="{D165988B-45C4-4615-8A31-6FBC335CF467}"/>
    <cellStyle name="20% - Énfasis5 4 2 3 2 3 2" xfId="39012" xr:uid="{AB9D572B-4C37-4745-900F-8A38D6CF235C}"/>
    <cellStyle name="20% - Énfasis5 4 2 3 2 4" xfId="39009" xr:uid="{3BA802DC-C9DD-424E-88A8-CAE0E6E9F6DF}"/>
    <cellStyle name="20% - Énfasis5 4 2 3 3" xfId="9678" xr:uid="{51383BD7-637B-4A38-A72E-7A187746425B}"/>
    <cellStyle name="20% - Énfasis5 4 2 3 3 2" xfId="25091" xr:uid="{6F38841A-C358-4505-A07B-DB8348AC3492}"/>
    <cellStyle name="20% - Énfasis5 4 2 3 3 2 2" xfId="39014" xr:uid="{9C7DA3C6-1830-4A8E-86ED-D470AE43D3A5}"/>
    <cellStyle name="20% - Énfasis5 4 2 3 3 3" xfId="39013" xr:uid="{48F92B7B-2E10-4950-9E11-7DBC651CCA90}"/>
    <cellStyle name="20% - Énfasis5 4 2 3 4" xfId="17386" xr:uid="{BA67BA44-AF17-4CE5-BBEB-0C054851F8A7}"/>
    <cellStyle name="20% - Énfasis5 4 2 3 4 2" xfId="39015" xr:uid="{2E589C8A-6334-4D96-9F5E-FC89AF785319}"/>
    <cellStyle name="20% - Énfasis5 4 2 3 5" xfId="39008" xr:uid="{643EA9CF-018A-4552-AC2A-45914B07481E}"/>
    <cellStyle name="20% - Énfasis5 4 2 4" xfId="4222" xr:uid="{07FD742F-3C81-454B-B8D6-596A2A7A50B6}"/>
    <cellStyle name="20% - Énfasis5 4 2 4 2" xfId="11930" xr:uid="{30B626F2-55DA-4BE4-8129-8426B4D55965}"/>
    <cellStyle name="20% - Énfasis5 4 2 4 2 2" xfId="27342" xr:uid="{1C40EA2A-B1DA-488A-8F57-8239D6038F86}"/>
    <cellStyle name="20% - Énfasis5 4 2 4 2 2 2" xfId="39018" xr:uid="{C1BECAAB-FD70-4042-A26B-68DBCA29EAF9}"/>
    <cellStyle name="20% - Énfasis5 4 2 4 2 3" xfId="39017" xr:uid="{EDEF40EA-429D-424A-9CDB-180830CBE1C5}"/>
    <cellStyle name="20% - Énfasis5 4 2 4 3" xfId="19637" xr:uid="{7E5130B9-7697-4642-B0AC-D3885B76FFAC}"/>
    <cellStyle name="20% - Énfasis5 4 2 4 3 2" xfId="39019" xr:uid="{F71EA38A-287C-4760-BB78-E64350BE4B8F}"/>
    <cellStyle name="20% - Énfasis5 4 2 4 4" xfId="39016" xr:uid="{03F4B124-7873-4183-AC68-5E050D5A6A3B}"/>
    <cellStyle name="20% - Énfasis5 4 2 5" xfId="8219" xr:uid="{295BD8D1-9092-4B97-822B-7B4EE649EA71}"/>
    <cellStyle name="20% - Énfasis5 4 2 5 2" xfId="23632" xr:uid="{A4B358C7-B393-4D91-B35B-4FBFC7A6BD75}"/>
    <cellStyle name="20% - Énfasis5 4 2 5 2 2" xfId="39021" xr:uid="{1E6E2ECA-1233-4E4D-B18B-99D3A9842DCE}"/>
    <cellStyle name="20% - Énfasis5 4 2 5 3" xfId="39020" xr:uid="{F793F8D5-1490-46F7-A4B7-6761458EB820}"/>
    <cellStyle name="20% - Énfasis5 4 2 6" xfId="15927" xr:uid="{F3655866-57E9-4B8B-B3FF-00D466D3F176}"/>
    <cellStyle name="20% - Énfasis5 4 2 6 2" xfId="39022" xr:uid="{DF3AEA6D-98E5-4A86-91C5-34CB196630F1}"/>
    <cellStyle name="20% - Énfasis5 4 2 7" xfId="38991" xr:uid="{6BB438C6-77BA-4B32-902A-9ED5257F9E0A}"/>
    <cellStyle name="20% - Énfasis5 4 3" xfId="937" xr:uid="{8AE00CEA-47D1-4C67-A7D7-DF54F9FF6FA1}"/>
    <cellStyle name="20% - Énfasis5 4 3 2" xfId="2407" xr:uid="{59778F56-E715-4D83-B8D2-7CC2955FA27C}"/>
    <cellStyle name="20% - Énfasis5 4 3 2 2" xfId="6139" xr:uid="{804B2A63-4B66-4E97-BB21-F32879AA19C4}"/>
    <cellStyle name="20% - Énfasis5 4 3 2 2 2" xfId="13847" xr:uid="{3BFEA23E-66DC-4C71-A57A-94C061D6D7C6}"/>
    <cellStyle name="20% - Énfasis5 4 3 2 2 2 2" xfId="29259" xr:uid="{A03C32F5-F15F-469B-BF3A-4AC040CCBEDD}"/>
    <cellStyle name="20% - Énfasis5 4 3 2 2 2 2 2" xfId="39027" xr:uid="{2F4CEC41-5DF2-4487-A64B-F65E66F34A82}"/>
    <cellStyle name="20% - Énfasis5 4 3 2 2 2 3" xfId="39026" xr:uid="{697662B8-8F4C-429B-9421-6990391E0EA9}"/>
    <cellStyle name="20% - Énfasis5 4 3 2 2 3" xfId="21554" xr:uid="{2A111D8B-2E9F-4FB9-A21F-36E06B83089F}"/>
    <cellStyle name="20% - Énfasis5 4 3 2 2 3 2" xfId="39028" xr:uid="{63D7C79E-96C4-45BF-A7F9-0A428B924C7F}"/>
    <cellStyle name="20% - Énfasis5 4 3 2 2 4" xfId="39025" xr:uid="{4CC14B4A-F95E-4AE4-B2F1-3760B0D63F4E}"/>
    <cellStyle name="20% - Énfasis5 4 3 2 3" xfId="10118" xr:uid="{090A6B91-DDDA-45E3-B8A2-63FB1F6CC6EE}"/>
    <cellStyle name="20% - Énfasis5 4 3 2 3 2" xfId="25531" xr:uid="{33829B05-F13E-49AD-B43B-58AA10AE0911}"/>
    <cellStyle name="20% - Énfasis5 4 3 2 3 2 2" xfId="39030" xr:uid="{27C5DB4B-8352-4A4B-9D6F-5041CF3C41E7}"/>
    <cellStyle name="20% - Énfasis5 4 3 2 3 3" xfId="39029" xr:uid="{E5F12C77-FC50-4E64-9FCB-7CF78EDCD992}"/>
    <cellStyle name="20% - Énfasis5 4 3 2 4" xfId="17826" xr:uid="{8B021F97-59FD-4773-952F-EA21706AF8CB}"/>
    <cellStyle name="20% - Énfasis5 4 3 2 4 2" xfId="39031" xr:uid="{569A3F51-E21C-43FB-BF8B-746898B2FE95}"/>
    <cellStyle name="20% - Énfasis5 4 3 2 5" xfId="39024" xr:uid="{1FDEE4D0-E314-416A-966B-ACB46871504E}"/>
    <cellStyle name="20% - Énfasis5 4 3 3" xfId="4674" xr:uid="{12D4628E-52BB-4E54-AD7C-396E9F4616EA}"/>
    <cellStyle name="20% - Énfasis5 4 3 3 2" xfId="12382" xr:uid="{29DC70E7-2E47-43D2-B462-3469BD7EE4A7}"/>
    <cellStyle name="20% - Énfasis5 4 3 3 2 2" xfId="27794" xr:uid="{4C311667-2E64-4462-BC08-8D9D059470B8}"/>
    <cellStyle name="20% - Énfasis5 4 3 3 2 2 2" xfId="39034" xr:uid="{FF4F47BB-1EBC-475D-A6BD-3D65907A8D8B}"/>
    <cellStyle name="20% - Énfasis5 4 3 3 2 3" xfId="39033" xr:uid="{1740F2F2-85C2-4B5D-9D5F-1649903AB41F}"/>
    <cellStyle name="20% - Énfasis5 4 3 3 3" xfId="20089" xr:uid="{A6DFC98F-68DF-44FD-BC1B-0725CE27405B}"/>
    <cellStyle name="20% - Énfasis5 4 3 3 3 2" xfId="39035" xr:uid="{5B928506-24D3-4074-9624-757617F50363}"/>
    <cellStyle name="20% - Énfasis5 4 3 3 4" xfId="39032" xr:uid="{DF394357-DC99-4CE3-BCA8-0FCFBC359986}"/>
    <cellStyle name="20% - Énfasis5 4 3 4" xfId="8659" xr:uid="{AFD8AFAC-95C3-4D24-A0BF-BE452F3D9108}"/>
    <cellStyle name="20% - Énfasis5 4 3 4 2" xfId="24072" xr:uid="{07631398-570B-4559-AAB6-A8CECB3EF36F}"/>
    <cellStyle name="20% - Énfasis5 4 3 4 2 2" xfId="39037" xr:uid="{D986A1C1-A5B4-48C3-AF27-5F9BDAD8739D}"/>
    <cellStyle name="20% - Énfasis5 4 3 4 3" xfId="39036" xr:uid="{7C037D1C-3212-449B-81C4-EB2FE8A50EA1}"/>
    <cellStyle name="20% - Énfasis5 4 3 5" xfId="16367" xr:uid="{EA56673F-14A9-4535-A1A5-81BF5B918938}"/>
    <cellStyle name="20% - Énfasis5 4 3 5 2" xfId="39038" xr:uid="{21AC7C14-3A99-4C0E-8BF1-6A2C326DFAC1}"/>
    <cellStyle name="20% - Énfasis5 4 3 6" xfId="39023" xr:uid="{88D7EA9A-5D95-4554-9877-20C1533B0A96}"/>
    <cellStyle name="20% - Énfasis5 4 4" xfId="1769" xr:uid="{66DC8AA2-DEA5-40CD-8CD3-0537228DEB66}"/>
    <cellStyle name="20% - Énfasis5 4 4 2" xfId="5501" xr:uid="{C75A4374-E351-4349-8454-E766B763547D}"/>
    <cellStyle name="20% - Énfasis5 4 4 2 2" xfId="13209" xr:uid="{0170605A-9295-4753-BA45-E92BBBF66640}"/>
    <cellStyle name="20% - Énfasis5 4 4 2 2 2" xfId="28621" xr:uid="{08B557CA-A0E5-415A-B5A7-C0883E8A7DEA}"/>
    <cellStyle name="20% - Énfasis5 4 4 2 2 2 2" xfId="39042" xr:uid="{56BCFD2F-76DE-433F-9214-F809DA3D7E77}"/>
    <cellStyle name="20% - Énfasis5 4 4 2 2 3" xfId="39041" xr:uid="{4CED975B-522E-45F4-8168-D2AE39D38D73}"/>
    <cellStyle name="20% - Énfasis5 4 4 2 3" xfId="20916" xr:uid="{E7DAB82E-C1CE-4DA0-A098-BD7ADD76F391}"/>
    <cellStyle name="20% - Énfasis5 4 4 2 3 2" xfId="39043" xr:uid="{11721F0C-F89C-4D54-B36E-7F6D33C33742}"/>
    <cellStyle name="20% - Énfasis5 4 4 2 4" xfId="39040" xr:uid="{65A10EE9-95F1-4CE4-84C1-06A9BDB93382}"/>
    <cellStyle name="20% - Énfasis5 4 4 3" xfId="9480" xr:uid="{4D4431F5-04C3-4714-A504-7C33AB7B8E04}"/>
    <cellStyle name="20% - Énfasis5 4 4 3 2" xfId="24893" xr:uid="{261C6945-FA6D-4C30-9E49-E0D002C3DC16}"/>
    <cellStyle name="20% - Énfasis5 4 4 3 2 2" xfId="39045" xr:uid="{ED3C922B-36ED-4420-9D1B-2CCCDCBE18C2}"/>
    <cellStyle name="20% - Énfasis5 4 4 3 3" xfId="39044" xr:uid="{76B2460E-11F1-4C1E-A8EB-08B180BEA29A}"/>
    <cellStyle name="20% - Énfasis5 4 4 4" xfId="17188" xr:uid="{6B7193C9-5B4F-4DEB-81AA-09AF2A054ECE}"/>
    <cellStyle name="20% - Énfasis5 4 4 4 2" xfId="39046" xr:uid="{B9ED8712-18BE-4D38-92C3-9EE35CE0C1F0}"/>
    <cellStyle name="20% - Énfasis5 4 4 5" xfId="39039" xr:uid="{EA478E7C-ABDE-4B88-9A9C-D63106900292}"/>
    <cellStyle name="20% - Énfasis5 4 5" xfId="4022" xr:uid="{F39DF286-D295-47C8-8266-D87C1927D56B}"/>
    <cellStyle name="20% - Énfasis5 4 5 2" xfId="11730" xr:uid="{9DA23404-DB2A-4962-9EBE-83D918002C8F}"/>
    <cellStyle name="20% - Énfasis5 4 5 2 2" xfId="27142" xr:uid="{2C9BA7D1-9C88-4F58-9CD1-2CAFDA19095F}"/>
    <cellStyle name="20% - Énfasis5 4 5 2 2 2" xfId="39049" xr:uid="{E55C96CC-5125-4F54-841E-20EEC0037D3A}"/>
    <cellStyle name="20% - Énfasis5 4 5 2 3" xfId="39048" xr:uid="{6C21CDF3-775A-4B51-A5D8-CB8BAFD96773}"/>
    <cellStyle name="20% - Énfasis5 4 5 3" xfId="19437" xr:uid="{F23C5DE6-4097-4F96-A654-5715F2318E39}"/>
    <cellStyle name="20% - Énfasis5 4 5 3 2" xfId="39050" xr:uid="{852578FB-357F-40F7-99B2-C9B5CC9ED91F}"/>
    <cellStyle name="20% - Énfasis5 4 5 4" xfId="39047" xr:uid="{7AB96725-CB7E-429F-BCA2-EEACD6341C10}"/>
    <cellStyle name="20% - Énfasis5 4 6" xfId="8021" xr:uid="{99C4F85B-8618-421D-8A03-41BC53E5E57A}"/>
    <cellStyle name="20% - Énfasis5 4 6 2" xfId="23434" xr:uid="{4DB03617-F0D6-4492-9D52-ACF92D4D2A25}"/>
    <cellStyle name="20% - Énfasis5 4 6 2 2" xfId="39052" xr:uid="{D28F207A-4D87-4E7B-BBA8-982A2CB7ABC7}"/>
    <cellStyle name="20% - Énfasis5 4 6 3" xfId="39051" xr:uid="{8CBADAA3-39F8-4B17-B6A8-3E4391EC646F}"/>
    <cellStyle name="20% - Énfasis5 4 7" xfId="15729" xr:uid="{02B2EBBE-9ED2-46FB-A15B-1AD260A3C516}"/>
    <cellStyle name="20% - Énfasis5 4 7 2" xfId="39053" xr:uid="{5F529302-CFE2-41EB-AC42-A3A1B011BD17}"/>
    <cellStyle name="20% - Énfasis5 4 8" xfId="38990" xr:uid="{2E60EE79-6319-4DFF-8851-47F497AEB624}"/>
    <cellStyle name="20% - Énfasis5 5" xfId="293" xr:uid="{AE7F10F4-E6A2-4C77-9FBE-867B72EDF141}"/>
    <cellStyle name="20% - Énfasis5 5 2" xfId="496" xr:uid="{B660FBED-24F2-4E8D-923E-9EE78F810C7A}"/>
    <cellStyle name="20% - Énfasis5 5 2 2" xfId="1157" xr:uid="{BE5BEAB7-671D-4644-85D1-47C3223E25A0}"/>
    <cellStyle name="20% - Énfasis5 5 2 2 2" xfId="2625" xr:uid="{858A2843-9A22-46E2-B3A7-340575921FE2}"/>
    <cellStyle name="20% - Énfasis5 5 2 2 2 2" xfId="6357" xr:uid="{2701CD87-22DB-4546-A5C7-8275CC19408B}"/>
    <cellStyle name="20% - Énfasis5 5 2 2 2 2 2" xfId="14065" xr:uid="{BC489848-30EA-43B1-9826-768A28C65AD7}"/>
    <cellStyle name="20% - Énfasis5 5 2 2 2 2 2 2" xfId="29477" xr:uid="{FF817797-1493-4523-BD5A-DB968042E7EC}"/>
    <cellStyle name="20% - Énfasis5 5 2 2 2 2 2 2 2" xfId="39060" xr:uid="{7A7C8253-C440-4ADD-862A-BCFF00E5F138}"/>
    <cellStyle name="20% - Énfasis5 5 2 2 2 2 2 3" xfId="39059" xr:uid="{828BEFFC-4E7B-44E4-B0D0-D2A357F14EF8}"/>
    <cellStyle name="20% - Énfasis5 5 2 2 2 2 3" xfId="21772" xr:uid="{AB4CB0F0-B37E-4F18-8569-71CB15ECB5E4}"/>
    <cellStyle name="20% - Énfasis5 5 2 2 2 2 3 2" xfId="39061" xr:uid="{35213743-3DDE-4F01-BA26-8DB1311B7160}"/>
    <cellStyle name="20% - Énfasis5 5 2 2 2 2 4" xfId="39058" xr:uid="{5194C58A-975D-4CD8-ABF3-0B58A05563D6}"/>
    <cellStyle name="20% - Énfasis5 5 2 2 2 3" xfId="10336" xr:uid="{297FB964-95DE-4AB4-9AEE-8FEF001E7C8A}"/>
    <cellStyle name="20% - Énfasis5 5 2 2 2 3 2" xfId="25749" xr:uid="{852C9174-33E0-4376-BE76-4C7A2CEDF764}"/>
    <cellStyle name="20% - Énfasis5 5 2 2 2 3 2 2" xfId="39063" xr:uid="{9D56C9C5-A8F9-4E58-AF7C-BFBCBBB05E8D}"/>
    <cellStyle name="20% - Énfasis5 5 2 2 2 3 3" xfId="39062" xr:uid="{91422CBB-AC42-401C-946C-C847FD0FBB51}"/>
    <cellStyle name="20% - Énfasis5 5 2 2 2 4" xfId="18044" xr:uid="{25EDDDCE-85AA-435A-A0B6-A13BC58BA4D4}"/>
    <cellStyle name="20% - Énfasis5 5 2 2 2 4 2" xfId="39064" xr:uid="{7F10F726-0CED-4C82-A80B-38D5EC1E83BF}"/>
    <cellStyle name="20% - Énfasis5 5 2 2 2 5" xfId="39057" xr:uid="{2BCB7127-2AAC-433B-B6DE-ACB06085ED36}"/>
    <cellStyle name="20% - Énfasis5 5 2 2 3" xfId="4894" xr:uid="{2D56EF28-19EF-43D8-9791-FEE5B5C29F2E}"/>
    <cellStyle name="20% - Énfasis5 5 2 2 3 2" xfId="12602" xr:uid="{367925D0-69B1-4BF9-99E2-50F348375D44}"/>
    <cellStyle name="20% - Énfasis5 5 2 2 3 2 2" xfId="28014" xr:uid="{2086AFA9-277E-43EB-99BF-A81D430EBF24}"/>
    <cellStyle name="20% - Énfasis5 5 2 2 3 2 2 2" xfId="39067" xr:uid="{56BEB8DC-24C8-4C4B-876B-6EDCB2619ACD}"/>
    <cellStyle name="20% - Énfasis5 5 2 2 3 2 3" xfId="39066" xr:uid="{3722294A-A0F5-42AF-9781-F1EF41698D67}"/>
    <cellStyle name="20% - Énfasis5 5 2 2 3 3" xfId="20309" xr:uid="{B41E1C77-60E9-49AD-8BF9-D4CE5B373A39}"/>
    <cellStyle name="20% - Énfasis5 5 2 2 3 3 2" xfId="39068" xr:uid="{3E9D8AD5-89E1-4702-9177-C7EFA500320C}"/>
    <cellStyle name="20% - Énfasis5 5 2 2 3 4" xfId="39065" xr:uid="{63838E0D-1344-4A4C-96A7-994035599A67}"/>
    <cellStyle name="20% - Énfasis5 5 2 2 4" xfId="8877" xr:uid="{0D5D592A-E3BC-4C2B-991F-1A9D057859FE}"/>
    <cellStyle name="20% - Énfasis5 5 2 2 4 2" xfId="24290" xr:uid="{19F16929-039A-41A6-B0D3-CBC7503311CF}"/>
    <cellStyle name="20% - Énfasis5 5 2 2 4 2 2" xfId="39070" xr:uid="{F570DF27-B864-45F7-964F-DEEEDEC96469}"/>
    <cellStyle name="20% - Énfasis5 5 2 2 4 3" xfId="39069" xr:uid="{BD064D30-3397-439F-8A2E-3467254C0DD9}"/>
    <cellStyle name="20% - Énfasis5 5 2 2 5" xfId="16585" xr:uid="{4F2B22E2-8671-4A2F-B173-63F100F0FEDD}"/>
    <cellStyle name="20% - Énfasis5 5 2 2 5 2" xfId="39071" xr:uid="{1D8D6F1E-B554-4A96-AE18-AB1B3FA779BC}"/>
    <cellStyle name="20% - Énfasis5 5 2 2 6" xfId="39056" xr:uid="{56637169-B42C-4BBC-8D32-DA0911C5A575}"/>
    <cellStyle name="20% - Énfasis5 5 2 3" xfId="1987" xr:uid="{984BD4B4-1220-4464-BC33-C6D72D572925}"/>
    <cellStyle name="20% - Énfasis5 5 2 3 2" xfId="5719" xr:uid="{4A3BD1AA-393E-46E5-90BF-5ED2574C60FC}"/>
    <cellStyle name="20% - Énfasis5 5 2 3 2 2" xfId="13427" xr:uid="{083926DD-08D1-4625-B3C7-E165F05BED46}"/>
    <cellStyle name="20% - Énfasis5 5 2 3 2 2 2" xfId="28839" xr:uid="{932DF254-2FC3-40DB-8AB3-D154BE5AF83B}"/>
    <cellStyle name="20% - Énfasis5 5 2 3 2 2 2 2" xfId="39075" xr:uid="{98889819-C384-4454-BA3A-7FE179A6726F}"/>
    <cellStyle name="20% - Énfasis5 5 2 3 2 2 3" xfId="39074" xr:uid="{8E0F291B-5D72-4EAA-8A0B-F234C1B60222}"/>
    <cellStyle name="20% - Énfasis5 5 2 3 2 3" xfId="21134" xr:uid="{70A7AF49-5339-4B8A-8820-9DECCCAA89DC}"/>
    <cellStyle name="20% - Énfasis5 5 2 3 2 3 2" xfId="39076" xr:uid="{9863BFFB-9393-43B3-BC09-D5519A397CBD}"/>
    <cellStyle name="20% - Énfasis5 5 2 3 2 4" xfId="39073" xr:uid="{97DDD022-C826-41DF-AA69-657CFDC98AF0}"/>
    <cellStyle name="20% - Énfasis5 5 2 3 3" xfId="9698" xr:uid="{73FFBB22-13C2-414C-8554-968A6313EA2B}"/>
    <cellStyle name="20% - Énfasis5 5 2 3 3 2" xfId="25111" xr:uid="{4C8E07EF-FD4B-4E12-9AAB-CBA440359CEB}"/>
    <cellStyle name="20% - Énfasis5 5 2 3 3 2 2" xfId="39078" xr:uid="{F3DD6F9C-9F8E-4901-AE05-ABB6171DEB21}"/>
    <cellStyle name="20% - Énfasis5 5 2 3 3 3" xfId="39077" xr:uid="{9C2E2050-EB36-4E8E-BF96-B52072D0D7AA}"/>
    <cellStyle name="20% - Énfasis5 5 2 3 4" xfId="17406" xr:uid="{6307EECB-B2AC-4926-8FC3-82220E67B69D}"/>
    <cellStyle name="20% - Énfasis5 5 2 3 4 2" xfId="39079" xr:uid="{AEA87F14-2256-4737-9B01-4F743C3583EF}"/>
    <cellStyle name="20% - Énfasis5 5 2 3 5" xfId="39072" xr:uid="{C2E98D2E-81F6-4D51-94A4-FA4FFFBBFECB}"/>
    <cellStyle name="20% - Énfasis5 5 2 4" xfId="4242" xr:uid="{889AA5EE-48DE-402D-9BF8-ECFD6178C9D0}"/>
    <cellStyle name="20% - Énfasis5 5 2 4 2" xfId="11950" xr:uid="{C1BC95E8-AD84-41E8-B837-5C5587C3873B}"/>
    <cellStyle name="20% - Énfasis5 5 2 4 2 2" xfId="27362" xr:uid="{6505B833-F261-4D0E-B0D3-CF9964EFA461}"/>
    <cellStyle name="20% - Énfasis5 5 2 4 2 2 2" xfId="39082" xr:uid="{21E594A5-0151-414B-A8D6-40C71D6DA7FA}"/>
    <cellStyle name="20% - Énfasis5 5 2 4 2 3" xfId="39081" xr:uid="{6023F0AC-3C89-44FE-A38D-E792F636C23E}"/>
    <cellStyle name="20% - Énfasis5 5 2 4 3" xfId="19657" xr:uid="{B797BC4A-26C0-48C8-91FD-0E058F647994}"/>
    <cellStyle name="20% - Énfasis5 5 2 4 3 2" xfId="39083" xr:uid="{389D883B-896E-4D38-9E26-16AAF32B197B}"/>
    <cellStyle name="20% - Énfasis5 5 2 4 4" xfId="39080" xr:uid="{E866D3F1-C968-477A-B33A-47DECBBC4097}"/>
    <cellStyle name="20% - Énfasis5 5 2 5" xfId="8239" xr:uid="{9F2BA0E7-78FE-46E5-B742-DAB72BA66C63}"/>
    <cellStyle name="20% - Énfasis5 5 2 5 2" xfId="23652" xr:uid="{6503D6F5-3B6A-496A-8CD1-65CC6CA99BF6}"/>
    <cellStyle name="20% - Énfasis5 5 2 5 2 2" xfId="39085" xr:uid="{1753361E-A575-41B8-8611-D81B87E77490}"/>
    <cellStyle name="20% - Énfasis5 5 2 5 3" xfId="39084" xr:uid="{DB40E8CD-3DD0-42BF-A754-04EC35AE1073}"/>
    <cellStyle name="20% - Énfasis5 5 2 6" xfId="15947" xr:uid="{56A1F837-603D-4D99-B7D4-FDF1AA71F3CA}"/>
    <cellStyle name="20% - Énfasis5 5 2 6 2" xfId="39086" xr:uid="{52586868-2641-439B-B6FC-E40086B3BC88}"/>
    <cellStyle name="20% - Énfasis5 5 2 7" xfId="39055" xr:uid="{A093160B-0CAA-4264-8BFA-B99636FDD7C5}"/>
    <cellStyle name="20% - Énfasis5 5 3" xfId="957" xr:uid="{32D69613-BDB6-400E-9115-5F64D3253030}"/>
    <cellStyle name="20% - Énfasis5 5 3 2" xfId="2427" xr:uid="{16FD88AD-AFE8-428C-8E27-D1BCCE49AC95}"/>
    <cellStyle name="20% - Énfasis5 5 3 2 2" xfId="6159" xr:uid="{F27B3631-6E1F-4CAC-9AF7-5E2AFC67284A}"/>
    <cellStyle name="20% - Énfasis5 5 3 2 2 2" xfId="13867" xr:uid="{EFBF811C-20EF-405A-8A83-6449AC691D62}"/>
    <cellStyle name="20% - Énfasis5 5 3 2 2 2 2" xfId="29279" xr:uid="{2FD6A523-D0B0-4ED5-94D9-14031AA17C56}"/>
    <cellStyle name="20% - Énfasis5 5 3 2 2 2 2 2" xfId="39091" xr:uid="{5A99D097-005E-4846-BB9C-8D95B2A8E17E}"/>
    <cellStyle name="20% - Énfasis5 5 3 2 2 2 3" xfId="39090" xr:uid="{D5F0E411-C8CF-4243-92A4-6C7302F4A8DD}"/>
    <cellStyle name="20% - Énfasis5 5 3 2 2 3" xfId="21574" xr:uid="{8A83EF84-9DB7-47B2-B91C-CC0FE8CD81DC}"/>
    <cellStyle name="20% - Énfasis5 5 3 2 2 3 2" xfId="39092" xr:uid="{C2F10A50-3E87-4D58-A8AE-A4FD867051D8}"/>
    <cellStyle name="20% - Énfasis5 5 3 2 2 4" xfId="39089" xr:uid="{67B51062-DB2F-4301-8453-C11356740543}"/>
    <cellStyle name="20% - Énfasis5 5 3 2 3" xfId="10138" xr:uid="{12ADACCD-FDA4-45F5-9292-0ED19B52CA5D}"/>
    <cellStyle name="20% - Énfasis5 5 3 2 3 2" xfId="25551" xr:uid="{CF4869F5-F66F-4A32-8893-492E97A29169}"/>
    <cellStyle name="20% - Énfasis5 5 3 2 3 2 2" xfId="39094" xr:uid="{8B980971-BF13-49F6-99A5-7469369CE3E1}"/>
    <cellStyle name="20% - Énfasis5 5 3 2 3 3" xfId="39093" xr:uid="{24292E36-CD71-4BF0-BAA8-4A03B190FC15}"/>
    <cellStyle name="20% - Énfasis5 5 3 2 4" xfId="17846" xr:uid="{18E1F976-5831-4171-9EF5-8DF64CB584D5}"/>
    <cellStyle name="20% - Énfasis5 5 3 2 4 2" xfId="39095" xr:uid="{C5E6C815-2D3D-47CB-A3E7-4D236B509F69}"/>
    <cellStyle name="20% - Énfasis5 5 3 2 5" xfId="39088" xr:uid="{58E8B0F5-EE6D-46E0-A3A8-3FEFCBF63D18}"/>
    <cellStyle name="20% - Énfasis5 5 3 3" xfId="4694" xr:uid="{3481E633-12C4-423A-B107-3733E18EA951}"/>
    <cellStyle name="20% - Énfasis5 5 3 3 2" xfId="12402" xr:uid="{1A6B0904-6ADE-418A-82E2-ED7425181C46}"/>
    <cellStyle name="20% - Énfasis5 5 3 3 2 2" xfId="27814" xr:uid="{6A72118E-E36C-40CA-BA22-FEE0AF6EEE9E}"/>
    <cellStyle name="20% - Énfasis5 5 3 3 2 2 2" xfId="39098" xr:uid="{3A8DE689-8546-4BFC-816C-88547400233A}"/>
    <cellStyle name="20% - Énfasis5 5 3 3 2 3" xfId="39097" xr:uid="{CF1B48E1-ED8F-474E-BCD5-78C9420599C1}"/>
    <cellStyle name="20% - Énfasis5 5 3 3 3" xfId="20109" xr:uid="{E7996274-EEDD-443A-A373-A3D54705D2F9}"/>
    <cellStyle name="20% - Énfasis5 5 3 3 3 2" xfId="39099" xr:uid="{9DA0BEA7-2C5D-4A23-B8E9-0A32A6E6DCE4}"/>
    <cellStyle name="20% - Énfasis5 5 3 3 4" xfId="39096" xr:uid="{875C7938-D63F-4963-8388-8C6C6DF18ED8}"/>
    <cellStyle name="20% - Énfasis5 5 3 4" xfId="8679" xr:uid="{0AF5D4BB-196D-4C7E-A620-730E3F9BF78E}"/>
    <cellStyle name="20% - Énfasis5 5 3 4 2" xfId="24092" xr:uid="{1E2505B8-A80D-4959-9C5F-A477C5F462B4}"/>
    <cellStyle name="20% - Énfasis5 5 3 4 2 2" xfId="39101" xr:uid="{DADD2C1D-BCA2-4930-927E-9121166F440E}"/>
    <cellStyle name="20% - Énfasis5 5 3 4 3" xfId="39100" xr:uid="{380D2691-D3ED-4FF8-9F22-E48C698326C7}"/>
    <cellStyle name="20% - Énfasis5 5 3 5" xfId="16387" xr:uid="{0E9310FB-CFB8-44F1-8456-CA905014CEF2}"/>
    <cellStyle name="20% - Énfasis5 5 3 5 2" xfId="39102" xr:uid="{9711B470-6669-4E94-8554-C0EF38690BF3}"/>
    <cellStyle name="20% - Énfasis5 5 3 6" xfId="39087" xr:uid="{C4E39F9B-F8CC-4628-B54B-FE45BF56F4CA}"/>
    <cellStyle name="20% - Énfasis5 5 4" xfId="1789" xr:uid="{5BA2B867-7911-4A65-9B90-804F0B3BFBA3}"/>
    <cellStyle name="20% - Énfasis5 5 4 2" xfId="5521" xr:uid="{136572FD-D47B-4749-AE29-5CA5B7CAF883}"/>
    <cellStyle name="20% - Énfasis5 5 4 2 2" xfId="13229" xr:uid="{9714EA08-3119-432A-917D-BA040F3577A4}"/>
    <cellStyle name="20% - Énfasis5 5 4 2 2 2" xfId="28641" xr:uid="{7A0CAA9E-25A3-43FE-8051-339A46A716C6}"/>
    <cellStyle name="20% - Énfasis5 5 4 2 2 2 2" xfId="39106" xr:uid="{24CC50A0-B1F0-470D-B943-B4044730CCB1}"/>
    <cellStyle name="20% - Énfasis5 5 4 2 2 3" xfId="39105" xr:uid="{4B2A1DEF-68B3-4B63-BFBA-D06A4C97A066}"/>
    <cellStyle name="20% - Énfasis5 5 4 2 3" xfId="20936" xr:uid="{A803801B-943F-40A0-8A60-6B3D2C55C82A}"/>
    <cellStyle name="20% - Énfasis5 5 4 2 3 2" xfId="39107" xr:uid="{238BDFA4-63EB-46BF-91E6-B9A536839E47}"/>
    <cellStyle name="20% - Énfasis5 5 4 2 4" xfId="39104" xr:uid="{2DFC8F0A-8F79-4551-8D32-340AEF080DF8}"/>
    <cellStyle name="20% - Énfasis5 5 4 3" xfId="9500" xr:uid="{AD6A465E-8483-4EC2-A26A-769DD9BA2B24}"/>
    <cellStyle name="20% - Énfasis5 5 4 3 2" xfId="24913" xr:uid="{E69A675B-9C74-4DEC-A8EA-333E703D6F62}"/>
    <cellStyle name="20% - Énfasis5 5 4 3 2 2" xfId="39109" xr:uid="{5D074EFF-FC83-4183-BF57-5A9A30BE43A3}"/>
    <cellStyle name="20% - Énfasis5 5 4 3 3" xfId="39108" xr:uid="{FB2C48EB-641A-41A5-B392-F97691B89A41}"/>
    <cellStyle name="20% - Énfasis5 5 4 4" xfId="17208" xr:uid="{DE99910B-6B6F-44F5-A114-C20B1FF5B9E2}"/>
    <cellStyle name="20% - Énfasis5 5 4 4 2" xfId="39110" xr:uid="{2CA756E7-2E6B-4574-8A54-FD1D1C7DE93C}"/>
    <cellStyle name="20% - Énfasis5 5 4 5" xfId="39103" xr:uid="{569116C1-AB63-4B22-92CD-86A93DFB19C1}"/>
    <cellStyle name="20% - Énfasis5 5 5" xfId="4042" xr:uid="{49F3E36D-8370-480C-88A4-8ADF8EF28DD6}"/>
    <cellStyle name="20% - Énfasis5 5 5 2" xfId="11750" xr:uid="{CC067AD1-F552-49DD-8A8C-980FCB2DDC5C}"/>
    <cellStyle name="20% - Énfasis5 5 5 2 2" xfId="27162" xr:uid="{501F4488-A2AB-4E05-B7BA-B111042B37BC}"/>
    <cellStyle name="20% - Énfasis5 5 5 2 2 2" xfId="39113" xr:uid="{67C9DC00-4F14-4B1F-92B6-033CA4A2382E}"/>
    <cellStyle name="20% - Énfasis5 5 5 2 3" xfId="39112" xr:uid="{33C8CEEB-90CC-4296-AB92-A4561E804BA2}"/>
    <cellStyle name="20% - Énfasis5 5 5 3" xfId="19457" xr:uid="{89FBEC38-6F89-4854-9467-C882B833832E}"/>
    <cellStyle name="20% - Énfasis5 5 5 3 2" xfId="39114" xr:uid="{FB841D20-FAF8-48FE-A669-17C095323991}"/>
    <cellStyle name="20% - Énfasis5 5 5 4" xfId="39111" xr:uid="{DB87D7CA-540F-471A-BFB2-A2C00E2C02FC}"/>
    <cellStyle name="20% - Énfasis5 5 6" xfId="8041" xr:uid="{18E7B9C9-DDA4-4F4E-AC66-E3F3BB3AC2D8}"/>
    <cellStyle name="20% - Énfasis5 5 6 2" xfId="23454" xr:uid="{1D5BB0F2-E255-4673-B555-66DFEB65B3E5}"/>
    <cellStyle name="20% - Énfasis5 5 6 2 2" xfId="39116" xr:uid="{8D3D659C-276F-462C-936E-CCA7C9DAC1D2}"/>
    <cellStyle name="20% - Énfasis5 5 6 3" xfId="39115" xr:uid="{33D2906D-2952-487D-BB30-280860A9469D}"/>
    <cellStyle name="20% - Énfasis5 5 7" xfId="15749" xr:uid="{50A63922-5494-492C-866B-FE79326201AA}"/>
    <cellStyle name="20% - Énfasis5 5 7 2" xfId="39117" xr:uid="{9EA11BBE-8187-48A5-AC3A-2880FBDC9C5C}"/>
    <cellStyle name="20% - Énfasis5 5 8" xfId="39054" xr:uid="{56877E1E-4969-4449-9E84-1D7AAA478BBE}"/>
    <cellStyle name="20% - Énfasis5 6" xfId="313" xr:uid="{6233C5ED-87F5-419A-877E-A3EA7218A0D1}"/>
    <cellStyle name="20% - Énfasis5 6 2" xfId="516" xr:uid="{3D4E33C4-FEA7-487C-A8B9-E1B90637DB52}"/>
    <cellStyle name="20% - Énfasis5 6 2 2" xfId="1177" xr:uid="{CF62DF76-0F2F-40A6-A52A-3EFC596ADA08}"/>
    <cellStyle name="20% - Énfasis5 6 2 2 2" xfId="2645" xr:uid="{12627B13-B014-4C4B-A115-60D4C68DFB6A}"/>
    <cellStyle name="20% - Énfasis5 6 2 2 2 2" xfId="6377" xr:uid="{A68C9C1E-C921-4105-A624-C2378E31A48D}"/>
    <cellStyle name="20% - Énfasis5 6 2 2 2 2 2" xfId="14085" xr:uid="{7772CE2E-7B8A-4CE9-99D5-F0360A5AA6AD}"/>
    <cellStyle name="20% - Énfasis5 6 2 2 2 2 2 2" xfId="29497" xr:uid="{0D81BFC2-816A-44FC-AD14-90743DFC6DD7}"/>
    <cellStyle name="20% - Énfasis5 6 2 2 2 2 2 2 2" xfId="39124" xr:uid="{6957F4D9-3B61-4F9B-82E8-B512CFF272FC}"/>
    <cellStyle name="20% - Énfasis5 6 2 2 2 2 2 3" xfId="39123" xr:uid="{6FE15013-ED72-4E14-881D-24828BCBE665}"/>
    <cellStyle name="20% - Énfasis5 6 2 2 2 2 3" xfId="21792" xr:uid="{117A1F27-244C-4494-80DD-D3D007508639}"/>
    <cellStyle name="20% - Énfasis5 6 2 2 2 2 3 2" xfId="39125" xr:uid="{33E8E0A4-5ABA-43D6-9336-D786EA5ABA87}"/>
    <cellStyle name="20% - Énfasis5 6 2 2 2 2 4" xfId="39122" xr:uid="{C1266020-1318-4DDF-B44C-C142A230DB33}"/>
    <cellStyle name="20% - Énfasis5 6 2 2 2 3" xfId="10356" xr:uid="{54E677EE-86E9-4A99-9DAD-0830F1FB5064}"/>
    <cellStyle name="20% - Énfasis5 6 2 2 2 3 2" xfId="25769" xr:uid="{897D35F2-1928-42C5-9F05-CDEC6FE31F1E}"/>
    <cellStyle name="20% - Énfasis5 6 2 2 2 3 2 2" xfId="39127" xr:uid="{A2FAF199-677C-4550-899B-56D7AF741F11}"/>
    <cellStyle name="20% - Énfasis5 6 2 2 2 3 3" xfId="39126" xr:uid="{1D581612-7E5D-4CE4-B92C-F05C2774D1B4}"/>
    <cellStyle name="20% - Énfasis5 6 2 2 2 4" xfId="18064" xr:uid="{1CB9A080-6296-4E41-ADCF-029A16577B69}"/>
    <cellStyle name="20% - Énfasis5 6 2 2 2 4 2" xfId="39128" xr:uid="{00E97222-6B2F-412F-A575-8A6728B03033}"/>
    <cellStyle name="20% - Énfasis5 6 2 2 2 5" xfId="39121" xr:uid="{3CBFECBA-C60C-4CC5-A0EA-6747CA93785E}"/>
    <cellStyle name="20% - Énfasis5 6 2 2 3" xfId="4914" xr:uid="{E616327B-6D3E-4F6E-9C5B-EFD7C59B8388}"/>
    <cellStyle name="20% - Énfasis5 6 2 2 3 2" xfId="12622" xr:uid="{CE8AB61F-7672-4264-8FD3-454BBA303232}"/>
    <cellStyle name="20% - Énfasis5 6 2 2 3 2 2" xfId="28034" xr:uid="{1F31CF6E-6DCB-4EAD-A1C3-037B710C79C8}"/>
    <cellStyle name="20% - Énfasis5 6 2 2 3 2 2 2" xfId="39131" xr:uid="{AA4B19C0-DAAD-4C4A-A25A-36B465E5CE52}"/>
    <cellStyle name="20% - Énfasis5 6 2 2 3 2 3" xfId="39130" xr:uid="{25038BC2-C716-4DDA-A73E-FD017C8603CA}"/>
    <cellStyle name="20% - Énfasis5 6 2 2 3 3" xfId="20329" xr:uid="{88B155CA-42C9-4D46-95A1-902530983884}"/>
    <cellStyle name="20% - Énfasis5 6 2 2 3 3 2" xfId="39132" xr:uid="{5A00854D-E8E0-4D87-8AAE-489E0F74CC8E}"/>
    <cellStyle name="20% - Énfasis5 6 2 2 3 4" xfId="39129" xr:uid="{3DF441BE-F21C-41C7-86A1-641EFB71AB3B}"/>
    <cellStyle name="20% - Énfasis5 6 2 2 4" xfId="8897" xr:uid="{2824ED64-FA06-465E-ADB9-D6E47A906B5F}"/>
    <cellStyle name="20% - Énfasis5 6 2 2 4 2" xfId="24310" xr:uid="{808C35CB-82B3-424E-8C49-57F0CE1A542A}"/>
    <cellStyle name="20% - Énfasis5 6 2 2 4 2 2" xfId="39134" xr:uid="{4D316DDC-0B31-4DFF-AD6D-54C18730D930}"/>
    <cellStyle name="20% - Énfasis5 6 2 2 4 3" xfId="39133" xr:uid="{758AB851-19A0-4829-92B1-769469731564}"/>
    <cellStyle name="20% - Énfasis5 6 2 2 5" xfId="16605" xr:uid="{CC61CE8B-276C-411B-B9B8-F280739C62EE}"/>
    <cellStyle name="20% - Énfasis5 6 2 2 5 2" xfId="39135" xr:uid="{6C30FDE5-BCDB-484B-B17D-48E939A9DFA7}"/>
    <cellStyle name="20% - Énfasis5 6 2 2 6" xfId="39120" xr:uid="{31675BBE-148D-47A8-9945-03EBBE8A242D}"/>
    <cellStyle name="20% - Énfasis5 6 2 3" xfId="2007" xr:uid="{33F70E00-E996-4237-A537-2BDD20B9AAB2}"/>
    <cellStyle name="20% - Énfasis5 6 2 3 2" xfId="5739" xr:uid="{C2560D8C-AB3D-4C6D-96EB-F5F74B6E8983}"/>
    <cellStyle name="20% - Énfasis5 6 2 3 2 2" xfId="13447" xr:uid="{0335E3EC-9EAB-4606-A0EC-C2FE7766F3F6}"/>
    <cellStyle name="20% - Énfasis5 6 2 3 2 2 2" xfId="28859" xr:uid="{CBE5F682-7A30-4F5B-A05F-24F88A2ECD65}"/>
    <cellStyle name="20% - Énfasis5 6 2 3 2 2 2 2" xfId="39139" xr:uid="{F20594A2-D9A7-4DBB-A619-AA1A84042C68}"/>
    <cellStyle name="20% - Énfasis5 6 2 3 2 2 3" xfId="39138" xr:uid="{A6153FB6-4887-4103-B310-3C053F217B72}"/>
    <cellStyle name="20% - Énfasis5 6 2 3 2 3" xfId="21154" xr:uid="{5288E8ED-F30B-4430-9B34-A4A4CD71ACF0}"/>
    <cellStyle name="20% - Énfasis5 6 2 3 2 3 2" xfId="39140" xr:uid="{BE89F964-3469-42DA-A247-CF5080CABB47}"/>
    <cellStyle name="20% - Énfasis5 6 2 3 2 4" xfId="39137" xr:uid="{87248BFE-AE93-4F39-A1CB-644CF8BF66D0}"/>
    <cellStyle name="20% - Énfasis5 6 2 3 3" xfId="9718" xr:uid="{B01B1C41-6D76-47F5-B179-B9B7F75FA659}"/>
    <cellStyle name="20% - Énfasis5 6 2 3 3 2" xfId="25131" xr:uid="{C418CAAD-2CEC-428C-9FBE-7BC7E2D2D651}"/>
    <cellStyle name="20% - Énfasis5 6 2 3 3 2 2" xfId="39142" xr:uid="{02DAF0F8-8ACB-4DED-B115-4B55848AF448}"/>
    <cellStyle name="20% - Énfasis5 6 2 3 3 3" xfId="39141" xr:uid="{F488335A-74F3-43E5-8AF8-8D8995A6218C}"/>
    <cellStyle name="20% - Énfasis5 6 2 3 4" xfId="17426" xr:uid="{9D4F46F3-D2CD-4E7A-984D-02B6A2C387C9}"/>
    <cellStyle name="20% - Énfasis5 6 2 3 4 2" xfId="39143" xr:uid="{B28EBAA7-5CF8-4A86-8944-2B01290890B4}"/>
    <cellStyle name="20% - Énfasis5 6 2 3 5" xfId="39136" xr:uid="{8A8B7928-291E-4827-A7D6-30391C79F108}"/>
    <cellStyle name="20% - Énfasis5 6 2 4" xfId="4262" xr:uid="{4042137A-F33B-4C97-8039-C7D48F680B5F}"/>
    <cellStyle name="20% - Énfasis5 6 2 4 2" xfId="11970" xr:uid="{85837148-EDE0-45A3-A78A-DCF309110C56}"/>
    <cellStyle name="20% - Énfasis5 6 2 4 2 2" xfId="27382" xr:uid="{3FC65F68-A0AF-4138-AB7C-DBCD1C5CACA2}"/>
    <cellStyle name="20% - Énfasis5 6 2 4 2 2 2" xfId="39146" xr:uid="{C3F4B03F-DBAC-4A99-9E95-3A529D12A43A}"/>
    <cellStyle name="20% - Énfasis5 6 2 4 2 3" xfId="39145" xr:uid="{4A2A60BE-5BC4-4201-8AD8-36B61A83B2CE}"/>
    <cellStyle name="20% - Énfasis5 6 2 4 3" xfId="19677" xr:uid="{6F724C86-FBA1-4C6C-86DD-C3ED79534348}"/>
    <cellStyle name="20% - Énfasis5 6 2 4 3 2" xfId="39147" xr:uid="{F8593679-9BCE-4DF8-B433-723E13AD416E}"/>
    <cellStyle name="20% - Énfasis5 6 2 4 4" xfId="39144" xr:uid="{A23F8B81-CBB8-41DA-8CF6-F7CE99B6F1F8}"/>
    <cellStyle name="20% - Énfasis5 6 2 5" xfId="8259" xr:uid="{22FD2D02-2C91-4D1A-84CC-8B0F8EDA8A56}"/>
    <cellStyle name="20% - Énfasis5 6 2 5 2" xfId="23672" xr:uid="{C8C0C610-8A34-4B53-95AD-3410589EDF42}"/>
    <cellStyle name="20% - Énfasis5 6 2 5 2 2" xfId="39149" xr:uid="{9A99939D-83D3-40F3-8C0E-66203CC2874B}"/>
    <cellStyle name="20% - Énfasis5 6 2 5 3" xfId="39148" xr:uid="{1C16998C-EB57-4275-8981-C04BFDC2A379}"/>
    <cellStyle name="20% - Énfasis5 6 2 6" xfId="15967" xr:uid="{F307E9AA-2CAD-4634-A2ED-54EA559487E4}"/>
    <cellStyle name="20% - Énfasis5 6 2 6 2" xfId="39150" xr:uid="{34535EAC-137E-42C2-B240-25F2527E7138}"/>
    <cellStyle name="20% - Énfasis5 6 2 7" xfId="39119" xr:uid="{F5796AF9-D616-4E18-8F7E-25005ADA783C}"/>
    <cellStyle name="20% - Énfasis5 6 3" xfId="977" xr:uid="{24E7D6CE-3328-4E91-959F-AF1F13E29F3A}"/>
    <cellStyle name="20% - Énfasis5 6 3 2" xfId="2447" xr:uid="{90B427A7-B85E-416A-9656-E9ADA0E20650}"/>
    <cellStyle name="20% - Énfasis5 6 3 2 2" xfId="6179" xr:uid="{2421D23C-DDCF-4A0B-9CE9-EC3A6DDC1C6F}"/>
    <cellStyle name="20% - Énfasis5 6 3 2 2 2" xfId="13887" xr:uid="{68AE8F5C-1CA8-4F1F-922C-414CD9E2FD89}"/>
    <cellStyle name="20% - Énfasis5 6 3 2 2 2 2" xfId="29299" xr:uid="{9B39F55B-7113-4DE7-961C-3D5B6CD76D3F}"/>
    <cellStyle name="20% - Énfasis5 6 3 2 2 2 2 2" xfId="39155" xr:uid="{5D7222C0-9269-44FB-9B2D-0A0A77639DCA}"/>
    <cellStyle name="20% - Énfasis5 6 3 2 2 2 3" xfId="39154" xr:uid="{C9DA6AE9-3EF3-4E06-98AE-B42D7EC93E0B}"/>
    <cellStyle name="20% - Énfasis5 6 3 2 2 3" xfId="21594" xr:uid="{94FD5D40-BF11-4DBA-9E71-7AD2454605DC}"/>
    <cellStyle name="20% - Énfasis5 6 3 2 2 3 2" xfId="39156" xr:uid="{331F0D06-F61A-4536-8C20-417730CD6737}"/>
    <cellStyle name="20% - Énfasis5 6 3 2 2 4" xfId="39153" xr:uid="{390C647B-A85A-4A88-8FE6-B6488AC9E0AB}"/>
    <cellStyle name="20% - Énfasis5 6 3 2 3" xfId="10158" xr:uid="{5A2017E6-E322-415A-BECC-7BEEDED350FC}"/>
    <cellStyle name="20% - Énfasis5 6 3 2 3 2" xfId="25571" xr:uid="{A62110EE-1E97-4A94-A7A2-E081BA4AB8E9}"/>
    <cellStyle name="20% - Énfasis5 6 3 2 3 2 2" xfId="39158" xr:uid="{83510B34-5BD4-4295-952F-B7FD9E0E3BE8}"/>
    <cellStyle name="20% - Énfasis5 6 3 2 3 3" xfId="39157" xr:uid="{A15595CA-1110-4DBD-8B74-A491E59F6A7B}"/>
    <cellStyle name="20% - Énfasis5 6 3 2 4" xfId="17866" xr:uid="{8FBA7A26-BA55-48DB-AFE9-098967D6E2AE}"/>
    <cellStyle name="20% - Énfasis5 6 3 2 4 2" xfId="39159" xr:uid="{4A10A289-4041-4C68-B53C-3FAE738F2752}"/>
    <cellStyle name="20% - Énfasis5 6 3 2 5" xfId="39152" xr:uid="{AE000105-DA2A-4854-8EF5-F8216FF97A66}"/>
    <cellStyle name="20% - Énfasis5 6 3 3" xfId="4714" xr:uid="{7EB63530-DA36-4798-BC04-54106B2A9C23}"/>
    <cellStyle name="20% - Énfasis5 6 3 3 2" xfId="12422" xr:uid="{40AC055F-9ED2-4454-A9FE-EEF240D82A59}"/>
    <cellStyle name="20% - Énfasis5 6 3 3 2 2" xfId="27834" xr:uid="{12DDB41D-BBF9-4746-A8F4-158AF17001E6}"/>
    <cellStyle name="20% - Énfasis5 6 3 3 2 2 2" xfId="39162" xr:uid="{4F45D06A-E27B-40A3-91FE-E802A1B72D5E}"/>
    <cellStyle name="20% - Énfasis5 6 3 3 2 3" xfId="39161" xr:uid="{E79B881F-A058-4077-9867-1C187FC0DBAA}"/>
    <cellStyle name="20% - Énfasis5 6 3 3 3" xfId="20129" xr:uid="{FB52764A-1990-4509-A39D-5705346FC426}"/>
    <cellStyle name="20% - Énfasis5 6 3 3 3 2" xfId="39163" xr:uid="{1C4C7F9C-5B52-4484-8100-8D24BA8CE2AE}"/>
    <cellStyle name="20% - Énfasis5 6 3 3 4" xfId="39160" xr:uid="{90CEB1BB-5CAB-4377-B4BB-0C0B231AFFE1}"/>
    <cellStyle name="20% - Énfasis5 6 3 4" xfId="8699" xr:uid="{DF931256-171D-470F-9D77-BFB7F2ABBDCE}"/>
    <cellStyle name="20% - Énfasis5 6 3 4 2" xfId="24112" xr:uid="{258464AA-4D51-4B53-B7C1-15FF13F60C95}"/>
    <cellStyle name="20% - Énfasis5 6 3 4 2 2" xfId="39165" xr:uid="{F219A744-BBA7-40AF-9E5C-366D343382D5}"/>
    <cellStyle name="20% - Énfasis5 6 3 4 3" xfId="39164" xr:uid="{1234C7CF-994E-433E-B9D2-3457774493FC}"/>
    <cellStyle name="20% - Énfasis5 6 3 5" xfId="16407" xr:uid="{872846A6-44E2-4444-BE53-035228777092}"/>
    <cellStyle name="20% - Énfasis5 6 3 5 2" xfId="39166" xr:uid="{271B0A76-F5E3-4158-84DE-FB298A1F83F3}"/>
    <cellStyle name="20% - Énfasis5 6 3 6" xfId="39151" xr:uid="{8B29B03F-E1D8-42F1-87DB-D3B5708C1555}"/>
    <cellStyle name="20% - Énfasis5 6 4" xfId="1809" xr:uid="{2CE6E73A-825C-4B77-8856-E48EE6D62F1E}"/>
    <cellStyle name="20% - Énfasis5 6 4 2" xfId="5541" xr:uid="{E291F1ED-5DF3-4559-BF63-BD7858FCCCDE}"/>
    <cellStyle name="20% - Énfasis5 6 4 2 2" xfId="13249" xr:uid="{67345459-F30B-46BB-8A76-A104C7913893}"/>
    <cellStyle name="20% - Énfasis5 6 4 2 2 2" xfId="28661" xr:uid="{F4AAE6E2-8AA2-4523-8FB0-35B9B80A620D}"/>
    <cellStyle name="20% - Énfasis5 6 4 2 2 2 2" xfId="39170" xr:uid="{0E40857B-610F-4158-94CC-3722159668E0}"/>
    <cellStyle name="20% - Énfasis5 6 4 2 2 3" xfId="39169" xr:uid="{BE9FA8CA-8B1D-48EA-A622-67E716546A24}"/>
    <cellStyle name="20% - Énfasis5 6 4 2 3" xfId="20956" xr:uid="{BCFE4BEC-8F92-4804-8151-499CA1132188}"/>
    <cellStyle name="20% - Énfasis5 6 4 2 3 2" xfId="39171" xr:uid="{912DAB87-E882-40F5-847E-9713FDCF3E70}"/>
    <cellStyle name="20% - Énfasis5 6 4 2 4" xfId="39168" xr:uid="{0A66AC07-883E-44BB-ACFD-0843AF1C0D06}"/>
    <cellStyle name="20% - Énfasis5 6 4 3" xfId="9520" xr:uid="{0B5F65AF-15F6-4144-9946-08198D513E68}"/>
    <cellStyle name="20% - Énfasis5 6 4 3 2" xfId="24933" xr:uid="{41FF9DEC-7D9E-4416-805A-7353035EBC30}"/>
    <cellStyle name="20% - Énfasis5 6 4 3 2 2" xfId="39173" xr:uid="{1357155E-DCB9-4E3B-BB3E-C1B0028B3086}"/>
    <cellStyle name="20% - Énfasis5 6 4 3 3" xfId="39172" xr:uid="{5E665901-6F08-4A6E-9EB8-0785BB7134B2}"/>
    <cellStyle name="20% - Énfasis5 6 4 4" xfId="17228" xr:uid="{BFFFAF58-EF60-44FD-82B3-AAF061836F2E}"/>
    <cellStyle name="20% - Énfasis5 6 4 4 2" xfId="39174" xr:uid="{890E209D-2468-47F0-AFE5-5B5B22535AE0}"/>
    <cellStyle name="20% - Énfasis5 6 4 5" xfId="39167" xr:uid="{9E150DFB-8589-40D8-A9C9-D34410872C3E}"/>
    <cellStyle name="20% - Énfasis5 6 5" xfId="4062" xr:uid="{78DCF026-613D-4724-8086-C330D109AF57}"/>
    <cellStyle name="20% - Énfasis5 6 5 2" xfId="11770" xr:uid="{D3CBFDCF-18E5-496A-80F0-7AB660DB2F36}"/>
    <cellStyle name="20% - Énfasis5 6 5 2 2" xfId="27182" xr:uid="{46BA980C-7EA6-423A-B46B-901B20E59FEA}"/>
    <cellStyle name="20% - Énfasis5 6 5 2 2 2" xfId="39177" xr:uid="{ECDF58E6-B13D-4611-8B8C-1915773BCFEE}"/>
    <cellStyle name="20% - Énfasis5 6 5 2 3" xfId="39176" xr:uid="{146F5C83-D3FE-4B7E-8BB8-99B7C063CF81}"/>
    <cellStyle name="20% - Énfasis5 6 5 3" xfId="19477" xr:uid="{525BD52B-8FCC-4A69-94DD-D8B65476883A}"/>
    <cellStyle name="20% - Énfasis5 6 5 3 2" xfId="39178" xr:uid="{83AAA39B-A8F0-429F-87A5-E041713020A6}"/>
    <cellStyle name="20% - Énfasis5 6 5 4" xfId="39175" xr:uid="{F9A818D8-4758-4A38-BB43-25194BC99CC7}"/>
    <cellStyle name="20% - Énfasis5 6 6" xfId="8061" xr:uid="{E0D5FA5D-C8B3-44C5-A179-6F51038D41F4}"/>
    <cellStyle name="20% - Énfasis5 6 6 2" xfId="23474" xr:uid="{776931D5-AFE1-417C-AF38-745622B55760}"/>
    <cellStyle name="20% - Énfasis5 6 6 2 2" xfId="39180" xr:uid="{54A21862-B4B0-4040-BD25-E28EAA81089D}"/>
    <cellStyle name="20% - Énfasis5 6 6 3" xfId="39179" xr:uid="{40660074-47C6-4DEA-8D0C-9023920B17A9}"/>
    <cellStyle name="20% - Énfasis5 6 7" xfId="15769" xr:uid="{119C15C8-B456-4E66-949B-B5ADD3CF7F88}"/>
    <cellStyle name="20% - Énfasis5 6 7 2" xfId="39181" xr:uid="{516128C2-51FD-4CAB-9216-FCAD64BDD7BC}"/>
    <cellStyle name="20% - Énfasis5 6 8" xfId="39118" xr:uid="{533B46E1-4EA9-4667-A1A7-14392ED13D32}"/>
    <cellStyle name="20% - Énfasis5 7" xfId="536" xr:uid="{9AE983A2-7622-4CAD-9A89-3D77B2167B99}"/>
    <cellStyle name="20% - Énfasis5 7 2" xfId="1197" xr:uid="{11984786-9B5E-4B0C-A8A0-670CD3B0FD88}"/>
    <cellStyle name="20% - Énfasis5 7 2 2" xfId="2665" xr:uid="{75375F34-8E06-4AAE-A603-9AD2442CAAF6}"/>
    <cellStyle name="20% - Énfasis5 7 2 2 2" xfId="6397" xr:uid="{15223ECB-C494-479A-9BAB-1705BD46F23B}"/>
    <cellStyle name="20% - Énfasis5 7 2 2 2 2" xfId="14105" xr:uid="{154A0494-5ECF-4DE9-80C3-0AB1A96DC048}"/>
    <cellStyle name="20% - Énfasis5 7 2 2 2 2 2" xfId="29517" xr:uid="{A03AE51E-DDC6-4FAF-9098-66705AADF4A4}"/>
    <cellStyle name="20% - Énfasis5 7 2 2 2 2 2 2" xfId="39187" xr:uid="{7E1FE11C-0096-4EDD-B71A-90989F5F2154}"/>
    <cellStyle name="20% - Énfasis5 7 2 2 2 2 3" xfId="39186" xr:uid="{FABFF3F9-3597-4612-9725-7C085DEA50F2}"/>
    <cellStyle name="20% - Énfasis5 7 2 2 2 3" xfId="21812" xr:uid="{2B915615-8025-41A2-ACFD-E0DE632729E9}"/>
    <cellStyle name="20% - Énfasis5 7 2 2 2 3 2" xfId="39188" xr:uid="{31320B47-D2A7-4D29-8E73-E332F3223AB4}"/>
    <cellStyle name="20% - Énfasis5 7 2 2 2 4" xfId="39185" xr:uid="{7F340B7E-137F-46FA-B5C4-3BFD627DF685}"/>
    <cellStyle name="20% - Énfasis5 7 2 2 3" xfId="10376" xr:uid="{336394BC-2F46-4F0F-9694-04244272AE5C}"/>
    <cellStyle name="20% - Énfasis5 7 2 2 3 2" xfId="25789" xr:uid="{88A0896E-07C4-4D7C-8D46-DE0B8B8701D6}"/>
    <cellStyle name="20% - Énfasis5 7 2 2 3 2 2" xfId="39190" xr:uid="{E0837D47-9F53-4A12-BB88-39C2E24646CC}"/>
    <cellStyle name="20% - Énfasis5 7 2 2 3 3" xfId="39189" xr:uid="{77207873-9F7A-4A11-B716-5F9FE2C84B19}"/>
    <cellStyle name="20% - Énfasis5 7 2 2 4" xfId="18084" xr:uid="{31FCFA1F-98B9-414B-B0FB-3C4ECDFA270A}"/>
    <cellStyle name="20% - Énfasis5 7 2 2 4 2" xfId="39191" xr:uid="{CA7D8B1C-4BE0-4D3A-B362-0FD91EFC58D8}"/>
    <cellStyle name="20% - Énfasis5 7 2 2 5" xfId="39184" xr:uid="{953B19A1-DC4A-4EB2-ABF9-C1ADFBF63E99}"/>
    <cellStyle name="20% - Énfasis5 7 2 3" xfId="4934" xr:uid="{AAC93CC0-33EF-47DA-814E-3E5C48B7BB2F}"/>
    <cellStyle name="20% - Énfasis5 7 2 3 2" xfId="12642" xr:uid="{9F204F04-C511-4187-94B5-CFEDB1A2B0F8}"/>
    <cellStyle name="20% - Énfasis5 7 2 3 2 2" xfId="28054" xr:uid="{D8D566D4-4CA9-42AC-961C-45C75C79CF4E}"/>
    <cellStyle name="20% - Énfasis5 7 2 3 2 2 2" xfId="39194" xr:uid="{C0C43634-EDD3-482F-859C-E6CC0AE0F399}"/>
    <cellStyle name="20% - Énfasis5 7 2 3 2 3" xfId="39193" xr:uid="{430BB47E-DD7F-44C1-A27B-692107F054AF}"/>
    <cellStyle name="20% - Énfasis5 7 2 3 3" xfId="20349" xr:uid="{7C99F315-B1CB-4BA6-8C63-1DF1B53B6069}"/>
    <cellStyle name="20% - Énfasis5 7 2 3 3 2" xfId="39195" xr:uid="{890FCA31-A2BB-4EFD-BF9C-EE726C2A6346}"/>
    <cellStyle name="20% - Énfasis5 7 2 3 4" xfId="39192" xr:uid="{A73BF03D-3D58-41BE-A402-EB5420EA7064}"/>
    <cellStyle name="20% - Énfasis5 7 2 4" xfId="8917" xr:uid="{4FFFB02F-E9D2-4A5F-B474-AA32413D13EC}"/>
    <cellStyle name="20% - Énfasis5 7 2 4 2" xfId="24330" xr:uid="{8C8843C2-1AB6-41A8-8161-17D66A6784ED}"/>
    <cellStyle name="20% - Énfasis5 7 2 4 2 2" xfId="39197" xr:uid="{0B9E4E2B-0053-46A5-A218-9D8468905D42}"/>
    <cellStyle name="20% - Énfasis5 7 2 4 3" xfId="39196" xr:uid="{93AC2E4C-34CA-4563-98CC-CD4484EF6589}"/>
    <cellStyle name="20% - Énfasis5 7 2 5" xfId="16625" xr:uid="{986D487D-7DD8-408F-A2DE-0F7A4E86B891}"/>
    <cellStyle name="20% - Énfasis5 7 2 5 2" xfId="39198" xr:uid="{15CCE342-1A4E-4E4A-BFDF-AC9103EDCEA7}"/>
    <cellStyle name="20% - Énfasis5 7 2 6" xfId="39183" xr:uid="{CED2731C-7F37-4100-92A3-29D546F016CA}"/>
    <cellStyle name="20% - Énfasis5 7 3" xfId="2027" xr:uid="{91CB99CA-7464-41AB-B662-A845642D259E}"/>
    <cellStyle name="20% - Énfasis5 7 3 2" xfId="5759" xr:uid="{4D60CE15-1FD5-4A54-8933-9A88E3A7D001}"/>
    <cellStyle name="20% - Énfasis5 7 3 2 2" xfId="13467" xr:uid="{863D429A-992C-4BF9-9E86-DA4BC121B814}"/>
    <cellStyle name="20% - Énfasis5 7 3 2 2 2" xfId="28879" xr:uid="{B1C1CCDA-1778-45C2-AEF8-050CA3FDA7F6}"/>
    <cellStyle name="20% - Énfasis5 7 3 2 2 2 2" xfId="39202" xr:uid="{E1DFF391-430C-4A2A-972D-73E728B7917F}"/>
    <cellStyle name="20% - Énfasis5 7 3 2 2 3" xfId="39201" xr:uid="{B8D51CC1-D838-40D1-ACC5-2D641A81B585}"/>
    <cellStyle name="20% - Énfasis5 7 3 2 3" xfId="21174" xr:uid="{5C9F0185-CB0C-4BBE-AA07-7E7A1D60C9D5}"/>
    <cellStyle name="20% - Énfasis5 7 3 2 3 2" xfId="39203" xr:uid="{588F9A07-E056-4DAE-A317-AED2D8C09EEF}"/>
    <cellStyle name="20% - Énfasis5 7 3 2 4" xfId="39200" xr:uid="{D9B5B94B-A01C-461B-B475-3669DE89A5E0}"/>
    <cellStyle name="20% - Énfasis5 7 3 3" xfId="9738" xr:uid="{96C199C4-40B4-4219-B0EA-C3527B674069}"/>
    <cellStyle name="20% - Énfasis5 7 3 3 2" xfId="25151" xr:uid="{10CD8FC5-91A1-467E-97D0-CD687B6435E5}"/>
    <cellStyle name="20% - Énfasis5 7 3 3 2 2" xfId="39205" xr:uid="{80768912-F118-4CD7-8635-3FE21C39F3DF}"/>
    <cellStyle name="20% - Énfasis5 7 3 3 3" xfId="39204" xr:uid="{53F1BAFF-9A30-492C-9831-0F029DB83CD0}"/>
    <cellStyle name="20% - Énfasis5 7 3 4" xfId="17446" xr:uid="{1B4A6D68-93B2-49EE-8A5D-880AC9183B3B}"/>
    <cellStyle name="20% - Énfasis5 7 3 4 2" xfId="39206" xr:uid="{059C562D-EE55-41CB-A693-5B09A1AE0433}"/>
    <cellStyle name="20% - Énfasis5 7 3 5" xfId="39199" xr:uid="{99A0143F-911E-4F60-B164-65E6947D4807}"/>
    <cellStyle name="20% - Énfasis5 7 4" xfId="4282" xr:uid="{36C53ED5-5357-498E-839E-4B21A435D01A}"/>
    <cellStyle name="20% - Énfasis5 7 4 2" xfId="11990" xr:uid="{13C894C8-E9E3-47E0-A6F8-1D68D477E6A3}"/>
    <cellStyle name="20% - Énfasis5 7 4 2 2" xfId="27402" xr:uid="{157A115A-E894-424C-828E-27759A772F6E}"/>
    <cellStyle name="20% - Énfasis5 7 4 2 2 2" xfId="39209" xr:uid="{99D6E76F-7305-47BD-99E3-337452354CD6}"/>
    <cellStyle name="20% - Énfasis5 7 4 2 3" xfId="39208" xr:uid="{1667FFF0-4091-4703-AC7B-6FE1BECA82D4}"/>
    <cellStyle name="20% - Énfasis5 7 4 3" xfId="19697" xr:uid="{AA2E0C1D-EE48-4BC3-BA80-44F95D3DFD35}"/>
    <cellStyle name="20% - Énfasis5 7 4 3 2" xfId="39210" xr:uid="{AA45771E-834A-4D69-8362-F7735E04147E}"/>
    <cellStyle name="20% - Énfasis5 7 4 4" xfId="39207" xr:uid="{8880C786-9CDB-4D79-8C6D-BEB930ABAA05}"/>
    <cellStyle name="20% - Énfasis5 7 5" xfId="8279" xr:uid="{95599A1A-DA1A-4AE6-9824-A244AA6EEF42}"/>
    <cellStyle name="20% - Énfasis5 7 5 2" xfId="23692" xr:uid="{2C9F0C8D-9A21-45A6-8ED2-52C38CF28171}"/>
    <cellStyle name="20% - Énfasis5 7 5 2 2" xfId="39212" xr:uid="{4D680600-29F7-48CD-B3A1-709673D8A44E}"/>
    <cellStyle name="20% - Énfasis5 7 5 3" xfId="39211" xr:uid="{8DDE2637-DB5B-4112-BD8C-3F892B0282DB}"/>
    <cellStyle name="20% - Énfasis5 7 6" xfId="15987" xr:uid="{B68AF562-F1F5-495C-90B5-6464E51FAA0C}"/>
    <cellStyle name="20% - Énfasis5 7 6 2" xfId="39213" xr:uid="{1AA6BDE0-8EDF-4364-82A1-DFEA94B8B239}"/>
    <cellStyle name="20% - Énfasis5 7 7" xfId="39182" xr:uid="{C26D306C-E57D-4D45-922E-C8AE6F5C3A0F}"/>
    <cellStyle name="20% - Énfasis5 8" xfId="556" xr:uid="{05AF0932-2869-4D83-8EEA-F1E5E186B697}"/>
    <cellStyle name="20% - Énfasis5 8 2" xfId="1217" xr:uid="{576FB466-9B4A-4220-AD35-811E58535CFE}"/>
    <cellStyle name="20% - Énfasis5 8 2 2" xfId="2685" xr:uid="{F634F5C3-79D8-4229-8573-AA581D3FB119}"/>
    <cellStyle name="20% - Énfasis5 8 2 2 2" xfId="6417" xr:uid="{2BBD4E2E-2C0B-4B03-81DA-EF7122FAD87F}"/>
    <cellStyle name="20% - Énfasis5 8 2 2 2 2" xfId="14125" xr:uid="{736D14AA-F3FF-44B5-9C0E-DDC1B9CC609A}"/>
    <cellStyle name="20% - Énfasis5 8 2 2 2 2 2" xfId="29537" xr:uid="{33C0C076-D5AD-42E2-8F20-5741F5FB150B}"/>
    <cellStyle name="20% - Énfasis5 8 2 2 2 2 2 2" xfId="39219" xr:uid="{567D0A7B-23A9-41E7-ADEA-0ABBDCA245F0}"/>
    <cellStyle name="20% - Énfasis5 8 2 2 2 2 3" xfId="39218" xr:uid="{F8A33405-5467-4530-B583-6BD17080F36D}"/>
    <cellStyle name="20% - Énfasis5 8 2 2 2 3" xfId="21832" xr:uid="{FDFEF0A0-CEBD-48E2-BEA2-8639488B7088}"/>
    <cellStyle name="20% - Énfasis5 8 2 2 2 3 2" xfId="39220" xr:uid="{EE0DE92F-2569-48F6-91A3-7E9ABA79ACF5}"/>
    <cellStyle name="20% - Énfasis5 8 2 2 2 4" xfId="39217" xr:uid="{2241B89E-AFCE-4782-9E94-C25CAC7ED115}"/>
    <cellStyle name="20% - Énfasis5 8 2 2 3" xfId="10396" xr:uid="{C2AC9E70-2F7C-45CB-ADA4-E1F00419777D}"/>
    <cellStyle name="20% - Énfasis5 8 2 2 3 2" xfId="25809" xr:uid="{EF08794E-A834-4541-944D-74DD719896D8}"/>
    <cellStyle name="20% - Énfasis5 8 2 2 3 2 2" xfId="39222" xr:uid="{AFCAE9D9-B8C3-481D-A16A-3E32A7687C37}"/>
    <cellStyle name="20% - Énfasis5 8 2 2 3 3" xfId="39221" xr:uid="{4AA082F2-E2CC-405A-A2BE-D32D965ED2B1}"/>
    <cellStyle name="20% - Énfasis5 8 2 2 4" xfId="18104" xr:uid="{934907C6-EFB1-4D38-9C24-6D1C211A0C86}"/>
    <cellStyle name="20% - Énfasis5 8 2 2 4 2" xfId="39223" xr:uid="{7883470F-C765-4CC2-885C-8C57546F2AD4}"/>
    <cellStyle name="20% - Énfasis5 8 2 2 5" xfId="39216" xr:uid="{4FF86736-22D6-4DA5-A407-04215AE54159}"/>
    <cellStyle name="20% - Énfasis5 8 2 3" xfId="4954" xr:uid="{05E464D8-A48B-4FDC-A044-A686CBBAAC6B}"/>
    <cellStyle name="20% - Énfasis5 8 2 3 2" xfId="12662" xr:uid="{CBEDE16F-4175-4FDB-AC10-0A0C261D2281}"/>
    <cellStyle name="20% - Énfasis5 8 2 3 2 2" xfId="28074" xr:uid="{465ABCA4-DA54-426A-8C23-D2A302884EC2}"/>
    <cellStyle name="20% - Énfasis5 8 2 3 2 2 2" xfId="39226" xr:uid="{F051CA92-46D3-4ED8-A666-D5BC69E2A456}"/>
    <cellStyle name="20% - Énfasis5 8 2 3 2 3" xfId="39225" xr:uid="{EC44943C-360E-4BB5-B9EE-D5190C8618AC}"/>
    <cellStyle name="20% - Énfasis5 8 2 3 3" xfId="20369" xr:uid="{008ED0E0-FB02-4D89-BFF3-4E073E830DB1}"/>
    <cellStyle name="20% - Énfasis5 8 2 3 3 2" xfId="39227" xr:uid="{51B7DE29-92EF-45E1-A44A-132EC2538A8A}"/>
    <cellStyle name="20% - Énfasis5 8 2 3 4" xfId="39224" xr:uid="{DECDB7F8-983F-4B4B-BA85-5890E33108FE}"/>
    <cellStyle name="20% - Énfasis5 8 2 4" xfId="8937" xr:uid="{00BBD795-5B7B-4484-A26C-86CDBF37B280}"/>
    <cellStyle name="20% - Énfasis5 8 2 4 2" xfId="24350" xr:uid="{0C3469B6-FEF7-44E9-98D3-C55CC27950D4}"/>
    <cellStyle name="20% - Énfasis5 8 2 4 2 2" xfId="39229" xr:uid="{EA2F13BA-A4C1-42CF-BC02-CC46CB72C24F}"/>
    <cellStyle name="20% - Énfasis5 8 2 4 3" xfId="39228" xr:uid="{A7251646-F2A7-401F-8038-11F87FF4AB1C}"/>
    <cellStyle name="20% - Énfasis5 8 2 5" xfId="16645" xr:uid="{27BF4245-3A5A-42C9-901F-45D7065542A4}"/>
    <cellStyle name="20% - Énfasis5 8 2 5 2" xfId="39230" xr:uid="{72B28C05-786C-4A3A-9F6F-60083235F250}"/>
    <cellStyle name="20% - Énfasis5 8 2 6" xfId="39215" xr:uid="{72EAFA3C-A22B-4001-A790-34AD156003F9}"/>
    <cellStyle name="20% - Énfasis5 8 3" xfId="2047" xr:uid="{C28083E8-8FE7-492F-B79A-6CE1A953FBB8}"/>
    <cellStyle name="20% - Énfasis5 8 3 2" xfId="5779" xr:uid="{7D96DC76-8304-403B-BF6C-3CCF1FCEBE39}"/>
    <cellStyle name="20% - Énfasis5 8 3 2 2" xfId="13487" xr:uid="{DEA28A7D-75DD-482F-B6D6-353932FE8634}"/>
    <cellStyle name="20% - Énfasis5 8 3 2 2 2" xfId="28899" xr:uid="{F7A9A58E-C2C7-4B91-9117-9D0584D1EDD8}"/>
    <cellStyle name="20% - Énfasis5 8 3 2 2 2 2" xfId="39234" xr:uid="{05131B02-28F9-4210-9902-FFB631B15672}"/>
    <cellStyle name="20% - Énfasis5 8 3 2 2 3" xfId="39233" xr:uid="{CE67B47B-26F4-4037-B468-43D30BC5EE45}"/>
    <cellStyle name="20% - Énfasis5 8 3 2 3" xfId="21194" xr:uid="{A41D7F82-30FD-4E51-B5F0-1C2FEDD23930}"/>
    <cellStyle name="20% - Énfasis5 8 3 2 3 2" xfId="39235" xr:uid="{9D73819B-9AF3-4256-A0A0-C612271F8C3F}"/>
    <cellStyle name="20% - Énfasis5 8 3 2 4" xfId="39232" xr:uid="{06FC272D-0914-452A-9E5B-CFA9F03E3891}"/>
    <cellStyle name="20% - Énfasis5 8 3 3" xfId="9758" xr:uid="{DD990A1F-AECF-4C1D-A908-E78856B43BB5}"/>
    <cellStyle name="20% - Énfasis5 8 3 3 2" xfId="25171" xr:uid="{2FA9B5DA-5511-4424-A978-CF6C44C91318}"/>
    <cellStyle name="20% - Énfasis5 8 3 3 2 2" xfId="39237" xr:uid="{7B8ACFB3-5086-496A-AD2E-E2BD63D52B45}"/>
    <cellStyle name="20% - Énfasis5 8 3 3 3" xfId="39236" xr:uid="{06EC3747-B39B-4D96-BA2F-AB7377AD011C}"/>
    <cellStyle name="20% - Énfasis5 8 3 4" xfId="17466" xr:uid="{8ED7B100-0C1B-4487-A1E3-3B6602E3C038}"/>
    <cellStyle name="20% - Énfasis5 8 3 4 2" xfId="39238" xr:uid="{A0A9D7F9-55C0-4BAC-926A-2CB6ABEFD419}"/>
    <cellStyle name="20% - Énfasis5 8 3 5" xfId="39231" xr:uid="{748F9BAA-686D-41AC-98AF-A57EB114E03C}"/>
    <cellStyle name="20% - Énfasis5 8 4" xfId="4302" xr:uid="{38288198-6053-47F7-963A-AC550421834E}"/>
    <cellStyle name="20% - Énfasis5 8 4 2" xfId="12010" xr:uid="{7AEEBD0C-249F-4B40-93C5-7C3126231D2C}"/>
    <cellStyle name="20% - Énfasis5 8 4 2 2" xfId="27422" xr:uid="{DD5AB22C-F52B-4F43-BFFB-8DEE050AADCA}"/>
    <cellStyle name="20% - Énfasis5 8 4 2 2 2" xfId="39241" xr:uid="{7D19A49F-B332-4B3A-B551-3C4E685E3B1A}"/>
    <cellStyle name="20% - Énfasis5 8 4 2 3" xfId="39240" xr:uid="{EE7EC0C1-D84E-49D6-8982-730FED5681BF}"/>
    <cellStyle name="20% - Énfasis5 8 4 3" xfId="19717" xr:uid="{B6C46453-8D9D-44C2-8BCE-CD8C1F62AD18}"/>
    <cellStyle name="20% - Énfasis5 8 4 3 2" xfId="39242" xr:uid="{DF342356-80C6-4BAD-A336-38863BD7B9E2}"/>
    <cellStyle name="20% - Énfasis5 8 4 4" xfId="39239" xr:uid="{FF353FCC-02AB-45C1-832F-A28ED3350FFD}"/>
    <cellStyle name="20% - Énfasis5 8 5" xfId="8299" xr:uid="{0CC288E3-7DC5-4DF4-A9FB-5DBEBE82054C}"/>
    <cellStyle name="20% - Énfasis5 8 5 2" xfId="23712" xr:uid="{D46550E3-13D4-47D8-90F3-68A86C65AB5E}"/>
    <cellStyle name="20% - Énfasis5 8 5 2 2" xfId="39244" xr:uid="{90C2EA13-FB33-4C46-B71B-E0B24EEECCA7}"/>
    <cellStyle name="20% - Énfasis5 8 5 3" xfId="39243" xr:uid="{11492989-D9B8-431F-A854-0B8ABD3E296A}"/>
    <cellStyle name="20% - Énfasis5 8 6" xfId="16007" xr:uid="{4660D4B7-ED89-44BC-BF3C-2FE644FD0F28}"/>
    <cellStyle name="20% - Énfasis5 8 6 2" xfId="39245" xr:uid="{3B522A6B-D4AE-4D4C-9D3E-E7DD15693DDE}"/>
    <cellStyle name="20% - Énfasis5 8 7" xfId="39214" xr:uid="{6B5224B4-6BAD-493A-A46D-DD44704EE471}"/>
    <cellStyle name="20% - Énfasis5 9" xfId="576" xr:uid="{595AE0C6-8668-4F0D-AC68-331AC45FF2D7}"/>
    <cellStyle name="20% - Énfasis5 9 2" xfId="1237" xr:uid="{1241FAF6-9C95-43C5-9D6E-9EA526DB6AC7}"/>
    <cellStyle name="20% - Énfasis5 9 2 2" xfId="2705" xr:uid="{236A0B03-0482-4FC7-B2DD-B2E4361F2DA6}"/>
    <cellStyle name="20% - Énfasis5 9 2 2 2" xfId="6437" xr:uid="{6992B549-A59D-429E-8792-2D4522E199DB}"/>
    <cellStyle name="20% - Énfasis5 9 2 2 2 2" xfId="14145" xr:uid="{33C25B7D-6AC5-4400-9B2A-20A3AAFC8F6B}"/>
    <cellStyle name="20% - Énfasis5 9 2 2 2 2 2" xfId="29557" xr:uid="{8854DDB2-23A8-4AAB-8324-449B76BFC88E}"/>
    <cellStyle name="20% - Énfasis5 9 2 2 2 2 2 2" xfId="39251" xr:uid="{9470ED3A-CDB8-4F02-91EC-84ADC981ABB7}"/>
    <cellStyle name="20% - Énfasis5 9 2 2 2 2 3" xfId="39250" xr:uid="{098D9252-E060-4D42-A46E-0CB13F9B1173}"/>
    <cellStyle name="20% - Énfasis5 9 2 2 2 3" xfId="21852" xr:uid="{683FB931-9D34-4356-91F4-DD5597DE5840}"/>
    <cellStyle name="20% - Énfasis5 9 2 2 2 3 2" xfId="39252" xr:uid="{6AA6523D-4EF8-450B-9B53-B56D1F9A6DA2}"/>
    <cellStyle name="20% - Énfasis5 9 2 2 2 4" xfId="39249" xr:uid="{EF38BF15-907E-4E57-A6D8-7494FA7B2042}"/>
    <cellStyle name="20% - Énfasis5 9 2 2 3" xfId="10416" xr:uid="{5527EC35-44DE-4CBE-B84A-EAF2B723A501}"/>
    <cellStyle name="20% - Énfasis5 9 2 2 3 2" xfId="25829" xr:uid="{94BA1ED1-EA0B-4A84-A66E-57E894DA21B6}"/>
    <cellStyle name="20% - Énfasis5 9 2 2 3 2 2" xfId="39254" xr:uid="{83C5A5BD-12B6-47DF-8894-718349D264D0}"/>
    <cellStyle name="20% - Énfasis5 9 2 2 3 3" xfId="39253" xr:uid="{137C7161-B621-4FAF-A34F-F54F56A8ED35}"/>
    <cellStyle name="20% - Énfasis5 9 2 2 4" xfId="18124" xr:uid="{BAF6DDAA-A024-462D-A5F0-822721FBC212}"/>
    <cellStyle name="20% - Énfasis5 9 2 2 4 2" xfId="39255" xr:uid="{10D9C698-E86B-4F32-A5E4-F06171CFCC3A}"/>
    <cellStyle name="20% - Énfasis5 9 2 2 5" xfId="39248" xr:uid="{5C4FB6B7-4E3B-44DC-9035-10EC51897AC8}"/>
    <cellStyle name="20% - Énfasis5 9 2 3" xfId="4974" xr:uid="{8BC21202-1947-41CC-A3F0-22C33925EE28}"/>
    <cellStyle name="20% - Énfasis5 9 2 3 2" xfId="12682" xr:uid="{1A845033-16FD-42A7-ABB7-343A735CAF49}"/>
    <cellStyle name="20% - Énfasis5 9 2 3 2 2" xfId="28094" xr:uid="{23281205-FF3F-4DCC-B2AC-205D3308F9A6}"/>
    <cellStyle name="20% - Énfasis5 9 2 3 2 2 2" xfId="39258" xr:uid="{7E0A2E32-82F6-4831-8A62-CB7065233D74}"/>
    <cellStyle name="20% - Énfasis5 9 2 3 2 3" xfId="39257" xr:uid="{86900C7F-F747-46F7-9C3B-EE12896183AB}"/>
    <cellStyle name="20% - Énfasis5 9 2 3 3" xfId="20389" xr:uid="{08A2ECFE-9DA7-47F2-964A-FAFE6B58F290}"/>
    <cellStyle name="20% - Énfasis5 9 2 3 3 2" xfId="39259" xr:uid="{FE0E78A0-5D75-4606-9431-2592FBF29C12}"/>
    <cellStyle name="20% - Énfasis5 9 2 3 4" xfId="39256" xr:uid="{27761FCB-2ECA-4AB2-8CC0-316509DCF34C}"/>
    <cellStyle name="20% - Énfasis5 9 2 4" xfId="8957" xr:uid="{510120CC-7255-4F2E-8CFA-2B3A495EE425}"/>
    <cellStyle name="20% - Énfasis5 9 2 4 2" xfId="24370" xr:uid="{6660E21B-1033-476B-9EC8-14EC591F8867}"/>
    <cellStyle name="20% - Énfasis5 9 2 4 2 2" xfId="39261" xr:uid="{FA71A4C0-B153-441B-B2AF-5411E0135593}"/>
    <cellStyle name="20% - Énfasis5 9 2 4 3" xfId="39260" xr:uid="{52ED1E68-ECF2-4BE7-AA21-D3C4F7B9C171}"/>
    <cellStyle name="20% - Énfasis5 9 2 5" xfId="16665" xr:uid="{4263EF5B-CECA-4293-8444-E3610A654E75}"/>
    <cellStyle name="20% - Énfasis5 9 2 5 2" xfId="39262" xr:uid="{F3F2DF89-544F-4359-8A98-AAE3663BC599}"/>
    <cellStyle name="20% - Énfasis5 9 2 6" xfId="39247" xr:uid="{1ACED2CE-2403-4ED4-9761-F711195763C1}"/>
    <cellStyle name="20% - Énfasis5 9 3" xfId="2067" xr:uid="{6487EA0A-DC26-4588-BC90-6D2CAAA46BE1}"/>
    <cellStyle name="20% - Énfasis5 9 3 2" xfId="5799" xr:uid="{BFC20588-EE68-4F09-9C4D-127DEBC1730D}"/>
    <cellStyle name="20% - Énfasis5 9 3 2 2" xfId="13507" xr:uid="{1442F887-414D-497C-8D24-2AB91FBE9E17}"/>
    <cellStyle name="20% - Énfasis5 9 3 2 2 2" xfId="28919" xr:uid="{4F758847-E478-4BC5-BFEC-35A931D4A4B4}"/>
    <cellStyle name="20% - Énfasis5 9 3 2 2 2 2" xfId="39266" xr:uid="{2DFE7A87-D4E9-4C23-96FE-091104CAEC59}"/>
    <cellStyle name="20% - Énfasis5 9 3 2 2 3" xfId="39265" xr:uid="{201C49A9-F139-48CB-A22E-D14023509763}"/>
    <cellStyle name="20% - Énfasis5 9 3 2 3" xfId="21214" xr:uid="{2CFE4C3B-C9F3-478C-9E06-00DCAFC2C8B8}"/>
    <cellStyle name="20% - Énfasis5 9 3 2 3 2" xfId="39267" xr:uid="{16A92B42-E4E5-4F9F-8EDF-1D8CFC330A66}"/>
    <cellStyle name="20% - Énfasis5 9 3 2 4" xfId="39264" xr:uid="{0D2223E8-BC81-49BB-A62B-76EAD5B91E54}"/>
    <cellStyle name="20% - Énfasis5 9 3 3" xfId="9778" xr:uid="{383AAD0D-07C5-4167-B104-6A9BE45E2224}"/>
    <cellStyle name="20% - Énfasis5 9 3 3 2" xfId="25191" xr:uid="{8997512A-723C-4A26-98DB-EE9DD385FA0C}"/>
    <cellStyle name="20% - Énfasis5 9 3 3 2 2" xfId="39269" xr:uid="{8A17EB5E-5385-4453-92F1-F26DA82391BC}"/>
    <cellStyle name="20% - Énfasis5 9 3 3 3" xfId="39268" xr:uid="{92468007-7907-4E2F-8514-84ECDC2D0E17}"/>
    <cellStyle name="20% - Énfasis5 9 3 4" xfId="17486" xr:uid="{E75E0EDC-421E-4C3D-9A48-E3B4F685991F}"/>
    <cellStyle name="20% - Énfasis5 9 3 4 2" xfId="39270" xr:uid="{BCD23E15-4B1E-4A4E-AF4F-A3B6CBEAD68F}"/>
    <cellStyle name="20% - Énfasis5 9 3 5" xfId="39263" xr:uid="{277C1356-1B8D-4981-883B-25188BA7D294}"/>
    <cellStyle name="20% - Énfasis5 9 4" xfId="4322" xr:uid="{A580A28D-7C39-440D-BFD7-0B45C1708C91}"/>
    <cellStyle name="20% - Énfasis5 9 4 2" xfId="12030" xr:uid="{86A3D5EF-B1E7-4C3D-A12E-53E5E3C3A85D}"/>
    <cellStyle name="20% - Énfasis5 9 4 2 2" xfId="27442" xr:uid="{C6B4E5A2-84A9-42FE-9C1C-F6A291155AB8}"/>
    <cellStyle name="20% - Énfasis5 9 4 2 2 2" xfId="39273" xr:uid="{E3AD490E-EF41-431F-9937-02FA66B9E88A}"/>
    <cellStyle name="20% - Énfasis5 9 4 2 3" xfId="39272" xr:uid="{C180B205-B797-45E2-BC1E-0C06ABFB6FDB}"/>
    <cellStyle name="20% - Énfasis5 9 4 3" xfId="19737" xr:uid="{9579E7EB-362F-440F-8738-A442179D668D}"/>
    <cellStyle name="20% - Énfasis5 9 4 3 2" xfId="39274" xr:uid="{5A5717B9-D50B-4CDB-B2C7-F7CE831CF2EF}"/>
    <cellStyle name="20% - Énfasis5 9 4 4" xfId="39271" xr:uid="{F8A7B94A-0D6E-40C0-BE36-D5225F60DC39}"/>
    <cellStyle name="20% - Énfasis5 9 5" xfId="8319" xr:uid="{98E142EA-9B81-4177-A128-7C9511D87D21}"/>
    <cellStyle name="20% - Énfasis5 9 5 2" xfId="23732" xr:uid="{353CFA4B-644C-4A52-800F-3CB0EE304938}"/>
    <cellStyle name="20% - Énfasis5 9 5 2 2" xfId="39276" xr:uid="{27CDA594-399C-4499-A3FA-10D976174687}"/>
    <cellStyle name="20% - Énfasis5 9 5 3" xfId="39275" xr:uid="{EB08EB0C-4E5E-4BA3-8E6A-669D56C2A8CC}"/>
    <cellStyle name="20% - Énfasis5 9 6" xfId="16027" xr:uid="{F309F290-0C35-40E7-A33E-51ADD92BE8A6}"/>
    <cellStyle name="20% - Énfasis5 9 6 2" xfId="39277" xr:uid="{7DA34EF7-B5CC-492B-A7F0-B5B5F6896844}"/>
    <cellStyle name="20% - Énfasis5 9 7" xfId="39246" xr:uid="{2ECDF602-E25A-4A7B-8CE7-BD840236B8D2}"/>
    <cellStyle name="20% - Énfasis6" xfId="36" builtinId="50" customBuiltin="1"/>
    <cellStyle name="20% - Énfasis6 10" xfId="599" xr:uid="{483932F2-73D0-4B88-871C-848DE8C56DB6}"/>
    <cellStyle name="20% - Énfasis6 10 2" xfId="1260" xr:uid="{BA1FB4AA-3C95-437F-91B6-8D90C5E4B7EA}"/>
    <cellStyle name="20% - Énfasis6 10 2 2" xfId="2728" xr:uid="{8E2F572A-172A-41B7-8BF1-F606DF0469CF}"/>
    <cellStyle name="20% - Énfasis6 10 2 2 2" xfId="6460" xr:uid="{94E415A3-3DC2-4DAC-B098-C53E796F71C8}"/>
    <cellStyle name="20% - Énfasis6 10 2 2 2 2" xfId="14168" xr:uid="{E1B33570-F3F5-4B94-9017-3381EC937688}"/>
    <cellStyle name="20% - Énfasis6 10 2 2 2 2 2" xfId="29580" xr:uid="{325D1ED1-B6A6-454C-92FF-4AC231FDD3D7}"/>
    <cellStyle name="20% - Énfasis6 10 2 2 2 2 2 2" xfId="39283" xr:uid="{2AD45456-8C8E-46CA-A22E-BF27DAAD326F}"/>
    <cellStyle name="20% - Énfasis6 10 2 2 2 2 3" xfId="39282" xr:uid="{7A0FA74D-7ABA-40D2-9011-C863600A13A6}"/>
    <cellStyle name="20% - Énfasis6 10 2 2 2 3" xfId="21875" xr:uid="{B74F0268-4BFC-4EC9-AD4A-14CED9502716}"/>
    <cellStyle name="20% - Énfasis6 10 2 2 2 3 2" xfId="39284" xr:uid="{2C36C4B3-7A61-4AD9-9DB0-5195BFF3D93D}"/>
    <cellStyle name="20% - Énfasis6 10 2 2 2 4" xfId="39281" xr:uid="{1585144B-17D1-45A6-898A-3A7DAFAB76D7}"/>
    <cellStyle name="20% - Énfasis6 10 2 2 3" xfId="10439" xr:uid="{84703578-CE1E-445E-AB90-8AE8B1067AEC}"/>
    <cellStyle name="20% - Énfasis6 10 2 2 3 2" xfId="25852" xr:uid="{3CD3263D-F8D9-460F-B817-BF69F87849BC}"/>
    <cellStyle name="20% - Énfasis6 10 2 2 3 2 2" xfId="39286" xr:uid="{D8D37989-2040-4B68-96E4-9E66FA832192}"/>
    <cellStyle name="20% - Énfasis6 10 2 2 3 3" xfId="39285" xr:uid="{95A95C79-97C8-4B90-9B92-24CF0763A5BA}"/>
    <cellStyle name="20% - Énfasis6 10 2 2 4" xfId="18147" xr:uid="{AF786072-B17A-4D23-8C97-A2D5076BB229}"/>
    <cellStyle name="20% - Énfasis6 10 2 2 4 2" xfId="39287" xr:uid="{C4706219-D2A7-4D5D-9145-719654ED4EC3}"/>
    <cellStyle name="20% - Énfasis6 10 2 2 5" xfId="39280" xr:uid="{DAE494D6-AF3F-4CC8-8422-C08E46E0D691}"/>
    <cellStyle name="20% - Énfasis6 10 2 3" xfId="4997" xr:uid="{690337A2-EBA7-46B3-B47A-6157DC907AD6}"/>
    <cellStyle name="20% - Énfasis6 10 2 3 2" xfId="12705" xr:uid="{2230EEDB-A58C-4C2B-BA29-D88E7A27B749}"/>
    <cellStyle name="20% - Énfasis6 10 2 3 2 2" xfId="28117" xr:uid="{44634B51-E0C9-49CD-8096-A9BECF8174B8}"/>
    <cellStyle name="20% - Énfasis6 10 2 3 2 2 2" xfId="39290" xr:uid="{3375F652-CB17-4BCF-B584-18398EBBEF52}"/>
    <cellStyle name="20% - Énfasis6 10 2 3 2 3" xfId="39289" xr:uid="{5A45DA45-1645-4372-8024-AB1BDEECCBBC}"/>
    <cellStyle name="20% - Énfasis6 10 2 3 3" xfId="20412" xr:uid="{2F3327C8-DE50-4B39-8907-1052195F3FFB}"/>
    <cellStyle name="20% - Énfasis6 10 2 3 3 2" xfId="39291" xr:uid="{D6E356A4-B8E5-49CC-9931-FB145C6A27CF}"/>
    <cellStyle name="20% - Énfasis6 10 2 3 4" xfId="39288" xr:uid="{28468CDE-8618-45B0-AB41-3A5E7F527E14}"/>
    <cellStyle name="20% - Énfasis6 10 2 4" xfId="8980" xr:uid="{56B2D346-965D-4B09-BEF7-3FE459FC2CF9}"/>
    <cellStyle name="20% - Énfasis6 10 2 4 2" xfId="24393" xr:uid="{7E376B52-A8DC-437C-A658-811BF6E3ABE0}"/>
    <cellStyle name="20% - Énfasis6 10 2 4 2 2" xfId="39293" xr:uid="{90C6CB39-0EFB-46BD-9B17-DF26184B425A}"/>
    <cellStyle name="20% - Énfasis6 10 2 4 3" xfId="39292" xr:uid="{38A330DF-4D2C-4C5B-B80D-08D16C6A4C06}"/>
    <cellStyle name="20% - Énfasis6 10 2 5" xfId="16688" xr:uid="{92F291E2-9442-414F-A2E4-CF05B5AFC6DC}"/>
    <cellStyle name="20% - Énfasis6 10 2 5 2" xfId="39294" xr:uid="{54CB7A4A-3FAA-426A-8FB7-266412C2CA7E}"/>
    <cellStyle name="20% - Énfasis6 10 2 6" xfId="39279" xr:uid="{3F20A54C-5D09-4863-AE77-A9369215F539}"/>
    <cellStyle name="20% - Énfasis6 10 3" xfId="2090" xr:uid="{EBC115F4-D579-4437-AE32-9E76DF860CA0}"/>
    <cellStyle name="20% - Énfasis6 10 3 2" xfId="5822" xr:uid="{1597D0F6-AC1E-4478-9FE0-9E5221217E14}"/>
    <cellStyle name="20% - Énfasis6 10 3 2 2" xfId="13530" xr:uid="{EE66028B-76E0-4227-9848-37356ED17600}"/>
    <cellStyle name="20% - Énfasis6 10 3 2 2 2" xfId="28942" xr:uid="{1BFAF1FE-CB5B-4070-AF50-F71E478EC3EB}"/>
    <cellStyle name="20% - Énfasis6 10 3 2 2 2 2" xfId="39298" xr:uid="{C509002C-4FA9-40AA-9271-754DB340DF70}"/>
    <cellStyle name="20% - Énfasis6 10 3 2 2 3" xfId="39297" xr:uid="{2746FFFA-2D55-4575-B855-D2E8BA7066F3}"/>
    <cellStyle name="20% - Énfasis6 10 3 2 3" xfId="21237" xr:uid="{8BBB934E-2656-480C-9751-62F32A6FB61E}"/>
    <cellStyle name="20% - Énfasis6 10 3 2 3 2" xfId="39299" xr:uid="{18D8D050-AD63-4965-9E8E-847451916912}"/>
    <cellStyle name="20% - Énfasis6 10 3 2 4" xfId="39296" xr:uid="{9B8CF446-131A-4039-941F-9053630C94E9}"/>
    <cellStyle name="20% - Énfasis6 10 3 3" xfId="9801" xr:uid="{3165EDEE-2DF9-44CD-900C-4A849B55AEF9}"/>
    <cellStyle name="20% - Énfasis6 10 3 3 2" xfId="25214" xr:uid="{8868F812-4676-45A1-A30E-E235CD956FAA}"/>
    <cellStyle name="20% - Énfasis6 10 3 3 2 2" xfId="39301" xr:uid="{0AA290C2-11A2-46E6-B317-22FFDEBBB6A3}"/>
    <cellStyle name="20% - Énfasis6 10 3 3 3" xfId="39300" xr:uid="{CCB8C1DF-84AC-4F9A-A9DE-2F43F7A25998}"/>
    <cellStyle name="20% - Énfasis6 10 3 4" xfId="17509" xr:uid="{3A02AF0B-6399-4946-8629-58D0FEA7331C}"/>
    <cellStyle name="20% - Énfasis6 10 3 4 2" xfId="39302" xr:uid="{B45C886B-E468-4980-8AEE-8951C755B8E2}"/>
    <cellStyle name="20% - Énfasis6 10 3 5" xfId="39295" xr:uid="{BA4CEE22-36D4-4CA8-890B-B06562B0C814}"/>
    <cellStyle name="20% - Énfasis6 10 4" xfId="4345" xr:uid="{1F780DD4-101D-4AC7-A382-68B8013BACB8}"/>
    <cellStyle name="20% - Énfasis6 10 4 2" xfId="12053" xr:uid="{1751AF9E-923C-4708-A994-BC2EF83DEE4B}"/>
    <cellStyle name="20% - Énfasis6 10 4 2 2" xfId="27465" xr:uid="{812E681A-62F6-4634-84A1-341B53C1F8AC}"/>
    <cellStyle name="20% - Énfasis6 10 4 2 2 2" xfId="39305" xr:uid="{9CC8B095-616C-44ED-BE51-BF5CB02C390C}"/>
    <cellStyle name="20% - Énfasis6 10 4 2 3" xfId="39304" xr:uid="{35CE7CFE-2696-41C8-8E18-51AAB5992E0D}"/>
    <cellStyle name="20% - Énfasis6 10 4 3" xfId="19760" xr:uid="{D0FE31C6-B19B-4D09-AC4F-89421955E5BA}"/>
    <cellStyle name="20% - Énfasis6 10 4 3 2" xfId="39306" xr:uid="{5FB6217F-1543-439A-8D4B-5C28E5E98D84}"/>
    <cellStyle name="20% - Énfasis6 10 4 4" xfId="39303" xr:uid="{F0598FF5-CD50-4036-8A02-189217381D6A}"/>
    <cellStyle name="20% - Énfasis6 10 5" xfId="8342" xr:uid="{DEBE1ABB-4F9C-4778-B951-F70A70443078}"/>
    <cellStyle name="20% - Énfasis6 10 5 2" xfId="23755" xr:uid="{07455045-9F79-4C53-BBF3-7F4A8FBEC951}"/>
    <cellStyle name="20% - Énfasis6 10 5 2 2" xfId="39308" xr:uid="{20474D97-9A9D-4D38-B5F9-2786A0FE7F7F}"/>
    <cellStyle name="20% - Énfasis6 10 5 3" xfId="39307" xr:uid="{B0642A43-AABE-4D1F-B098-44872F4E7250}"/>
    <cellStyle name="20% - Énfasis6 10 6" xfId="16050" xr:uid="{1938698B-E3F6-4173-990F-A9DA2A010B5F}"/>
    <cellStyle name="20% - Énfasis6 10 6 2" xfId="39309" xr:uid="{6A9AAD00-E386-418A-A994-31901C307146}"/>
    <cellStyle name="20% - Énfasis6 10 7" xfId="39278" xr:uid="{E5C8A5C1-DA83-48B0-9037-6F2918906023}"/>
    <cellStyle name="20% - Énfasis6 11" xfId="620" xr:uid="{8AF506A9-1BFF-4C0E-AE19-58D7E4447CAB}"/>
    <cellStyle name="20% - Énfasis6 11 2" xfId="1281" xr:uid="{C6573FDA-765C-4287-AF32-FEFE33E36CDB}"/>
    <cellStyle name="20% - Énfasis6 11 2 2" xfId="2748" xr:uid="{F2BBA373-2768-4ED9-8D8C-CFED2B68F961}"/>
    <cellStyle name="20% - Énfasis6 11 2 2 2" xfId="6480" xr:uid="{1A293C83-436C-43B9-9D22-20BC8B1063EF}"/>
    <cellStyle name="20% - Énfasis6 11 2 2 2 2" xfId="14188" xr:uid="{B4E431AA-E4D4-44FB-90E3-F2A79F0084DA}"/>
    <cellStyle name="20% - Énfasis6 11 2 2 2 2 2" xfId="29600" xr:uid="{AA563F86-784B-43C7-AE1B-F6E05F8F032A}"/>
    <cellStyle name="20% - Énfasis6 11 2 2 2 2 2 2" xfId="39315" xr:uid="{476725A2-2445-4C68-A7D1-9769797C8EDA}"/>
    <cellStyle name="20% - Énfasis6 11 2 2 2 2 3" xfId="39314" xr:uid="{24BCC300-E880-45CE-99E5-E5A72B4B3CD3}"/>
    <cellStyle name="20% - Énfasis6 11 2 2 2 3" xfId="21895" xr:uid="{EFBACF06-D9C7-4FD1-B245-236E219BF5E4}"/>
    <cellStyle name="20% - Énfasis6 11 2 2 2 3 2" xfId="39316" xr:uid="{64FD624B-8757-47E0-8A15-7E1AA1B95D07}"/>
    <cellStyle name="20% - Énfasis6 11 2 2 2 4" xfId="39313" xr:uid="{A593B7D7-C9F4-432D-8DBB-94E5BDA554E1}"/>
    <cellStyle name="20% - Énfasis6 11 2 2 3" xfId="10459" xr:uid="{425E275C-4B01-4E7E-B4D2-326DEED1F5C2}"/>
    <cellStyle name="20% - Énfasis6 11 2 2 3 2" xfId="25872" xr:uid="{BE7D5954-44FA-446C-9EF6-2A6B69755B09}"/>
    <cellStyle name="20% - Énfasis6 11 2 2 3 2 2" xfId="39318" xr:uid="{09DB54E0-D048-4EDA-8106-6B9AF4E2D73E}"/>
    <cellStyle name="20% - Énfasis6 11 2 2 3 3" xfId="39317" xr:uid="{2AD5AA72-50B9-4889-A1B5-7143BD0923BF}"/>
    <cellStyle name="20% - Énfasis6 11 2 2 4" xfId="18167" xr:uid="{6DB49221-D95D-4416-AF82-C11598AAC7F4}"/>
    <cellStyle name="20% - Énfasis6 11 2 2 4 2" xfId="39319" xr:uid="{1C1D98AF-DEB6-4481-9921-669D4296BE09}"/>
    <cellStyle name="20% - Énfasis6 11 2 2 5" xfId="39312" xr:uid="{7581A0E3-D582-49DA-98FC-B675DC1C794D}"/>
    <cellStyle name="20% - Énfasis6 11 2 3" xfId="5017" xr:uid="{0B2B7E89-239B-4C0E-B6CD-86049FA0C42F}"/>
    <cellStyle name="20% - Énfasis6 11 2 3 2" xfId="12725" xr:uid="{71BD11BF-B6E5-4119-A40D-85D3403B941F}"/>
    <cellStyle name="20% - Énfasis6 11 2 3 2 2" xfId="28137" xr:uid="{8B4734E0-8AA2-48FE-A4D9-490667523D1E}"/>
    <cellStyle name="20% - Énfasis6 11 2 3 2 2 2" xfId="39322" xr:uid="{82E95428-5D97-48F1-ABCD-2E33F82898E9}"/>
    <cellStyle name="20% - Énfasis6 11 2 3 2 3" xfId="39321" xr:uid="{BDF4E5C8-26AB-42A4-83A3-AEA927EEF7F1}"/>
    <cellStyle name="20% - Énfasis6 11 2 3 3" xfId="20432" xr:uid="{E4697276-35A9-4A3C-965B-CBBD3FF95FCF}"/>
    <cellStyle name="20% - Énfasis6 11 2 3 3 2" xfId="39323" xr:uid="{D502AB5A-B87A-48EB-B7B5-6EB7E0EE133D}"/>
    <cellStyle name="20% - Énfasis6 11 2 3 4" xfId="39320" xr:uid="{8293E922-5A9C-42C4-AD86-C3E583BEC6C8}"/>
    <cellStyle name="20% - Énfasis6 11 2 4" xfId="9000" xr:uid="{D419DFA6-C8F8-49F9-8477-A52A080D730B}"/>
    <cellStyle name="20% - Énfasis6 11 2 4 2" xfId="24413" xr:uid="{422F13BB-E545-4688-A0D8-0768EB9534B5}"/>
    <cellStyle name="20% - Énfasis6 11 2 4 2 2" xfId="39325" xr:uid="{7930067F-5547-4730-A74D-D0F6FADAAB49}"/>
    <cellStyle name="20% - Énfasis6 11 2 4 3" xfId="39324" xr:uid="{42D03053-76B0-4D83-B587-4597D308AC0A}"/>
    <cellStyle name="20% - Énfasis6 11 2 5" xfId="16708" xr:uid="{D87B6C7F-5B94-406B-BEE0-65B94FAC8DEE}"/>
    <cellStyle name="20% - Énfasis6 11 2 5 2" xfId="39326" xr:uid="{C2CB25CF-46B2-4378-883D-F6C400AE878A}"/>
    <cellStyle name="20% - Énfasis6 11 2 6" xfId="39311" xr:uid="{4CADA45E-3867-4DE8-A5EE-4605EC84F7FC}"/>
    <cellStyle name="20% - Énfasis6 11 3" xfId="2110" xr:uid="{52646073-7040-4721-BBE8-CB669135EB78}"/>
    <cellStyle name="20% - Énfasis6 11 3 2" xfId="5842" xr:uid="{F72DED56-EB2E-45A0-BF65-A7BFD1E0B015}"/>
    <cellStyle name="20% - Énfasis6 11 3 2 2" xfId="13550" xr:uid="{42EFF09C-C08C-4D33-839E-44BD64E96320}"/>
    <cellStyle name="20% - Énfasis6 11 3 2 2 2" xfId="28962" xr:uid="{49B1DE91-EDE0-4C9D-BF0A-6EDF12C500BE}"/>
    <cellStyle name="20% - Énfasis6 11 3 2 2 2 2" xfId="39330" xr:uid="{27B10367-6DB4-45B2-98DA-AFDEC189355A}"/>
    <cellStyle name="20% - Énfasis6 11 3 2 2 3" xfId="39329" xr:uid="{0C330335-AFF8-4D4D-8BDB-B9590C9AD3BE}"/>
    <cellStyle name="20% - Énfasis6 11 3 2 3" xfId="21257" xr:uid="{A3EDB8DE-9FDE-4086-9D15-A24FD4788BC4}"/>
    <cellStyle name="20% - Énfasis6 11 3 2 3 2" xfId="39331" xr:uid="{0648F757-880E-4470-BDE5-C881E4E192B9}"/>
    <cellStyle name="20% - Énfasis6 11 3 2 4" xfId="39328" xr:uid="{FE48C25A-CB33-45E7-B044-5FB0449E3EEC}"/>
    <cellStyle name="20% - Énfasis6 11 3 3" xfId="9821" xr:uid="{5274F45F-4B69-4C60-9BEC-0EA94C3FD55F}"/>
    <cellStyle name="20% - Énfasis6 11 3 3 2" xfId="25234" xr:uid="{8B0208FA-47B0-4EE8-8F6C-BDD6AB6261B9}"/>
    <cellStyle name="20% - Énfasis6 11 3 3 2 2" xfId="39333" xr:uid="{531A061D-D17A-4923-AAC3-330219CDA6A5}"/>
    <cellStyle name="20% - Énfasis6 11 3 3 3" xfId="39332" xr:uid="{97744216-4B67-4DC9-A3BF-B6F0B3E31AA4}"/>
    <cellStyle name="20% - Énfasis6 11 3 4" xfId="17529" xr:uid="{32292D38-2B0E-4C50-81A3-01E104743696}"/>
    <cellStyle name="20% - Énfasis6 11 3 4 2" xfId="39334" xr:uid="{49E7F151-4DE2-44F2-8973-374998908DAD}"/>
    <cellStyle name="20% - Énfasis6 11 3 5" xfId="39327" xr:uid="{ACF907E1-881E-4C8F-B7CE-4C8CD4C19F89}"/>
    <cellStyle name="20% - Énfasis6 11 4" xfId="4365" xr:uid="{B2AC8655-FCAD-47EB-80CF-0DDDF612C294}"/>
    <cellStyle name="20% - Énfasis6 11 4 2" xfId="12073" xr:uid="{1DD523B3-74AA-4D20-A07C-DDCBAB340015}"/>
    <cellStyle name="20% - Énfasis6 11 4 2 2" xfId="27485" xr:uid="{B089B88A-B5B8-46ED-A0AA-58FCF1C46CB1}"/>
    <cellStyle name="20% - Énfasis6 11 4 2 2 2" xfId="39337" xr:uid="{A0A4E1B5-3B4F-4759-B00E-08E95591BECC}"/>
    <cellStyle name="20% - Énfasis6 11 4 2 3" xfId="39336" xr:uid="{F31FD6FC-72D5-4F77-AAB2-7B8625058800}"/>
    <cellStyle name="20% - Énfasis6 11 4 3" xfId="19780" xr:uid="{E5EB893C-4098-4868-9411-26325D3ABF85}"/>
    <cellStyle name="20% - Énfasis6 11 4 3 2" xfId="39338" xr:uid="{DB1129DB-935D-4122-831E-605FEB6ED15E}"/>
    <cellStyle name="20% - Énfasis6 11 4 4" xfId="39335" xr:uid="{262723F6-6FF5-4B33-925F-72601FE8F6C2}"/>
    <cellStyle name="20% - Énfasis6 11 5" xfId="8362" xr:uid="{9FFA5E53-1DE6-4B59-82D3-678EE3B9D72B}"/>
    <cellStyle name="20% - Énfasis6 11 5 2" xfId="23775" xr:uid="{CC3FEBD1-ECA4-4F13-BEAE-CCFD8EE14B66}"/>
    <cellStyle name="20% - Énfasis6 11 5 2 2" xfId="39340" xr:uid="{1CD60A7E-DE1E-4269-BDF6-2C2C2C700454}"/>
    <cellStyle name="20% - Énfasis6 11 5 3" xfId="39339" xr:uid="{8548542A-5845-486F-9AD6-313D66630F03}"/>
    <cellStyle name="20% - Énfasis6 11 6" xfId="16070" xr:uid="{5B9131EB-AC9D-4141-A6AC-5BF339B8C3CC}"/>
    <cellStyle name="20% - Énfasis6 11 6 2" xfId="39341" xr:uid="{1B0FA1E5-A470-41BA-B134-C62CEF1DBDC9}"/>
    <cellStyle name="20% - Énfasis6 11 7" xfId="39310" xr:uid="{B915009F-E499-49F9-B27E-6C1185853B3F}"/>
    <cellStyle name="20% - Énfasis6 12" xfId="640" xr:uid="{07D312EA-710D-4DEF-A6D8-7CA804796485}"/>
    <cellStyle name="20% - Énfasis6 12 2" xfId="1301" xr:uid="{F381B11B-552C-418A-B58F-E1168F330CBE}"/>
    <cellStyle name="20% - Énfasis6 12 2 2" xfId="2768" xr:uid="{F94D9719-56EE-4BBF-95B7-4913DBE2A200}"/>
    <cellStyle name="20% - Énfasis6 12 2 2 2" xfId="6500" xr:uid="{E022EDD6-5ACB-49E7-B922-27CA9C2899C0}"/>
    <cellStyle name="20% - Énfasis6 12 2 2 2 2" xfId="14208" xr:uid="{DE063452-9969-421B-A5DB-5FCEB4BB0B9B}"/>
    <cellStyle name="20% - Énfasis6 12 2 2 2 2 2" xfId="29620" xr:uid="{4FF93422-93AE-46CD-8060-2A15A360633B}"/>
    <cellStyle name="20% - Énfasis6 12 2 2 2 2 2 2" xfId="39347" xr:uid="{7BDB6F67-D7EB-4973-B50F-6B6C5ED6CB94}"/>
    <cellStyle name="20% - Énfasis6 12 2 2 2 2 3" xfId="39346" xr:uid="{D1EF0CC1-0FF7-4E6F-A983-1533D07B0CB9}"/>
    <cellStyle name="20% - Énfasis6 12 2 2 2 3" xfId="21915" xr:uid="{87441FED-573B-452A-9F97-4F1B3D78AAE5}"/>
    <cellStyle name="20% - Énfasis6 12 2 2 2 3 2" xfId="39348" xr:uid="{7E12236D-D3B1-41F7-ABB5-747E12DBC2E6}"/>
    <cellStyle name="20% - Énfasis6 12 2 2 2 4" xfId="39345" xr:uid="{314DA767-4FF7-4545-B23C-56E1E57ECDE0}"/>
    <cellStyle name="20% - Énfasis6 12 2 2 3" xfId="10479" xr:uid="{C7F11F70-6C2D-4112-BFF9-E1E963B05975}"/>
    <cellStyle name="20% - Énfasis6 12 2 2 3 2" xfId="25892" xr:uid="{71047C4D-85A4-45EE-8ACA-B2626ED8A830}"/>
    <cellStyle name="20% - Énfasis6 12 2 2 3 2 2" xfId="39350" xr:uid="{E8ABE433-0634-44F5-996D-726EEF6D20E5}"/>
    <cellStyle name="20% - Énfasis6 12 2 2 3 3" xfId="39349" xr:uid="{A3572CB4-E0D1-4622-8546-255137AFA931}"/>
    <cellStyle name="20% - Énfasis6 12 2 2 4" xfId="18187" xr:uid="{A13A5911-2C61-4033-BC36-55E9F43EE476}"/>
    <cellStyle name="20% - Énfasis6 12 2 2 4 2" xfId="39351" xr:uid="{37C46F6D-4DFB-4988-9F80-17C795AD4EB5}"/>
    <cellStyle name="20% - Énfasis6 12 2 2 5" xfId="39344" xr:uid="{7961490A-0235-458E-8644-3D6D286D47BB}"/>
    <cellStyle name="20% - Énfasis6 12 2 3" xfId="5037" xr:uid="{100CE904-CC22-4A85-BB1A-7779427B9249}"/>
    <cellStyle name="20% - Énfasis6 12 2 3 2" xfId="12745" xr:uid="{B9ABC8B7-B5AC-4FDD-B4F1-E0B4A0115120}"/>
    <cellStyle name="20% - Énfasis6 12 2 3 2 2" xfId="28157" xr:uid="{B04D6A7F-7D3B-4E68-AEE7-50390505EEDF}"/>
    <cellStyle name="20% - Énfasis6 12 2 3 2 2 2" xfId="39354" xr:uid="{E8BC6A4E-6473-4BCE-A368-1B852CF9DE37}"/>
    <cellStyle name="20% - Énfasis6 12 2 3 2 3" xfId="39353" xr:uid="{36DA6D3A-8B0E-4EDF-9E78-B35FBEB10D68}"/>
    <cellStyle name="20% - Énfasis6 12 2 3 3" xfId="20452" xr:uid="{6CBB3110-0622-4630-AEB1-FF67A15BA09B}"/>
    <cellStyle name="20% - Énfasis6 12 2 3 3 2" xfId="39355" xr:uid="{7AA47B7C-03F6-42E7-863C-5F75C3196FE2}"/>
    <cellStyle name="20% - Énfasis6 12 2 3 4" xfId="39352" xr:uid="{87D4C326-A7DD-4A87-8FC5-C5608BB761DD}"/>
    <cellStyle name="20% - Énfasis6 12 2 4" xfId="9020" xr:uid="{F207711C-FA1F-4FFB-B3C7-55D316FE631D}"/>
    <cellStyle name="20% - Énfasis6 12 2 4 2" xfId="24433" xr:uid="{15B3F9E3-1A06-4890-A565-EDD6E1C62DA2}"/>
    <cellStyle name="20% - Énfasis6 12 2 4 2 2" xfId="39357" xr:uid="{48166FD7-2053-4DF9-B180-C9F00B59A388}"/>
    <cellStyle name="20% - Énfasis6 12 2 4 3" xfId="39356" xr:uid="{EC8D36A5-C10F-438C-A4CB-3FFB5EB230DF}"/>
    <cellStyle name="20% - Énfasis6 12 2 5" xfId="16728" xr:uid="{A3E83935-968E-4096-B1F1-D8498546836E}"/>
    <cellStyle name="20% - Énfasis6 12 2 5 2" xfId="39358" xr:uid="{44E75BEB-C276-4E74-8F24-2C77F66A068A}"/>
    <cellStyle name="20% - Énfasis6 12 2 6" xfId="39343" xr:uid="{BDE3627B-7B24-4827-8F46-54D16FC8A2E2}"/>
    <cellStyle name="20% - Énfasis6 12 3" xfId="2130" xr:uid="{E65BD859-658D-4537-8A0C-5F4CC72F9B11}"/>
    <cellStyle name="20% - Énfasis6 12 3 2" xfId="5862" xr:uid="{C51CD0D6-A52E-47B0-9C32-5DC5CE8E5C8C}"/>
    <cellStyle name="20% - Énfasis6 12 3 2 2" xfId="13570" xr:uid="{4625F5EE-3E5D-4970-9D1C-8A8D66156946}"/>
    <cellStyle name="20% - Énfasis6 12 3 2 2 2" xfId="28982" xr:uid="{EBE91FAD-F0EB-453A-91FD-CC42B1E051E2}"/>
    <cellStyle name="20% - Énfasis6 12 3 2 2 2 2" xfId="39362" xr:uid="{EFCA3DE0-3E6B-4C2A-809D-E4B8F43924E4}"/>
    <cellStyle name="20% - Énfasis6 12 3 2 2 3" xfId="39361" xr:uid="{F3F6AA87-EF79-4B63-886E-979DD06D9FE6}"/>
    <cellStyle name="20% - Énfasis6 12 3 2 3" xfId="21277" xr:uid="{C25ED07E-2DB9-4C14-8539-3AD80F9E436E}"/>
    <cellStyle name="20% - Énfasis6 12 3 2 3 2" xfId="39363" xr:uid="{8CBE5690-F59D-486C-9DBB-D44DC725F6C1}"/>
    <cellStyle name="20% - Énfasis6 12 3 2 4" xfId="39360" xr:uid="{15929529-969C-4B5C-A8E4-2C66D4FBF9FA}"/>
    <cellStyle name="20% - Énfasis6 12 3 3" xfId="9841" xr:uid="{AB2DBD86-4752-4161-9B01-572B3492BDA2}"/>
    <cellStyle name="20% - Énfasis6 12 3 3 2" xfId="25254" xr:uid="{D8A560DB-D10D-4EB7-B099-2EFAC01C6DB3}"/>
    <cellStyle name="20% - Énfasis6 12 3 3 2 2" xfId="39365" xr:uid="{84F8A376-E59E-4A2F-9E3A-75F46CE5E4C3}"/>
    <cellStyle name="20% - Énfasis6 12 3 3 3" xfId="39364" xr:uid="{DF9504AA-F4B8-4F0C-8906-1EA11DEE6A3C}"/>
    <cellStyle name="20% - Énfasis6 12 3 4" xfId="17549" xr:uid="{C6FE6478-37AA-43FF-9781-A967AD28EB6A}"/>
    <cellStyle name="20% - Énfasis6 12 3 4 2" xfId="39366" xr:uid="{607089AE-B084-4B92-91AE-22740E2FAEC4}"/>
    <cellStyle name="20% - Énfasis6 12 3 5" xfId="39359" xr:uid="{DAF6F050-87AB-4946-BAEF-CED1E4CBDE37}"/>
    <cellStyle name="20% - Énfasis6 12 4" xfId="4385" xr:uid="{D6602552-7300-4250-89CA-8BACB0656A34}"/>
    <cellStyle name="20% - Énfasis6 12 4 2" xfId="12093" xr:uid="{5C3DA119-9EA0-48A6-B3EC-52A697C8AC74}"/>
    <cellStyle name="20% - Énfasis6 12 4 2 2" xfId="27505" xr:uid="{613D0138-750E-449A-8BF2-E9D3ED2DA7D7}"/>
    <cellStyle name="20% - Énfasis6 12 4 2 2 2" xfId="39369" xr:uid="{CA887002-4D4E-4605-8534-C93FD44E6B0E}"/>
    <cellStyle name="20% - Énfasis6 12 4 2 3" xfId="39368" xr:uid="{71232D80-50B4-4AE4-829A-CC94DE44ACA8}"/>
    <cellStyle name="20% - Énfasis6 12 4 3" xfId="19800" xr:uid="{14EC21DB-1D79-43F1-B2B8-6218242E5079}"/>
    <cellStyle name="20% - Énfasis6 12 4 3 2" xfId="39370" xr:uid="{23DC545D-8587-46FD-BB34-F570416FE665}"/>
    <cellStyle name="20% - Énfasis6 12 4 4" xfId="39367" xr:uid="{A30482BC-E5A8-4C1F-9A1D-FAED89B159B1}"/>
    <cellStyle name="20% - Énfasis6 12 5" xfId="8382" xr:uid="{526A3E76-C9B4-4526-A792-427E2CC91085}"/>
    <cellStyle name="20% - Énfasis6 12 5 2" xfId="23795" xr:uid="{BAC91EB8-DDF4-4027-9498-4AD4A0ED631A}"/>
    <cellStyle name="20% - Énfasis6 12 5 2 2" xfId="39372" xr:uid="{F52E2510-03B2-4623-9DA4-7A64ED751F69}"/>
    <cellStyle name="20% - Énfasis6 12 5 3" xfId="39371" xr:uid="{CB74A6AC-29BE-4541-A074-A7657052E372}"/>
    <cellStyle name="20% - Énfasis6 12 6" xfId="16090" xr:uid="{8475148B-9BAA-4F64-8C60-3844E764C529}"/>
    <cellStyle name="20% - Énfasis6 12 6 2" xfId="39373" xr:uid="{475061C6-A0D6-487E-AAB6-C8DB71F2F4A0}"/>
    <cellStyle name="20% - Énfasis6 12 7" xfId="39342" xr:uid="{D02FD1E4-B680-4A2D-8CD8-CB35CAC589E3}"/>
    <cellStyle name="20% - Énfasis6 13" xfId="661" xr:uid="{E5430327-EDAE-4B7A-A196-33696F132447}"/>
    <cellStyle name="20% - Énfasis6 13 2" xfId="1322" xr:uid="{86E6D429-E044-4A6D-99D1-DD84812457DA}"/>
    <cellStyle name="20% - Énfasis6 13 2 2" xfId="2789" xr:uid="{EA465A01-2271-4945-B5E1-201A60CAAF3A}"/>
    <cellStyle name="20% - Énfasis6 13 2 2 2" xfId="6521" xr:uid="{EED27BB6-9935-44CE-8805-70F15639D1E6}"/>
    <cellStyle name="20% - Énfasis6 13 2 2 2 2" xfId="14229" xr:uid="{F2C7518F-C18A-4403-816C-DD9C667AD6AB}"/>
    <cellStyle name="20% - Énfasis6 13 2 2 2 2 2" xfId="29641" xr:uid="{9ACFF31E-9485-4132-9DF5-E41A1180B75F}"/>
    <cellStyle name="20% - Énfasis6 13 2 2 2 2 2 2" xfId="39379" xr:uid="{D94CB0B6-FC72-4360-9629-65DC9CAB590B}"/>
    <cellStyle name="20% - Énfasis6 13 2 2 2 2 3" xfId="39378" xr:uid="{217BE79D-96D5-481C-8E10-654D7467F0C7}"/>
    <cellStyle name="20% - Énfasis6 13 2 2 2 3" xfId="21936" xr:uid="{62D7B850-7737-415D-94BE-ADB099D5F69E}"/>
    <cellStyle name="20% - Énfasis6 13 2 2 2 3 2" xfId="39380" xr:uid="{D5B1BA16-ECC5-4A5D-A02E-590F5ACBF86D}"/>
    <cellStyle name="20% - Énfasis6 13 2 2 2 4" xfId="39377" xr:uid="{A705EF87-8E75-46DC-9C6F-BA1D5EC17EA8}"/>
    <cellStyle name="20% - Énfasis6 13 2 2 3" xfId="10500" xr:uid="{756FED4C-32FC-443D-B256-3FD378490339}"/>
    <cellStyle name="20% - Énfasis6 13 2 2 3 2" xfId="25913" xr:uid="{42247C04-C513-45CC-BEAA-775DA7D69085}"/>
    <cellStyle name="20% - Énfasis6 13 2 2 3 2 2" xfId="39382" xr:uid="{16364B99-3DC9-41C7-9F7B-3F5FC7EFDF44}"/>
    <cellStyle name="20% - Énfasis6 13 2 2 3 3" xfId="39381" xr:uid="{22E3510E-D71C-459E-9526-C340C33455A9}"/>
    <cellStyle name="20% - Énfasis6 13 2 2 4" xfId="18208" xr:uid="{B947F05A-C652-4546-8C05-DB645C8E6D0C}"/>
    <cellStyle name="20% - Énfasis6 13 2 2 4 2" xfId="39383" xr:uid="{9D21921D-B7A7-4FE6-9D62-1732BF5F54D4}"/>
    <cellStyle name="20% - Énfasis6 13 2 2 5" xfId="39376" xr:uid="{14194C7F-8F6D-4DEF-A23F-2AE845AEFFFA}"/>
    <cellStyle name="20% - Énfasis6 13 2 3" xfId="5058" xr:uid="{29254596-D8B7-4A8D-847B-7143000DEAE2}"/>
    <cellStyle name="20% - Énfasis6 13 2 3 2" xfId="12766" xr:uid="{EAF328AB-D3EC-4CBA-A4FC-136D3C70AD88}"/>
    <cellStyle name="20% - Énfasis6 13 2 3 2 2" xfId="28178" xr:uid="{2616CDCC-4E22-405B-B79B-549607E927C5}"/>
    <cellStyle name="20% - Énfasis6 13 2 3 2 2 2" xfId="39386" xr:uid="{B1FDA40A-7155-4DB3-B556-A7206BB1F75D}"/>
    <cellStyle name="20% - Énfasis6 13 2 3 2 3" xfId="39385" xr:uid="{F9760568-3754-414B-A85E-119E517E6406}"/>
    <cellStyle name="20% - Énfasis6 13 2 3 3" xfId="20473" xr:uid="{5CABC6B4-689D-4303-97AA-E58DCB46BF18}"/>
    <cellStyle name="20% - Énfasis6 13 2 3 3 2" xfId="39387" xr:uid="{F760688C-0270-4404-93AA-88485A0E16AC}"/>
    <cellStyle name="20% - Énfasis6 13 2 3 4" xfId="39384" xr:uid="{063B9512-956F-489E-A7AA-9DE021F884D6}"/>
    <cellStyle name="20% - Énfasis6 13 2 4" xfId="9041" xr:uid="{966602A7-C20A-4BA0-A35D-46E32C88E62B}"/>
    <cellStyle name="20% - Énfasis6 13 2 4 2" xfId="24454" xr:uid="{B0F2EDA6-E398-4BFC-A70C-79C658154432}"/>
    <cellStyle name="20% - Énfasis6 13 2 4 2 2" xfId="39389" xr:uid="{A769FFFD-C8BB-4B41-80A5-3BAE0EFF0E64}"/>
    <cellStyle name="20% - Énfasis6 13 2 4 3" xfId="39388" xr:uid="{2F99EFC5-8885-43B2-A58C-C89A4070D540}"/>
    <cellStyle name="20% - Énfasis6 13 2 5" xfId="16749" xr:uid="{0AF215F7-0E15-4D05-BCAD-52797A00F5EC}"/>
    <cellStyle name="20% - Énfasis6 13 2 5 2" xfId="39390" xr:uid="{137FD1FA-EFE0-44BA-8698-48EFC56BCC6F}"/>
    <cellStyle name="20% - Énfasis6 13 2 6" xfId="39375" xr:uid="{75897C7E-CFB8-46F4-88A8-E952885046D3}"/>
    <cellStyle name="20% - Énfasis6 13 3" xfId="2151" xr:uid="{8D299A3F-F410-461B-9167-900C9860EC77}"/>
    <cellStyle name="20% - Énfasis6 13 3 2" xfId="5883" xr:uid="{50BAA5BF-C93B-464D-8982-61D33A668070}"/>
    <cellStyle name="20% - Énfasis6 13 3 2 2" xfId="13591" xr:uid="{068AD3FE-6C5C-4B6E-80F5-68A31279195F}"/>
    <cellStyle name="20% - Énfasis6 13 3 2 2 2" xfId="29003" xr:uid="{0BA8BD8D-C221-438B-AE96-206022303318}"/>
    <cellStyle name="20% - Énfasis6 13 3 2 2 2 2" xfId="39394" xr:uid="{589988E7-63BC-4C31-B768-022FF964670E}"/>
    <cellStyle name="20% - Énfasis6 13 3 2 2 3" xfId="39393" xr:uid="{EC3F9D7E-400A-4A2B-A0D1-249ED3AB62F5}"/>
    <cellStyle name="20% - Énfasis6 13 3 2 3" xfId="21298" xr:uid="{263E12FA-94E2-444A-BE90-C4BEF69B0203}"/>
    <cellStyle name="20% - Énfasis6 13 3 2 3 2" xfId="39395" xr:uid="{E3760291-317E-4E00-8F84-A7618844CFE8}"/>
    <cellStyle name="20% - Énfasis6 13 3 2 4" xfId="39392" xr:uid="{DB632FED-50D3-4893-BD2A-0EAF589CC122}"/>
    <cellStyle name="20% - Énfasis6 13 3 3" xfId="9862" xr:uid="{3541B860-89A7-4EB4-9690-1563268030A7}"/>
    <cellStyle name="20% - Énfasis6 13 3 3 2" xfId="25275" xr:uid="{2B48C241-FFE8-45C6-819A-9553D6184D79}"/>
    <cellStyle name="20% - Énfasis6 13 3 3 2 2" xfId="39397" xr:uid="{1625BDFC-F836-488C-B668-A0117450DE0E}"/>
    <cellStyle name="20% - Énfasis6 13 3 3 3" xfId="39396" xr:uid="{1C73E26D-559D-4150-B84C-772A10A7CE95}"/>
    <cellStyle name="20% - Énfasis6 13 3 4" xfId="17570" xr:uid="{4FD033E5-FA93-404D-8E92-CF19D87AC160}"/>
    <cellStyle name="20% - Énfasis6 13 3 4 2" xfId="39398" xr:uid="{9F8EF6EA-F9FC-40F5-AA29-08DBB3CF64BD}"/>
    <cellStyle name="20% - Énfasis6 13 3 5" xfId="39391" xr:uid="{F977F642-B18A-49D2-A544-8AF25F8DE10C}"/>
    <cellStyle name="20% - Énfasis6 13 4" xfId="4406" xr:uid="{F16EE382-452A-4446-ABF1-45E777FA2ABD}"/>
    <cellStyle name="20% - Énfasis6 13 4 2" xfId="12114" xr:uid="{CA052F6B-0A7A-4415-A3C7-A071B69CDF40}"/>
    <cellStyle name="20% - Énfasis6 13 4 2 2" xfId="27526" xr:uid="{2B49A6D5-7354-4B5E-87D7-E35CAC3DC23A}"/>
    <cellStyle name="20% - Énfasis6 13 4 2 2 2" xfId="39401" xr:uid="{2B12EDB1-A6CD-4F64-9F2D-6486A1C0CF26}"/>
    <cellStyle name="20% - Énfasis6 13 4 2 3" xfId="39400" xr:uid="{E2FBA1FD-F52D-46CB-995B-AE8C19BD30A7}"/>
    <cellStyle name="20% - Énfasis6 13 4 3" xfId="19821" xr:uid="{587AFD39-FE39-4EA7-AAF3-2E241E98DEAC}"/>
    <cellStyle name="20% - Énfasis6 13 4 3 2" xfId="39402" xr:uid="{C0D41103-E409-47D7-8D17-C359279D0DE8}"/>
    <cellStyle name="20% - Énfasis6 13 4 4" xfId="39399" xr:uid="{E9CBC658-FABE-49B0-910D-56F90E89EBF0}"/>
    <cellStyle name="20% - Énfasis6 13 5" xfId="8403" xr:uid="{B463F615-6550-4DD6-BA89-C6476D68DA98}"/>
    <cellStyle name="20% - Énfasis6 13 5 2" xfId="23816" xr:uid="{B858E8EB-CB70-4D4A-9BE8-823949CA9B0A}"/>
    <cellStyle name="20% - Énfasis6 13 5 2 2" xfId="39404" xr:uid="{C37DC83D-8285-4D69-A83F-A48D8C85B9E4}"/>
    <cellStyle name="20% - Énfasis6 13 5 3" xfId="39403" xr:uid="{D002A3A3-A452-4C05-B87E-F8B18AA41955}"/>
    <cellStyle name="20% - Énfasis6 13 6" xfId="16111" xr:uid="{7FF4810A-FB1D-40A0-804D-E389C028D846}"/>
    <cellStyle name="20% - Énfasis6 13 6 2" xfId="39405" xr:uid="{94AC5F8E-E5AC-4282-9598-907D105C57EE}"/>
    <cellStyle name="20% - Énfasis6 13 7" xfId="39374" xr:uid="{AD05E864-2D3E-41BB-B15F-D11A338091E4}"/>
    <cellStyle name="20% - Énfasis6 14" xfId="681" xr:uid="{D44B7198-FC4B-4D94-8DC8-DD2920EB94EA}"/>
    <cellStyle name="20% - Énfasis6 14 2" xfId="1342" xr:uid="{5F766D1D-6A9E-4433-9504-2AFB0B0B591C}"/>
    <cellStyle name="20% - Énfasis6 14 2 2" xfId="2809" xr:uid="{00EEF3A9-CCA6-4CB3-A285-E6989B505BA3}"/>
    <cellStyle name="20% - Énfasis6 14 2 2 2" xfId="6541" xr:uid="{AAAAFE14-416E-4BBC-9267-EE67A61013F9}"/>
    <cellStyle name="20% - Énfasis6 14 2 2 2 2" xfId="14249" xr:uid="{B47AF5A5-FAF8-441F-9A1F-2A0FC1ED4E4E}"/>
    <cellStyle name="20% - Énfasis6 14 2 2 2 2 2" xfId="29661" xr:uid="{C251D236-0B4B-4BF6-9D7A-73D6116245D1}"/>
    <cellStyle name="20% - Énfasis6 14 2 2 2 2 2 2" xfId="39411" xr:uid="{C6729AC9-2F7B-40C0-BD20-7A99C13F654D}"/>
    <cellStyle name="20% - Énfasis6 14 2 2 2 2 3" xfId="39410" xr:uid="{11399966-A11F-40CF-8B9F-34D372F10B56}"/>
    <cellStyle name="20% - Énfasis6 14 2 2 2 3" xfId="21956" xr:uid="{693795FD-09B4-4429-A79E-147832EFC091}"/>
    <cellStyle name="20% - Énfasis6 14 2 2 2 3 2" xfId="39412" xr:uid="{E025E753-2CC8-47BB-BEC7-3428DF917158}"/>
    <cellStyle name="20% - Énfasis6 14 2 2 2 4" xfId="39409" xr:uid="{F91C2007-55B9-48E4-A47F-3F2CD4D3057C}"/>
    <cellStyle name="20% - Énfasis6 14 2 2 3" xfId="10520" xr:uid="{ACB163F0-6B46-4A4A-9705-D70F0A0D6A61}"/>
    <cellStyle name="20% - Énfasis6 14 2 2 3 2" xfId="25933" xr:uid="{6B92C3A2-3008-46D3-9033-07EF476B0AC8}"/>
    <cellStyle name="20% - Énfasis6 14 2 2 3 2 2" xfId="39414" xr:uid="{E4706286-3132-4BCB-B2DA-2B2C099359C6}"/>
    <cellStyle name="20% - Énfasis6 14 2 2 3 3" xfId="39413" xr:uid="{07428C21-0679-4245-AAA5-64A874EAA02B}"/>
    <cellStyle name="20% - Énfasis6 14 2 2 4" xfId="18228" xr:uid="{A27D1674-8529-48A7-B6B4-6285FABCFBFB}"/>
    <cellStyle name="20% - Énfasis6 14 2 2 4 2" xfId="39415" xr:uid="{531F16C6-7831-43C2-A6AA-32594A8AB3A9}"/>
    <cellStyle name="20% - Énfasis6 14 2 2 5" xfId="39408" xr:uid="{D57F5030-B741-44EC-8D82-46B960A99D91}"/>
    <cellStyle name="20% - Énfasis6 14 2 3" xfId="5078" xr:uid="{ED7A808F-58DB-4EB9-B54B-F35C32606958}"/>
    <cellStyle name="20% - Énfasis6 14 2 3 2" xfId="12786" xr:uid="{229E968A-CEF4-403B-8FFB-DD3221757E3E}"/>
    <cellStyle name="20% - Énfasis6 14 2 3 2 2" xfId="28198" xr:uid="{DAA3362E-4C42-446F-84A5-E6B75286CA6E}"/>
    <cellStyle name="20% - Énfasis6 14 2 3 2 2 2" xfId="39418" xr:uid="{C2E54620-DA98-4EDD-8F05-EEBF489F8648}"/>
    <cellStyle name="20% - Énfasis6 14 2 3 2 3" xfId="39417" xr:uid="{B492BC47-FCE1-43F7-ADA9-B306F5BAFE8D}"/>
    <cellStyle name="20% - Énfasis6 14 2 3 3" xfId="20493" xr:uid="{F238CC37-B8AD-4161-800E-35AA9E0D5643}"/>
    <cellStyle name="20% - Énfasis6 14 2 3 3 2" xfId="39419" xr:uid="{E3E1D4C5-82B5-4B82-88F3-96B494E6CA13}"/>
    <cellStyle name="20% - Énfasis6 14 2 3 4" xfId="39416" xr:uid="{C0DACF4A-2250-4608-B033-A8154717FEB3}"/>
    <cellStyle name="20% - Énfasis6 14 2 4" xfId="9061" xr:uid="{BD2DC350-A638-433E-BD0D-F3EFB6E7CB26}"/>
    <cellStyle name="20% - Énfasis6 14 2 4 2" xfId="24474" xr:uid="{D4968400-D410-4311-A685-BCE03438FB87}"/>
    <cellStyle name="20% - Énfasis6 14 2 4 2 2" xfId="39421" xr:uid="{77C3A96C-F35F-4AD7-A040-0B5EECAD2117}"/>
    <cellStyle name="20% - Énfasis6 14 2 4 3" xfId="39420" xr:uid="{7D0CD44A-CAFA-4912-80A6-782033C3C06A}"/>
    <cellStyle name="20% - Énfasis6 14 2 5" xfId="16769" xr:uid="{2EAA10E3-FD0D-4210-B346-001AD7C5C1D0}"/>
    <cellStyle name="20% - Énfasis6 14 2 5 2" xfId="39422" xr:uid="{DE655CAC-47D1-4D4C-BA7D-22CEAC66E01B}"/>
    <cellStyle name="20% - Énfasis6 14 2 6" xfId="39407" xr:uid="{1BFECC7B-7D1D-466A-8BC4-9EB976CEE4AB}"/>
    <cellStyle name="20% - Énfasis6 14 3" xfId="2171" xr:uid="{CE89AFA0-B136-4C49-A599-73D243938682}"/>
    <cellStyle name="20% - Énfasis6 14 3 2" xfId="5903" xr:uid="{A75EAB2A-5D33-4BF2-AE89-71FDB506ED45}"/>
    <cellStyle name="20% - Énfasis6 14 3 2 2" xfId="13611" xr:uid="{54A00A61-4D0F-4612-8DCE-DEF8CBB98A94}"/>
    <cellStyle name="20% - Énfasis6 14 3 2 2 2" xfId="29023" xr:uid="{CA6ECF5A-2473-4C0C-A62B-48311703C39A}"/>
    <cellStyle name="20% - Énfasis6 14 3 2 2 2 2" xfId="39426" xr:uid="{207CD91F-3829-4056-AAD4-F2E8267589C7}"/>
    <cellStyle name="20% - Énfasis6 14 3 2 2 3" xfId="39425" xr:uid="{ACA5A0D6-156F-40EE-B518-03F8137CDE09}"/>
    <cellStyle name="20% - Énfasis6 14 3 2 3" xfId="21318" xr:uid="{59CD27C5-B12B-4FFB-998F-DE3526EA8492}"/>
    <cellStyle name="20% - Énfasis6 14 3 2 3 2" xfId="39427" xr:uid="{8875E6D9-6A64-4EB1-9797-39C33A142560}"/>
    <cellStyle name="20% - Énfasis6 14 3 2 4" xfId="39424" xr:uid="{59931511-E248-4AB5-8F1E-21BC3041FC4B}"/>
    <cellStyle name="20% - Énfasis6 14 3 3" xfId="9882" xr:uid="{C3380DC4-1739-4C03-9C20-85BB6AB78047}"/>
    <cellStyle name="20% - Énfasis6 14 3 3 2" xfId="25295" xr:uid="{63362842-6629-4340-A18F-5DB467F1521C}"/>
    <cellStyle name="20% - Énfasis6 14 3 3 2 2" xfId="39429" xr:uid="{F342D331-FCBF-4A72-B3F7-B60F426ECFD9}"/>
    <cellStyle name="20% - Énfasis6 14 3 3 3" xfId="39428" xr:uid="{22176BCF-005F-4BF6-A70C-6B369ADCF016}"/>
    <cellStyle name="20% - Énfasis6 14 3 4" xfId="17590" xr:uid="{734E17F0-945E-425B-B97F-2ACD54627D1E}"/>
    <cellStyle name="20% - Énfasis6 14 3 4 2" xfId="39430" xr:uid="{2822F296-3A04-4298-951D-3E6D5BB460F0}"/>
    <cellStyle name="20% - Énfasis6 14 3 5" xfId="39423" xr:uid="{A07547EF-4FEA-43B4-BFD9-7DE173B206A8}"/>
    <cellStyle name="20% - Énfasis6 14 4" xfId="4426" xr:uid="{08A56E0C-3D7F-4FC8-9C53-43A06B97879C}"/>
    <cellStyle name="20% - Énfasis6 14 4 2" xfId="12134" xr:uid="{8117AC19-40FE-47BD-8BC1-3D39F6D33624}"/>
    <cellStyle name="20% - Énfasis6 14 4 2 2" xfId="27546" xr:uid="{54AAD9F7-6DC3-4FE2-871A-7D0AE63DF107}"/>
    <cellStyle name="20% - Énfasis6 14 4 2 2 2" xfId="39433" xr:uid="{158E9F89-41EA-4FA2-9243-52D11E7374C3}"/>
    <cellStyle name="20% - Énfasis6 14 4 2 3" xfId="39432" xr:uid="{70D36F69-D561-4452-9806-83F139393E22}"/>
    <cellStyle name="20% - Énfasis6 14 4 3" xfId="19841" xr:uid="{1E5D2732-1DE0-4D2D-A2DB-6B6FA4AE97DA}"/>
    <cellStyle name="20% - Énfasis6 14 4 3 2" xfId="39434" xr:uid="{F25EF0A8-C68A-4AB7-BFDD-8000326941ED}"/>
    <cellStyle name="20% - Énfasis6 14 4 4" xfId="39431" xr:uid="{1518376F-C70B-449F-A5D3-ACDA9A723DBC}"/>
    <cellStyle name="20% - Énfasis6 14 5" xfId="8423" xr:uid="{95878269-A865-4FA2-832B-0AA95057EC83}"/>
    <cellStyle name="20% - Énfasis6 14 5 2" xfId="23836" xr:uid="{EB33FD59-869D-4C36-A9BA-AE9A418B53B3}"/>
    <cellStyle name="20% - Énfasis6 14 5 2 2" xfId="39436" xr:uid="{0C1AF69E-4A30-4802-AE30-B3FBDA7BEFEB}"/>
    <cellStyle name="20% - Énfasis6 14 5 3" xfId="39435" xr:uid="{ECBF6471-892D-48EC-A85C-F6D21EBE846C}"/>
    <cellStyle name="20% - Énfasis6 14 6" xfId="16131" xr:uid="{A136F2BC-0805-476E-9DD9-08A87922607D}"/>
    <cellStyle name="20% - Énfasis6 14 6 2" xfId="39437" xr:uid="{58413BCF-1620-44BC-B812-7A51B51D9C02}"/>
    <cellStyle name="20% - Énfasis6 14 7" xfId="39406" xr:uid="{04DA83B9-EB25-4E46-8545-C1CAF85FF133}"/>
    <cellStyle name="20% - Énfasis6 15" xfId="701" xr:uid="{0D9771AA-39D0-460A-95D9-087AE0DC9C22}"/>
    <cellStyle name="20% - Énfasis6 15 2" xfId="1362" xr:uid="{007917A7-F396-4AEE-B034-BA7C536485E0}"/>
    <cellStyle name="20% - Énfasis6 15 2 2" xfId="2829" xr:uid="{325277DA-0F34-4FCB-A31C-38394401A84F}"/>
    <cellStyle name="20% - Énfasis6 15 2 2 2" xfId="6561" xr:uid="{7073F103-9095-4718-8D6F-B4E7701E63F9}"/>
    <cellStyle name="20% - Énfasis6 15 2 2 2 2" xfId="14269" xr:uid="{78BEC478-C863-4A41-A787-66D2B44EF34E}"/>
    <cellStyle name="20% - Énfasis6 15 2 2 2 2 2" xfId="29681" xr:uid="{5FB7C22B-454D-473D-A463-7CE47B53FA0F}"/>
    <cellStyle name="20% - Énfasis6 15 2 2 2 2 2 2" xfId="39443" xr:uid="{E4BD7BB3-5FBE-4329-8A34-337FE4D45595}"/>
    <cellStyle name="20% - Énfasis6 15 2 2 2 2 3" xfId="39442" xr:uid="{B3701783-958C-447A-9CF6-1EE3B33739FD}"/>
    <cellStyle name="20% - Énfasis6 15 2 2 2 3" xfId="21976" xr:uid="{F34B7648-667D-4BEF-AE69-88CDA16172C0}"/>
    <cellStyle name="20% - Énfasis6 15 2 2 2 3 2" xfId="39444" xr:uid="{3697DF56-1C2D-4AFD-B82A-23655C1391EA}"/>
    <cellStyle name="20% - Énfasis6 15 2 2 2 4" xfId="39441" xr:uid="{A6D4AB0A-F3EF-4195-8734-044F2B80C911}"/>
    <cellStyle name="20% - Énfasis6 15 2 2 3" xfId="10540" xr:uid="{D67E5539-EF11-470E-87F7-19CEFB445EC5}"/>
    <cellStyle name="20% - Énfasis6 15 2 2 3 2" xfId="25953" xr:uid="{89BEFCC1-B29C-410D-A8DB-5F6F222EFF4C}"/>
    <cellStyle name="20% - Énfasis6 15 2 2 3 2 2" xfId="39446" xr:uid="{07261C76-B323-4FF8-9C7B-62E2CB5D837E}"/>
    <cellStyle name="20% - Énfasis6 15 2 2 3 3" xfId="39445" xr:uid="{ADE0946F-F450-43AB-80DA-DBFBE7F8C202}"/>
    <cellStyle name="20% - Énfasis6 15 2 2 4" xfId="18248" xr:uid="{0C356932-A192-482B-8EED-267DD3776C6C}"/>
    <cellStyle name="20% - Énfasis6 15 2 2 4 2" xfId="39447" xr:uid="{AB8AA3B8-56C3-49E3-93B5-8A8D03815D29}"/>
    <cellStyle name="20% - Énfasis6 15 2 2 5" xfId="39440" xr:uid="{65456BCA-4E48-4237-A0DF-040271F2863B}"/>
    <cellStyle name="20% - Énfasis6 15 2 3" xfId="5098" xr:uid="{B62760E0-1E3C-4364-B30E-03A5E9741720}"/>
    <cellStyle name="20% - Énfasis6 15 2 3 2" xfId="12806" xr:uid="{1B8ADECC-93E2-45A8-9E30-BC4D4CCF23CD}"/>
    <cellStyle name="20% - Énfasis6 15 2 3 2 2" xfId="28218" xr:uid="{9EF278BC-2495-4497-BE63-EA0F6AB494CB}"/>
    <cellStyle name="20% - Énfasis6 15 2 3 2 2 2" xfId="39450" xr:uid="{E0995309-3DBC-4F69-98D8-DE824758D728}"/>
    <cellStyle name="20% - Énfasis6 15 2 3 2 3" xfId="39449" xr:uid="{5226F236-B956-4EC5-8625-2F8E6A29A41E}"/>
    <cellStyle name="20% - Énfasis6 15 2 3 3" xfId="20513" xr:uid="{3FBB5A36-C47F-4306-9066-871F562BF7A3}"/>
    <cellStyle name="20% - Énfasis6 15 2 3 3 2" xfId="39451" xr:uid="{8A3F453A-5C7B-4FF8-8FD3-6D2FC782FFA4}"/>
    <cellStyle name="20% - Énfasis6 15 2 3 4" xfId="39448" xr:uid="{D4C452F2-A24A-4B9B-876D-4BFB8551FD9D}"/>
    <cellStyle name="20% - Énfasis6 15 2 4" xfId="9081" xr:uid="{94095617-42CA-4980-BF95-C9C7861F3F79}"/>
    <cellStyle name="20% - Énfasis6 15 2 4 2" xfId="24494" xr:uid="{B6CC92E5-DC46-48E3-AE88-1296A9E8BCDE}"/>
    <cellStyle name="20% - Énfasis6 15 2 4 2 2" xfId="39453" xr:uid="{4038569B-FA47-468E-A4FC-5C396F95E94E}"/>
    <cellStyle name="20% - Énfasis6 15 2 4 3" xfId="39452" xr:uid="{EFD312EA-197B-4A7E-9CAD-E80C1B610840}"/>
    <cellStyle name="20% - Énfasis6 15 2 5" xfId="16789" xr:uid="{5FC3A7E4-2730-40FD-99DF-7C0FE844FB16}"/>
    <cellStyle name="20% - Énfasis6 15 2 5 2" xfId="39454" xr:uid="{D6050307-0AF0-4304-BB2B-988DAC1784AE}"/>
    <cellStyle name="20% - Énfasis6 15 2 6" xfId="39439" xr:uid="{4B1ACE16-7F99-4257-8935-9545BA02D2EA}"/>
    <cellStyle name="20% - Énfasis6 15 3" xfId="2191" xr:uid="{03EE3104-2126-4040-9DE4-5203121849B9}"/>
    <cellStyle name="20% - Énfasis6 15 3 2" xfId="5923" xr:uid="{CAF89889-049D-4F9C-BF91-3A4444EBD7F4}"/>
    <cellStyle name="20% - Énfasis6 15 3 2 2" xfId="13631" xr:uid="{42C7F9D6-A9BD-4952-8F7B-B0EC4D0135AB}"/>
    <cellStyle name="20% - Énfasis6 15 3 2 2 2" xfId="29043" xr:uid="{CECFA9F4-088A-4D69-86FF-6C8C8D409B87}"/>
    <cellStyle name="20% - Énfasis6 15 3 2 2 2 2" xfId="39458" xr:uid="{1081F896-D224-42EF-A31E-C62415A52192}"/>
    <cellStyle name="20% - Énfasis6 15 3 2 2 3" xfId="39457" xr:uid="{33A582AD-4574-45B3-BA09-44E254B8B647}"/>
    <cellStyle name="20% - Énfasis6 15 3 2 3" xfId="21338" xr:uid="{3824978D-B7B4-416E-980B-BEB5A8DAFEFB}"/>
    <cellStyle name="20% - Énfasis6 15 3 2 3 2" xfId="39459" xr:uid="{EFC12806-6A4E-4831-96DC-BE78AC2E94EC}"/>
    <cellStyle name="20% - Énfasis6 15 3 2 4" xfId="39456" xr:uid="{5DB7E954-493D-49D0-BCA3-DAD3A423DF3F}"/>
    <cellStyle name="20% - Énfasis6 15 3 3" xfId="9902" xr:uid="{9B4BAA15-F3B1-43C0-B6A6-5ACBD510798C}"/>
    <cellStyle name="20% - Énfasis6 15 3 3 2" xfId="25315" xr:uid="{477B6726-8A9B-45DD-AE37-D25FE26F94F3}"/>
    <cellStyle name="20% - Énfasis6 15 3 3 2 2" xfId="39461" xr:uid="{B656FA3E-A62C-473C-9FD8-034EFA46B2ED}"/>
    <cellStyle name="20% - Énfasis6 15 3 3 3" xfId="39460" xr:uid="{2EE438DE-28CA-411C-8595-075341DC4892}"/>
    <cellStyle name="20% - Énfasis6 15 3 4" xfId="17610" xr:uid="{723A8A53-5217-4B81-B4A1-E81ADA0954DC}"/>
    <cellStyle name="20% - Énfasis6 15 3 4 2" xfId="39462" xr:uid="{C5D0BBFE-4B7E-4177-AB44-19DDC78A47D1}"/>
    <cellStyle name="20% - Énfasis6 15 3 5" xfId="39455" xr:uid="{DA4E7DB5-44BC-4112-A457-D2225D63ADE5}"/>
    <cellStyle name="20% - Énfasis6 15 4" xfId="4446" xr:uid="{3BE270AE-6515-4BDC-843C-1FC98154BA03}"/>
    <cellStyle name="20% - Énfasis6 15 4 2" xfId="12154" xr:uid="{18AE9586-D93C-4860-B08E-169FBEDE34C1}"/>
    <cellStyle name="20% - Énfasis6 15 4 2 2" xfId="27566" xr:uid="{7C6D2637-6010-4A34-9419-E6B4A2FF5BC9}"/>
    <cellStyle name="20% - Énfasis6 15 4 2 2 2" xfId="39465" xr:uid="{AB08760D-F07D-4B12-8DF6-CE9B55BA7BB7}"/>
    <cellStyle name="20% - Énfasis6 15 4 2 3" xfId="39464" xr:uid="{63E98BD8-E8C2-469D-9F0E-5A6C0A6E8275}"/>
    <cellStyle name="20% - Énfasis6 15 4 3" xfId="19861" xr:uid="{3A22D237-4265-41DE-A29C-6A4B001DC839}"/>
    <cellStyle name="20% - Énfasis6 15 4 3 2" xfId="39466" xr:uid="{3C6C5AB8-6D5A-41CA-A8CF-F0002CA473AC}"/>
    <cellStyle name="20% - Énfasis6 15 4 4" xfId="39463" xr:uid="{1A3D0145-5FC8-40B0-8FBD-D2CD7C4226B5}"/>
    <cellStyle name="20% - Énfasis6 15 5" xfId="8443" xr:uid="{F3DD24D6-88CC-442B-B5C6-F960D3213B20}"/>
    <cellStyle name="20% - Énfasis6 15 5 2" xfId="23856" xr:uid="{9C0164B7-3DB8-4904-BD58-BCE2038E399D}"/>
    <cellStyle name="20% - Énfasis6 15 5 2 2" xfId="39468" xr:uid="{43EA0842-AC8D-4BBF-AC8C-21EE7B4CB6E5}"/>
    <cellStyle name="20% - Énfasis6 15 5 3" xfId="39467" xr:uid="{2B26B997-02FC-404C-A2C3-1FFBBE6D0293}"/>
    <cellStyle name="20% - Énfasis6 15 6" xfId="16151" xr:uid="{DFA0DE51-37A2-46AC-8A0E-DCB4D4EDB558}"/>
    <cellStyle name="20% - Énfasis6 15 6 2" xfId="39469" xr:uid="{5FBAEEC5-8EEC-4EA2-B3C2-E64968AD18C7}"/>
    <cellStyle name="20% - Énfasis6 15 7" xfId="39438" xr:uid="{D0BE934D-9F1A-44B6-BADE-C8A102AC59E2}"/>
    <cellStyle name="20% - Énfasis6 16" xfId="722" xr:uid="{E7759A34-C542-45A3-826B-2CF96FF25131}"/>
    <cellStyle name="20% - Énfasis6 16 2" xfId="1383" xr:uid="{2827B2DF-886B-4E7A-9251-A6970A0E95D7}"/>
    <cellStyle name="20% - Énfasis6 16 2 2" xfId="2850" xr:uid="{D0B381E1-CF43-4A13-97E2-6C81EB88ABA8}"/>
    <cellStyle name="20% - Énfasis6 16 2 2 2" xfId="6582" xr:uid="{64D2E7C8-E227-4E06-A758-FC9E78A56098}"/>
    <cellStyle name="20% - Énfasis6 16 2 2 2 2" xfId="14290" xr:uid="{5F75A373-104B-418D-A061-0FD261DFF3B6}"/>
    <cellStyle name="20% - Énfasis6 16 2 2 2 2 2" xfId="29702" xr:uid="{F6E32D8E-37E3-436E-BE8A-2A474ACCB626}"/>
    <cellStyle name="20% - Énfasis6 16 2 2 2 2 2 2" xfId="39475" xr:uid="{1F40FADF-38B8-40A0-9DBB-365A2F6DE441}"/>
    <cellStyle name="20% - Énfasis6 16 2 2 2 2 3" xfId="39474" xr:uid="{C2ED7A5A-3CDC-4CF9-B58D-32571F3172DC}"/>
    <cellStyle name="20% - Énfasis6 16 2 2 2 3" xfId="21997" xr:uid="{2BEC4813-8039-43FE-AD55-E30413B04C06}"/>
    <cellStyle name="20% - Énfasis6 16 2 2 2 3 2" xfId="39476" xr:uid="{3165E251-ABEC-47FA-9F73-CE3C125E6AC5}"/>
    <cellStyle name="20% - Énfasis6 16 2 2 2 4" xfId="39473" xr:uid="{077CE34A-86B4-4C64-AB46-0BB1FD97C415}"/>
    <cellStyle name="20% - Énfasis6 16 2 2 3" xfId="10561" xr:uid="{3696403D-8BA4-4617-B2B9-26C6E161C14D}"/>
    <cellStyle name="20% - Énfasis6 16 2 2 3 2" xfId="25974" xr:uid="{C6DCB69A-2D48-47A5-988F-DA08408783D3}"/>
    <cellStyle name="20% - Énfasis6 16 2 2 3 2 2" xfId="39478" xr:uid="{2850A396-0002-4C19-B763-7C0C8D73B6AE}"/>
    <cellStyle name="20% - Énfasis6 16 2 2 3 3" xfId="39477" xr:uid="{8785EC2C-BA59-4FE9-8A85-A1373CFB11D1}"/>
    <cellStyle name="20% - Énfasis6 16 2 2 4" xfId="18269" xr:uid="{39470CA3-8945-4F51-B53A-2CA5F136D29B}"/>
    <cellStyle name="20% - Énfasis6 16 2 2 4 2" xfId="39479" xr:uid="{96F7FAFB-6D8F-4213-A875-F266AECA8617}"/>
    <cellStyle name="20% - Énfasis6 16 2 2 5" xfId="39472" xr:uid="{C6E36429-93F6-4B3C-B4AA-1B658874724E}"/>
    <cellStyle name="20% - Énfasis6 16 2 3" xfId="5119" xr:uid="{0733BCB7-A7A0-4798-828F-522280EDADCF}"/>
    <cellStyle name="20% - Énfasis6 16 2 3 2" xfId="12827" xr:uid="{658235F4-3958-40E5-B775-A32E58720629}"/>
    <cellStyle name="20% - Énfasis6 16 2 3 2 2" xfId="28239" xr:uid="{FE95189A-DDAC-489A-9654-3D6761DACD7A}"/>
    <cellStyle name="20% - Énfasis6 16 2 3 2 2 2" xfId="39482" xr:uid="{CBBFDB0E-3B6C-4D8D-8EE1-E246FE5B2550}"/>
    <cellStyle name="20% - Énfasis6 16 2 3 2 3" xfId="39481" xr:uid="{C777EA8C-DE00-4D01-A0F5-FDBBCB9C33C8}"/>
    <cellStyle name="20% - Énfasis6 16 2 3 3" xfId="20534" xr:uid="{45A9B344-4DD4-4CD0-BE0E-199BA88F68F8}"/>
    <cellStyle name="20% - Énfasis6 16 2 3 3 2" xfId="39483" xr:uid="{FD5EEA89-60C6-4997-9339-DA33BCB7D94E}"/>
    <cellStyle name="20% - Énfasis6 16 2 3 4" xfId="39480" xr:uid="{B1B36DA6-288C-4AB3-895B-3FFA39520F0D}"/>
    <cellStyle name="20% - Énfasis6 16 2 4" xfId="9102" xr:uid="{7263AE01-FDC4-4800-AFF2-3376F78E332D}"/>
    <cellStyle name="20% - Énfasis6 16 2 4 2" xfId="24515" xr:uid="{8AEECDBF-9F70-4AA3-8D9E-393518DDB10A}"/>
    <cellStyle name="20% - Énfasis6 16 2 4 2 2" xfId="39485" xr:uid="{4A719119-F37B-4916-B5D4-4A2EF45D71A6}"/>
    <cellStyle name="20% - Énfasis6 16 2 4 3" xfId="39484" xr:uid="{F3C26069-EC17-4CD9-908D-2882DA5CEEF0}"/>
    <cellStyle name="20% - Énfasis6 16 2 5" xfId="16810" xr:uid="{AFD816B6-5FF9-4CA1-B35C-23AC23E7A57E}"/>
    <cellStyle name="20% - Énfasis6 16 2 5 2" xfId="39486" xr:uid="{AC34DA5D-0306-43DF-9C76-9A29326C2124}"/>
    <cellStyle name="20% - Énfasis6 16 2 6" xfId="39471" xr:uid="{BB4C58A4-5689-42B7-9498-4EB61902FC8E}"/>
    <cellStyle name="20% - Énfasis6 16 3" xfId="2212" xr:uid="{E1F59AAF-FF9B-4CBB-8B63-8325CB35CF89}"/>
    <cellStyle name="20% - Énfasis6 16 3 2" xfId="5944" xr:uid="{3BFE593B-1DFF-4405-BE81-CC898612787E}"/>
    <cellStyle name="20% - Énfasis6 16 3 2 2" xfId="13652" xr:uid="{5DE2FAB7-C865-498C-81C3-C2F6B1B3B857}"/>
    <cellStyle name="20% - Énfasis6 16 3 2 2 2" xfId="29064" xr:uid="{1D6E8D73-C827-47C7-9C88-FFF1B410E6B1}"/>
    <cellStyle name="20% - Énfasis6 16 3 2 2 2 2" xfId="39490" xr:uid="{ECD0ACAC-D9A1-4649-B5BD-5F525902F63E}"/>
    <cellStyle name="20% - Énfasis6 16 3 2 2 3" xfId="39489" xr:uid="{F61E3905-2FE8-433E-B0FA-FD310B40AB2B}"/>
    <cellStyle name="20% - Énfasis6 16 3 2 3" xfId="21359" xr:uid="{97C8AE6A-2ECE-4446-AFD8-4E6C4FE6E164}"/>
    <cellStyle name="20% - Énfasis6 16 3 2 3 2" xfId="39491" xr:uid="{8CC669E5-F03A-49F5-B424-7FC387D26446}"/>
    <cellStyle name="20% - Énfasis6 16 3 2 4" xfId="39488" xr:uid="{301D9D25-9CAD-4B0D-B873-1EABAECE601C}"/>
    <cellStyle name="20% - Énfasis6 16 3 3" xfId="9923" xr:uid="{C3071EE9-1E4E-46B8-99A2-01D2966261B4}"/>
    <cellStyle name="20% - Énfasis6 16 3 3 2" xfId="25336" xr:uid="{FE0E2790-C417-425F-992B-8F4EF81E9EBE}"/>
    <cellStyle name="20% - Énfasis6 16 3 3 2 2" xfId="39493" xr:uid="{08DC5670-30BD-4B1F-920A-33C4A0769367}"/>
    <cellStyle name="20% - Énfasis6 16 3 3 3" xfId="39492" xr:uid="{F4EDF153-D204-4EED-9A0D-211C1256B50B}"/>
    <cellStyle name="20% - Énfasis6 16 3 4" xfId="17631" xr:uid="{8085CBBF-8F31-40BA-BC85-BB2BD5BFA730}"/>
    <cellStyle name="20% - Énfasis6 16 3 4 2" xfId="39494" xr:uid="{C073C411-CA62-42D9-BEE5-4E38F4806416}"/>
    <cellStyle name="20% - Énfasis6 16 3 5" xfId="39487" xr:uid="{3F7869E7-4E76-4442-86A8-7C87155A797D}"/>
    <cellStyle name="20% - Énfasis6 16 4" xfId="4467" xr:uid="{341B0B61-FEB3-49E6-B53B-3010E7AFD9A6}"/>
    <cellStyle name="20% - Énfasis6 16 4 2" xfId="12175" xr:uid="{B72A4138-054E-46D8-95DB-60FA210D134B}"/>
    <cellStyle name="20% - Énfasis6 16 4 2 2" xfId="27587" xr:uid="{99D4F8F9-E94F-4620-84BE-EE7C267D0233}"/>
    <cellStyle name="20% - Énfasis6 16 4 2 2 2" xfId="39497" xr:uid="{357E939A-78EC-46AB-BC5F-BF245BD25DDA}"/>
    <cellStyle name="20% - Énfasis6 16 4 2 3" xfId="39496" xr:uid="{8A2DAFF1-7EC2-4ADC-905E-AD0AC99740F7}"/>
    <cellStyle name="20% - Énfasis6 16 4 3" xfId="19882" xr:uid="{2CA90F13-E3ED-430C-B92E-34878FA07A5D}"/>
    <cellStyle name="20% - Énfasis6 16 4 3 2" xfId="39498" xr:uid="{7424690F-DB4C-4792-A3B1-A081AD05A4A2}"/>
    <cellStyle name="20% - Énfasis6 16 4 4" xfId="39495" xr:uid="{47616B1F-09CB-40CA-8ED9-C4526844E100}"/>
    <cellStyle name="20% - Énfasis6 16 5" xfId="8464" xr:uid="{E37DD023-756E-4DB3-9D02-3A0E8B8F7609}"/>
    <cellStyle name="20% - Énfasis6 16 5 2" xfId="23877" xr:uid="{FF332543-DBE3-4CDB-B5E7-449768E08609}"/>
    <cellStyle name="20% - Énfasis6 16 5 2 2" xfId="39500" xr:uid="{5B70DBB0-E9A9-405C-853D-6B5648F99DC9}"/>
    <cellStyle name="20% - Énfasis6 16 5 3" xfId="39499" xr:uid="{BDEF85C9-CC12-4497-A078-22DD9150DB0C}"/>
    <cellStyle name="20% - Énfasis6 16 6" xfId="16172" xr:uid="{3272FB17-6322-420F-AF89-730C1A615ABD}"/>
    <cellStyle name="20% - Énfasis6 16 6 2" xfId="39501" xr:uid="{D1C4F132-F5FA-49C7-AA13-8E4BE4D85B39}"/>
    <cellStyle name="20% - Énfasis6 16 7" xfId="39470" xr:uid="{BABCC914-4FBA-407B-9170-E990F9D872A6}"/>
    <cellStyle name="20% - Énfasis6 17" xfId="742" xr:uid="{39D98516-3823-4F22-A7AA-B908335ED714}"/>
    <cellStyle name="20% - Énfasis6 17 2" xfId="1403" xr:uid="{8CD314CF-823F-410B-AF27-0307BE30248C}"/>
    <cellStyle name="20% - Énfasis6 17 2 2" xfId="2870" xr:uid="{4D72DCA5-48D2-4B81-B7F0-4055B6AF3990}"/>
    <cellStyle name="20% - Énfasis6 17 2 2 2" xfId="6602" xr:uid="{0CF598B1-7BF9-4FEA-A192-D5C5C228F71A}"/>
    <cellStyle name="20% - Énfasis6 17 2 2 2 2" xfId="14310" xr:uid="{DDC5245F-E33C-498D-8185-D868E457B643}"/>
    <cellStyle name="20% - Énfasis6 17 2 2 2 2 2" xfId="29722" xr:uid="{49607E24-476E-4E71-B00C-7C413D704905}"/>
    <cellStyle name="20% - Énfasis6 17 2 2 2 2 2 2" xfId="39507" xr:uid="{DDFEFF83-6399-47EE-A2F9-40F5B27E7F5C}"/>
    <cellStyle name="20% - Énfasis6 17 2 2 2 2 3" xfId="39506" xr:uid="{DB92EF86-0620-4C9E-AE84-8A4898B9AD42}"/>
    <cellStyle name="20% - Énfasis6 17 2 2 2 3" xfId="22017" xr:uid="{C0E440FF-9CCF-4833-9D35-37DAC0BDC820}"/>
    <cellStyle name="20% - Énfasis6 17 2 2 2 3 2" xfId="39508" xr:uid="{8346562B-5351-44D1-AC6F-28AAC66B787A}"/>
    <cellStyle name="20% - Énfasis6 17 2 2 2 4" xfId="39505" xr:uid="{6231E5BD-81D9-49EB-87A7-C27873EABB05}"/>
    <cellStyle name="20% - Énfasis6 17 2 2 3" xfId="10581" xr:uid="{344B8702-6E53-43B8-B54A-3C761D8332DE}"/>
    <cellStyle name="20% - Énfasis6 17 2 2 3 2" xfId="25994" xr:uid="{C2F7EC45-A760-4BED-9617-F0268271D86B}"/>
    <cellStyle name="20% - Énfasis6 17 2 2 3 2 2" xfId="39510" xr:uid="{723BE476-7EE3-4B40-B60B-38A9363F79D6}"/>
    <cellStyle name="20% - Énfasis6 17 2 2 3 3" xfId="39509" xr:uid="{564345B6-F844-4720-88BA-7ABBB3337848}"/>
    <cellStyle name="20% - Énfasis6 17 2 2 4" xfId="18289" xr:uid="{07E27104-9F56-406F-B0DD-4CE0704439DF}"/>
    <cellStyle name="20% - Énfasis6 17 2 2 4 2" xfId="39511" xr:uid="{D6A87F71-EDE2-42AF-8684-41E46D958367}"/>
    <cellStyle name="20% - Énfasis6 17 2 2 5" xfId="39504" xr:uid="{C81D62A8-66F9-4131-9295-BC1CD1C39A89}"/>
    <cellStyle name="20% - Énfasis6 17 2 3" xfId="5139" xr:uid="{2540747B-3A02-4409-9D66-E9A46F337483}"/>
    <cellStyle name="20% - Énfasis6 17 2 3 2" xfId="12847" xr:uid="{7F4131E7-10AC-45F9-9FD9-C402A739B2D0}"/>
    <cellStyle name="20% - Énfasis6 17 2 3 2 2" xfId="28259" xr:uid="{B5CE9299-9741-4562-B296-4048A45CFB2C}"/>
    <cellStyle name="20% - Énfasis6 17 2 3 2 2 2" xfId="39514" xr:uid="{95D7AAB3-23BF-483B-AD0F-492582575B9B}"/>
    <cellStyle name="20% - Énfasis6 17 2 3 2 3" xfId="39513" xr:uid="{A3C7678C-A090-43A9-BF80-4DD4FDD3642A}"/>
    <cellStyle name="20% - Énfasis6 17 2 3 3" xfId="20554" xr:uid="{AA6B2ADC-AAE9-457E-870D-D4324F74A3EB}"/>
    <cellStyle name="20% - Énfasis6 17 2 3 3 2" xfId="39515" xr:uid="{B5CEE84A-5616-491E-BE59-7B63274091E8}"/>
    <cellStyle name="20% - Énfasis6 17 2 3 4" xfId="39512" xr:uid="{7556A68D-198D-4447-A876-FAA32353949B}"/>
    <cellStyle name="20% - Énfasis6 17 2 4" xfId="9122" xr:uid="{3F83C85A-F3C5-4A58-A529-B4E677C4AB8E}"/>
    <cellStyle name="20% - Énfasis6 17 2 4 2" xfId="24535" xr:uid="{A8A86658-29A4-43D1-ADC4-1EECE612A56F}"/>
    <cellStyle name="20% - Énfasis6 17 2 4 2 2" xfId="39517" xr:uid="{8C2AC7BD-8C2F-434D-A65C-9A9B11679CE6}"/>
    <cellStyle name="20% - Énfasis6 17 2 4 3" xfId="39516" xr:uid="{B6A7B5F0-A953-4DF8-9E2C-3880BCB1FC34}"/>
    <cellStyle name="20% - Énfasis6 17 2 5" xfId="16830" xr:uid="{00BCEFBE-4AC1-4BCC-A10A-EEF4754D97CD}"/>
    <cellStyle name="20% - Énfasis6 17 2 5 2" xfId="39518" xr:uid="{2488EB21-E916-4A7B-B504-72B096E70E77}"/>
    <cellStyle name="20% - Énfasis6 17 2 6" xfId="39503" xr:uid="{746D6B7D-DBD6-4B4D-8398-F1A09AF29164}"/>
    <cellStyle name="20% - Énfasis6 17 3" xfId="2232" xr:uid="{28BA0E9F-48D9-4F13-9D2E-1E2C513A3D61}"/>
    <cellStyle name="20% - Énfasis6 17 3 2" xfId="5964" xr:uid="{76B94593-9F43-4806-B0B1-767DFE39A127}"/>
    <cellStyle name="20% - Énfasis6 17 3 2 2" xfId="13672" xr:uid="{FC5087F0-A991-40A6-BDA9-A5EE3A7405DC}"/>
    <cellStyle name="20% - Énfasis6 17 3 2 2 2" xfId="29084" xr:uid="{802B90AC-A2CE-40CE-914B-EF23701E0B22}"/>
    <cellStyle name="20% - Énfasis6 17 3 2 2 2 2" xfId="39522" xr:uid="{872A8FF2-9C3B-40F0-8344-B35EE828E832}"/>
    <cellStyle name="20% - Énfasis6 17 3 2 2 3" xfId="39521" xr:uid="{88AF9D56-7FC4-43FB-8AF7-94F6C8CD575A}"/>
    <cellStyle name="20% - Énfasis6 17 3 2 3" xfId="21379" xr:uid="{F63FBE70-5126-455D-8D70-5996A3E8B9E5}"/>
    <cellStyle name="20% - Énfasis6 17 3 2 3 2" xfId="39523" xr:uid="{D46DE163-4A1D-45AD-B6AD-EA41493DE707}"/>
    <cellStyle name="20% - Énfasis6 17 3 2 4" xfId="39520" xr:uid="{7EF57AFB-6EF5-486D-B9A5-1D9F55B5FC51}"/>
    <cellStyle name="20% - Énfasis6 17 3 3" xfId="9943" xr:uid="{7FD62EF9-DA61-408C-9E44-3EC923D5093A}"/>
    <cellStyle name="20% - Énfasis6 17 3 3 2" xfId="25356" xr:uid="{85156046-B6A7-427F-8730-E66D24FEAE5E}"/>
    <cellStyle name="20% - Énfasis6 17 3 3 2 2" xfId="39525" xr:uid="{9893C877-75B4-4B59-9274-704FDC2B1A2A}"/>
    <cellStyle name="20% - Énfasis6 17 3 3 3" xfId="39524" xr:uid="{432F0726-5781-44B6-ABB7-0D3BD739683B}"/>
    <cellStyle name="20% - Énfasis6 17 3 4" xfId="17651" xr:uid="{F71C20A0-3052-4F3C-85F6-8C6570CF8153}"/>
    <cellStyle name="20% - Énfasis6 17 3 4 2" xfId="39526" xr:uid="{A8470F83-FED6-4D0A-94D7-487B9E2A85F7}"/>
    <cellStyle name="20% - Énfasis6 17 3 5" xfId="39519" xr:uid="{27580A6D-648A-46A3-A41D-CEC21A4BB50B}"/>
    <cellStyle name="20% - Énfasis6 17 4" xfId="4487" xr:uid="{0C2827BE-7810-4621-9229-7D60559C61BB}"/>
    <cellStyle name="20% - Énfasis6 17 4 2" xfId="12195" xr:uid="{25252DEC-6BD9-4D00-A9BA-68B7532BE116}"/>
    <cellStyle name="20% - Énfasis6 17 4 2 2" xfId="27607" xr:uid="{63601837-B0E2-42CE-94A1-3F70CC9489BB}"/>
    <cellStyle name="20% - Énfasis6 17 4 2 2 2" xfId="39529" xr:uid="{94668926-2FA0-4B3F-9CDF-31DF8F3A9579}"/>
    <cellStyle name="20% - Énfasis6 17 4 2 3" xfId="39528" xr:uid="{476EE00B-76AC-47AA-9F7A-0F8442D73CC7}"/>
    <cellStyle name="20% - Énfasis6 17 4 3" xfId="19902" xr:uid="{96EAD704-398A-45D9-A8F4-0DF0E1D51419}"/>
    <cellStyle name="20% - Énfasis6 17 4 3 2" xfId="39530" xr:uid="{737AA0B8-8905-4D2B-9634-4BE9E9A76E0E}"/>
    <cellStyle name="20% - Énfasis6 17 4 4" xfId="39527" xr:uid="{4FDB72D6-325F-4B48-9FC6-11FBA6E4DD38}"/>
    <cellStyle name="20% - Énfasis6 17 5" xfId="8484" xr:uid="{E2F0481E-EA6F-4043-8A52-A22A66E736C0}"/>
    <cellStyle name="20% - Énfasis6 17 5 2" xfId="23897" xr:uid="{FD1E3482-FE6C-4AF4-8978-8FC46C45B8B3}"/>
    <cellStyle name="20% - Énfasis6 17 5 2 2" xfId="39532" xr:uid="{E04042C5-4C91-4BBD-8E47-EFEFBA4F30B7}"/>
    <cellStyle name="20% - Énfasis6 17 5 3" xfId="39531" xr:uid="{EA31D59F-E8AF-48DE-99DB-1E96373EC0EC}"/>
    <cellStyle name="20% - Énfasis6 17 6" xfId="16192" xr:uid="{8D5D6FAA-290D-48B0-99BB-25773C95F678}"/>
    <cellStyle name="20% - Énfasis6 17 6 2" xfId="39533" xr:uid="{DC3169E3-0FF4-423C-B702-53B2836291F1}"/>
    <cellStyle name="20% - Énfasis6 17 7" xfId="39502" xr:uid="{C0C309E0-5A89-4891-873C-CAAB37852E00}"/>
    <cellStyle name="20% - Énfasis6 18" xfId="762" xr:uid="{0B15C514-9EA6-42A5-85FB-CCF64FD08293}"/>
    <cellStyle name="20% - Énfasis6 18 2" xfId="1423" xr:uid="{0264EEF4-2080-4DBE-B339-8933EA38E700}"/>
    <cellStyle name="20% - Énfasis6 18 2 2" xfId="2890" xr:uid="{15FC9744-A863-4356-98AF-8F95D82586A3}"/>
    <cellStyle name="20% - Énfasis6 18 2 2 2" xfId="6622" xr:uid="{AA97923C-3C0A-4F34-935D-33F63B6CEF52}"/>
    <cellStyle name="20% - Énfasis6 18 2 2 2 2" xfId="14330" xr:uid="{4CB42C22-1430-42BA-857C-BE443D43DFF7}"/>
    <cellStyle name="20% - Énfasis6 18 2 2 2 2 2" xfId="29742" xr:uid="{B93F435A-6A48-4C4E-AE22-3266AAB878BB}"/>
    <cellStyle name="20% - Énfasis6 18 2 2 2 2 2 2" xfId="39539" xr:uid="{3B46CC60-E7FA-449B-BBE3-BBC02EA8395E}"/>
    <cellStyle name="20% - Énfasis6 18 2 2 2 2 3" xfId="39538" xr:uid="{3AB73F71-2108-4D71-BA59-E5BD4315A091}"/>
    <cellStyle name="20% - Énfasis6 18 2 2 2 3" xfId="22037" xr:uid="{01004384-587F-452B-B963-838A577E2D96}"/>
    <cellStyle name="20% - Énfasis6 18 2 2 2 3 2" xfId="39540" xr:uid="{ED55C381-BDA9-4108-9C86-B5ECA9E6BF71}"/>
    <cellStyle name="20% - Énfasis6 18 2 2 2 4" xfId="39537" xr:uid="{05EA56AA-66ED-4AC7-9B46-B52EBF9DE6CF}"/>
    <cellStyle name="20% - Énfasis6 18 2 2 3" xfId="10601" xr:uid="{63C83B36-6399-4C92-843B-61613734A82A}"/>
    <cellStyle name="20% - Énfasis6 18 2 2 3 2" xfId="26014" xr:uid="{40371C53-7118-46C8-864F-8F8E8A2B3C65}"/>
    <cellStyle name="20% - Énfasis6 18 2 2 3 2 2" xfId="39542" xr:uid="{6BC3DD68-C0EC-45F4-8749-ADA6E2FDB009}"/>
    <cellStyle name="20% - Énfasis6 18 2 2 3 3" xfId="39541" xr:uid="{1604DD25-EF28-4F4B-A823-758AA5724B68}"/>
    <cellStyle name="20% - Énfasis6 18 2 2 4" xfId="18309" xr:uid="{73C5DD80-D3BF-4D8B-914B-D212C8357289}"/>
    <cellStyle name="20% - Énfasis6 18 2 2 4 2" xfId="39543" xr:uid="{8B78BB27-FB91-4CB7-BD97-9038A0C56F72}"/>
    <cellStyle name="20% - Énfasis6 18 2 2 5" xfId="39536" xr:uid="{D5CC1B96-B4C6-426C-962E-20C1E7E1BCCA}"/>
    <cellStyle name="20% - Énfasis6 18 2 3" xfId="5159" xr:uid="{9FCFB873-3D0F-4C70-AC43-1CD191F45762}"/>
    <cellStyle name="20% - Énfasis6 18 2 3 2" xfId="12867" xr:uid="{965DD69D-6263-4576-B956-BF5B4FEB54ED}"/>
    <cellStyle name="20% - Énfasis6 18 2 3 2 2" xfId="28279" xr:uid="{48207CDD-E18E-45DA-B724-B29A89FE7874}"/>
    <cellStyle name="20% - Énfasis6 18 2 3 2 2 2" xfId="39546" xr:uid="{CAAB66DE-53F6-4016-B1AF-35F452453812}"/>
    <cellStyle name="20% - Énfasis6 18 2 3 2 3" xfId="39545" xr:uid="{4EE9AB2B-96B0-42E9-A82D-12F49C1AFB8C}"/>
    <cellStyle name="20% - Énfasis6 18 2 3 3" xfId="20574" xr:uid="{AD20F5D1-3980-4598-904B-69C5AF7A4D1E}"/>
    <cellStyle name="20% - Énfasis6 18 2 3 3 2" xfId="39547" xr:uid="{549956AF-BB8D-4F3D-BD53-D4C6262A7361}"/>
    <cellStyle name="20% - Énfasis6 18 2 3 4" xfId="39544" xr:uid="{88D5935B-0D05-4B17-BC6F-4E5B20C60E96}"/>
    <cellStyle name="20% - Énfasis6 18 2 4" xfId="9142" xr:uid="{0C84924F-21E7-460E-80AC-3267F3D0450B}"/>
    <cellStyle name="20% - Énfasis6 18 2 4 2" xfId="24555" xr:uid="{512ED1D5-BEA7-4C4E-9F47-5B08C9590F50}"/>
    <cellStyle name="20% - Énfasis6 18 2 4 2 2" xfId="39549" xr:uid="{2019A178-4B23-4A2F-A8F1-6B1010972F71}"/>
    <cellStyle name="20% - Énfasis6 18 2 4 3" xfId="39548" xr:uid="{CC3E7596-32A1-4B18-8113-D0E0BFD4A351}"/>
    <cellStyle name="20% - Énfasis6 18 2 5" xfId="16850" xr:uid="{D655709B-E73B-4F83-98E1-6C9878E18315}"/>
    <cellStyle name="20% - Énfasis6 18 2 5 2" xfId="39550" xr:uid="{80DF6B69-226D-42CE-B431-6941A60DB3A2}"/>
    <cellStyle name="20% - Énfasis6 18 2 6" xfId="39535" xr:uid="{E252F589-9A74-40D5-9260-896A9ABD6C43}"/>
    <cellStyle name="20% - Énfasis6 18 3" xfId="2252" xr:uid="{E5E4919A-3A1A-4C1B-BAEE-4EBF2642AA33}"/>
    <cellStyle name="20% - Énfasis6 18 3 2" xfId="5984" xr:uid="{6CE75932-E541-4ED6-BE0E-8D77E1CDE78D}"/>
    <cellStyle name="20% - Énfasis6 18 3 2 2" xfId="13692" xr:uid="{81400533-1D72-4FAD-BB1E-38BFC44E958D}"/>
    <cellStyle name="20% - Énfasis6 18 3 2 2 2" xfId="29104" xr:uid="{0D244791-1E8F-4B8E-B281-299410F0E0E5}"/>
    <cellStyle name="20% - Énfasis6 18 3 2 2 2 2" xfId="39554" xr:uid="{DD2AE180-8D11-482E-B12C-717A12E13ADF}"/>
    <cellStyle name="20% - Énfasis6 18 3 2 2 3" xfId="39553" xr:uid="{1683D444-7CCA-4CC5-995E-B98C2C883C6C}"/>
    <cellStyle name="20% - Énfasis6 18 3 2 3" xfId="21399" xr:uid="{DD239BDE-1BFE-4AF4-A120-1F6B116F5476}"/>
    <cellStyle name="20% - Énfasis6 18 3 2 3 2" xfId="39555" xr:uid="{D9F65868-1A18-483D-B637-FBFB648635E0}"/>
    <cellStyle name="20% - Énfasis6 18 3 2 4" xfId="39552" xr:uid="{2E9B0C40-F7E5-4612-B8A5-D31F50E9DAD8}"/>
    <cellStyle name="20% - Énfasis6 18 3 3" xfId="9963" xr:uid="{FB13C863-9304-4E33-8BDD-8574CD4D63B6}"/>
    <cellStyle name="20% - Énfasis6 18 3 3 2" xfId="25376" xr:uid="{22B563D3-DCD3-4600-9B73-A891958D06C9}"/>
    <cellStyle name="20% - Énfasis6 18 3 3 2 2" xfId="39557" xr:uid="{0C317453-61E4-4118-A331-45DD71BA9BF1}"/>
    <cellStyle name="20% - Énfasis6 18 3 3 3" xfId="39556" xr:uid="{6844A0C1-FBDD-499D-B834-E1A99C6A0F23}"/>
    <cellStyle name="20% - Énfasis6 18 3 4" xfId="17671" xr:uid="{A170227A-56CA-4C3D-8CB6-19D4506E047F}"/>
    <cellStyle name="20% - Énfasis6 18 3 4 2" xfId="39558" xr:uid="{A80FB00E-AB9E-4CFC-8F4D-36ABF3C1470D}"/>
    <cellStyle name="20% - Énfasis6 18 3 5" xfId="39551" xr:uid="{B562CD83-8256-4E4D-9714-7C7B61BD19D2}"/>
    <cellStyle name="20% - Énfasis6 18 4" xfId="4507" xr:uid="{CB38E29C-1AA7-46A7-B449-D16330041410}"/>
    <cellStyle name="20% - Énfasis6 18 4 2" xfId="12215" xr:uid="{26177600-DAD8-4C34-A8A8-EB60C955D750}"/>
    <cellStyle name="20% - Énfasis6 18 4 2 2" xfId="27627" xr:uid="{3C482FCB-ACCE-41A1-AF20-0F1FD5622B71}"/>
    <cellStyle name="20% - Énfasis6 18 4 2 2 2" xfId="39561" xr:uid="{C062C7DE-06CD-4D63-8C5B-224817A33167}"/>
    <cellStyle name="20% - Énfasis6 18 4 2 3" xfId="39560" xr:uid="{0F1AE693-5CBD-4CCD-B961-81201302CD80}"/>
    <cellStyle name="20% - Énfasis6 18 4 3" xfId="19922" xr:uid="{1D006D71-B9A7-408B-BAAE-845772BBF9F3}"/>
    <cellStyle name="20% - Énfasis6 18 4 3 2" xfId="39562" xr:uid="{AD50BE9F-C34A-425F-8015-DD699BCF4106}"/>
    <cellStyle name="20% - Énfasis6 18 4 4" xfId="39559" xr:uid="{0003F7A6-A7BA-471B-BB0A-478165CC19A7}"/>
    <cellStyle name="20% - Énfasis6 18 5" xfId="8504" xr:uid="{71E028B0-8BE0-4996-96C6-231D7291DC86}"/>
    <cellStyle name="20% - Énfasis6 18 5 2" xfId="23917" xr:uid="{EE0F2916-1B15-49AC-A97F-D60FCFCCE406}"/>
    <cellStyle name="20% - Énfasis6 18 5 2 2" xfId="39564" xr:uid="{EF9617BB-6972-4FC0-AE4F-44E6196FF8D9}"/>
    <cellStyle name="20% - Énfasis6 18 5 3" xfId="39563" xr:uid="{54CB4E01-5DC2-445F-8EDB-601D042495FD}"/>
    <cellStyle name="20% - Énfasis6 18 6" xfId="16212" xr:uid="{12AF000E-F478-4945-A7E8-2A3F5FF717E1}"/>
    <cellStyle name="20% - Énfasis6 18 6 2" xfId="39565" xr:uid="{4BF90D43-5104-425E-8F34-A7CF6A64B495}"/>
    <cellStyle name="20% - Énfasis6 18 7" xfId="39534" xr:uid="{F12DB6D3-4880-40A1-AECF-8C6E36131C03}"/>
    <cellStyle name="20% - Énfasis6 19" xfId="781" xr:uid="{607D7239-BEAF-4B85-8BC6-EA8F050ADF1E}"/>
    <cellStyle name="20% - Énfasis6 19 2" xfId="2271" xr:uid="{B4004EAA-7FA7-43FC-BB98-E769260A543E}"/>
    <cellStyle name="20% - Énfasis6 19 2 2" xfId="6003" xr:uid="{75303D9D-5D78-4D06-B5A4-F26CF22516AA}"/>
    <cellStyle name="20% - Énfasis6 19 2 2 2" xfId="13711" xr:uid="{DCABD592-B547-49C2-A668-FFEA23BC079E}"/>
    <cellStyle name="20% - Énfasis6 19 2 2 2 2" xfId="29123" xr:uid="{471BDB3A-9234-4051-BF2B-F53396510A94}"/>
    <cellStyle name="20% - Énfasis6 19 2 2 2 2 2" xfId="39570" xr:uid="{508EB35A-4AE6-4DB7-AB1A-18FBA1F1F41F}"/>
    <cellStyle name="20% - Énfasis6 19 2 2 2 3" xfId="39569" xr:uid="{66DD16B7-16CC-4704-93AD-B7D16A6F06EF}"/>
    <cellStyle name="20% - Énfasis6 19 2 2 3" xfId="21418" xr:uid="{1F53B977-E47B-401F-B4F5-5DAA6A1B3AC8}"/>
    <cellStyle name="20% - Énfasis6 19 2 2 3 2" xfId="39571" xr:uid="{CF99C3F8-2198-4D44-84B7-C48869815300}"/>
    <cellStyle name="20% - Énfasis6 19 2 2 4" xfId="39568" xr:uid="{88CE7B64-3276-45C2-9F6A-F944C0AF519E}"/>
    <cellStyle name="20% - Énfasis6 19 2 3" xfId="9982" xr:uid="{2F575EEF-F7D9-46C4-AD5F-6F2B83D6E192}"/>
    <cellStyle name="20% - Énfasis6 19 2 3 2" xfId="25395" xr:uid="{F01735B5-7CAE-4C8A-938A-23DFAB880562}"/>
    <cellStyle name="20% - Énfasis6 19 2 3 2 2" xfId="39573" xr:uid="{E6E64866-1794-40AB-A40A-109DCF5567F2}"/>
    <cellStyle name="20% - Énfasis6 19 2 3 3" xfId="39572" xr:uid="{A3D6CD3B-8914-4B20-9661-6BF0E01CB8B6}"/>
    <cellStyle name="20% - Énfasis6 19 2 4" xfId="17690" xr:uid="{9E0F9625-D69E-435E-A7B9-684DD474FBA1}"/>
    <cellStyle name="20% - Énfasis6 19 2 4 2" xfId="39574" xr:uid="{1BECA370-1E62-4E31-B786-2AFFB9F369F5}"/>
    <cellStyle name="20% - Énfasis6 19 2 5" xfId="39567" xr:uid="{27F1E80D-8B79-4684-8D48-E857A0A1F2AE}"/>
    <cellStyle name="20% - Énfasis6 19 3" xfId="4526" xr:uid="{D427036D-C7CE-4F2F-91CA-426C9C3D59A9}"/>
    <cellStyle name="20% - Énfasis6 19 3 2" xfId="12234" xr:uid="{9BE87939-6062-4AA1-A9F8-9C59365D7864}"/>
    <cellStyle name="20% - Énfasis6 19 3 2 2" xfId="27646" xr:uid="{8CBECF5C-8A43-4123-B118-D8A57AE2CD01}"/>
    <cellStyle name="20% - Énfasis6 19 3 2 2 2" xfId="39577" xr:uid="{24E20E48-9526-44D5-A21B-F37750680C0B}"/>
    <cellStyle name="20% - Énfasis6 19 3 2 3" xfId="39576" xr:uid="{B2EEAF1D-D6C0-43F3-8A81-CA3FE7A9B522}"/>
    <cellStyle name="20% - Énfasis6 19 3 3" xfId="19941" xr:uid="{D7789B96-E6C3-428C-8BBF-22910F46DD4F}"/>
    <cellStyle name="20% - Énfasis6 19 3 3 2" xfId="39578" xr:uid="{F9BC2FC9-A240-44E2-9AF5-0354CB891298}"/>
    <cellStyle name="20% - Énfasis6 19 3 4" xfId="39575" xr:uid="{6DBC2F07-1D0E-45E1-9128-B20B9A7AB8F2}"/>
    <cellStyle name="20% - Énfasis6 19 4" xfId="8523" xr:uid="{C4E6FCB6-E91E-445F-9D7C-7D4CA8129103}"/>
    <cellStyle name="20% - Énfasis6 19 4 2" xfId="23936" xr:uid="{9F74AF38-6FA8-4368-9501-1A8DD73FBC98}"/>
    <cellStyle name="20% - Énfasis6 19 4 2 2" xfId="39580" xr:uid="{7F80AAD4-F686-4EC2-ACED-567CB4855B6A}"/>
    <cellStyle name="20% - Énfasis6 19 4 3" xfId="39579" xr:uid="{65082160-1FCB-4189-987E-AE3AF4B0DC5A}"/>
    <cellStyle name="20% - Énfasis6 19 5" xfId="16231" xr:uid="{591C45C1-05CC-41B7-AD24-562ED2D8FFFF}"/>
    <cellStyle name="20% - Énfasis6 19 5 2" xfId="39581" xr:uid="{EBE5EE10-EFC0-4525-8416-A02302DF44F1}"/>
    <cellStyle name="20% - Énfasis6 19 6" xfId="39566" xr:uid="{2382B800-664C-4064-AB35-5E8A3A4566FD}"/>
    <cellStyle name="20% - Énfasis6 2" xfId="180" xr:uid="{8C528108-A0F7-4F2D-9ED8-CC14D7320C28}"/>
    <cellStyle name="20% - Énfasis6 2 2" xfId="390" xr:uid="{7C663D35-4A1E-45D8-9084-532062E47E21}"/>
    <cellStyle name="20% - Énfasis6 2 2 2" xfId="1052" xr:uid="{4792AC80-12F4-4D8B-A312-9579C0A6E511}"/>
    <cellStyle name="20% - Énfasis6 2 2 2 2" xfId="2520" xr:uid="{D68166D3-8259-46E2-A416-74BDC7375A2D}"/>
    <cellStyle name="20% - Énfasis6 2 2 2 2 2" xfId="6252" xr:uid="{0C0CBE42-597A-4E1B-A490-3157480FCEB6}"/>
    <cellStyle name="20% - Énfasis6 2 2 2 2 2 2" xfId="13960" xr:uid="{B7FC5248-1445-4BD0-93AF-8ACA39B41245}"/>
    <cellStyle name="20% - Énfasis6 2 2 2 2 2 2 2" xfId="29372" xr:uid="{979140A5-395B-4F75-A3A3-8D678E91BC52}"/>
    <cellStyle name="20% - Énfasis6 2 2 2 2 2 2 2 2" xfId="39588" xr:uid="{7A707DF2-104D-418D-960F-5689D36F3BD3}"/>
    <cellStyle name="20% - Énfasis6 2 2 2 2 2 2 3" xfId="39587" xr:uid="{B085171B-4C66-461B-A251-6F568C33E352}"/>
    <cellStyle name="20% - Énfasis6 2 2 2 2 2 3" xfId="21667" xr:uid="{DDD4307E-5F5C-4D90-A1DA-8CB90121D908}"/>
    <cellStyle name="20% - Énfasis6 2 2 2 2 2 3 2" xfId="39589" xr:uid="{6A9D0F77-1DCF-4860-9C78-A316AEAADEAA}"/>
    <cellStyle name="20% - Énfasis6 2 2 2 2 2 4" xfId="39586" xr:uid="{E45E6239-68D9-433B-A6CF-2023811036F0}"/>
    <cellStyle name="20% - Énfasis6 2 2 2 2 3" xfId="10231" xr:uid="{3BB17B10-DB17-4EB3-AF53-EEA8D1264EE9}"/>
    <cellStyle name="20% - Énfasis6 2 2 2 2 3 2" xfId="25644" xr:uid="{5667920C-9277-44C7-88F8-1E26800876CA}"/>
    <cellStyle name="20% - Énfasis6 2 2 2 2 3 2 2" xfId="39591" xr:uid="{DF39A5A9-7B30-46C3-A008-3341CD234213}"/>
    <cellStyle name="20% - Énfasis6 2 2 2 2 3 3" xfId="39590" xr:uid="{6158CE27-527D-4676-8A0F-CD6B8141F5AF}"/>
    <cellStyle name="20% - Énfasis6 2 2 2 2 4" xfId="17939" xr:uid="{FCF00D10-D3A6-4A25-87DC-18A1C71DD980}"/>
    <cellStyle name="20% - Énfasis6 2 2 2 2 4 2" xfId="39592" xr:uid="{894041F1-3C7B-446F-BE6D-52FE70AAA846}"/>
    <cellStyle name="20% - Énfasis6 2 2 2 2 5" xfId="39585" xr:uid="{FAEC9507-E604-4C2C-BAC0-0745AAB9220C}"/>
    <cellStyle name="20% - Énfasis6 2 2 2 3" xfId="4789" xr:uid="{6EDE997B-E631-4FE9-B6FD-2E6B854AF6BB}"/>
    <cellStyle name="20% - Énfasis6 2 2 2 3 2" xfId="12497" xr:uid="{8157D2DF-8EF5-49A4-9461-52B2948B47F4}"/>
    <cellStyle name="20% - Énfasis6 2 2 2 3 2 2" xfId="27909" xr:uid="{FDCBE8FB-0B0B-4CCB-B8EE-CA87944BC631}"/>
    <cellStyle name="20% - Énfasis6 2 2 2 3 2 2 2" xfId="39595" xr:uid="{0AB33138-0C64-4D9C-99A4-ADC238CF3C4E}"/>
    <cellStyle name="20% - Énfasis6 2 2 2 3 2 3" xfId="39594" xr:uid="{4E330F5A-CA08-4158-B79D-85D9C56497E7}"/>
    <cellStyle name="20% - Énfasis6 2 2 2 3 3" xfId="20204" xr:uid="{6C3C12FA-62E1-4CCA-ABBA-C0F06852C2EC}"/>
    <cellStyle name="20% - Énfasis6 2 2 2 3 3 2" xfId="39596" xr:uid="{B8553727-BDA5-4560-9AE0-4F1677060436}"/>
    <cellStyle name="20% - Énfasis6 2 2 2 3 4" xfId="39593" xr:uid="{AFB89C8D-4BFD-4A33-96EC-42687D396A9B}"/>
    <cellStyle name="20% - Énfasis6 2 2 2 4" xfId="8772" xr:uid="{2EF7C223-9B99-4CE1-9402-0053B97770A1}"/>
    <cellStyle name="20% - Énfasis6 2 2 2 4 2" xfId="24185" xr:uid="{D51BA7B6-2EB2-429B-A466-0B3427C75E7A}"/>
    <cellStyle name="20% - Énfasis6 2 2 2 4 2 2" xfId="39598" xr:uid="{679936D8-661C-4E8A-8595-523716A69351}"/>
    <cellStyle name="20% - Énfasis6 2 2 2 4 3" xfId="39597" xr:uid="{D6EE7CD1-811A-4E1F-B93C-E0137AFFE98A}"/>
    <cellStyle name="20% - Énfasis6 2 2 2 5" xfId="16480" xr:uid="{FA06DD4D-7C84-4BED-8854-672B83A05BB9}"/>
    <cellStyle name="20% - Énfasis6 2 2 2 5 2" xfId="39599" xr:uid="{DCDE5528-9693-462E-8B8B-7F4DB80E5602}"/>
    <cellStyle name="20% - Énfasis6 2 2 2 6" xfId="39584" xr:uid="{C462BA94-E8C0-45A3-9232-569F966DA1F0}"/>
    <cellStyle name="20% - Énfasis6 2 2 3" xfId="1882" xr:uid="{384013AD-FEAE-4679-8DE5-6E947558A018}"/>
    <cellStyle name="20% - Énfasis6 2 2 3 2" xfId="5614" xr:uid="{CC184BE9-0B21-44DE-A011-1AC7C5EB8E2A}"/>
    <cellStyle name="20% - Énfasis6 2 2 3 2 2" xfId="13322" xr:uid="{C17EB19B-CA5E-4BBF-95F6-6B4F3F8474A2}"/>
    <cellStyle name="20% - Énfasis6 2 2 3 2 2 2" xfId="28734" xr:uid="{D4488C89-889D-4BBC-BC68-9E8FFBB84D4D}"/>
    <cellStyle name="20% - Énfasis6 2 2 3 2 2 2 2" xfId="39603" xr:uid="{C28F5B91-18D0-435F-8583-FE32EF664309}"/>
    <cellStyle name="20% - Énfasis6 2 2 3 2 2 3" xfId="39602" xr:uid="{AA462AF1-140E-455F-B5CE-1607D165DA46}"/>
    <cellStyle name="20% - Énfasis6 2 2 3 2 3" xfId="21029" xr:uid="{4200EAAC-E122-4DD5-BA3F-2ED4B14F0E15}"/>
    <cellStyle name="20% - Énfasis6 2 2 3 2 3 2" xfId="39604" xr:uid="{5D9D92B8-0A07-4CD2-9B65-EE7737BB8A12}"/>
    <cellStyle name="20% - Énfasis6 2 2 3 2 4" xfId="39601" xr:uid="{C6CCE7D4-2AF3-44FB-8F67-F31A9758899B}"/>
    <cellStyle name="20% - Énfasis6 2 2 3 3" xfId="9593" xr:uid="{00AE563F-E1A7-4577-9767-A0C835478D88}"/>
    <cellStyle name="20% - Énfasis6 2 2 3 3 2" xfId="25006" xr:uid="{8B757F8D-052A-457A-AAA6-1437514556B1}"/>
    <cellStyle name="20% - Énfasis6 2 2 3 3 2 2" xfId="39606" xr:uid="{8750B4F9-C30D-494C-B8F6-7D7469250F9D}"/>
    <cellStyle name="20% - Énfasis6 2 2 3 3 3" xfId="39605" xr:uid="{2232F1EA-0DD5-4E26-98A5-F7661AE4B31A}"/>
    <cellStyle name="20% - Énfasis6 2 2 3 4" xfId="17301" xr:uid="{4F6FF091-21FC-4C0F-BCAD-0FD4C8F0BCA6}"/>
    <cellStyle name="20% - Énfasis6 2 2 3 4 2" xfId="39607" xr:uid="{21E17DC2-7B2D-4658-9324-7768D0E5FE2A}"/>
    <cellStyle name="20% - Énfasis6 2 2 3 5" xfId="39600" xr:uid="{9A7F8528-9A8D-4A08-AC36-92BC4303B883}"/>
    <cellStyle name="20% - Énfasis6 2 2 4" xfId="4137" xr:uid="{CB1BCC7A-9753-4528-90D5-A529BD0560D5}"/>
    <cellStyle name="20% - Énfasis6 2 2 4 2" xfId="11845" xr:uid="{6C922DFD-7500-4D0C-97EE-D58A81EE266C}"/>
    <cellStyle name="20% - Énfasis6 2 2 4 2 2" xfId="27257" xr:uid="{6DD41F2A-6166-48E6-9D02-12E5BC998FC5}"/>
    <cellStyle name="20% - Énfasis6 2 2 4 2 2 2" xfId="39610" xr:uid="{4508B504-307A-4134-B15D-4EF17AACA56D}"/>
    <cellStyle name="20% - Énfasis6 2 2 4 2 3" xfId="39609" xr:uid="{89398DB8-D5BA-492F-9026-B3A0A61C19C6}"/>
    <cellStyle name="20% - Énfasis6 2 2 4 3" xfId="19552" xr:uid="{7974E0EC-AF3C-4DE9-BC97-B6F987F5B91E}"/>
    <cellStyle name="20% - Énfasis6 2 2 4 3 2" xfId="39611" xr:uid="{5A12CE37-CDBA-4FDE-9CC9-9C6745CC47CD}"/>
    <cellStyle name="20% - Énfasis6 2 2 4 4" xfId="39608" xr:uid="{87773C14-FDEC-42B8-9803-B94BBA0C6691}"/>
    <cellStyle name="20% - Énfasis6 2 2 5" xfId="8134" xr:uid="{9E26FD62-6A0B-4F71-8540-3F40CB7B3959}"/>
    <cellStyle name="20% - Énfasis6 2 2 5 2" xfId="23547" xr:uid="{A2326B0A-A5BD-4ED5-91D7-5D84ACB1EEDB}"/>
    <cellStyle name="20% - Énfasis6 2 2 5 2 2" xfId="39613" xr:uid="{A9C57AAC-F84D-4879-B0A1-1B97E9E1292F}"/>
    <cellStyle name="20% - Énfasis6 2 2 5 3" xfId="39612" xr:uid="{24E2539C-6081-4E16-875B-BF2325D1F9A1}"/>
    <cellStyle name="20% - Énfasis6 2 2 6" xfId="15842" xr:uid="{89FD6BFB-1CF2-43DB-8B46-9E817895F43A}"/>
    <cellStyle name="20% - Énfasis6 2 2 6 2" xfId="39614" xr:uid="{421FC59A-9A27-415C-9751-B6C9863097C1}"/>
    <cellStyle name="20% - Énfasis6 2 2 7" xfId="39583" xr:uid="{6024E026-BA97-4ED8-ABA5-C1CC6EFEAE99}"/>
    <cellStyle name="20% - Énfasis6 2 3" xfId="847" xr:uid="{51A91BCD-EFC9-40A8-95E0-501A1E0826CE}"/>
    <cellStyle name="20% - Énfasis6 2 3 2" xfId="2322" xr:uid="{3A714CA6-3D04-42A0-90E3-55D5776D7DB8}"/>
    <cellStyle name="20% - Énfasis6 2 3 2 2" xfId="6054" xr:uid="{FE05F1BC-9F94-49C4-88A1-D9B89434F1A8}"/>
    <cellStyle name="20% - Énfasis6 2 3 2 2 2" xfId="13762" xr:uid="{C96EAF7C-A775-44C6-9FAC-FDC6D6D4F3F1}"/>
    <cellStyle name="20% - Énfasis6 2 3 2 2 2 2" xfId="29174" xr:uid="{D9ABE7CB-0151-4305-901C-5C8CD04758AA}"/>
    <cellStyle name="20% - Énfasis6 2 3 2 2 2 2 2" xfId="39619" xr:uid="{3BCE9F11-5BA5-402D-A77C-6D3D6501E346}"/>
    <cellStyle name="20% - Énfasis6 2 3 2 2 2 3" xfId="39618" xr:uid="{F2A8EE21-C13D-4E60-ABB5-9F059BCF3655}"/>
    <cellStyle name="20% - Énfasis6 2 3 2 2 3" xfId="21469" xr:uid="{91B33B80-7DF4-4C8C-A24C-BC400798A428}"/>
    <cellStyle name="20% - Énfasis6 2 3 2 2 3 2" xfId="39620" xr:uid="{C26BAC47-2420-4823-A3D5-8D8138385736}"/>
    <cellStyle name="20% - Énfasis6 2 3 2 2 4" xfId="39617" xr:uid="{248E53A3-2735-471D-ABF4-5590DC06DC78}"/>
    <cellStyle name="20% - Énfasis6 2 3 2 3" xfId="10033" xr:uid="{1E05E13E-A2AA-42A2-A8B8-E0CF385ACC61}"/>
    <cellStyle name="20% - Énfasis6 2 3 2 3 2" xfId="25446" xr:uid="{1E58D2CF-0274-4878-903F-2A4636CD9A38}"/>
    <cellStyle name="20% - Énfasis6 2 3 2 3 2 2" xfId="39622" xr:uid="{63E9BD18-2B4D-4329-9E8D-881F64828864}"/>
    <cellStyle name="20% - Énfasis6 2 3 2 3 3" xfId="39621" xr:uid="{83EBCC22-216E-46D0-8080-AB435B2380F8}"/>
    <cellStyle name="20% - Énfasis6 2 3 2 4" xfId="17741" xr:uid="{C93AAC59-2576-4121-921E-2719A1575D3E}"/>
    <cellStyle name="20% - Énfasis6 2 3 2 4 2" xfId="39623" xr:uid="{73C86877-E211-42F1-AEBD-640A9A4CD259}"/>
    <cellStyle name="20% - Énfasis6 2 3 2 5" xfId="39616" xr:uid="{3BAD00EA-9DFC-43F1-A5A9-EEA4B16E127B}"/>
    <cellStyle name="20% - Énfasis6 2 3 3" xfId="4584" xr:uid="{88319CA8-3DBC-42C5-803E-F90487AF2156}"/>
    <cellStyle name="20% - Énfasis6 2 3 3 2" xfId="12292" xr:uid="{11D99B09-18D7-4DA4-A236-39660EFA4D28}"/>
    <cellStyle name="20% - Énfasis6 2 3 3 2 2" xfId="27704" xr:uid="{606C7454-4EBD-4BAD-8597-09D972E19187}"/>
    <cellStyle name="20% - Énfasis6 2 3 3 2 2 2" xfId="39626" xr:uid="{7A3F8369-24BD-4690-912F-EE7AB7A5EF5A}"/>
    <cellStyle name="20% - Énfasis6 2 3 3 2 3" xfId="39625" xr:uid="{85B8084C-737E-42EE-BAB7-F0B058D39D79}"/>
    <cellStyle name="20% - Énfasis6 2 3 3 3" xfId="19999" xr:uid="{25CC9C3E-BB41-4FF1-BD49-4B6A13C9EFDE}"/>
    <cellStyle name="20% - Énfasis6 2 3 3 3 2" xfId="39627" xr:uid="{F2D8C521-F47A-4844-BE50-607842516543}"/>
    <cellStyle name="20% - Énfasis6 2 3 3 4" xfId="39624" xr:uid="{1B95D3E9-8CE6-420E-B932-703BB4A28391}"/>
    <cellStyle name="20% - Énfasis6 2 3 4" xfId="8574" xr:uid="{7C678E03-7CA3-4B9C-B506-EDB6DFC82538}"/>
    <cellStyle name="20% - Énfasis6 2 3 4 2" xfId="23987" xr:uid="{FC4F3942-7B8B-49CC-AD78-90BC3838E5FD}"/>
    <cellStyle name="20% - Énfasis6 2 3 4 2 2" xfId="39629" xr:uid="{1E4F309B-9193-4C96-BAB3-6CDB75A5B543}"/>
    <cellStyle name="20% - Énfasis6 2 3 4 3" xfId="39628" xr:uid="{E0EB2410-63EA-4BA3-A70D-92D1D9B0E1FE}"/>
    <cellStyle name="20% - Énfasis6 2 3 5" xfId="16282" xr:uid="{9134C69E-CF1F-4517-897E-4119C9066FC2}"/>
    <cellStyle name="20% - Énfasis6 2 3 5 2" xfId="39630" xr:uid="{12503682-B6AB-412E-BC5C-132803491017}"/>
    <cellStyle name="20% - Énfasis6 2 3 6" xfId="39615" xr:uid="{0F0C2421-B3FE-45A4-87DF-96D4E6BE495B}"/>
    <cellStyle name="20% - Énfasis6 2 4" xfId="1684" xr:uid="{7A3E5B6F-026E-4BBB-8076-7FD486977827}"/>
    <cellStyle name="20% - Énfasis6 2 4 2" xfId="5416" xr:uid="{9A6B8DFD-1383-45E5-A890-0583323B9358}"/>
    <cellStyle name="20% - Énfasis6 2 4 2 2" xfId="13124" xr:uid="{12CE0F20-9796-49A5-9A47-7CEEBBC4E1C1}"/>
    <cellStyle name="20% - Énfasis6 2 4 2 2 2" xfId="28536" xr:uid="{A6B04585-29BA-41CF-B05A-E8B0F5153EC8}"/>
    <cellStyle name="20% - Énfasis6 2 4 2 2 2 2" xfId="39634" xr:uid="{793E83D6-CCE6-4084-84AC-2868C6CB28BF}"/>
    <cellStyle name="20% - Énfasis6 2 4 2 2 3" xfId="39633" xr:uid="{A203F623-9147-4EB9-946B-AF0F3634F958}"/>
    <cellStyle name="20% - Énfasis6 2 4 2 3" xfId="20831" xr:uid="{53964383-B109-4112-A39C-535F55CFB2EC}"/>
    <cellStyle name="20% - Énfasis6 2 4 2 3 2" xfId="39635" xr:uid="{83430359-45D7-4FC4-94F7-1F3EEC54DA33}"/>
    <cellStyle name="20% - Énfasis6 2 4 2 4" xfId="39632" xr:uid="{FF230767-6483-4956-879C-05A77328EF20}"/>
    <cellStyle name="20% - Énfasis6 2 4 3" xfId="9395" xr:uid="{F8BA5B07-8B73-4CB2-AC42-DC8FD139381E}"/>
    <cellStyle name="20% - Énfasis6 2 4 3 2" xfId="24808" xr:uid="{A7DB9106-5068-4223-A9F9-607E15E95458}"/>
    <cellStyle name="20% - Énfasis6 2 4 3 2 2" xfId="39637" xr:uid="{82F114B2-3C61-4493-9306-C6376594CA77}"/>
    <cellStyle name="20% - Énfasis6 2 4 3 3" xfId="39636" xr:uid="{390602CC-0FD8-4B12-BD7E-83436A3390FD}"/>
    <cellStyle name="20% - Énfasis6 2 4 4" xfId="17103" xr:uid="{4BC4CAC3-4582-4811-94E1-CF5A801C56E0}"/>
    <cellStyle name="20% - Énfasis6 2 4 4 2" xfId="39638" xr:uid="{C45A179D-0A57-43D4-8FCB-E142443FE2D4}"/>
    <cellStyle name="20% - Énfasis6 2 4 5" xfId="39631" xr:uid="{67AB1051-F06C-43F8-9625-6666C215465F}"/>
    <cellStyle name="20% - Énfasis6 2 5" xfId="3932" xr:uid="{4EB56D13-8DEC-4B96-B5BF-8A7F112D0A2D}"/>
    <cellStyle name="20% - Énfasis6 2 5 2" xfId="11640" xr:uid="{7B174E17-7B4B-4B75-9A53-0B7B1AE77957}"/>
    <cellStyle name="20% - Énfasis6 2 5 2 2" xfId="27052" xr:uid="{D58C6040-2C69-434F-AE6E-53C2F7231EF1}"/>
    <cellStyle name="20% - Énfasis6 2 5 2 2 2" xfId="39641" xr:uid="{5BD2AF0B-3724-4E70-92FF-D5B6FA48BF2C}"/>
    <cellStyle name="20% - Énfasis6 2 5 2 3" xfId="39640" xr:uid="{5312FCED-8D4C-4605-8C06-8CCE0099F133}"/>
    <cellStyle name="20% - Énfasis6 2 5 3" xfId="19347" xr:uid="{D825AA51-7FFA-4743-B134-C2F9AB0F46DA}"/>
    <cellStyle name="20% - Énfasis6 2 5 3 2" xfId="39642" xr:uid="{2DFAE16A-76D3-4573-A71E-E5BE7DF7F52C}"/>
    <cellStyle name="20% - Énfasis6 2 5 4" xfId="39639" xr:uid="{F3ACC691-0953-436A-AB3F-25B73A9AA1DA}"/>
    <cellStyle name="20% - Énfasis6 2 6" xfId="7936" xr:uid="{EFB3A1E9-1194-4FCB-99B2-31C26980FCC8}"/>
    <cellStyle name="20% - Énfasis6 2 6 2" xfId="23349" xr:uid="{CA5529D5-113A-4143-9B65-C8125ADBB2A1}"/>
    <cellStyle name="20% - Énfasis6 2 6 2 2" xfId="39644" xr:uid="{392403B0-FE9C-4D6A-A46C-7A1BC1F0B116}"/>
    <cellStyle name="20% - Énfasis6 2 6 3" xfId="39643" xr:uid="{201F6FF1-939B-4585-B35E-89FCB616ABDD}"/>
    <cellStyle name="20% - Énfasis6 2 7" xfId="15644" xr:uid="{B9DBB4D3-27BD-40A5-B23C-C352329E3A72}"/>
    <cellStyle name="20% - Énfasis6 2 7 2" xfId="39645" xr:uid="{314AD9C3-CD33-4D08-B81C-D3BFF51EDCCB}"/>
    <cellStyle name="20% - Énfasis6 2 8" xfId="39582" xr:uid="{412D0D00-2EDC-4996-A5AF-4BE890BAED58}"/>
    <cellStyle name="20% - Énfasis6 20" xfId="1445" xr:uid="{A5FA381D-F491-42D3-BCF6-B916D41B0F22}"/>
    <cellStyle name="20% - Énfasis6 20 2" xfId="2910" xr:uid="{96A8E88C-9E84-41C2-91E6-53C9D12A485F}"/>
    <cellStyle name="20% - Énfasis6 20 2 2" xfId="6642" xr:uid="{289258B2-525D-4AD8-BC92-43718898AE25}"/>
    <cellStyle name="20% - Énfasis6 20 2 2 2" xfId="14350" xr:uid="{743AEADA-6538-4FE5-B6E4-60EB1EE908E4}"/>
    <cellStyle name="20% - Énfasis6 20 2 2 2 2" xfId="29762" xr:uid="{CC2092C5-15D2-419E-A1B0-04B961F48E0B}"/>
    <cellStyle name="20% - Énfasis6 20 2 2 2 2 2" xfId="39650" xr:uid="{BAF59571-F28E-4BA3-95AE-F3C1C37CC283}"/>
    <cellStyle name="20% - Énfasis6 20 2 2 2 3" xfId="39649" xr:uid="{85352E89-B97C-448C-B9B8-F35FF7521EA4}"/>
    <cellStyle name="20% - Énfasis6 20 2 2 3" xfId="22057" xr:uid="{D5E3BEEA-B372-4FC0-BCCB-D1A157934F10}"/>
    <cellStyle name="20% - Énfasis6 20 2 2 3 2" xfId="39651" xr:uid="{98E6C004-4286-440D-A3FA-3B58A2CB7D31}"/>
    <cellStyle name="20% - Énfasis6 20 2 2 4" xfId="39648" xr:uid="{FC8F1B64-AC38-4434-818C-591A8B011F3F}"/>
    <cellStyle name="20% - Énfasis6 20 2 3" xfId="10621" xr:uid="{9E742B97-AFE3-438E-9EB4-D5C2E120BE10}"/>
    <cellStyle name="20% - Énfasis6 20 2 3 2" xfId="26034" xr:uid="{8AB51C34-1119-4D31-8A4F-DD199B9A5AB7}"/>
    <cellStyle name="20% - Énfasis6 20 2 3 2 2" xfId="39653" xr:uid="{BDFDFD72-569E-4E39-BA01-00685C762E48}"/>
    <cellStyle name="20% - Énfasis6 20 2 3 3" xfId="39652" xr:uid="{C38B60B7-4DA4-4FB3-86D0-D6049DC2D357}"/>
    <cellStyle name="20% - Énfasis6 20 2 4" xfId="18329" xr:uid="{2E46F5C7-009F-4DE0-978A-414ABB1354EA}"/>
    <cellStyle name="20% - Énfasis6 20 2 4 2" xfId="39654" xr:uid="{71FDB852-F169-4FB4-9AE5-815FF2D99783}"/>
    <cellStyle name="20% - Énfasis6 20 2 5" xfId="39647" xr:uid="{673202BE-6C49-4568-A610-8E4E5AF3CF6E}"/>
    <cellStyle name="20% - Énfasis6 20 3" xfId="5181" xr:uid="{397D98F8-B829-4350-8020-E76A0E3273EC}"/>
    <cellStyle name="20% - Énfasis6 20 3 2" xfId="12889" xr:uid="{43CB4904-5F89-471A-866C-644FE61BB935}"/>
    <cellStyle name="20% - Énfasis6 20 3 2 2" xfId="28301" xr:uid="{AD7A2D16-74B0-411A-B8A0-4C89FAF851B9}"/>
    <cellStyle name="20% - Énfasis6 20 3 2 2 2" xfId="39657" xr:uid="{25C74114-B083-4BBE-9988-862A899EF1E5}"/>
    <cellStyle name="20% - Énfasis6 20 3 2 3" xfId="39656" xr:uid="{3CFA6BD0-3CDA-4053-97FA-AF6CF8661F6F}"/>
    <cellStyle name="20% - Énfasis6 20 3 3" xfId="20596" xr:uid="{FA7F3D83-062F-4223-89C0-6AB9B9A2C549}"/>
    <cellStyle name="20% - Énfasis6 20 3 3 2" xfId="39658" xr:uid="{5B22628D-3E24-4A4F-A4B9-29C4F5A1F8CA}"/>
    <cellStyle name="20% - Énfasis6 20 3 4" xfId="39655" xr:uid="{CAEA87C6-BBCE-4499-B53A-970730CF9F97}"/>
    <cellStyle name="20% - Énfasis6 20 4" xfId="9162" xr:uid="{DC8F9114-5EE5-4D4B-8E29-33CF86FF2D9A}"/>
    <cellStyle name="20% - Énfasis6 20 4 2" xfId="24575" xr:uid="{A333D251-9941-4B84-8457-7F9F7DEA8458}"/>
    <cellStyle name="20% - Énfasis6 20 4 2 2" xfId="39660" xr:uid="{B2C16770-9B86-48B5-B79F-102E908D78C5}"/>
    <cellStyle name="20% - Énfasis6 20 4 3" xfId="39659" xr:uid="{A8B232A2-3F8F-46FF-A87A-C1BF64F1D2AE}"/>
    <cellStyle name="20% - Énfasis6 20 5" xfId="16870" xr:uid="{86025121-B379-488A-BAAD-F2E390882DA5}"/>
    <cellStyle name="20% - Énfasis6 20 5 2" xfId="39661" xr:uid="{1321ABA4-736E-4BA7-A512-73B039657D1B}"/>
    <cellStyle name="20% - Énfasis6 20 6" xfId="39646" xr:uid="{C232F6C0-7A4D-4469-B957-B96E6347A147}"/>
    <cellStyle name="20% - Énfasis6 21" xfId="1465" xr:uid="{44C5155C-D103-45C3-B9F7-D9B18D58D6B6}"/>
    <cellStyle name="20% - Énfasis6 21 2" xfId="2930" xr:uid="{FC95C9FD-A5F4-4438-9DDA-6CFB34C4C5A7}"/>
    <cellStyle name="20% - Énfasis6 21 2 2" xfId="6662" xr:uid="{518DBF24-D1E7-4466-B139-6EDD0F867D79}"/>
    <cellStyle name="20% - Énfasis6 21 2 2 2" xfId="14370" xr:uid="{1687A4E4-D8A3-4A24-BF4E-E2833A048CC6}"/>
    <cellStyle name="20% - Énfasis6 21 2 2 2 2" xfId="29782" xr:uid="{A0DC1F5B-5F0B-4AF5-9F28-5874132789FA}"/>
    <cellStyle name="20% - Énfasis6 21 2 2 2 2 2" xfId="39666" xr:uid="{A4B3FBC4-9C9C-4EDD-9A50-877A65195219}"/>
    <cellStyle name="20% - Énfasis6 21 2 2 2 3" xfId="39665" xr:uid="{C03F01B2-5160-43FD-BAB6-E3C316397C1E}"/>
    <cellStyle name="20% - Énfasis6 21 2 2 3" xfId="22077" xr:uid="{A257F482-8C99-45F8-A1AE-9DB48D08FB0A}"/>
    <cellStyle name="20% - Énfasis6 21 2 2 3 2" xfId="39667" xr:uid="{02C3528A-7F33-49BC-A4FD-DE904072801F}"/>
    <cellStyle name="20% - Énfasis6 21 2 2 4" xfId="39664" xr:uid="{21FAF590-8EB5-4B79-9DC6-84FE8212BEAD}"/>
    <cellStyle name="20% - Énfasis6 21 2 3" xfId="10641" xr:uid="{B1CA3EF8-EC46-4CDA-84D9-6317FF8D52D5}"/>
    <cellStyle name="20% - Énfasis6 21 2 3 2" xfId="26054" xr:uid="{F68068D2-7FB0-4A32-8630-EAF03BE1AEDB}"/>
    <cellStyle name="20% - Énfasis6 21 2 3 2 2" xfId="39669" xr:uid="{7D3AA9B9-B78C-4F28-9360-9F5C1C292419}"/>
    <cellStyle name="20% - Énfasis6 21 2 3 3" xfId="39668" xr:uid="{FA81923A-F5D5-40AF-8B4A-1C0BF0CF8311}"/>
    <cellStyle name="20% - Énfasis6 21 2 4" xfId="18349" xr:uid="{9540107D-DD47-400D-AE65-C8BBC0868DF2}"/>
    <cellStyle name="20% - Énfasis6 21 2 4 2" xfId="39670" xr:uid="{66D605F6-ADEE-44CC-ACCE-3BC851B1B413}"/>
    <cellStyle name="20% - Énfasis6 21 2 5" xfId="39663" xr:uid="{5B8E6EA1-0CB4-4572-A274-9F62E01176CD}"/>
    <cellStyle name="20% - Énfasis6 21 3" xfId="5201" xr:uid="{31D06778-4134-40C4-8532-571BA2DFC853}"/>
    <cellStyle name="20% - Énfasis6 21 3 2" xfId="12909" xr:uid="{27558402-8004-418F-9519-A6B4961AE1E7}"/>
    <cellStyle name="20% - Énfasis6 21 3 2 2" xfId="28321" xr:uid="{8A60C5FC-242F-477A-9A77-9A86C4212C81}"/>
    <cellStyle name="20% - Énfasis6 21 3 2 2 2" xfId="39673" xr:uid="{7B3F5F8A-2837-4830-96DC-C6D0AFB5A8FF}"/>
    <cellStyle name="20% - Énfasis6 21 3 2 3" xfId="39672" xr:uid="{A5CAB53A-0334-45C4-939A-7481BFDC6624}"/>
    <cellStyle name="20% - Énfasis6 21 3 3" xfId="20616" xr:uid="{E69CE56F-A4D5-44C6-B068-9274466CF35C}"/>
    <cellStyle name="20% - Énfasis6 21 3 3 2" xfId="39674" xr:uid="{84E9B66C-1731-438A-80BB-4CC0E8C21486}"/>
    <cellStyle name="20% - Énfasis6 21 3 4" xfId="39671" xr:uid="{924D61D2-0134-4B60-BBC1-79498F11A385}"/>
    <cellStyle name="20% - Énfasis6 21 4" xfId="9182" xr:uid="{974B5050-4093-4612-B66A-6BA9221A5ABB}"/>
    <cellStyle name="20% - Énfasis6 21 4 2" xfId="24595" xr:uid="{1AE0DF44-2E7E-4B6D-A9F9-5CF904097D19}"/>
    <cellStyle name="20% - Énfasis6 21 4 2 2" xfId="39676" xr:uid="{836AAB20-0604-4B93-9F7C-782F669E0A1A}"/>
    <cellStyle name="20% - Énfasis6 21 4 3" xfId="39675" xr:uid="{B843BB39-93AD-4D92-AE1B-FD153C3B055A}"/>
    <cellStyle name="20% - Énfasis6 21 5" xfId="16890" xr:uid="{21C3EC82-3F95-430F-8B06-D041935755F7}"/>
    <cellStyle name="20% - Énfasis6 21 5 2" xfId="39677" xr:uid="{17EE0456-C592-43BD-9E82-CD7EFE41BC88}"/>
    <cellStyle name="20% - Énfasis6 21 6" xfId="39662" xr:uid="{2A9F09AF-C50E-4B19-86BE-95A8000DD8C2}"/>
    <cellStyle name="20% - Énfasis6 22" xfId="1485" xr:uid="{DC0475F4-5518-4EE9-91F2-7702D59D71BE}"/>
    <cellStyle name="20% - Énfasis6 22 2" xfId="2950" xr:uid="{53FFF339-6D8A-47C5-A3EC-D2131E26B0B6}"/>
    <cellStyle name="20% - Énfasis6 22 2 2" xfId="6682" xr:uid="{E8B7975A-EA9C-4CCA-83DB-623312F1DA62}"/>
    <cellStyle name="20% - Énfasis6 22 2 2 2" xfId="14390" xr:uid="{63A45902-E039-40B1-BAD6-601FE583E7A4}"/>
    <cellStyle name="20% - Énfasis6 22 2 2 2 2" xfId="29802" xr:uid="{E91F6AFB-7F56-4326-897C-0E34A814D223}"/>
    <cellStyle name="20% - Énfasis6 22 2 2 2 2 2" xfId="39682" xr:uid="{904B14D7-5F36-466E-A092-D30960250F4B}"/>
    <cellStyle name="20% - Énfasis6 22 2 2 2 3" xfId="39681" xr:uid="{8B766D5B-E04F-4D9C-8717-DE7492FE3D67}"/>
    <cellStyle name="20% - Énfasis6 22 2 2 3" xfId="22097" xr:uid="{F4140091-E7F4-46A8-BA4C-83D74A080B08}"/>
    <cellStyle name="20% - Énfasis6 22 2 2 3 2" xfId="39683" xr:uid="{AB2FBFD0-31A0-4625-B8E2-FC0B4EDEA1ED}"/>
    <cellStyle name="20% - Énfasis6 22 2 2 4" xfId="39680" xr:uid="{EA22E22C-7964-4972-B1AB-B0A509A329D1}"/>
    <cellStyle name="20% - Énfasis6 22 2 3" xfId="10661" xr:uid="{7067AD95-21E1-4238-8490-02674E69A542}"/>
    <cellStyle name="20% - Énfasis6 22 2 3 2" xfId="26074" xr:uid="{BA0D2FB1-D273-4663-871B-1EB2C0703733}"/>
    <cellStyle name="20% - Énfasis6 22 2 3 2 2" xfId="39685" xr:uid="{84D000B2-ED96-4818-B7B8-EAF935957571}"/>
    <cellStyle name="20% - Énfasis6 22 2 3 3" xfId="39684" xr:uid="{57FF6783-7A3A-4BD6-A102-841D79DC1A41}"/>
    <cellStyle name="20% - Énfasis6 22 2 4" xfId="18369" xr:uid="{0752F1DF-63A3-4E91-92C7-0E1C3879FA7F}"/>
    <cellStyle name="20% - Énfasis6 22 2 4 2" xfId="39686" xr:uid="{487D6DC4-0F85-4BB0-B1A7-64397639B891}"/>
    <cellStyle name="20% - Énfasis6 22 2 5" xfId="39679" xr:uid="{E084585D-06E8-4B59-9958-A8D5608E4BA0}"/>
    <cellStyle name="20% - Énfasis6 22 3" xfId="5221" xr:uid="{DFE203C7-A7DE-4792-B95E-5BD684D4D25E}"/>
    <cellStyle name="20% - Énfasis6 22 3 2" xfId="12929" xr:uid="{A8C940FD-D2F9-435F-A121-F8AFA347AF19}"/>
    <cellStyle name="20% - Énfasis6 22 3 2 2" xfId="28341" xr:uid="{783E178A-975C-45D1-8FDB-CB3A32B305C3}"/>
    <cellStyle name="20% - Énfasis6 22 3 2 2 2" xfId="39689" xr:uid="{3C87FA4D-33AE-4D5A-B9E5-A060900E43EE}"/>
    <cellStyle name="20% - Énfasis6 22 3 2 3" xfId="39688" xr:uid="{39447F47-1FDB-4025-918C-5F7E0B68ACF8}"/>
    <cellStyle name="20% - Énfasis6 22 3 3" xfId="20636" xr:uid="{28264FF3-48AA-426D-AB34-52DA6E854A0F}"/>
    <cellStyle name="20% - Énfasis6 22 3 3 2" xfId="39690" xr:uid="{CD4DD841-1691-444F-8537-3026BEE8F369}"/>
    <cellStyle name="20% - Énfasis6 22 3 4" xfId="39687" xr:uid="{FAB4A37D-39CA-4506-93F8-D674486999F3}"/>
    <cellStyle name="20% - Énfasis6 22 4" xfId="9202" xr:uid="{F79D82C7-A5D8-4658-A612-610CC17FE557}"/>
    <cellStyle name="20% - Énfasis6 22 4 2" xfId="24615" xr:uid="{2DB2CFD0-127B-4250-9F77-BC0FC71530B7}"/>
    <cellStyle name="20% - Énfasis6 22 4 2 2" xfId="39692" xr:uid="{5C50A8C0-4FCE-481F-91A0-958BCAEE249D}"/>
    <cellStyle name="20% - Énfasis6 22 4 3" xfId="39691" xr:uid="{E9B0371A-39D4-4014-A490-49447C73EAA1}"/>
    <cellStyle name="20% - Énfasis6 22 5" xfId="16910" xr:uid="{F77D400A-F6E2-482C-85AD-B5AE84CFA514}"/>
    <cellStyle name="20% - Énfasis6 22 5 2" xfId="39693" xr:uid="{250DC3F6-4650-46A1-9279-944EAAC40A80}"/>
    <cellStyle name="20% - Énfasis6 22 6" xfId="39678" xr:uid="{6C0EDB88-306B-4170-8A7E-2BD55FBE23F0}"/>
    <cellStyle name="20% - Énfasis6 23" xfId="1505" xr:uid="{61EF9820-CFA2-4DE5-85A4-4003EA0D4075}"/>
    <cellStyle name="20% - Énfasis6 23 2" xfId="2970" xr:uid="{DB30DD7F-0F88-4052-B4E1-C8EE5337E899}"/>
    <cellStyle name="20% - Énfasis6 23 2 2" xfId="6702" xr:uid="{04DC3351-05B0-4A64-A0E6-9BDF72618A04}"/>
    <cellStyle name="20% - Énfasis6 23 2 2 2" xfId="14410" xr:uid="{DA685B3E-90C4-4D95-9FEA-62BCE0D1C316}"/>
    <cellStyle name="20% - Énfasis6 23 2 2 2 2" xfId="29822" xr:uid="{160B4C1F-7111-4421-BEE6-8395307E45B5}"/>
    <cellStyle name="20% - Énfasis6 23 2 2 2 2 2" xfId="39698" xr:uid="{2FF2BF5B-4F73-4051-8977-41C3F175AD5D}"/>
    <cellStyle name="20% - Énfasis6 23 2 2 2 3" xfId="39697" xr:uid="{9EDC949B-9C82-4CCC-BECC-1CD37E86664E}"/>
    <cellStyle name="20% - Énfasis6 23 2 2 3" xfId="22117" xr:uid="{1B04D82B-9E81-417A-9C83-85938B4716CB}"/>
    <cellStyle name="20% - Énfasis6 23 2 2 3 2" xfId="39699" xr:uid="{BBC55882-5115-4AE7-96DE-AE422FDF8120}"/>
    <cellStyle name="20% - Énfasis6 23 2 2 4" xfId="39696" xr:uid="{BBEF2F76-4609-4C5E-8FCA-376682E36088}"/>
    <cellStyle name="20% - Énfasis6 23 2 3" xfId="10681" xr:uid="{4DFE7B48-9097-4007-A372-729325695AD0}"/>
    <cellStyle name="20% - Énfasis6 23 2 3 2" xfId="26094" xr:uid="{F38F1A8C-BD23-4923-93F6-B9C1A8E4751C}"/>
    <cellStyle name="20% - Énfasis6 23 2 3 2 2" xfId="39701" xr:uid="{F0DF4D38-D781-4E6E-AC64-31977C5CB22E}"/>
    <cellStyle name="20% - Énfasis6 23 2 3 3" xfId="39700" xr:uid="{0E5C2597-1B6F-430F-AD35-252BE3056782}"/>
    <cellStyle name="20% - Énfasis6 23 2 4" xfId="18389" xr:uid="{3D1278A8-F1C4-4207-9683-C3C2D39AB598}"/>
    <cellStyle name="20% - Énfasis6 23 2 4 2" xfId="39702" xr:uid="{51C960EC-6245-487E-B4D8-A3046FEDF5F6}"/>
    <cellStyle name="20% - Énfasis6 23 2 5" xfId="39695" xr:uid="{64EB8391-A9D7-4F4F-A054-8916D7DF2D51}"/>
    <cellStyle name="20% - Énfasis6 23 3" xfId="5241" xr:uid="{BBF2DD70-2942-4154-87C0-232658E6B555}"/>
    <cellStyle name="20% - Énfasis6 23 3 2" xfId="12949" xr:uid="{B125FA81-FC20-4701-8C4D-1AD1477491D4}"/>
    <cellStyle name="20% - Énfasis6 23 3 2 2" xfId="28361" xr:uid="{38EF2DC5-9351-47C8-9688-7853EC5F8C91}"/>
    <cellStyle name="20% - Énfasis6 23 3 2 2 2" xfId="39705" xr:uid="{6A5DE8E8-C45C-41C3-B389-73CA2CDFAEB8}"/>
    <cellStyle name="20% - Énfasis6 23 3 2 3" xfId="39704" xr:uid="{761CBDD8-48EB-48C2-A108-3D6867C38755}"/>
    <cellStyle name="20% - Énfasis6 23 3 3" xfId="20656" xr:uid="{19694041-9A40-4A2F-BF79-CFFBFD10C9D3}"/>
    <cellStyle name="20% - Énfasis6 23 3 3 2" xfId="39706" xr:uid="{A9449A2A-BCBF-4ADD-9562-DF3CB780C180}"/>
    <cellStyle name="20% - Énfasis6 23 3 4" xfId="39703" xr:uid="{FE7ADD65-284E-4459-9611-87242B378510}"/>
    <cellStyle name="20% - Énfasis6 23 4" xfId="9222" xr:uid="{AE81100C-0014-4DC8-B01E-32FDC78C5329}"/>
    <cellStyle name="20% - Énfasis6 23 4 2" xfId="24635" xr:uid="{A29FF374-BA62-4F76-8731-ECAD80A8F130}"/>
    <cellStyle name="20% - Énfasis6 23 4 2 2" xfId="39708" xr:uid="{46257781-A348-4F03-BDB3-0BD61741F556}"/>
    <cellStyle name="20% - Énfasis6 23 4 3" xfId="39707" xr:uid="{94F40AF2-FF14-4776-943D-EF47427BF54F}"/>
    <cellStyle name="20% - Énfasis6 23 5" xfId="16930" xr:uid="{7E959CC9-04BD-4293-A269-E38734DB5962}"/>
    <cellStyle name="20% - Énfasis6 23 5 2" xfId="39709" xr:uid="{02D85DCF-E985-456E-BA8F-292DFA32B0FF}"/>
    <cellStyle name="20% - Énfasis6 23 6" xfId="39694" xr:uid="{74457476-ADA6-4726-BA9D-A0F55ACA1AD0}"/>
    <cellStyle name="20% - Énfasis6 24" xfId="1525" xr:uid="{4244BC98-F521-43C2-AAC7-F785A458F2D9}"/>
    <cellStyle name="20% - Énfasis6 24 2" xfId="2990" xr:uid="{C069EFAE-6489-4A48-97E2-488B4BFC4EC0}"/>
    <cellStyle name="20% - Énfasis6 24 2 2" xfId="6722" xr:uid="{67740104-7A4A-4896-BA99-4AAB4706040B}"/>
    <cellStyle name="20% - Énfasis6 24 2 2 2" xfId="14430" xr:uid="{E6E2C0DB-D508-42CE-B43D-6AF4879BFD4B}"/>
    <cellStyle name="20% - Énfasis6 24 2 2 2 2" xfId="29842" xr:uid="{C31E9474-38A3-426E-B689-A2B857A51C7B}"/>
    <cellStyle name="20% - Énfasis6 24 2 2 2 2 2" xfId="39714" xr:uid="{4405F7E2-5C41-480A-BF73-83C85E0003F4}"/>
    <cellStyle name="20% - Énfasis6 24 2 2 2 3" xfId="39713" xr:uid="{B3F26325-26DF-42A3-BB2A-1459385CFFF2}"/>
    <cellStyle name="20% - Énfasis6 24 2 2 3" xfId="22137" xr:uid="{3081E032-7F50-4E34-9C21-B62F1744848E}"/>
    <cellStyle name="20% - Énfasis6 24 2 2 3 2" xfId="39715" xr:uid="{070C6335-1010-4581-80A9-3C25CB41AFEA}"/>
    <cellStyle name="20% - Énfasis6 24 2 2 4" xfId="39712" xr:uid="{BA4A4D4D-AF20-428B-B379-3FC5A567D9EC}"/>
    <cellStyle name="20% - Énfasis6 24 2 3" xfId="10701" xr:uid="{A4D9EA0C-4F08-4D5E-80A8-61BD04D97579}"/>
    <cellStyle name="20% - Énfasis6 24 2 3 2" xfId="26114" xr:uid="{43623D84-54C5-434B-B23A-291BBB4F86BA}"/>
    <cellStyle name="20% - Énfasis6 24 2 3 2 2" xfId="39717" xr:uid="{D2980114-9F82-4824-9223-3EEE1BEB313C}"/>
    <cellStyle name="20% - Énfasis6 24 2 3 3" xfId="39716" xr:uid="{A8578BC2-C9F9-423C-A6C9-9DB19A8F8736}"/>
    <cellStyle name="20% - Énfasis6 24 2 4" xfId="18409" xr:uid="{6B8FF26C-F31C-4889-879D-FF0CAAC31266}"/>
    <cellStyle name="20% - Énfasis6 24 2 4 2" xfId="39718" xr:uid="{F1594961-4ECF-48AF-9573-DC921D79C81F}"/>
    <cellStyle name="20% - Énfasis6 24 2 5" xfId="39711" xr:uid="{F0064CA4-A124-4C3F-85B1-21836E560BCC}"/>
    <cellStyle name="20% - Énfasis6 24 3" xfId="5261" xr:uid="{59EE450A-8017-44C2-8464-81A86753CF84}"/>
    <cellStyle name="20% - Énfasis6 24 3 2" xfId="12969" xr:uid="{AFA24FE5-8B3C-4C42-B4F2-1289B8A62058}"/>
    <cellStyle name="20% - Énfasis6 24 3 2 2" xfId="28381" xr:uid="{87954E1D-5485-42C9-8838-7D88439B8AB6}"/>
    <cellStyle name="20% - Énfasis6 24 3 2 2 2" xfId="39721" xr:uid="{C402A156-7366-4BA4-AA53-7F842E426DC6}"/>
    <cellStyle name="20% - Énfasis6 24 3 2 3" xfId="39720" xr:uid="{8809F844-D39A-4F7E-8789-FA8522E36593}"/>
    <cellStyle name="20% - Énfasis6 24 3 3" xfId="20676" xr:uid="{579AD69D-8EA6-4384-889E-21D9294BFDA4}"/>
    <cellStyle name="20% - Énfasis6 24 3 3 2" xfId="39722" xr:uid="{1F6F3DFF-AE83-4CD1-BA98-8593344FF84A}"/>
    <cellStyle name="20% - Énfasis6 24 3 4" xfId="39719" xr:uid="{C2F63D93-5DC6-4BA6-B249-1CFFC9970FB3}"/>
    <cellStyle name="20% - Énfasis6 24 4" xfId="9242" xr:uid="{37C0D4A4-2211-4E82-8B6F-B6F020CA8231}"/>
    <cellStyle name="20% - Énfasis6 24 4 2" xfId="24655" xr:uid="{B9CE6023-4D40-4A09-9F69-2F3C9930B203}"/>
    <cellStyle name="20% - Énfasis6 24 4 2 2" xfId="39724" xr:uid="{72BC93F6-5AF7-4480-8E34-1C90A16D33DD}"/>
    <cellStyle name="20% - Énfasis6 24 4 3" xfId="39723" xr:uid="{81978192-CD96-4338-93B3-50A0BF22255D}"/>
    <cellStyle name="20% - Énfasis6 24 5" xfId="16950" xr:uid="{FA56596B-FD10-47D6-94BE-763494F52934}"/>
    <cellStyle name="20% - Énfasis6 24 5 2" xfId="39725" xr:uid="{69443DAB-D8CF-4F3A-BF18-33D9B30342B1}"/>
    <cellStyle name="20% - Énfasis6 24 6" xfId="39710" xr:uid="{DDC37BD9-458F-42E5-BF33-F90A13800E7F}"/>
    <cellStyle name="20% - Énfasis6 25" xfId="1545" xr:uid="{29631A9B-EC49-4DC7-B558-963ACABC722D}"/>
    <cellStyle name="20% - Énfasis6 25 2" xfId="3010" xr:uid="{BC4A9BD6-BB2F-40CE-9910-17F8DBFC64B0}"/>
    <cellStyle name="20% - Énfasis6 25 2 2" xfId="6742" xr:uid="{033B88FA-2F7E-429A-8D0D-2AB832C203AA}"/>
    <cellStyle name="20% - Énfasis6 25 2 2 2" xfId="14450" xr:uid="{9417CFB0-D44E-43F9-8C78-8C6BCD44F544}"/>
    <cellStyle name="20% - Énfasis6 25 2 2 2 2" xfId="29862" xr:uid="{2D254D52-71D2-4345-9E91-D7B248935546}"/>
    <cellStyle name="20% - Énfasis6 25 2 2 2 2 2" xfId="39730" xr:uid="{D1CF8F84-C168-49D8-8C5B-29A625AC927B}"/>
    <cellStyle name="20% - Énfasis6 25 2 2 2 3" xfId="39729" xr:uid="{05241B75-69CB-4444-BDDC-CFDD50824061}"/>
    <cellStyle name="20% - Énfasis6 25 2 2 3" xfId="22157" xr:uid="{9A1F5E75-77D9-4F2F-A6F0-089EB8DF9EA5}"/>
    <cellStyle name="20% - Énfasis6 25 2 2 3 2" xfId="39731" xr:uid="{186E4AD0-35F9-487E-9AB7-315D978F5E62}"/>
    <cellStyle name="20% - Énfasis6 25 2 2 4" xfId="39728" xr:uid="{5AF15B36-9127-44E2-9D5A-C74B838B08B7}"/>
    <cellStyle name="20% - Énfasis6 25 2 3" xfId="10721" xr:uid="{490F6EE2-FF27-410F-92BC-3E93E5DE54B6}"/>
    <cellStyle name="20% - Énfasis6 25 2 3 2" xfId="26134" xr:uid="{1A62B979-51B4-4FDE-83C7-AA2F824D1B9D}"/>
    <cellStyle name="20% - Énfasis6 25 2 3 2 2" xfId="39733" xr:uid="{D84E8004-B5AE-466F-9FDC-23BF2046CB16}"/>
    <cellStyle name="20% - Énfasis6 25 2 3 3" xfId="39732" xr:uid="{43A4BAE8-1C97-430A-9D31-DE484B7B22A0}"/>
    <cellStyle name="20% - Énfasis6 25 2 4" xfId="18429" xr:uid="{FACC9F00-9B2C-4CBB-B6C0-1F88F4182FA4}"/>
    <cellStyle name="20% - Énfasis6 25 2 4 2" xfId="39734" xr:uid="{1F871552-4066-4F4B-8CF4-36A849B79D59}"/>
    <cellStyle name="20% - Énfasis6 25 2 5" xfId="39727" xr:uid="{F27B3802-14AB-4BEC-9A79-4CCC24102258}"/>
    <cellStyle name="20% - Énfasis6 25 3" xfId="5281" xr:uid="{7E8C7EF0-05C2-499C-A4FC-DEF578FFD2AD}"/>
    <cellStyle name="20% - Énfasis6 25 3 2" xfId="12989" xr:uid="{748A1655-9EA4-4DF0-AEF6-D101C5E8F5DB}"/>
    <cellStyle name="20% - Énfasis6 25 3 2 2" xfId="28401" xr:uid="{C53E1C42-B947-4167-881F-28006F9DB68C}"/>
    <cellStyle name="20% - Énfasis6 25 3 2 2 2" xfId="39737" xr:uid="{D50F91FC-3D16-4C8A-8B0A-89747EE20971}"/>
    <cellStyle name="20% - Énfasis6 25 3 2 3" xfId="39736" xr:uid="{9B9A4E76-54AA-4CFB-AA60-19A771AB9364}"/>
    <cellStyle name="20% - Énfasis6 25 3 3" xfId="20696" xr:uid="{F17C98AC-59C1-40B8-A843-12EC5B031575}"/>
    <cellStyle name="20% - Énfasis6 25 3 3 2" xfId="39738" xr:uid="{3C4BA87C-E044-4F11-8AA9-2EADBE1F1DFC}"/>
    <cellStyle name="20% - Énfasis6 25 3 4" xfId="39735" xr:uid="{FDC720B0-BF75-4078-8614-C403FD5ECFA8}"/>
    <cellStyle name="20% - Énfasis6 25 4" xfId="9262" xr:uid="{DA54C511-5549-4C59-9982-5271510E61C5}"/>
    <cellStyle name="20% - Énfasis6 25 4 2" xfId="24675" xr:uid="{0FE6B369-9FBE-42AE-A60A-6F52861E8084}"/>
    <cellStyle name="20% - Énfasis6 25 4 2 2" xfId="39740" xr:uid="{A873F2EF-698D-4B94-900F-352B976E19FB}"/>
    <cellStyle name="20% - Énfasis6 25 4 3" xfId="39739" xr:uid="{6FCE23A5-7EC2-436F-B7E0-82CAC50C54E8}"/>
    <cellStyle name="20% - Énfasis6 25 5" xfId="16970" xr:uid="{B386BEA1-376D-4BB6-875C-FCBA5E9B3D19}"/>
    <cellStyle name="20% - Énfasis6 25 5 2" xfId="39741" xr:uid="{DD852498-DBB9-48AB-AD14-77F0CB9FFFAC}"/>
    <cellStyle name="20% - Énfasis6 25 6" xfId="39726" xr:uid="{16E7164B-9918-4982-AB06-5A843577C567}"/>
    <cellStyle name="20% - Énfasis6 26" xfId="1565" xr:uid="{F1FA98D3-AFF5-4B21-B762-8FD94B04E1DB}"/>
    <cellStyle name="20% - Énfasis6 26 2" xfId="3030" xr:uid="{546CB828-FFFD-4612-9680-E9D238237DCD}"/>
    <cellStyle name="20% - Énfasis6 26 2 2" xfId="6762" xr:uid="{06C4FCA0-9EF3-468F-B02B-FAE67B948D26}"/>
    <cellStyle name="20% - Énfasis6 26 2 2 2" xfId="14470" xr:uid="{82C712C6-033A-4299-B4B0-9FF64BA33D87}"/>
    <cellStyle name="20% - Énfasis6 26 2 2 2 2" xfId="29882" xr:uid="{A13F8465-AEE3-45EE-8E04-A5EF191D93E8}"/>
    <cellStyle name="20% - Énfasis6 26 2 2 2 2 2" xfId="39746" xr:uid="{4D6C631F-1C55-4971-86C0-956D882A7046}"/>
    <cellStyle name="20% - Énfasis6 26 2 2 2 3" xfId="39745" xr:uid="{FBD20BF3-D288-49C0-A9D5-79C3BB316721}"/>
    <cellStyle name="20% - Énfasis6 26 2 2 3" xfId="22177" xr:uid="{7ADA3AA8-D0FD-47BC-BE91-1C2836F2EF2F}"/>
    <cellStyle name="20% - Énfasis6 26 2 2 3 2" xfId="39747" xr:uid="{C0C1EAD3-9DAD-4847-BAF5-5FE85EDD9B1B}"/>
    <cellStyle name="20% - Énfasis6 26 2 2 4" xfId="39744" xr:uid="{ED3EBEEE-AE88-4156-A8E9-51DC2A29B9B6}"/>
    <cellStyle name="20% - Énfasis6 26 2 3" xfId="10741" xr:uid="{173DC8AF-E3B2-4CD7-BA95-4B446A766D37}"/>
    <cellStyle name="20% - Énfasis6 26 2 3 2" xfId="26154" xr:uid="{F1D238C4-D0B0-49F2-AB5C-4C00995E5F06}"/>
    <cellStyle name="20% - Énfasis6 26 2 3 2 2" xfId="39749" xr:uid="{CB89FEAA-D79D-429A-917C-2F71E5AB6F9D}"/>
    <cellStyle name="20% - Énfasis6 26 2 3 3" xfId="39748" xr:uid="{6058ABE4-EC82-4ABC-8FE5-E513EC25E67C}"/>
    <cellStyle name="20% - Énfasis6 26 2 4" xfId="18449" xr:uid="{6BFC7991-0962-4032-B978-CB2DF97B491C}"/>
    <cellStyle name="20% - Énfasis6 26 2 4 2" xfId="39750" xr:uid="{E69207AE-8A55-4F14-A12A-2761B4EC66E7}"/>
    <cellStyle name="20% - Énfasis6 26 2 5" xfId="39743" xr:uid="{8548AFBF-D028-4A3F-BCAA-0C8DF8236812}"/>
    <cellStyle name="20% - Énfasis6 26 3" xfId="5301" xr:uid="{D99E6DC4-47CE-466D-95CA-6C40281BB502}"/>
    <cellStyle name="20% - Énfasis6 26 3 2" xfId="13009" xr:uid="{F6AB5418-F7E5-4D7F-B75E-5633FACC90A1}"/>
    <cellStyle name="20% - Énfasis6 26 3 2 2" xfId="28421" xr:uid="{BDF409D2-04DA-417C-A0EA-04A29D4C8D9E}"/>
    <cellStyle name="20% - Énfasis6 26 3 2 2 2" xfId="39753" xr:uid="{AC4F6D4C-E2DB-4D0E-8B63-B72BA7513B4D}"/>
    <cellStyle name="20% - Énfasis6 26 3 2 3" xfId="39752" xr:uid="{87B5AECA-20E4-439E-ACA2-2EE5FE2B50DA}"/>
    <cellStyle name="20% - Énfasis6 26 3 3" xfId="20716" xr:uid="{75045BEB-FC6F-4923-A24E-97B25E6631D9}"/>
    <cellStyle name="20% - Énfasis6 26 3 3 2" xfId="39754" xr:uid="{089B6C9B-ACAE-47E3-BD96-04C6280AEE6F}"/>
    <cellStyle name="20% - Énfasis6 26 3 4" xfId="39751" xr:uid="{0F480586-717A-4B96-954A-53800DC06544}"/>
    <cellStyle name="20% - Énfasis6 26 4" xfId="9282" xr:uid="{3505D490-3C0A-485F-B255-4BC020892FD3}"/>
    <cellStyle name="20% - Énfasis6 26 4 2" xfId="24695" xr:uid="{B9DD0615-0DD5-4061-8E99-53160F081EE7}"/>
    <cellStyle name="20% - Énfasis6 26 4 2 2" xfId="39756" xr:uid="{61713C22-BF8A-4482-A7B3-ECAC8A022E1C}"/>
    <cellStyle name="20% - Énfasis6 26 4 3" xfId="39755" xr:uid="{62B06629-DB28-42EE-AFAF-87CB2399C604}"/>
    <cellStyle name="20% - Énfasis6 26 5" xfId="16990" xr:uid="{67B024AD-C7A4-4A40-8EA8-91FDD4636BE0}"/>
    <cellStyle name="20% - Énfasis6 26 5 2" xfId="39757" xr:uid="{8CEA3394-C698-4608-B295-36739FF02095}"/>
    <cellStyle name="20% - Énfasis6 26 6" xfId="39742" xr:uid="{7FF4130B-7CD2-41AF-B502-A62922F2DA1F}"/>
    <cellStyle name="20% - Énfasis6 27" xfId="1585" xr:uid="{EAA50BBA-CC63-4FE8-961C-980D8B9245A8}"/>
    <cellStyle name="20% - Énfasis6 27 2" xfId="3050" xr:uid="{85DA42D7-A6F1-41E5-B10B-6D24338265BE}"/>
    <cellStyle name="20% - Énfasis6 27 2 2" xfId="6782" xr:uid="{135DD0EC-C1CB-4F70-8A57-7545CB402480}"/>
    <cellStyle name="20% - Énfasis6 27 2 2 2" xfId="14490" xr:uid="{0A1D7830-8280-4F2C-A425-FE2411AD575C}"/>
    <cellStyle name="20% - Énfasis6 27 2 2 2 2" xfId="29902" xr:uid="{0F684B44-68A7-4DBC-A2F9-497D60BB9FBC}"/>
    <cellStyle name="20% - Énfasis6 27 2 2 2 2 2" xfId="39762" xr:uid="{043CF478-AF99-45B4-B8B8-CBC943B1271B}"/>
    <cellStyle name="20% - Énfasis6 27 2 2 2 3" xfId="39761" xr:uid="{77E975A7-8121-4E52-8CA3-C00C744E793A}"/>
    <cellStyle name="20% - Énfasis6 27 2 2 3" xfId="22197" xr:uid="{F1023A27-0455-43EB-A4CB-F15722D3D23A}"/>
    <cellStyle name="20% - Énfasis6 27 2 2 3 2" xfId="39763" xr:uid="{9E6BBF4C-F1C3-4D5B-938F-D763E437A0EE}"/>
    <cellStyle name="20% - Énfasis6 27 2 2 4" xfId="39760" xr:uid="{DE4FD951-BF78-4D0F-AEFD-7A8E3C67B966}"/>
    <cellStyle name="20% - Énfasis6 27 2 3" xfId="10761" xr:uid="{F5E3E778-0B8D-49EE-B9F4-3C43F4DC35E0}"/>
    <cellStyle name="20% - Énfasis6 27 2 3 2" xfId="26174" xr:uid="{F5F708A0-0008-462D-9073-440857D69A55}"/>
    <cellStyle name="20% - Énfasis6 27 2 3 2 2" xfId="39765" xr:uid="{608C6F9F-EDD1-454A-AF90-16758AC70781}"/>
    <cellStyle name="20% - Énfasis6 27 2 3 3" xfId="39764" xr:uid="{2B6CABD0-5B2E-4007-B255-90B9BFE49A9E}"/>
    <cellStyle name="20% - Énfasis6 27 2 4" xfId="18469" xr:uid="{32E9C247-B186-4437-8CEC-D2863B51583B}"/>
    <cellStyle name="20% - Énfasis6 27 2 4 2" xfId="39766" xr:uid="{5C9BE2D7-7435-4042-882F-36629EC04E2D}"/>
    <cellStyle name="20% - Énfasis6 27 2 5" xfId="39759" xr:uid="{FD95E0B6-56D9-4036-97E6-41B1F4B69522}"/>
    <cellStyle name="20% - Énfasis6 27 3" xfId="5321" xr:uid="{40972065-55AC-4AA9-95E1-28A68BF70C55}"/>
    <cellStyle name="20% - Énfasis6 27 3 2" xfId="13029" xr:uid="{C46C12EF-BF3F-4F99-89A6-BD8B96B397FD}"/>
    <cellStyle name="20% - Énfasis6 27 3 2 2" xfId="28441" xr:uid="{4CD050E4-EE47-4C5B-AE8E-768F1F1DF48C}"/>
    <cellStyle name="20% - Énfasis6 27 3 2 2 2" xfId="39769" xr:uid="{6C3261D1-2B32-47FF-8C9A-C581EAA0E7E3}"/>
    <cellStyle name="20% - Énfasis6 27 3 2 3" xfId="39768" xr:uid="{F9B0F6B0-1472-490B-A754-DD7B8C781EBC}"/>
    <cellStyle name="20% - Énfasis6 27 3 3" xfId="20736" xr:uid="{B1D26106-C2A3-41DB-9951-006C85988311}"/>
    <cellStyle name="20% - Énfasis6 27 3 3 2" xfId="39770" xr:uid="{983EE4E7-1769-46D0-B7A6-D5CF8224B95B}"/>
    <cellStyle name="20% - Énfasis6 27 3 4" xfId="39767" xr:uid="{BC137124-4D2D-4BE8-ABA9-6DF442631894}"/>
    <cellStyle name="20% - Énfasis6 27 4" xfId="9302" xr:uid="{ADB580DB-B5E6-4FD0-BC27-E83B687A82C0}"/>
    <cellStyle name="20% - Énfasis6 27 4 2" xfId="24715" xr:uid="{617F99B3-3180-4CE0-AD11-5FA09F98E63E}"/>
    <cellStyle name="20% - Énfasis6 27 4 2 2" xfId="39772" xr:uid="{86488D6A-964D-4D5B-B147-B262CA0F01DC}"/>
    <cellStyle name="20% - Énfasis6 27 4 3" xfId="39771" xr:uid="{DFF0EEB8-FB5A-40EC-B1F7-B01520C8DBB1}"/>
    <cellStyle name="20% - Énfasis6 27 5" xfId="17010" xr:uid="{E2F3CDBD-C223-4F80-B65B-3387AFB669B6}"/>
    <cellStyle name="20% - Énfasis6 27 5 2" xfId="39773" xr:uid="{C66B1A3C-8ACB-4C84-BD72-76B97F1BCA5D}"/>
    <cellStyle name="20% - Énfasis6 27 6" xfId="39758" xr:uid="{5ADE628B-3C7F-4ED1-B3AF-A62935128EB9}"/>
    <cellStyle name="20% - Énfasis6 28" xfId="1606" xr:uid="{F596374D-73E1-4DA0-88BF-5DF65D92D724}"/>
    <cellStyle name="20% - Énfasis6 28 2" xfId="3071" xr:uid="{D4C7BC12-59A0-4BF8-9415-CC05AD94D836}"/>
    <cellStyle name="20% - Énfasis6 28 2 2" xfId="6803" xr:uid="{952B8C0B-A54F-470B-9AF7-0A7B6A505F11}"/>
    <cellStyle name="20% - Énfasis6 28 2 2 2" xfId="14511" xr:uid="{2C4F6565-C913-44AD-801E-3CA2D7196975}"/>
    <cellStyle name="20% - Énfasis6 28 2 2 2 2" xfId="29923" xr:uid="{386733AE-3D15-407C-B674-B4DB48C1DD72}"/>
    <cellStyle name="20% - Énfasis6 28 2 2 2 2 2" xfId="39778" xr:uid="{9D18CC11-3EF8-4781-9146-62738543DE4B}"/>
    <cellStyle name="20% - Énfasis6 28 2 2 2 3" xfId="39777" xr:uid="{BC3DC4ED-A65F-458D-89B7-81888098A715}"/>
    <cellStyle name="20% - Énfasis6 28 2 2 3" xfId="22218" xr:uid="{BCAE75B5-B200-45C3-9D5F-84989EF1F30C}"/>
    <cellStyle name="20% - Énfasis6 28 2 2 3 2" xfId="39779" xr:uid="{734BDBCA-8A63-409B-A4B8-F0F2F3305560}"/>
    <cellStyle name="20% - Énfasis6 28 2 2 4" xfId="39776" xr:uid="{E677434A-0A5A-4CC3-A2B8-AC01266963BC}"/>
    <cellStyle name="20% - Énfasis6 28 2 3" xfId="10782" xr:uid="{0F54867E-861C-4D52-A03C-407EF065C48D}"/>
    <cellStyle name="20% - Énfasis6 28 2 3 2" xfId="26195" xr:uid="{A75F71A5-C75B-46A7-82A2-074A8448776D}"/>
    <cellStyle name="20% - Énfasis6 28 2 3 2 2" xfId="39781" xr:uid="{FBCA2CB0-7501-45B5-9C36-3CA9A0815B35}"/>
    <cellStyle name="20% - Énfasis6 28 2 3 3" xfId="39780" xr:uid="{56B92240-09A4-49B7-A6DE-2F2AC7E49C61}"/>
    <cellStyle name="20% - Énfasis6 28 2 4" xfId="18490" xr:uid="{9D813C7F-3EFF-441B-8C23-6E774AEB9D01}"/>
    <cellStyle name="20% - Énfasis6 28 2 4 2" xfId="39782" xr:uid="{E306847A-0696-498F-80E5-B9ED950CCAC0}"/>
    <cellStyle name="20% - Énfasis6 28 2 5" xfId="39775" xr:uid="{9CC6FB6B-8805-4E32-AF8E-AC73F9DE3EA3}"/>
    <cellStyle name="20% - Énfasis6 28 3" xfId="5342" xr:uid="{08EBD5CB-D245-4589-9F30-7698F4EFC061}"/>
    <cellStyle name="20% - Énfasis6 28 3 2" xfId="13050" xr:uid="{38C9EF51-E651-48A9-8699-5EE0D4E93193}"/>
    <cellStyle name="20% - Énfasis6 28 3 2 2" xfId="28462" xr:uid="{AB912CD1-2EB2-4B17-83C5-4A14EB7630A4}"/>
    <cellStyle name="20% - Énfasis6 28 3 2 2 2" xfId="39785" xr:uid="{63A98A31-074C-4793-8838-04DF7B48F400}"/>
    <cellStyle name="20% - Énfasis6 28 3 2 3" xfId="39784" xr:uid="{56513367-B4A7-4923-89AC-E2A38AC75A62}"/>
    <cellStyle name="20% - Énfasis6 28 3 3" xfId="20757" xr:uid="{E0DE30F0-78EA-47FB-8084-94BD98DF78A0}"/>
    <cellStyle name="20% - Énfasis6 28 3 3 2" xfId="39786" xr:uid="{A267B0C9-6161-43D5-8473-903A8CE034B1}"/>
    <cellStyle name="20% - Énfasis6 28 3 4" xfId="39783" xr:uid="{E0872C58-D19B-4496-A90A-E6DC283D0D98}"/>
    <cellStyle name="20% - Énfasis6 28 4" xfId="9323" xr:uid="{C2105A04-A271-4BFE-9113-54E089C40887}"/>
    <cellStyle name="20% - Énfasis6 28 4 2" xfId="24736" xr:uid="{9A93F4B0-7427-414F-8740-5F1AC0C21325}"/>
    <cellStyle name="20% - Énfasis6 28 4 2 2" xfId="39788" xr:uid="{39C324CE-C70B-4EBA-B55E-C30304F04F72}"/>
    <cellStyle name="20% - Énfasis6 28 4 3" xfId="39787" xr:uid="{F0DD7FE4-9298-482D-8B99-F55AAAEB9607}"/>
    <cellStyle name="20% - Énfasis6 28 5" xfId="17031" xr:uid="{F9AF73A9-9A94-422F-876E-5A39FD19AA2F}"/>
    <cellStyle name="20% - Énfasis6 28 5 2" xfId="39789" xr:uid="{3AAA8881-B917-47C6-B376-9F0308F2A79C}"/>
    <cellStyle name="20% - Énfasis6 28 6" xfId="39774" xr:uid="{0A1E1FC4-CB22-4BCC-A697-2D79AD6584CB}"/>
    <cellStyle name="20% - Énfasis6 29" xfId="3091" xr:uid="{8B0463BB-1B20-4D90-99E5-A84B21B25B24}"/>
    <cellStyle name="20% - Énfasis6 29 2" xfId="6823" xr:uid="{BA907982-E095-4CF4-AD4D-877E20E06384}"/>
    <cellStyle name="20% - Énfasis6 29 2 2" xfId="14531" xr:uid="{DC7F348C-D977-4703-9283-B15101A73853}"/>
    <cellStyle name="20% - Énfasis6 29 2 2 2" xfId="29943" xr:uid="{C95E6BED-4F83-4986-AF67-7AE71E57E1FC}"/>
    <cellStyle name="20% - Énfasis6 29 2 2 2 2" xfId="39793" xr:uid="{D10C4404-240C-400B-A741-3B1DDB01B0A3}"/>
    <cellStyle name="20% - Énfasis6 29 2 2 3" xfId="39792" xr:uid="{1B687C5A-F18B-43DE-9C37-F9A9ADD0EC4A}"/>
    <cellStyle name="20% - Énfasis6 29 2 3" xfId="22238" xr:uid="{82F169E0-55CF-49CC-905F-42FFDF6CC18C}"/>
    <cellStyle name="20% - Énfasis6 29 2 3 2" xfId="39794" xr:uid="{C06E8572-4D5F-472C-B72D-E40A121F9ECF}"/>
    <cellStyle name="20% - Énfasis6 29 2 4" xfId="39791" xr:uid="{18958699-60F7-49C9-91AC-D859193B4D34}"/>
    <cellStyle name="20% - Énfasis6 29 3" xfId="10802" xr:uid="{CC653DA0-A608-4897-AAF3-DCA66904B377}"/>
    <cellStyle name="20% - Énfasis6 29 3 2" xfId="26215" xr:uid="{46253DBC-3C94-465E-8FD5-F0B2DB4945AA}"/>
    <cellStyle name="20% - Énfasis6 29 3 2 2" xfId="39796" xr:uid="{301B09E0-4261-4307-8B48-03FFCCF339BD}"/>
    <cellStyle name="20% - Énfasis6 29 3 3" xfId="39795" xr:uid="{DE897BC8-7D12-4B4B-B2D6-915EC6AF701A}"/>
    <cellStyle name="20% - Énfasis6 29 4" xfId="18510" xr:uid="{D12DFCDE-48DD-49EE-863E-0B2CD8924B34}"/>
    <cellStyle name="20% - Énfasis6 29 4 2" xfId="39797" xr:uid="{6F6E0CA1-0406-4DF2-A5B0-70DB7C706D3A}"/>
    <cellStyle name="20% - Énfasis6 29 5" xfId="39790" xr:uid="{7E300E27-9670-4710-8852-23F802011DBD}"/>
    <cellStyle name="20% - Énfasis6 3" xfId="253" xr:uid="{1979E6CC-E5E5-4252-9B5C-457B0986ADA1}"/>
    <cellStyle name="20% - Énfasis6 3 2" xfId="455" xr:uid="{40199512-1D0E-4DE7-817E-1F716C466917}"/>
    <cellStyle name="20% - Énfasis6 3 2 2" xfId="1116" xr:uid="{BF1E7170-FCA3-432F-ACF7-F547E60D498E}"/>
    <cellStyle name="20% - Énfasis6 3 2 2 2" xfId="2584" xr:uid="{1F50D9E6-ED58-4B06-B0BB-C8B1332D1DA8}"/>
    <cellStyle name="20% - Énfasis6 3 2 2 2 2" xfId="6316" xr:uid="{65805F9F-0413-4B7E-A24B-00C88B17EC21}"/>
    <cellStyle name="20% - Énfasis6 3 2 2 2 2 2" xfId="14024" xr:uid="{A0ACF544-D455-4B8B-BE9F-AA64C2EC26AC}"/>
    <cellStyle name="20% - Énfasis6 3 2 2 2 2 2 2" xfId="29436" xr:uid="{29ED9068-DADA-4C11-A381-C574A904628B}"/>
    <cellStyle name="20% - Énfasis6 3 2 2 2 2 2 2 2" xfId="39804" xr:uid="{267E6915-2CF9-4E1F-BCEF-FDBADAF8B48D}"/>
    <cellStyle name="20% - Énfasis6 3 2 2 2 2 2 3" xfId="39803" xr:uid="{B909C399-DA7D-444E-9C40-318C8AC55836}"/>
    <cellStyle name="20% - Énfasis6 3 2 2 2 2 3" xfId="21731" xr:uid="{217275EE-9D55-4FD0-952A-2BA9FED81C18}"/>
    <cellStyle name="20% - Énfasis6 3 2 2 2 2 3 2" xfId="39805" xr:uid="{AA291F45-4405-42E0-91F1-16B6C724E144}"/>
    <cellStyle name="20% - Énfasis6 3 2 2 2 2 4" xfId="39802" xr:uid="{6F102EC5-107E-413F-8600-EA1A89D12B69}"/>
    <cellStyle name="20% - Énfasis6 3 2 2 2 3" xfId="10295" xr:uid="{B528B1A2-B5D4-44D5-9F75-3972BDBDE00F}"/>
    <cellStyle name="20% - Énfasis6 3 2 2 2 3 2" xfId="25708" xr:uid="{61FCE806-10AE-4B78-A936-AD703CBC91B4}"/>
    <cellStyle name="20% - Énfasis6 3 2 2 2 3 2 2" xfId="39807" xr:uid="{5F6C0198-6A1E-4B99-9F86-A57B436CB612}"/>
    <cellStyle name="20% - Énfasis6 3 2 2 2 3 3" xfId="39806" xr:uid="{1302BE11-E1B3-405D-AA89-BB552E5A340E}"/>
    <cellStyle name="20% - Énfasis6 3 2 2 2 4" xfId="18003" xr:uid="{B1F349A2-55D1-4614-A0C9-AD589310C717}"/>
    <cellStyle name="20% - Énfasis6 3 2 2 2 4 2" xfId="39808" xr:uid="{329E9D04-7B2E-418D-A316-237646D0878B}"/>
    <cellStyle name="20% - Énfasis6 3 2 2 2 5" xfId="39801" xr:uid="{855213F2-59A2-4C48-9632-7C4A6D640DC5}"/>
    <cellStyle name="20% - Énfasis6 3 2 2 3" xfId="4853" xr:uid="{B44048CB-AEF1-4661-AEFA-9AF520AF4C62}"/>
    <cellStyle name="20% - Énfasis6 3 2 2 3 2" xfId="12561" xr:uid="{C8AD0FA5-5659-40CF-BFE5-216C5A3D9FB5}"/>
    <cellStyle name="20% - Énfasis6 3 2 2 3 2 2" xfId="27973" xr:uid="{2377B0C7-11CD-4245-8B02-C6658C325032}"/>
    <cellStyle name="20% - Énfasis6 3 2 2 3 2 2 2" xfId="39811" xr:uid="{BE2F5088-6813-4FE3-9110-5C27D2E312ED}"/>
    <cellStyle name="20% - Énfasis6 3 2 2 3 2 3" xfId="39810" xr:uid="{87AB858C-830E-4611-8B01-82195240DA18}"/>
    <cellStyle name="20% - Énfasis6 3 2 2 3 3" xfId="20268" xr:uid="{B567F5D2-8C95-4C3B-A176-F854D9DD8079}"/>
    <cellStyle name="20% - Énfasis6 3 2 2 3 3 2" xfId="39812" xr:uid="{35AE8C05-645B-4D47-852A-C7BC44905F71}"/>
    <cellStyle name="20% - Énfasis6 3 2 2 3 4" xfId="39809" xr:uid="{A1A1815E-A67B-41A1-8067-62C20387CE52}"/>
    <cellStyle name="20% - Énfasis6 3 2 2 4" xfId="8836" xr:uid="{067F5E8F-45F0-4EC2-AB91-186A039964A6}"/>
    <cellStyle name="20% - Énfasis6 3 2 2 4 2" xfId="24249" xr:uid="{5F1CF82C-B932-4F4A-ACD5-1C901118B2B1}"/>
    <cellStyle name="20% - Énfasis6 3 2 2 4 2 2" xfId="39814" xr:uid="{96B4220D-E037-41CE-84FC-822FF11039F2}"/>
    <cellStyle name="20% - Énfasis6 3 2 2 4 3" xfId="39813" xr:uid="{C4221ADC-748F-406A-8BA5-F84B37E351F2}"/>
    <cellStyle name="20% - Énfasis6 3 2 2 5" xfId="16544" xr:uid="{7DF970D0-2037-40EA-AE45-303611EA7D64}"/>
    <cellStyle name="20% - Énfasis6 3 2 2 5 2" xfId="39815" xr:uid="{3595E255-B9E8-4515-9381-4AE3309805A8}"/>
    <cellStyle name="20% - Énfasis6 3 2 2 6" xfId="39800" xr:uid="{53E01200-7F8C-45AB-9C69-2DD100E66C2F}"/>
    <cellStyle name="20% - Énfasis6 3 2 3" xfId="1946" xr:uid="{9F9AD37E-8196-4593-9858-D0765A677F9A}"/>
    <cellStyle name="20% - Énfasis6 3 2 3 2" xfId="5678" xr:uid="{97176523-ABA2-464D-967B-68F303E1CE68}"/>
    <cellStyle name="20% - Énfasis6 3 2 3 2 2" xfId="13386" xr:uid="{106BDA4E-955C-4645-AC58-FD902B453D3E}"/>
    <cellStyle name="20% - Énfasis6 3 2 3 2 2 2" xfId="28798" xr:uid="{C1305513-49B2-431A-BA7B-2B998720F6F8}"/>
    <cellStyle name="20% - Énfasis6 3 2 3 2 2 2 2" xfId="39819" xr:uid="{FFD5E850-281D-4369-8351-59AA44192DCD}"/>
    <cellStyle name="20% - Énfasis6 3 2 3 2 2 3" xfId="39818" xr:uid="{AF95DD72-13FE-4C6F-9E14-8192E2C83B55}"/>
    <cellStyle name="20% - Énfasis6 3 2 3 2 3" xfId="21093" xr:uid="{B1DA8EA2-4DE2-438F-BC17-8138050BC2B5}"/>
    <cellStyle name="20% - Énfasis6 3 2 3 2 3 2" xfId="39820" xr:uid="{446EA5E9-F75F-43DE-BC0C-056BBA6FC353}"/>
    <cellStyle name="20% - Énfasis6 3 2 3 2 4" xfId="39817" xr:uid="{504842F4-197B-4EA3-8D05-300E7FB7E8B5}"/>
    <cellStyle name="20% - Énfasis6 3 2 3 3" xfId="9657" xr:uid="{D479E9E7-BE32-4E8F-95C9-3936601029EE}"/>
    <cellStyle name="20% - Énfasis6 3 2 3 3 2" xfId="25070" xr:uid="{F59F49B4-1238-4392-B631-64E06C97C8A1}"/>
    <cellStyle name="20% - Énfasis6 3 2 3 3 2 2" xfId="39822" xr:uid="{9A7AB641-3EAE-4E9A-8887-758BFBEC67AD}"/>
    <cellStyle name="20% - Énfasis6 3 2 3 3 3" xfId="39821" xr:uid="{6179BCFC-ED0D-4B19-AAF4-B8EB5608099D}"/>
    <cellStyle name="20% - Énfasis6 3 2 3 4" xfId="17365" xr:uid="{197A94AF-9EEB-4132-8852-7D660F904ABF}"/>
    <cellStyle name="20% - Énfasis6 3 2 3 4 2" xfId="39823" xr:uid="{97D16652-ADFD-4579-B4BF-B90952B908BD}"/>
    <cellStyle name="20% - Énfasis6 3 2 3 5" xfId="39816" xr:uid="{1FC70264-72CD-4507-865C-45B41116F663}"/>
    <cellStyle name="20% - Énfasis6 3 2 4" xfId="4201" xr:uid="{C8626D88-C930-4F34-A2A0-EEF5DF3605C8}"/>
    <cellStyle name="20% - Énfasis6 3 2 4 2" xfId="11909" xr:uid="{6D80C4E9-7CF1-449B-B301-22D1369C05BE}"/>
    <cellStyle name="20% - Énfasis6 3 2 4 2 2" xfId="27321" xr:uid="{C45DDBFC-3781-4EB2-9ADC-7ECFB7734D3B}"/>
    <cellStyle name="20% - Énfasis6 3 2 4 2 2 2" xfId="39826" xr:uid="{09011770-7B46-46BC-AE47-74081D06EA1E}"/>
    <cellStyle name="20% - Énfasis6 3 2 4 2 3" xfId="39825" xr:uid="{049D4B2E-3FBA-4651-AF28-A65BCA810B36}"/>
    <cellStyle name="20% - Énfasis6 3 2 4 3" xfId="19616" xr:uid="{427C0519-4A5E-457D-AEC4-E6B71880840E}"/>
    <cellStyle name="20% - Énfasis6 3 2 4 3 2" xfId="39827" xr:uid="{192EEE06-753A-46D0-B5CA-02B7D0AF5AFA}"/>
    <cellStyle name="20% - Énfasis6 3 2 4 4" xfId="39824" xr:uid="{DB502D93-3726-48DB-8E36-9A60FA2C6CC9}"/>
    <cellStyle name="20% - Énfasis6 3 2 5" xfId="8198" xr:uid="{C6FD280A-4A09-44CC-A175-1A0DEBFDBB4E}"/>
    <cellStyle name="20% - Énfasis6 3 2 5 2" xfId="23611" xr:uid="{2BEE9002-726F-406C-8897-6BB6071F56B1}"/>
    <cellStyle name="20% - Énfasis6 3 2 5 2 2" xfId="39829" xr:uid="{814041CB-A5BC-485F-998D-CAFFEABA673B}"/>
    <cellStyle name="20% - Énfasis6 3 2 5 3" xfId="39828" xr:uid="{F0E80684-264A-4B08-921C-26070E23C5CD}"/>
    <cellStyle name="20% - Énfasis6 3 2 6" xfId="15906" xr:uid="{017427E0-3E89-47E3-A383-F3F0D50F753E}"/>
    <cellStyle name="20% - Énfasis6 3 2 6 2" xfId="39830" xr:uid="{B547026C-3436-4F23-AA64-F08C5ED85F6B}"/>
    <cellStyle name="20% - Énfasis6 3 2 7" xfId="39799" xr:uid="{60F01293-8B65-4C5C-9195-2ACEF42F509A}"/>
    <cellStyle name="20% - Énfasis6 3 3" xfId="916" xr:uid="{5F74ECDF-C558-448F-8815-98049F7FF245}"/>
    <cellStyle name="20% - Énfasis6 3 3 2" xfId="2386" xr:uid="{2DC043A4-357E-4F56-8F96-15D13CCAA96D}"/>
    <cellStyle name="20% - Énfasis6 3 3 2 2" xfId="6118" xr:uid="{D52B59F6-CBE4-4EC7-A539-C8D01AE540B3}"/>
    <cellStyle name="20% - Énfasis6 3 3 2 2 2" xfId="13826" xr:uid="{DB09B220-9081-42A1-BB23-44DDC61A356A}"/>
    <cellStyle name="20% - Énfasis6 3 3 2 2 2 2" xfId="29238" xr:uid="{7AF0C4FF-F770-4533-B3DA-EA1DE3725A2A}"/>
    <cellStyle name="20% - Énfasis6 3 3 2 2 2 2 2" xfId="39835" xr:uid="{15C60F5A-C0E5-4DFA-94F3-BCC4AC926C28}"/>
    <cellStyle name="20% - Énfasis6 3 3 2 2 2 3" xfId="39834" xr:uid="{A7DA8E72-E061-4818-9F6B-A16FF5DE24AC}"/>
    <cellStyle name="20% - Énfasis6 3 3 2 2 3" xfId="21533" xr:uid="{8B94A814-9A8B-43F8-9B08-CA66E3D26D6E}"/>
    <cellStyle name="20% - Énfasis6 3 3 2 2 3 2" xfId="39836" xr:uid="{0F130726-C566-4592-B661-083B767E1913}"/>
    <cellStyle name="20% - Énfasis6 3 3 2 2 4" xfId="39833" xr:uid="{72AE8050-11CF-4494-8182-33F7300A183E}"/>
    <cellStyle name="20% - Énfasis6 3 3 2 3" xfId="10097" xr:uid="{30685AE6-A44B-473D-898F-533284BACACB}"/>
    <cellStyle name="20% - Énfasis6 3 3 2 3 2" xfId="25510" xr:uid="{744BBED9-1D76-4626-A9C6-94D9D9A06E53}"/>
    <cellStyle name="20% - Énfasis6 3 3 2 3 2 2" xfId="39838" xr:uid="{175760ED-1005-4740-84BC-6C75FE12B90A}"/>
    <cellStyle name="20% - Énfasis6 3 3 2 3 3" xfId="39837" xr:uid="{377167F9-7E47-4447-A73B-34B8295102F1}"/>
    <cellStyle name="20% - Énfasis6 3 3 2 4" xfId="17805" xr:uid="{92DC1F4F-1A2B-4A79-8A3D-1435DEB8A76B}"/>
    <cellStyle name="20% - Énfasis6 3 3 2 4 2" xfId="39839" xr:uid="{1C1D4683-0060-4CF5-BD93-637AECC98CE0}"/>
    <cellStyle name="20% - Énfasis6 3 3 2 5" xfId="39832" xr:uid="{B0D34B5C-AB36-4C10-BD48-ADAC29B4BE02}"/>
    <cellStyle name="20% - Énfasis6 3 3 3" xfId="4653" xr:uid="{2C56D432-BCB9-411C-A02A-76D6F497F872}"/>
    <cellStyle name="20% - Énfasis6 3 3 3 2" xfId="12361" xr:uid="{C3404A1A-EA04-4882-9A94-34F9E67A2A0E}"/>
    <cellStyle name="20% - Énfasis6 3 3 3 2 2" xfId="27773" xr:uid="{309F6F91-F513-4DF8-B3AC-416673255FD0}"/>
    <cellStyle name="20% - Énfasis6 3 3 3 2 2 2" xfId="39842" xr:uid="{88467B07-BAD0-489E-9841-315A65A7992E}"/>
    <cellStyle name="20% - Énfasis6 3 3 3 2 3" xfId="39841" xr:uid="{E67421F9-EA9F-4477-AED9-72A9E525DC82}"/>
    <cellStyle name="20% - Énfasis6 3 3 3 3" xfId="20068" xr:uid="{BA69B6C7-D450-482A-8FE4-DD2CFBE3D1EF}"/>
    <cellStyle name="20% - Énfasis6 3 3 3 3 2" xfId="39843" xr:uid="{6E1549AB-8965-45FA-AAC7-E007C20B44C8}"/>
    <cellStyle name="20% - Énfasis6 3 3 3 4" xfId="39840" xr:uid="{AB7FC966-C849-450D-B297-10907D5DF4E2}"/>
    <cellStyle name="20% - Énfasis6 3 3 4" xfId="8638" xr:uid="{375CDA05-2646-44CD-ACFE-46C2CFD9B078}"/>
    <cellStyle name="20% - Énfasis6 3 3 4 2" xfId="24051" xr:uid="{91548F77-644B-4523-A293-A734B969602F}"/>
    <cellStyle name="20% - Énfasis6 3 3 4 2 2" xfId="39845" xr:uid="{83557003-21E0-4BAA-8DF3-7694E8726A05}"/>
    <cellStyle name="20% - Énfasis6 3 3 4 3" xfId="39844" xr:uid="{82840D34-546D-49A9-9633-054BD153D6F5}"/>
    <cellStyle name="20% - Énfasis6 3 3 5" xfId="16346" xr:uid="{FE14702A-3411-430E-8525-1C1A1225E76D}"/>
    <cellStyle name="20% - Énfasis6 3 3 5 2" xfId="39846" xr:uid="{AC6790D6-68F0-408E-A050-63E49FD2AEC9}"/>
    <cellStyle name="20% - Énfasis6 3 3 6" xfId="39831" xr:uid="{14DC43FA-944E-4981-95ED-A0E2E2312F0E}"/>
    <cellStyle name="20% - Énfasis6 3 4" xfId="1748" xr:uid="{DCA77148-F5D4-470D-9382-345333E0DC3B}"/>
    <cellStyle name="20% - Énfasis6 3 4 2" xfId="5480" xr:uid="{74421502-786D-46EC-A303-B1B396E15BFE}"/>
    <cellStyle name="20% - Énfasis6 3 4 2 2" xfId="13188" xr:uid="{9AEB0BCC-4FFC-469E-BDEC-093076FF9FF2}"/>
    <cellStyle name="20% - Énfasis6 3 4 2 2 2" xfId="28600" xr:uid="{2F8D16E0-1D5F-4192-8880-3C0EDC8D71B5}"/>
    <cellStyle name="20% - Énfasis6 3 4 2 2 2 2" xfId="39850" xr:uid="{E0964B4D-8E3E-4634-86F9-F92BE6F48F95}"/>
    <cellStyle name="20% - Énfasis6 3 4 2 2 3" xfId="39849" xr:uid="{85492E10-3F89-4DAD-83AB-4D0D36653D21}"/>
    <cellStyle name="20% - Énfasis6 3 4 2 3" xfId="20895" xr:uid="{7401E00F-E1C7-47E2-95E2-7E24027EA60A}"/>
    <cellStyle name="20% - Énfasis6 3 4 2 3 2" xfId="39851" xr:uid="{84022419-DBE2-480D-BE60-8873E6EBFFBB}"/>
    <cellStyle name="20% - Énfasis6 3 4 2 4" xfId="39848" xr:uid="{BE5AAEBF-14F2-49B9-83A9-32EE438BE81A}"/>
    <cellStyle name="20% - Énfasis6 3 4 3" xfId="9459" xr:uid="{03C4AD84-C745-430D-8BE4-E7ECB5565D1D}"/>
    <cellStyle name="20% - Énfasis6 3 4 3 2" xfId="24872" xr:uid="{C784A1F7-0BEA-4736-BA06-D106496A31B8}"/>
    <cellStyle name="20% - Énfasis6 3 4 3 2 2" xfId="39853" xr:uid="{54FED878-C6DF-4187-A702-773DBCCF984A}"/>
    <cellStyle name="20% - Énfasis6 3 4 3 3" xfId="39852" xr:uid="{8A6F30D1-6487-4628-89B9-99D1982D13B3}"/>
    <cellStyle name="20% - Énfasis6 3 4 4" xfId="17167" xr:uid="{3A3D6F3F-A7C1-4143-816C-402A0C3E4DF4}"/>
    <cellStyle name="20% - Énfasis6 3 4 4 2" xfId="39854" xr:uid="{27E6B579-1F6C-45B8-A12D-4D5DB58E4CDD}"/>
    <cellStyle name="20% - Énfasis6 3 4 5" xfId="39847" xr:uid="{124F2BB6-EA76-4606-BB09-E00C494BFEC7}"/>
    <cellStyle name="20% - Énfasis6 3 5" xfId="4001" xr:uid="{242585C7-7AEE-4A0E-B5CA-6DDF35F2964C}"/>
    <cellStyle name="20% - Énfasis6 3 5 2" xfId="11709" xr:uid="{83F9380E-71ED-4986-B15D-5A93D1027B4A}"/>
    <cellStyle name="20% - Énfasis6 3 5 2 2" xfId="27121" xr:uid="{ACA1EBF3-5ADF-459E-A63B-0AA5343230E6}"/>
    <cellStyle name="20% - Énfasis6 3 5 2 2 2" xfId="39857" xr:uid="{CF5949C1-E0C4-404C-853A-993390B398DB}"/>
    <cellStyle name="20% - Énfasis6 3 5 2 3" xfId="39856" xr:uid="{7246AD17-9319-41AF-BC50-D25424FAEDBF}"/>
    <cellStyle name="20% - Énfasis6 3 5 3" xfId="19416" xr:uid="{3AA3BC4A-04C3-43B2-9F25-43DC54029B33}"/>
    <cellStyle name="20% - Énfasis6 3 5 3 2" xfId="39858" xr:uid="{42A6A894-07F3-4CAD-B48D-83C618AE9904}"/>
    <cellStyle name="20% - Énfasis6 3 5 4" xfId="39855" xr:uid="{9F73BC5A-2A8D-47F5-9D7A-24A9884D1226}"/>
    <cellStyle name="20% - Énfasis6 3 6" xfId="8000" xr:uid="{6DCF1D71-6D12-40FB-AD0D-93EAF7404D35}"/>
    <cellStyle name="20% - Énfasis6 3 6 2" xfId="23413" xr:uid="{C2EFFAF1-C275-4C13-A176-2CC81C0020B8}"/>
    <cellStyle name="20% - Énfasis6 3 6 2 2" xfId="39860" xr:uid="{287FF651-4248-4B78-8B6A-BE1859AF79DD}"/>
    <cellStyle name="20% - Énfasis6 3 6 3" xfId="39859" xr:uid="{39F69105-686C-495E-BED1-1AF52AC57C4D}"/>
    <cellStyle name="20% - Énfasis6 3 7" xfId="15708" xr:uid="{BAC76A2C-AD24-466B-8290-83983B5715DB}"/>
    <cellStyle name="20% - Énfasis6 3 7 2" xfId="39861" xr:uid="{B585A20C-6E77-4AF1-8CA8-65ADB754FB33}"/>
    <cellStyle name="20% - Énfasis6 3 8" xfId="39798" xr:uid="{1745B73B-47CE-434A-B75A-AAEFA103CB0E}"/>
    <cellStyle name="20% - Énfasis6 30" xfId="3111" xr:uid="{EE606A50-0AC0-4290-A29A-FD53280CF418}"/>
    <cellStyle name="20% - Énfasis6 30 2" xfId="6843" xr:uid="{4D8654E8-2A19-4968-9E56-A52E246C8334}"/>
    <cellStyle name="20% - Énfasis6 30 2 2" xfId="14551" xr:uid="{0217C3AF-5DC6-480C-BB17-CA386EE1A412}"/>
    <cellStyle name="20% - Énfasis6 30 2 2 2" xfId="29963" xr:uid="{22E5988D-C73B-47B3-8A05-319BA9D31433}"/>
    <cellStyle name="20% - Énfasis6 30 2 2 2 2" xfId="39865" xr:uid="{D1D1FA87-2E5A-4DD9-9EF4-54E46A743901}"/>
    <cellStyle name="20% - Énfasis6 30 2 2 3" xfId="39864" xr:uid="{FDBA7A2E-63EA-4BFD-95DD-964CE4AFA643}"/>
    <cellStyle name="20% - Énfasis6 30 2 3" xfId="22258" xr:uid="{EA650A21-4185-4D6D-898C-48E63E5365E5}"/>
    <cellStyle name="20% - Énfasis6 30 2 3 2" xfId="39866" xr:uid="{2D407B89-EFD6-417B-AC3B-C4F3BA2A2839}"/>
    <cellStyle name="20% - Énfasis6 30 2 4" xfId="39863" xr:uid="{102AAE77-DB21-46AB-804A-C777FC338B50}"/>
    <cellStyle name="20% - Énfasis6 30 3" xfId="10822" xr:uid="{4CA3B315-3318-43CF-A8B5-70B6E712196D}"/>
    <cellStyle name="20% - Énfasis6 30 3 2" xfId="26235" xr:uid="{BF5D6A0F-1F20-48A9-8178-BCEB7763D26D}"/>
    <cellStyle name="20% - Énfasis6 30 3 2 2" xfId="39868" xr:uid="{ACD8EC7F-D54A-4919-95C2-02151EC29A94}"/>
    <cellStyle name="20% - Énfasis6 30 3 3" xfId="39867" xr:uid="{980A7311-07B1-428A-A898-009C7BD52914}"/>
    <cellStyle name="20% - Énfasis6 30 4" xfId="18530" xr:uid="{45586929-CEDE-4317-8137-07382E06FEF1}"/>
    <cellStyle name="20% - Énfasis6 30 4 2" xfId="39869" xr:uid="{1A94AF75-F4CB-4AF8-9F6F-C115EE56A97E}"/>
    <cellStyle name="20% - Énfasis6 30 5" xfId="39862" xr:uid="{9933B9C6-D6DE-497B-9AA9-5A54D3BDD20B}"/>
    <cellStyle name="20% - Énfasis6 31" xfId="3131" xr:uid="{EB4C3831-1112-4963-B128-C3DE645664EF}"/>
    <cellStyle name="20% - Énfasis6 31 2" xfId="6863" xr:uid="{3ADAA44D-018F-4B4D-BCB8-F86FD4C6D0E1}"/>
    <cellStyle name="20% - Énfasis6 31 2 2" xfId="14571" xr:uid="{B33B792E-F78D-46C9-AD60-26F16FEAB93D}"/>
    <cellStyle name="20% - Énfasis6 31 2 2 2" xfId="29983" xr:uid="{6EA79E5E-1279-40BF-9FE6-5222ED084518}"/>
    <cellStyle name="20% - Énfasis6 31 2 2 2 2" xfId="39873" xr:uid="{AF0725FE-3625-46E1-BDB3-BA5911AEAC6B}"/>
    <cellStyle name="20% - Énfasis6 31 2 2 3" xfId="39872" xr:uid="{40EE8DE5-7EA6-4B23-970A-165ECA6FDD6C}"/>
    <cellStyle name="20% - Énfasis6 31 2 3" xfId="22278" xr:uid="{9EFFA889-D0D0-4990-ABF9-B0C010A7BC2C}"/>
    <cellStyle name="20% - Énfasis6 31 2 3 2" xfId="39874" xr:uid="{E5200B14-771E-461D-8E19-4A9DB2C6AE10}"/>
    <cellStyle name="20% - Énfasis6 31 2 4" xfId="39871" xr:uid="{6E34DEF4-3D85-4F98-B10E-A3ACBEEBAB50}"/>
    <cellStyle name="20% - Énfasis6 31 3" xfId="10842" xr:uid="{BD4EEF9F-DD29-4E3B-B071-8FEE6D219FEA}"/>
    <cellStyle name="20% - Énfasis6 31 3 2" xfId="26255" xr:uid="{82EF0682-DE4E-4F2F-A3E9-F4E6B73DD78D}"/>
    <cellStyle name="20% - Énfasis6 31 3 2 2" xfId="39876" xr:uid="{6DD53767-4FB4-4C5F-A1A8-E822D0A40E9F}"/>
    <cellStyle name="20% - Énfasis6 31 3 3" xfId="39875" xr:uid="{AFBCDA59-9485-4AAE-B7D4-B58D1B8E7993}"/>
    <cellStyle name="20% - Énfasis6 31 4" xfId="18550" xr:uid="{E90561CC-7F2B-4930-8678-4306F3A96109}"/>
    <cellStyle name="20% - Énfasis6 31 4 2" xfId="39877" xr:uid="{684C5963-2AA3-41F0-AF6F-A59E51BB18FD}"/>
    <cellStyle name="20% - Énfasis6 31 5" xfId="39870" xr:uid="{535EEF13-ABC9-4198-938A-68A6CADE45BD}"/>
    <cellStyle name="20% - Énfasis6 32" xfId="3151" xr:uid="{7533D15E-1249-4A34-BBB2-C390DE1F4840}"/>
    <cellStyle name="20% - Énfasis6 32 2" xfId="6883" xr:uid="{A2241037-00EB-459D-9466-26F999F485FE}"/>
    <cellStyle name="20% - Énfasis6 32 2 2" xfId="14591" xr:uid="{EFEAE474-B576-485F-A14E-1D7C345DFA97}"/>
    <cellStyle name="20% - Énfasis6 32 2 2 2" xfId="30003" xr:uid="{2693A0B6-36D5-411C-9ECB-49886C064736}"/>
    <cellStyle name="20% - Énfasis6 32 2 2 2 2" xfId="39881" xr:uid="{0C93B140-479C-4C6F-B293-D76BCF7C5D58}"/>
    <cellStyle name="20% - Énfasis6 32 2 2 3" xfId="39880" xr:uid="{3B78782C-E98B-4CA2-A1F2-B0B863F9ACC4}"/>
    <cellStyle name="20% - Énfasis6 32 2 3" xfId="22298" xr:uid="{40A5233A-F4DD-40EE-B8A2-CB70A88B483D}"/>
    <cellStyle name="20% - Énfasis6 32 2 3 2" xfId="39882" xr:uid="{ADDFD08F-874F-40B6-B2A7-D5FA4F0F3966}"/>
    <cellStyle name="20% - Énfasis6 32 2 4" xfId="39879" xr:uid="{DB34516B-4967-4376-85CB-4BE643ED5797}"/>
    <cellStyle name="20% - Énfasis6 32 3" xfId="10862" xr:uid="{A79791BA-A2C6-45E5-B3E7-949542FD57F2}"/>
    <cellStyle name="20% - Énfasis6 32 3 2" xfId="26275" xr:uid="{454EF883-1132-439D-BDE8-0659CE18282D}"/>
    <cellStyle name="20% - Énfasis6 32 3 2 2" xfId="39884" xr:uid="{E7ACA998-FA12-46F9-8D67-2E1ACB7DAFCA}"/>
    <cellStyle name="20% - Énfasis6 32 3 3" xfId="39883" xr:uid="{907E44C2-8DEC-4DAA-B5DB-4A4576F22FBD}"/>
    <cellStyle name="20% - Énfasis6 32 4" xfId="18570" xr:uid="{81DB07C3-F966-4851-A549-44EF51786A8C}"/>
    <cellStyle name="20% - Énfasis6 32 4 2" xfId="39885" xr:uid="{3D364373-5E7E-4277-887A-74668D8FDA6F}"/>
    <cellStyle name="20% - Énfasis6 32 5" xfId="39878" xr:uid="{AC6F26FF-604C-481E-8A43-18E92C3E787C}"/>
    <cellStyle name="20% - Énfasis6 33" xfId="3171" xr:uid="{6C981EC3-39BF-4CDE-A06B-86D7DD2A8398}"/>
    <cellStyle name="20% - Énfasis6 33 2" xfId="6903" xr:uid="{0644320B-5DB4-46A8-9E4E-1A98BDC9D874}"/>
    <cellStyle name="20% - Énfasis6 33 2 2" xfId="14611" xr:uid="{A91085F2-829E-44A5-A83D-A55909E7B4A6}"/>
    <cellStyle name="20% - Énfasis6 33 2 2 2" xfId="30023" xr:uid="{AA0DDB09-14A6-440A-AC1C-84590F5CF6FE}"/>
    <cellStyle name="20% - Énfasis6 33 2 2 2 2" xfId="39889" xr:uid="{500F23D0-E41C-4435-8864-E22F3F79AC80}"/>
    <cellStyle name="20% - Énfasis6 33 2 2 3" xfId="39888" xr:uid="{40460723-C6BC-420F-ADAA-75C7835FD98C}"/>
    <cellStyle name="20% - Énfasis6 33 2 3" xfId="22318" xr:uid="{DBD88132-81EC-4D94-8FE5-3FDC96847716}"/>
    <cellStyle name="20% - Énfasis6 33 2 3 2" xfId="39890" xr:uid="{03F42850-27A0-468B-ABEA-B2512A3CB9B1}"/>
    <cellStyle name="20% - Énfasis6 33 2 4" xfId="39887" xr:uid="{CD9CC87A-DA82-469D-B8FA-B60BD1281BE6}"/>
    <cellStyle name="20% - Énfasis6 33 3" xfId="10882" xr:uid="{C28110E9-E337-4177-A7D7-8C6624CC55D3}"/>
    <cellStyle name="20% - Énfasis6 33 3 2" xfId="26295" xr:uid="{B15D30EC-110F-4901-ABAB-07BAD45FB937}"/>
    <cellStyle name="20% - Énfasis6 33 3 2 2" xfId="39892" xr:uid="{86CB8AB1-2DE4-4DAF-B912-94646E4C220A}"/>
    <cellStyle name="20% - Énfasis6 33 3 3" xfId="39891" xr:uid="{1C17F5EE-7C06-4549-A8AB-2233E4085549}"/>
    <cellStyle name="20% - Énfasis6 33 4" xfId="18590" xr:uid="{3EB3D6A1-59FA-484A-A111-CC248D77E217}"/>
    <cellStyle name="20% - Énfasis6 33 4 2" xfId="39893" xr:uid="{1E1F5AA7-5839-479E-BB39-CDD200AC459B}"/>
    <cellStyle name="20% - Énfasis6 33 5" xfId="39886" xr:uid="{BB6C12D9-E3FE-4ECD-B7D8-07F07226A5B0}"/>
    <cellStyle name="20% - Énfasis6 34" xfId="3191" xr:uid="{EEB6510F-8066-44AB-9278-D97A3171D16B}"/>
    <cellStyle name="20% - Énfasis6 34 2" xfId="6923" xr:uid="{5C54C4A0-9522-443B-B9B2-A826729922DE}"/>
    <cellStyle name="20% - Énfasis6 34 2 2" xfId="14631" xr:uid="{666A90FD-5A13-441A-9559-9314C60318AB}"/>
    <cellStyle name="20% - Énfasis6 34 2 2 2" xfId="30043" xr:uid="{3D311D25-37D6-4F7A-A2F0-76E6813DDEAB}"/>
    <cellStyle name="20% - Énfasis6 34 2 2 2 2" xfId="39897" xr:uid="{D0797FE4-06B3-4526-9409-425DD4EEAEA9}"/>
    <cellStyle name="20% - Énfasis6 34 2 2 3" xfId="39896" xr:uid="{6D904735-9FD6-4889-9D09-05C064FC3994}"/>
    <cellStyle name="20% - Énfasis6 34 2 3" xfId="22338" xr:uid="{5A825298-B772-4AF8-8CD5-50310D680B30}"/>
    <cellStyle name="20% - Énfasis6 34 2 3 2" xfId="39898" xr:uid="{0E3A0CED-D4C1-4719-846E-4AFDC0D1DF66}"/>
    <cellStyle name="20% - Énfasis6 34 2 4" xfId="39895" xr:uid="{A50B0C6E-5ECC-4C41-AE8D-72A9A076DE96}"/>
    <cellStyle name="20% - Énfasis6 34 3" xfId="10902" xr:uid="{12F13845-18A2-43B9-8FBA-918F737CED6C}"/>
    <cellStyle name="20% - Énfasis6 34 3 2" xfId="26315" xr:uid="{96BFE11F-F5D3-46FA-80FE-97362931B538}"/>
    <cellStyle name="20% - Énfasis6 34 3 2 2" xfId="39900" xr:uid="{089BD0AF-8F98-4DE4-AEAE-644474611108}"/>
    <cellStyle name="20% - Énfasis6 34 3 3" xfId="39899" xr:uid="{C21A286F-7125-422F-B4F5-3C6F622E4612}"/>
    <cellStyle name="20% - Énfasis6 34 4" xfId="18610" xr:uid="{D089DAE2-D25A-47F0-97C2-7BECD1686E91}"/>
    <cellStyle name="20% - Énfasis6 34 4 2" xfId="39901" xr:uid="{D6C0C2D5-0EC6-4653-B289-A3962DF61771}"/>
    <cellStyle name="20% - Énfasis6 34 5" xfId="39894" xr:uid="{BEF1167F-8DB7-4128-8FC3-0313CEEF1580}"/>
    <cellStyle name="20% - Énfasis6 35" xfId="3211" xr:uid="{DD509BAB-FB9B-4576-A2FC-656CF900AD7C}"/>
    <cellStyle name="20% - Énfasis6 35 2" xfId="6943" xr:uid="{CEC2E7CA-9949-4497-A519-A4B23BF59431}"/>
    <cellStyle name="20% - Énfasis6 35 2 2" xfId="14651" xr:uid="{C43DB831-F575-4BD7-8B8D-9C4EA70D37A9}"/>
    <cellStyle name="20% - Énfasis6 35 2 2 2" xfId="30063" xr:uid="{64154F34-4593-46C5-93C4-F7952B1E2D14}"/>
    <cellStyle name="20% - Énfasis6 35 2 2 2 2" xfId="39905" xr:uid="{0BA8ADD8-500C-41AF-8DC4-DC1F147A4902}"/>
    <cellStyle name="20% - Énfasis6 35 2 2 3" xfId="39904" xr:uid="{D40B4991-B99D-496E-9B72-7FE980F3B65D}"/>
    <cellStyle name="20% - Énfasis6 35 2 3" xfId="22358" xr:uid="{D14CA75B-5F9F-4BED-A8C6-C341F36295FC}"/>
    <cellStyle name="20% - Énfasis6 35 2 3 2" xfId="39906" xr:uid="{075CBB49-ACA3-4C5C-A251-72A5E04BEDDA}"/>
    <cellStyle name="20% - Énfasis6 35 2 4" xfId="39903" xr:uid="{285B97FD-29E5-4C44-9CED-537D998C7DF6}"/>
    <cellStyle name="20% - Énfasis6 35 3" xfId="10922" xr:uid="{5308BEA1-E8C4-4BB5-ACD8-1DA1F721CD62}"/>
    <cellStyle name="20% - Énfasis6 35 3 2" xfId="26335" xr:uid="{5ABC3817-436B-430D-B1FF-04C9B178604A}"/>
    <cellStyle name="20% - Énfasis6 35 3 2 2" xfId="39908" xr:uid="{D17A279A-568C-46F7-8F68-AD42F986ED10}"/>
    <cellStyle name="20% - Énfasis6 35 3 3" xfId="39907" xr:uid="{F8ACA671-FE39-4DCB-B4DA-383BEF53E61F}"/>
    <cellStyle name="20% - Énfasis6 35 4" xfId="18630" xr:uid="{0F956551-1EAC-432E-9252-7DE23FA3C466}"/>
    <cellStyle name="20% - Énfasis6 35 4 2" xfId="39909" xr:uid="{52747DB0-4605-4186-B7C7-CD453F0C0ED2}"/>
    <cellStyle name="20% - Énfasis6 35 5" xfId="39902" xr:uid="{65235A05-8DAE-4DB8-9781-3C054E3E2677}"/>
    <cellStyle name="20% - Énfasis6 36" xfId="3231" xr:uid="{20ED9F33-62BD-4F01-9C0A-A9B1CBED89D9}"/>
    <cellStyle name="20% - Énfasis6 36 2" xfId="6963" xr:uid="{F2564E4E-AA1E-4DC4-94E9-6435C92B73F3}"/>
    <cellStyle name="20% - Énfasis6 36 2 2" xfId="14671" xr:uid="{AA0F3525-896B-42F5-A706-77DBDFD214D2}"/>
    <cellStyle name="20% - Énfasis6 36 2 2 2" xfId="30083" xr:uid="{498B39AE-74F3-4966-BB7F-536DDBE6D106}"/>
    <cellStyle name="20% - Énfasis6 36 2 2 2 2" xfId="39913" xr:uid="{D6BB0482-376D-466B-A54E-7015D6D71B38}"/>
    <cellStyle name="20% - Énfasis6 36 2 2 3" xfId="39912" xr:uid="{5055C6E9-A301-4127-AB63-F2549A4AA231}"/>
    <cellStyle name="20% - Énfasis6 36 2 3" xfId="22378" xr:uid="{0C0BF3D9-F2E6-4B57-91FA-7CCE67F7B03B}"/>
    <cellStyle name="20% - Énfasis6 36 2 3 2" xfId="39914" xr:uid="{9EED3ADD-253D-49EF-B23E-9749B44EA0E5}"/>
    <cellStyle name="20% - Énfasis6 36 2 4" xfId="39911" xr:uid="{CDD41EB1-7D0C-4A8A-903E-843C73B19E38}"/>
    <cellStyle name="20% - Énfasis6 36 3" xfId="10942" xr:uid="{96E5CEF7-2E39-4564-8432-8EBC8AA07B0B}"/>
    <cellStyle name="20% - Énfasis6 36 3 2" xfId="26355" xr:uid="{19A34E07-5E83-42A1-98EC-CD61895DE392}"/>
    <cellStyle name="20% - Énfasis6 36 3 2 2" xfId="39916" xr:uid="{64C354E7-4262-4998-AD79-4DC24FC413DD}"/>
    <cellStyle name="20% - Énfasis6 36 3 3" xfId="39915" xr:uid="{1075EBBA-920A-4E07-B327-B7FD81416F37}"/>
    <cellStyle name="20% - Énfasis6 36 4" xfId="18650" xr:uid="{793FE37C-A411-4C5B-A6B1-D9EA1E5A3C2E}"/>
    <cellStyle name="20% - Énfasis6 36 4 2" xfId="39917" xr:uid="{758D4CC6-9B29-4681-9394-01FC51E3C5E7}"/>
    <cellStyle name="20% - Énfasis6 36 5" xfId="39910" xr:uid="{D50764DC-8CDB-4130-82B0-B591F4D75825}"/>
    <cellStyle name="20% - Énfasis6 37" xfId="3251" xr:uid="{F042418D-E8F2-4861-80B2-9278CDBACC25}"/>
    <cellStyle name="20% - Énfasis6 37 2" xfId="6983" xr:uid="{B9F0DC0F-BCC1-44F2-A82B-B5E2AC840F53}"/>
    <cellStyle name="20% - Énfasis6 37 2 2" xfId="14691" xr:uid="{C342B27B-BC84-4A53-BE10-6784B8987DAB}"/>
    <cellStyle name="20% - Énfasis6 37 2 2 2" xfId="30103" xr:uid="{020F8682-D8B5-402E-9CAE-2D33E40FE63A}"/>
    <cellStyle name="20% - Énfasis6 37 2 2 2 2" xfId="39921" xr:uid="{DB667A2B-267C-450D-BDD6-4769B2EFD225}"/>
    <cellStyle name="20% - Énfasis6 37 2 2 3" xfId="39920" xr:uid="{D93BD776-7CB9-4EF3-8C9C-FCF7B3A28A3D}"/>
    <cellStyle name="20% - Énfasis6 37 2 3" xfId="22398" xr:uid="{19BC0543-7EFC-4428-9999-FABA23853C7B}"/>
    <cellStyle name="20% - Énfasis6 37 2 3 2" xfId="39922" xr:uid="{E94B1C2E-EDB0-43C9-A5BA-D4FAA817A2FA}"/>
    <cellStyle name="20% - Énfasis6 37 2 4" xfId="39919" xr:uid="{1C3D769A-6989-47FF-9BDC-7830C7EA6B31}"/>
    <cellStyle name="20% - Énfasis6 37 3" xfId="10962" xr:uid="{2F5432BA-984B-4981-B53E-3F08A2AFEBE1}"/>
    <cellStyle name="20% - Énfasis6 37 3 2" xfId="26375" xr:uid="{3B861ECF-5351-4F34-AC8C-C56ED2A79F9B}"/>
    <cellStyle name="20% - Énfasis6 37 3 2 2" xfId="39924" xr:uid="{2A281BB5-7FB9-499A-8B0F-8A73A6B188B6}"/>
    <cellStyle name="20% - Énfasis6 37 3 3" xfId="39923" xr:uid="{597F50B9-23DB-46B3-9C76-7925A29EDF18}"/>
    <cellStyle name="20% - Énfasis6 37 4" xfId="18670" xr:uid="{F31C4100-DB78-4747-A04B-8A3D9AB2E5AC}"/>
    <cellStyle name="20% - Énfasis6 37 4 2" xfId="39925" xr:uid="{DE9CE8D6-611F-4128-BE4D-33CB7C703892}"/>
    <cellStyle name="20% - Énfasis6 37 5" xfId="39918" xr:uid="{DE96A5A9-D12B-4281-BEEC-46CA06B80781}"/>
    <cellStyle name="20% - Énfasis6 38" xfId="3271" xr:uid="{A78E2E03-7DE3-434B-94FC-3C2A6DA51D4B}"/>
    <cellStyle name="20% - Énfasis6 38 2" xfId="7003" xr:uid="{0BCFDECC-9526-44B4-AF5F-29DB9EF684FE}"/>
    <cellStyle name="20% - Énfasis6 38 2 2" xfId="14711" xr:uid="{B5E5B3CA-917F-4305-B63E-EB2B1098983D}"/>
    <cellStyle name="20% - Énfasis6 38 2 2 2" xfId="30123" xr:uid="{FFAC9969-7944-406E-9CD9-311BD1742DAA}"/>
    <cellStyle name="20% - Énfasis6 38 2 2 2 2" xfId="39929" xr:uid="{AE9D4271-8F1D-43F5-A63E-723ACC0FE66A}"/>
    <cellStyle name="20% - Énfasis6 38 2 2 3" xfId="39928" xr:uid="{A63BF5E8-D654-4D17-85A2-45C04E77F81A}"/>
    <cellStyle name="20% - Énfasis6 38 2 3" xfId="22418" xr:uid="{5D92628C-D0EE-4ED0-B916-18919572DFDE}"/>
    <cellStyle name="20% - Énfasis6 38 2 3 2" xfId="39930" xr:uid="{60983A63-2C81-48AD-898E-7695E69D0A74}"/>
    <cellStyle name="20% - Énfasis6 38 2 4" xfId="39927" xr:uid="{759CA9C1-6570-4050-8C0C-43EC6EAA1497}"/>
    <cellStyle name="20% - Énfasis6 38 3" xfId="10982" xr:uid="{EA9D9098-69FD-4EDF-B863-EBC0336A1046}"/>
    <cellStyle name="20% - Énfasis6 38 3 2" xfId="26395" xr:uid="{C1FEE88F-5419-4298-9823-42E3082977D3}"/>
    <cellStyle name="20% - Énfasis6 38 3 2 2" xfId="39932" xr:uid="{080DA18D-26BB-448E-9F91-A028D4EA071E}"/>
    <cellStyle name="20% - Énfasis6 38 3 3" xfId="39931" xr:uid="{95FF8987-8517-4791-84FB-1AE46DCCFEDC}"/>
    <cellStyle name="20% - Énfasis6 38 4" xfId="18690" xr:uid="{52859645-3C2C-4BF3-99EB-DED1C04663D7}"/>
    <cellStyle name="20% - Énfasis6 38 4 2" xfId="39933" xr:uid="{427A1C00-AB81-4BB0-AF7E-7C99AE877E10}"/>
    <cellStyle name="20% - Énfasis6 38 5" xfId="39926" xr:uid="{D6E25420-D145-4741-A827-7D9CAF8FC44E}"/>
    <cellStyle name="20% - Énfasis6 39" xfId="3291" xr:uid="{C536B4F5-A7F2-468B-8E44-60AF969AB8E3}"/>
    <cellStyle name="20% - Énfasis6 39 2" xfId="7023" xr:uid="{B608B29B-9384-4BE8-A780-103008E8A98C}"/>
    <cellStyle name="20% - Énfasis6 39 2 2" xfId="14731" xr:uid="{013247D9-F605-49F7-9861-100FDAD70507}"/>
    <cellStyle name="20% - Énfasis6 39 2 2 2" xfId="30143" xr:uid="{B10195EB-06C3-46A4-BA17-72E5C5FD012A}"/>
    <cellStyle name="20% - Énfasis6 39 2 2 2 2" xfId="39937" xr:uid="{9E77859D-5E01-4F62-BF21-113AC3A5DB3B}"/>
    <cellStyle name="20% - Énfasis6 39 2 2 3" xfId="39936" xr:uid="{04A3514B-BE97-4FE7-B0F8-3822FAFDBE32}"/>
    <cellStyle name="20% - Énfasis6 39 2 3" xfId="22438" xr:uid="{1D72FC97-DC6A-4B5A-8424-58E06B0F1907}"/>
    <cellStyle name="20% - Énfasis6 39 2 3 2" xfId="39938" xr:uid="{2CF5B07D-AFB5-42C9-B130-435C05492B88}"/>
    <cellStyle name="20% - Énfasis6 39 2 4" xfId="39935" xr:uid="{22B34E0C-7A26-43F6-8F2A-477B4DF1E33F}"/>
    <cellStyle name="20% - Énfasis6 39 3" xfId="11002" xr:uid="{D66D4CE3-3778-4378-9669-1F6A7E6F39C8}"/>
    <cellStyle name="20% - Énfasis6 39 3 2" xfId="26415" xr:uid="{B71AA5C4-F21F-4244-BA10-18CCC36BFD34}"/>
    <cellStyle name="20% - Énfasis6 39 3 2 2" xfId="39940" xr:uid="{71D9E4FC-7A57-452A-B4FE-26536F7DC7B2}"/>
    <cellStyle name="20% - Énfasis6 39 3 3" xfId="39939" xr:uid="{F8C04577-AD3E-4C69-A65A-5F5390E104D5}"/>
    <cellStyle name="20% - Énfasis6 39 4" xfId="18710" xr:uid="{1FA30881-FF08-4905-AEA5-AA72384335C8}"/>
    <cellStyle name="20% - Énfasis6 39 4 2" xfId="39941" xr:uid="{6DA70A67-2099-4F54-90CA-D0CEB4AB15C9}"/>
    <cellStyle name="20% - Énfasis6 39 5" xfId="39934" xr:uid="{745F975F-918C-4B25-A8EF-CF41D36E8D29}"/>
    <cellStyle name="20% - Énfasis6 4" xfId="276" xr:uid="{01A210B8-7E75-4118-BBCA-BBF1E063EB2C}"/>
    <cellStyle name="20% - Énfasis6 4 2" xfId="479" xr:uid="{7921380D-20A5-41A1-B5CD-9751920E0D0B}"/>
    <cellStyle name="20% - Énfasis6 4 2 2" xfId="1140" xr:uid="{6D417257-875E-493F-B04A-2057887DD890}"/>
    <cellStyle name="20% - Énfasis6 4 2 2 2" xfId="2608" xr:uid="{D3C1F82B-E087-4137-B781-E52F1C4F8652}"/>
    <cellStyle name="20% - Énfasis6 4 2 2 2 2" xfId="6340" xr:uid="{3289D922-7697-4C2B-BF6E-8B36D3B64F9F}"/>
    <cellStyle name="20% - Énfasis6 4 2 2 2 2 2" xfId="14048" xr:uid="{C7EDA34C-DE67-4D7A-BD3D-C00B1229C7EF}"/>
    <cellStyle name="20% - Énfasis6 4 2 2 2 2 2 2" xfId="29460" xr:uid="{4BB67EE7-7313-420F-93FB-2B2F3A8E4C43}"/>
    <cellStyle name="20% - Énfasis6 4 2 2 2 2 2 2 2" xfId="39948" xr:uid="{503976AF-7D53-4E5D-8AF7-FB2A8A43A582}"/>
    <cellStyle name="20% - Énfasis6 4 2 2 2 2 2 3" xfId="39947" xr:uid="{690113D8-18E5-4A9C-92D8-0748F1F1D4EB}"/>
    <cellStyle name="20% - Énfasis6 4 2 2 2 2 3" xfId="21755" xr:uid="{8A324B72-FF92-4C00-85AE-354729EEDB7C}"/>
    <cellStyle name="20% - Énfasis6 4 2 2 2 2 3 2" xfId="39949" xr:uid="{FF10005A-4C8C-4BF6-BC88-89093FDB4298}"/>
    <cellStyle name="20% - Énfasis6 4 2 2 2 2 4" xfId="39946" xr:uid="{F6FDEDFF-FF88-4F53-BB06-2955E81BCEE5}"/>
    <cellStyle name="20% - Énfasis6 4 2 2 2 3" xfId="10319" xr:uid="{893565C8-46DC-4557-8024-78F4FAF799A3}"/>
    <cellStyle name="20% - Énfasis6 4 2 2 2 3 2" xfId="25732" xr:uid="{FF8FCF9B-AF2E-4FF1-8A72-582B0671613B}"/>
    <cellStyle name="20% - Énfasis6 4 2 2 2 3 2 2" xfId="39951" xr:uid="{D40254C1-16EA-4643-9B66-A8629B63F3BD}"/>
    <cellStyle name="20% - Énfasis6 4 2 2 2 3 3" xfId="39950" xr:uid="{CC78F069-8B49-42D1-862F-7F4B120DEAB9}"/>
    <cellStyle name="20% - Énfasis6 4 2 2 2 4" xfId="18027" xr:uid="{76D2B6B4-3383-425C-843E-4A0F275A427F}"/>
    <cellStyle name="20% - Énfasis6 4 2 2 2 4 2" xfId="39952" xr:uid="{4E9E90B3-BA3D-430E-97E5-AD3D0EEB70E5}"/>
    <cellStyle name="20% - Énfasis6 4 2 2 2 5" xfId="39945" xr:uid="{66ECFFD2-00E6-466F-A68D-35C1F1D0D314}"/>
    <cellStyle name="20% - Énfasis6 4 2 2 3" xfId="4877" xr:uid="{34778B9D-1624-40BE-8F3C-3208D5589F0D}"/>
    <cellStyle name="20% - Énfasis6 4 2 2 3 2" xfId="12585" xr:uid="{45F026BB-1FCE-4C87-821D-927DB55F415E}"/>
    <cellStyle name="20% - Énfasis6 4 2 2 3 2 2" xfId="27997" xr:uid="{174D97AA-4E03-47C1-AA07-9A1C3D71C307}"/>
    <cellStyle name="20% - Énfasis6 4 2 2 3 2 2 2" xfId="39955" xr:uid="{5AB9FE0C-9E4F-4006-AA49-8B71F07C69BF}"/>
    <cellStyle name="20% - Énfasis6 4 2 2 3 2 3" xfId="39954" xr:uid="{15181707-1A6A-47DA-BB62-C1928C0E4AAE}"/>
    <cellStyle name="20% - Énfasis6 4 2 2 3 3" xfId="20292" xr:uid="{C66D2D1C-63BD-4C6D-91BA-DF9F7EAD145A}"/>
    <cellStyle name="20% - Énfasis6 4 2 2 3 3 2" xfId="39956" xr:uid="{A658A521-66DD-4DA1-A9FB-BCDDD8AA066D}"/>
    <cellStyle name="20% - Énfasis6 4 2 2 3 4" xfId="39953" xr:uid="{73E39EB4-9B3A-4B03-A7A8-E1DDB3A0EB6C}"/>
    <cellStyle name="20% - Énfasis6 4 2 2 4" xfId="8860" xr:uid="{874F1517-6BC7-4D86-B051-13C10071CCED}"/>
    <cellStyle name="20% - Énfasis6 4 2 2 4 2" xfId="24273" xr:uid="{F83C2731-400C-4566-8359-0FD6E5429269}"/>
    <cellStyle name="20% - Énfasis6 4 2 2 4 2 2" xfId="39958" xr:uid="{8F71F3B5-0407-48ED-BC37-CC1A0C4DFEEB}"/>
    <cellStyle name="20% - Énfasis6 4 2 2 4 3" xfId="39957" xr:uid="{267B26F9-EDCE-4CC1-A93A-A71F0C8F5880}"/>
    <cellStyle name="20% - Énfasis6 4 2 2 5" xfId="16568" xr:uid="{0FB9065E-3AF2-4D0A-91AD-9AA37F6A7BC4}"/>
    <cellStyle name="20% - Énfasis6 4 2 2 5 2" xfId="39959" xr:uid="{395D7850-DB6A-4811-9B81-F019ED7946AA}"/>
    <cellStyle name="20% - Énfasis6 4 2 2 6" xfId="39944" xr:uid="{A8E7C003-CBBC-411F-AE6F-59DB6B195122}"/>
    <cellStyle name="20% - Énfasis6 4 2 3" xfId="1970" xr:uid="{0E655CC5-9C91-41E4-A126-1C6EEA1AA6BA}"/>
    <cellStyle name="20% - Énfasis6 4 2 3 2" xfId="5702" xr:uid="{8ABCAEAE-3A24-4F3B-9DE9-BA6AA0446464}"/>
    <cellStyle name="20% - Énfasis6 4 2 3 2 2" xfId="13410" xr:uid="{B9586E8D-10C7-455E-AF48-E602F966B1FD}"/>
    <cellStyle name="20% - Énfasis6 4 2 3 2 2 2" xfId="28822" xr:uid="{28A10CF0-D8C6-4C36-9B7D-CF71D46D8A6B}"/>
    <cellStyle name="20% - Énfasis6 4 2 3 2 2 2 2" xfId="39963" xr:uid="{6259E62D-DF8D-4B3F-8DF9-6B271EEE91A8}"/>
    <cellStyle name="20% - Énfasis6 4 2 3 2 2 3" xfId="39962" xr:uid="{99F41053-E142-4594-A03B-45A1C9652AF1}"/>
    <cellStyle name="20% - Énfasis6 4 2 3 2 3" xfId="21117" xr:uid="{7CD89F30-9F9A-41C5-AB3A-5733D00FA8FE}"/>
    <cellStyle name="20% - Énfasis6 4 2 3 2 3 2" xfId="39964" xr:uid="{27991189-2DC3-4224-AE5E-AF216D1F3417}"/>
    <cellStyle name="20% - Énfasis6 4 2 3 2 4" xfId="39961" xr:uid="{122A8361-E47E-44CC-BF94-AE0F3922644B}"/>
    <cellStyle name="20% - Énfasis6 4 2 3 3" xfId="9681" xr:uid="{7B313E5C-28E9-4717-97DB-AE5BF5552782}"/>
    <cellStyle name="20% - Énfasis6 4 2 3 3 2" xfId="25094" xr:uid="{B82B4A19-90C0-4AF8-91C4-BB1EA9247AF4}"/>
    <cellStyle name="20% - Énfasis6 4 2 3 3 2 2" xfId="39966" xr:uid="{4E007748-7668-46C2-B056-372AF813BE9B}"/>
    <cellStyle name="20% - Énfasis6 4 2 3 3 3" xfId="39965" xr:uid="{D7CFA7B7-A017-435A-8F2B-6A818980EA85}"/>
    <cellStyle name="20% - Énfasis6 4 2 3 4" xfId="17389" xr:uid="{BE57896C-D520-4748-BFF8-05B9E1907FCF}"/>
    <cellStyle name="20% - Énfasis6 4 2 3 4 2" xfId="39967" xr:uid="{55F9837E-580A-4F4E-9399-D13995CA7157}"/>
    <cellStyle name="20% - Énfasis6 4 2 3 5" xfId="39960" xr:uid="{092270E8-C4E1-4C57-AF7C-685290DD2900}"/>
    <cellStyle name="20% - Énfasis6 4 2 4" xfId="4225" xr:uid="{5A94AEF7-D8A6-4915-849C-4161C646A626}"/>
    <cellStyle name="20% - Énfasis6 4 2 4 2" xfId="11933" xr:uid="{9B1287B8-9D3C-42FA-A68C-B69B0D62A384}"/>
    <cellStyle name="20% - Énfasis6 4 2 4 2 2" xfId="27345" xr:uid="{58C17C22-7942-46F8-80A9-9BEA9152993B}"/>
    <cellStyle name="20% - Énfasis6 4 2 4 2 2 2" xfId="39970" xr:uid="{C78D3BB7-54C7-489F-B9E9-C1BB4E34D406}"/>
    <cellStyle name="20% - Énfasis6 4 2 4 2 3" xfId="39969" xr:uid="{CAAE2F21-6AC4-4BDB-9903-B1EE462285C8}"/>
    <cellStyle name="20% - Énfasis6 4 2 4 3" xfId="19640" xr:uid="{9CA26D0B-1CD7-4FDD-A5F4-E4C80A1A0E17}"/>
    <cellStyle name="20% - Énfasis6 4 2 4 3 2" xfId="39971" xr:uid="{6D885BBC-9881-4B71-9A5E-605FA4F7C713}"/>
    <cellStyle name="20% - Énfasis6 4 2 4 4" xfId="39968" xr:uid="{439BCD73-9586-48F4-A1F7-BCA17BA84A08}"/>
    <cellStyle name="20% - Énfasis6 4 2 5" xfId="8222" xr:uid="{01DA7394-9A0E-48DC-945B-A0A9420556A1}"/>
    <cellStyle name="20% - Énfasis6 4 2 5 2" xfId="23635" xr:uid="{8818B15D-6B5E-498D-906D-354A13E4DC29}"/>
    <cellStyle name="20% - Énfasis6 4 2 5 2 2" xfId="39973" xr:uid="{73D53A5F-7C26-4C75-B2AE-3B4D038FEC7F}"/>
    <cellStyle name="20% - Énfasis6 4 2 5 3" xfId="39972" xr:uid="{57E16D74-7821-459F-8142-FAF40D2CE853}"/>
    <cellStyle name="20% - Énfasis6 4 2 6" xfId="15930" xr:uid="{5DB63499-E16A-4BD8-9A7E-8C8FBF6E8BA7}"/>
    <cellStyle name="20% - Énfasis6 4 2 6 2" xfId="39974" xr:uid="{8F65DBF0-053F-495D-BDD5-12C20E78E499}"/>
    <cellStyle name="20% - Énfasis6 4 2 7" xfId="39943" xr:uid="{04BFDC3C-C046-43BB-8F2E-294F7C302F9A}"/>
    <cellStyle name="20% - Énfasis6 4 3" xfId="940" xr:uid="{65295F47-AB5B-4B57-997A-2E458F64CC89}"/>
    <cellStyle name="20% - Énfasis6 4 3 2" xfId="2410" xr:uid="{AF4274BD-A4AA-45CD-B989-ABD9C9CCF984}"/>
    <cellStyle name="20% - Énfasis6 4 3 2 2" xfId="6142" xr:uid="{9C10849A-BAC8-4668-A192-F5D19993555B}"/>
    <cellStyle name="20% - Énfasis6 4 3 2 2 2" xfId="13850" xr:uid="{DA625B38-CBD2-49D2-9292-28863E4B78DA}"/>
    <cellStyle name="20% - Énfasis6 4 3 2 2 2 2" xfId="29262" xr:uid="{842EA852-BA52-4A5E-9E5B-8A6B83C1E408}"/>
    <cellStyle name="20% - Énfasis6 4 3 2 2 2 2 2" xfId="39979" xr:uid="{1450F419-7C1E-42E7-9027-21DAEC6C938B}"/>
    <cellStyle name="20% - Énfasis6 4 3 2 2 2 3" xfId="39978" xr:uid="{0F31AE01-09CC-4C9E-8981-8DB830C04733}"/>
    <cellStyle name="20% - Énfasis6 4 3 2 2 3" xfId="21557" xr:uid="{51821FEB-8483-47BC-A5F0-B3DA18AF209D}"/>
    <cellStyle name="20% - Énfasis6 4 3 2 2 3 2" xfId="39980" xr:uid="{807149DA-EAD7-4E95-9562-C86F7DCB91AD}"/>
    <cellStyle name="20% - Énfasis6 4 3 2 2 4" xfId="39977" xr:uid="{E2DBB973-1C0A-4F0F-ACB6-04DD50922EBD}"/>
    <cellStyle name="20% - Énfasis6 4 3 2 3" xfId="10121" xr:uid="{6226FB24-BFEB-4C15-9A8D-0014B7B0A413}"/>
    <cellStyle name="20% - Énfasis6 4 3 2 3 2" xfId="25534" xr:uid="{F59870D5-3D95-4057-9E2E-0FE01D2D8C88}"/>
    <cellStyle name="20% - Énfasis6 4 3 2 3 2 2" xfId="39982" xr:uid="{2CD992D0-C6D4-4B00-AFE7-CCB2B9049ACE}"/>
    <cellStyle name="20% - Énfasis6 4 3 2 3 3" xfId="39981" xr:uid="{0428A49C-15B7-4CB5-800A-2C45E2722E2B}"/>
    <cellStyle name="20% - Énfasis6 4 3 2 4" xfId="17829" xr:uid="{37D246DE-B63F-41CA-91DE-28592B82DA97}"/>
    <cellStyle name="20% - Énfasis6 4 3 2 4 2" xfId="39983" xr:uid="{52EFC335-A14E-4588-9A83-6E01BCB03241}"/>
    <cellStyle name="20% - Énfasis6 4 3 2 5" xfId="39976" xr:uid="{DD2293CA-4147-4588-B3E8-382E03CDED93}"/>
    <cellStyle name="20% - Énfasis6 4 3 3" xfId="4677" xr:uid="{FC9CDD7E-6D72-4047-83AF-344D12BE4C12}"/>
    <cellStyle name="20% - Énfasis6 4 3 3 2" xfId="12385" xr:uid="{656EEF42-5A6A-40D1-9D63-DE073D5D2497}"/>
    <cellStyle name="20% - Énfasis6 4 3 3 2 2" xfId="27797" xr:uid="{AD0FC709-CCED-4D8F-9773-A5F485D00876}"/>
    <cellStyle name="20% - Énfasis6 4 3 3 2 2 2" xfId="39986" xr:uid="{3D2AD797-4ED5-4850-B249-F02D60465303}"/>
    <cellStyle name="20% - Énfasis6 4 3 3 2 3" xfId="39985" xr:uid="{B3071AB7-FEAF-441B-BB9E-EF480D43F4D9}"/>
    <cellStyle name="20% - Énfasis6 4 3 3 3" xfId="20092" xr:uid="{0B53F9C4-5A9E-479A-A97F-82EE60C25A02}"/>
    <cellStyle name="20% - Énfasis6 4 3 3 3 2" xfId="39987" xr:uid="{93CC7C51-961D-42F4-9BE5-6B7F2EB03DDF}"/>
    <cellStyle name="20% - Énfasis6 4 3 3 4" xfId="39984" xr:uid="{12709A1C-4395-4955-9F6E-FC954CC5B78A}"/>
    <cellStyle name="20% - Énfasis6 4 3 4" xfId="8662" xr:uid="{09A84927-DCDD-4CF6-874D-88F8CBFCB7C4}"/>
    <cellStyle name="20% - Énfasis6 4 3 4 2" xfId="24075" xr:uid="{756C2399-BEC1-4086-87D1-C70157DE5973}"/>
    <cellStyle name="20% - Énfasis6 4 3 4 2 2" xfId="39989" xr:uid="{0FB79CD8-0105-4EEE-AE31-B2DB72602FC6}"/>
    <cellStyle name="20% - Énfasis6 4 3 4 3" xfId="39988" xr:uid="{BFD083BF-B978-47DA-8314-FADD2017F541}"/>
    <cellStyle name="20% - Énfasis6 4 3 5" xfId="16370" xr:uid="{9E77A206-8977-488F-9730-3C7CE6011E36}"/>
    <cellStyle name="20% - Énfasis6 4 3 5 2" xfId="39990" xr:uid="{21A548A4-FEC5-4DDD-AF3D-42BBF91401BC}"/>
    <cellStyle name="20% - Énfasis6 4 3 6" xfId="39975" xr:uid="{57EAAED6-78E5-480E-8A6D-3BD335F83562}"/>
    <cellStyle name="20% - Énfasis6 4 4" xfId="1772" xr:uid="{595A6544-6B6F-4FB8-B89D-B6F29BCB9F12}"/>
    <cellStyle name="20% - Énfasis6 4 4 2" xfId="5504" xr:uid="{0E18B7B1-4A7D-473A-8EBA-13BC737829CE}"/>
    <cellStyle name="20% - Énfasis6 4 4 2 2" xfId="13212" xr:uid="{C6EFEBD9-2266-4AA2-9873-3D69AB35649A}"/>
    <cellStyle name="20% - Énfasis6 4 4 2 2 2" xfId="28624" xr:uid="{5F64340A-AE43-4DCE-80FC-42C6D1878681}"/>
    <cellStyle name="20% - Énfasis6 4 4 2 2 2 2" xfId="39994" xr:uid="{783E3EAC-C0B1-4FBB-A62A-1F7E4D759BC5}"/>
    <cellStyle name="20% - Énfasis6 4 4 2 2 3" xfId="39993" xr:uid="{877F2B60-F638-4EE5-88D2-17F0E0F556FA}"/>
    <cellStyle name="20% - Énfasis6 4 4 2 3" xfId="20919" xr:uid="{3D1A231A-F2E9-4A4F-A7CA-80E88BD45699}"/>
    <cellStyle name="20% - Énfasis6 4 4 2 3 2" xfId="39995" xr:uid="{DA6C9631-FD06-4D85-8807-932AB5AB822A}"/>
    <cellStyle name="20% - Énfasis6 4 4 2 4" xfId="39992" xr:uid="{649D0DA5-CA1E-45EE-8606-69840E54F555}"/>
    <cellStyle name="20% - Énfasis6 4 4 3" xfId="9483" xr:uid="{D1511190-50EB-43B1-86DF-D545B5BC397E}"/>
    <cellStyle name="20% - Énfasis6 4 4 3 2" xfId="24896" xr:uid="{6D1E6C02-6960-42FA-8884-B6558367781C}"/>
    <cellStyle name="20% - Énfasis6 4 4 3 2 2" xfId="39997" xr:uid="{E6CCFB2D-8A0F-4E8B-8B92-BDC0E68C2FAF}"/>
    <cellStyle name="20% - Énfasis6 4 4 3 3" xfId="39996" xr:uid="{867753D6-884B-4882-A71B-A82BECAD848E}"/>
    <cellStyle name="20% - Énfasis6 4 4 4" xfId="17191" xr:uid="{72A7CB09-14C7-4FF0-8571-A98CCE0FEDE7}"/>
    <cellStyle name="20% - Énfasis6 4 4 4 2" xfId="39998" xr:uid="{CDC28FEB-B9E7-4A8F-BFC3-37BD73A310E5}"/>
    <cellStyle name="20% - Énfasis6 4 4 5" xfId="39991" xr:uid="{092E1E98-A148-4167-AA3D-439400C24B10}"/>
    <cellStyle name="20% - Énfasis6 4 5" xfId="4025" xr:uid="{665536AF-6E2B-454F-9A51-26859890B68E}"/>
    <cellStyle name="20% - Énfasis6 4 5 2" xfId="11733" xr:uid="{6BCE03F2-D3F3-47EF-8FE6-960357ECC67E}"/>
    <cellStyle name="20% - Énfasis6 4 5 2 2" xfId="27145" xr:uid="{9296BFF6-0688-4D92-BE3D-C73ACEB820B9}"/>
    <cellStyle name="20% - Énfasis6 4 5 2 2 2" xfId="40001" xr:uid="{CD9C7CCC-EFA5-46CC-B88E-8AAC8BBF53BD}"/>
    <cellStyle name="20% - Énfasis6 4 5 2 3" xfId="40000" xr:uid="{25E0EA19-3435-4527-B908-CC5AE4A9EF76}"/>
    <cellStyle name="20% - Énfasis6 4 5 3" xfId="19440" xr:uid="{8D890C42-8901-4AE7-993E-99DB2D2809F4}"/>
    <cellStyle name="20% - Énfasis6 4 5 3 2" xfId="40002" xr:uid="{B4ED0964-0DEA-4F85-8053-995CD2CB1E68}"/>
    <cellStyle name="20% - Énfasis6 4 5 4" xfId="39999" xr:uid="{834E477C-A6AD-45A2-9D96-680C2630143C}"/>
    <cellStyle name="20% - Énfasis6 4 6" xfId="8024" xr:uid="{7525D815-B2AF-49A5-9D3A-C4D13BF42C18}"/>
    <cellStyle name="20% - Énfasis6 4 6 2" xfId="23437" xr:uid="{C51DD3E0-FBD8-4D96-B6B5-3E3BAE9EBB64}"/>
    <cellStyle name="20% - Énfasis6 4 6 2 2" xfId="40004" xr:uid="{E80F693D-6740-4C09-8DA0-5123CC870FF0}"/>
    <cellStyle name="20% - Énfasis6 4 6 3" xfId="40003" xr:uid="{664C472E-91C4-458C-8955-E9BA8908E633}"/>
    <cellStyle name="20% - Énfasis6 4 7" xfId="15732" xr:uid="{4B893035-071A-4A1B-B4B9-18A9940FD27E}"/>
    <cellStyle name="20% - Énfasis6 4 7 2" xfId="40005" xr:uid="{24E13E3F-DC77-450D-9525-B5F3AED35611}"/>
    <cellStyle name="20% - Énfasis6 4 8" xfId="39942" xr:uid="{AF75E21B-2894-4D34-89FD-05BD1C132E4F}"/>
    <cellStyle name="20% - Énfasis6 5" xfId="296" xr:uid="{B320E051-D4EA-424A-A86E-0D0E61CDC7A4}"/>
    <cellStyle name="20% - Énfasis6 5 2" xfId="499" xr:uid="{93CB77C7-B0C0-4D9F-98EC-4337C341FC0A}"/>
    <cellStyle name="20% - Énfasis6 5 2 2" xfId="1160" xr:uid="{18298526-8A65-49B9-AFC8-BD13BAE582BD}"/>
    <cellStyle name="20% - Énfasis6 5 2 2 2" xfId="2628" xr:uid="{719DD3E1-CD6F-462B-8FEA-597EF4EFA616}"/>
    <cellStyle name="20% - Énfasis6 5 2 2 2 2" xfId="6360" xr:uid="{4A9EE76F-5159-4B27-9CB4-D7AF1D6E6A20}"/>
    <cellStyle name="20% - Énfasis6 5 2 2 2 2 2" xfId="14068" xr:uid="{75530C66-0F21-46C9-B3AA-CE80F6A66483}"/>
    <cellStyle name="20% - Énfasis6 5 2 2 2 2 2 2" xfId="29480" xr:uid="{DC51FDB9-9C87-45A4-A6CF-B7314EE49F91}"/>
    <cellStyle name="20% - Énfasis6 5 2 2 2 2 2 2 2" xfId="40012" xr:uid="{929A7C68-CFE4-497E-9C0A-9630677E7C41}"/>
    <cellStyle name="20% - Énfasis6 5 2 2 2 2 2 3" xfId="40011" xr:uid="{D2872EFD-2121-4D11-B5C7-41C04295CB11}"/>
    <cellStyle name="20% - Énfasis6 5 2 2 2 2 3" xfId="21775" xr:uid="{FB523A67-81F9-4E4C-81F5-6A9B1A2360D1}"/>
    <cellStyle name="20% - Énfasis6 5 2 2 2 2 3 2" xfId="40013" xr:uid="{DFA5D741-335C-416F-9E3E-839F49C7D874}"/>
    <cellStyle name="20% - Énfasis6 5 2 2 2 2 4" xfId="40010" xr:uid="{4EA2BCF8-0315-447A-A087-0D3BBFD85EF1}"/>
    <cellStyle name="20% - Énfasis6 5 2 2 2 3" xfId="10339" xr:uid="{794CE154-1F7D-4CBB-8411-E765DCED24BF}"/>
    <cellStyle name="20% - Énfasis6 5 2 2 2 3 2" xfId="25752" xr:uid="{C05A404F-F99D-4011-BB5E-1320F60B8C73}"/>
    <cellStyle name="20% - Énfasis6 5 2 2 2 3 2 2" xfId="40015" xr:uid="{04940D04-5A07-4E90-B60B-A708C7FD2807}"/>
    <cellStyle name="20% - Énfasis6 5 2 2 2 3 3" xfId="40014" xr:uid="{4817F591-98B1-434A-9ED7-C407B196262D}"/>
    <cellStyle name="20% - Énfasis6 5 2 2 2 4" xfId="18047" xr:uid="{54BD79D7-076F-4D5F-BAAD-44146F9CA916}"/>
    <cellStyle name="20% - Énfasis6 5 2 2 2 4 2" xfId="40016" xr:uid="{5081643B-B9E8-4978-AC57-8A5E575204FB}"/>
    <cellStyle name="20% - Énfasis6 5 2 2 2 5" xfId="40009" xr:uid="{FF815830-7E0A-4E99-B288-039C1F51DBAB}"/>
    <cellStyle name="20% - Énfasis6 5 2 2 3" xfId="4897" xr:uid="{4F9DEA3E-4CE2-42EF-A48B-CF7B052A21A2}"/>
    <cellStyle name="20% - Énfasis6 5 2 2 3 2" xfId="12605" xr:uid="{7A4F0BFB-EAFA-4AE9-8FB1-CBC40C6DD224}"/>
    <cellStyle name="20% - Énfasis6 5 2 2 3 2 2" xfId="28017" xr:uid="{8719CA99-DC15-4282-9D1E-84D6602D3869}"/>
    <cellStyle name="20% - Énfasis6 5 2 2 3 2 2 2" xfId="40019" xr:uid="{A471534E-623A-4AC6-8519-62E8FD3F5BFF}"/>
    <cellStyle name="20% - Énfasis6 5 2 2 3 2 3" xfId="40018" xr:uid="{82128FD8-907F-4E1F-9CAD-0B9953380DCE}"/>
    <cellStyle name="20% - Énfasis6 5 2 2 3 3" xfId="20312" xr:uid="{C37244D6-21C7-4169-ABF6-8F6986C5E3FC}"/>
    <cellStyle name="20% - Énfasis6 5 2 2 3 3 2" xfId="40020" xr:uid="{38DC7948-E082-4E6C-BF68-A764D0BB1BAC}"/>
    <cellStyle name="20% - Énfasis6 5 2 2 3 4" xfId="40017" xr:uid="{957DB4BD-956E-46FF-BD21-D4199D63D5A7}"/>
    <cellStyle name="20% - Énfasis6 5 2 2 4" xfId="8880" xr:uid="{1DE15ADE-6707-4363-825D-94B93C1A7851}"/>
    <cellStyle name="20% - Énfasis6 5 2 2 4 2" xfId="24293" xr:uid="{659F7BFD-3458-41F1-B937-6D4EA58D6F25}"/>
    <cellStyle name="20% - Énfasis6 5 2 2 4 2 2" xfId="40022" xr:uid="{24D81041-2BD2-43F3-9F35-65F7C7ACBB7A}"/>
    <cellStyle name="20% - Énfasis6 5 2 2 4 3" xfId="40021" xr:uid="{68F9E9D0-8901-4E49-AD93-0DBB65A841D9}"/>
    <cellStyle name="20% - Énfasis6 5 2 2 5" xfId="16588" xr:uid="{D5D6DA39-B18E-4F97-9CD1-78FF7A64ABFB}"/>
    <cellStyle name="20% - Énfasis6 5 2 2 5 2" xfId="40023" xr:uid="{BCDD3478-5B2A-48A7-8C47-9D049B7F005A}"/>
    <cellStyle name="20% - Énfasis6 5 2 2 6" xfId="40008" xr:uid="{9D462DA3-020E-4ACC-80BB-4E33EAC6076B}"/>
    <cellStyle name="20% - Énfasis6 5 2 3" xfId="1990" xr:uid="{B8DBB8C8-135B-4DC0-A7B0-0FB4E01CE1F8}"/>
    <cellStyle name="20% - Énfasis6 5 2 3 2" xfId="5722" xr:uid="{16E59614-9180-428B-A6CA-4A50B52B346A}"/>
    <cellStyle name="20% - Énfasis6 5 2 3 2 2" xfId="13430" xr:uid="{6A0EAA65-BE87-41EA-9F2C-BAD06A74A050}"/>
    <cellStyle name="20% - Énfasis6 5 2 3 2 2 2" xfId="28842" xr:uid="{46D443FC-7E5E-41C0-9C6F-527153065F07}"/>
    <cellStyle name="20% - Énfasis6 5 2 3 2 2 2 2" xfId="40027" xr:uid="{F41C69B8-B155-4058-9A8C-DFEFD1FA5CF2}"/>
    <cellStyle name="20% - Énfasis6 5 2 3 2 2 3" xfId="40026" xr:uid="{ADAE33AD-8D87-4B91-8686-5297F012014D}"/>
    <cellStyle name="20% - Énfasis6 5 2 3 2 3" xfId="21137" xr:uid="{0D8D0ED4-75DB-44A2-BF44-1048B4C03038}"/>
    <cellStyle name="20% - Énfasis6 5 2 3 2 3 2" xfId="40028" xr:uid="{4069C6F7-5519-4EBA-BE30-D9C244C03860}"/>
    <cellStyle name="20% - Énfasis6 5 2 3 2 4" xfId="40025" xr:uid="{FE3CDF4E-7100-4193-89BA-FF15F6EF5B65}"/>
    <cellStyle name="20% - Énfasis6 5 2 3 3" xfId="9701" xr:uid="{B9B6447E-4477-4B4B-88FA-22BDB239DA49}"/>
    <cellStyle name="20% - Énfasis6 5 2 3 3 2" xfId="25114" xr:uid="{2FF087E2-446F-4D74-9D93-7124FD15394C}"/>
    <cellStyle name="20% - Énfasis6 5 2 3 3 2 2" xfId="40030" xr:uid="{FA3E581F-E1C0-48BD-89CB-921C265D0BFE}"/>
    <cellStyle name="20% - Énfasis6 5 2 3 3 3" xfId="40029" xr:uid="{B5EA0AD7-C3D8-41CD-8153-A2147044542A}"/>
    <cellStyle name="20% - Énfasis6 5 2 3 4" xfId="17409" xr:uid="{9E179A85-FA67-4D55-9F73-322728816737}"/>
    <cellStyle name="20% - Énfasis6 5 2 3 4 2" xfId="40031" xr:uid="{8C21490B-EDCF-473B-8EAF-86048BFFF12A}"/>
    <cellStyle name="20% - Énfasis6 5 2 3 5" xfId="40024" xr:uid="{A768E0C5-C607-44BC-8A6D-E5C56AD27F5E}"/>
    <cellStyle name="20% - Énfasis6 5 2 4" xfId="4245" xr:uid="{4F85C269-0190-41F3-9DF0-910079AE5410}"/>
    <cellStyle name="20% - Énfasis6 5 2 4 2" xfId="11953" xr:uid="{D76D9E7D-BAA0-4678-9A05-623F64359FD3}"/>
    <cellStyle name="20% - Énfasis6 5 2 4 2 2" xfId="27365" xr:uid="{9D85DCEC-D43C-464B-93D7-F8B3351E928F}"/>
    <cellStyle name="20% - Énfasis6 5 2 4 2 2 2" xfId="40034" xr:uid="{64DEBCB2-03FF-486B-9199-43D03B83FD83}"/>
    <cellStyle name="20% - Énfasis6 5 2 4 2 3" xfId="40033" xr:uid="{A7C97166-50BD-40C6-83C5-4430EC6DE9D6}"/>
    <cellStyle name="20% - Énfasis6 5 2 4 3" xfId="19660" xr:uid="{EBE0DA6F-22BD-46B2-ABEC-50806F8471ED}"/>
    <cellStyle name="20% - Énfasis6 5 2 4 3 2" xfId="40035" xr:uid="{2752A5AF-DDED-4A0C-AEEE-9316BD31D445}"/>
    <cellStyle name="20% - Énfasis6 5 2 4 4" xfId="40032" xr:uid="{D2222713-1B0B-4623-B429-2531735F2363}"/>
    <cellStyle name="20% - Énfasis6 5 2 5" xfId="8242" xr:uid="{4FFEE85E-9026-486B-9F6A-3C1F62B8201C}"/>
    <cellStyle name="20% - Énfasis6 5 2 5 2" xfId="23655" xr:uid="{AD746236-8218-44D5-B929-5529E5C2F46B}"/>
    <cellStyle name="20% - Énfasis6 5 2 5 2 2" xfId="40037" xr:uid="{0A22A457-814B-4F65-A90D-08AF1A8AEAFE}"/>
    <cellStyle name="20% - Énfasis6 5 2 5 3" xfId="40036" xr:uid="{C5B65DAA-70CB-4AE9-9264-42D142443252}"/>
    <cellStyle name="20% - Énfasis6 5 2 6" xfId="15950" xr:uid="{4E73E640-7C35-494D-93EB-2B9463099F38}"/>
    <cellStyle name="20% - Énfasis6 5 2 6 2" xfId="40038" xr:uid="{BEC73242-ED51-421F-96B1-DDCDE0FF279E}"/>
    <cellStyle name="20% - Énfasis6 5 2 7" xfId="40007" xr:uid="{A367B376-6AD4-414A-8B7F-A2A181F33417}"/>
    <cellStyle name="20% - Énfasis6 5 3" xfId="960" xr:uid="{1247F5E1-C17A-4351-9A37-F4A5068D8F24}"/>
    <cellStyle name="20% - Énfasis6 5 3 2" xfId="2430" xr:uid="{71865ACE-80BE-40C4-8B3B-E864492CDCD0}"/>
    <cellStyle name="20% - Énfasis6 5 3 2 2" xfId="6162" xr:uid="{85ECC3EF-B2EE-4007-B210-A3068AD83948}"/>
    <cellStyle name="20% - Énfasis6 5 3 2 2 2" xfId="13870" xr:uid="{A10DAE66-74DA-41B9-9BE1-CCD015122409}"/>
    <cellStyle name="20% - Énfasis6 5 3 2 2 2 2" xfId="29282" xr:uid="{A5891DDF-CB24-4B31-868F-DD33CC5ACEE6}"/>
    <cellStyle name="20% - Énfasis6 5 3 2 2 2 2 2" xfId="40043" xr:uid="{86A6D811-0B34-42EC-848F-E3FF6DBC13B6}"/>
    <cellStyle name="20% - Énfasis6 5 3 2 2 2 3" xfId="40042" xr:uid="{E668846C-4C70-4496-8479-EC28E954B29A}"/>
    <cellStyle name="20% - Énfasis6 5 3 2 2 3" xfId="21577" xr:uid="{7D1B94F6-62D1-443D-88DA-D8E045C29A70}"/>
    <cellStyle name="20% - Énfasis6 5 3 2 2 3 2" xfId="40044" xr:uid="{FD19922F-5282-4217-A4D6-43584706BCAF}"/>
    <cellStyle name="20% - Énfasis6 5 3 2 2 4" xfId="40041" xr:uid="{32A23012-0F88-4513-8613-B9191BD68D66}"/>
    <cellStyle name="20% - Énfasis6 5 3 2 3" xfId="10141" xr:uid="{CB0C9BFC-EDD7-4433-A97A-0628A87C315B}"/>
    <cellStyle name="20% - Énfasis6 5 3 2 3 2" xfId="25554" xr:uid="{9FABD713-4786-488E-8AFA-4ACE1B93773F}"/>
    <cellStyle name="20% - Énfasis6 5 3 2 3 2 2" xfId="40046" xr:uid="{479191C9-4E4F-49E2-9B35-CC7952A94FA7}"/>
    <cellStyle name="20% - Énfasis6 5 3 2 3 3" xfId="40045" xr:uid="{B772687F-84F0-4732-BE18-551A07B857F8}"/>
    <cellStyle name="20% - Énfasis6 5 3 2 4" xfId="17849" xr:uid="{0F725163-F066-4753-AC94-500836964716}"/>
    <cellStyle name="20% - Énfasis6 5 3 2 4 2" xfId="40047" xr:uid="{DA63B3B9-B0E6-4C5F-B807-86F4953CC18C}"/>
    <cellStyle name="20% - Énfasis6 5 3 2 5" xfId="40040" xr:uid="{D9D265FA-E984-4B39-ABD0-27245E145FE7}"/>
    <cellStyle name="20% - Énfasis6 5 3 3" xfId="4697" xr:uid="{5243CC06-E55D-42DF-A7CB-60E369508F45}"/>
    <cellStyle name="20% - Énfasis6 5 3 3 2" xfId="12405" xr:uid="{4CEF95C0-F7B8-47CA-8AA6-60E713F57775}"/>
    <cellStyle name="20% - Énfasis6 5 3 3 2 2" xfId="27817" xr:uid="{F3FC52B5-DE34-4BE6-951B-B805611AD8F3}"/>
    <cellStyle name="20% - Énfasis6 5 3 3 2 2 2" xfId="40050" xr:uid="{B25091D7-A19E-42C0-B733-F73FB96977E0}"/>
    <cellStyle name="20% - Énfasis6 5 3 3 2 3" xfId="40049" xr:uid="{9039732F-FA81-465C-939F-160DB848018B}"/>
    <cellStyle name="20% - Énfasis6 5 3 3 3" xfId="20112" xr:uid="{D6CF52EE-7E3F-4275-A04E-1C7B8C182425}"/>
    <cellStyle name="20% - Énfasis6 5 3 3 3 2" xfId="40051" xr:uid="{FE393563-C9B9-48F4-B262-BBD711809081}"/>
    <cellStyle name="20% - Énfasis6 5 3 3 4" xfId="40048" xr:uid="{9A0516B8-C209-41D8-9F53-D6E6D41A83D2}"/>
    <cellStyle name="20% - Énfasis6 5 3 4" xfId="8682" xr:uid="{EF7E1C92-73D1-4814-B36E-0AE4B16815B6}"/>
    <cellStyle name="20% - Énfasis6 5 3 4 2" xfId="24095" xr:uid="{EE20BA97-0D68-4B31-B9E6-82C9C81FB2DC}"/>
    <cellStyle name="20% - Énfasis6 5 3 4 2 2" xfId="40053" xr:uid="{34BB65D6-AB31-488E-B527-8519B2CAB2C8}"/>
    <cellStyle name="20% - Énfasis6 5 3 4 3" xfId="40052" xr:uid="{12583C83-0D55-4891-9564-2846FDAAB21B}"/>
    <cellStyle name="20% - Énfasis6 5 3 5" xfId="16390" xr:uid="{E6277AE9-9043-4BF0-9CD3-95116F9989F3}"/>
    <cellStyle name="20% - Énfasis6 5 3 5 2" xfId="40054" xr:uid="{B86BD90E-2698-4D70-A14C-D76D81F5EA72}"/>
    <cellStyle name="20% - Énfasis6 5 3 6" xfId="40039" xr:uid="{5FFFF796-F0DE-4033-A32E-F7438799291F}"/>
    <cellStyle name="20% - Énfasis6 5 4" xfId="1792" xr:uid="{94F9B10E-3265-4B7D-8711-C231CF6614A2}"/>
    <cellStyle name="20% - Énfasis6 5 4 2" xfId="5524" xr:uid="{62AB81C7-98FC-4F3F-961E-078592770445}"/>
    <cellStyle name="20% - Énfasis6 5 4 2 2" xfId="13232" xr:uid="{46E64A8E-9CE4-42C9-8D4F-52E0DB2B5F18}"/>
    <cellStyle name="20% - Énfasis6 5 4 2 2 2" xfId="28644" xr:uid="{4F319661-88A5-46B5-B55C-0C8392154DD9}"/>
    <cellStyle name="20% - Énfasis6 5 4 2 2 2 2" xfId="40058" xr:uid="{F9F14EFB-2AC2-4A7C-A4EB-145B563A93FD}"/>
    <cellStyle name="20% - Énfasis6 5 4 2 2 3" xfId="40057" xr:uid="{C8C5F70E-B03C-4D84-B8FB-19225A512BFE}"/>
    <cellStyle name="20% - Énfasis6 5 4 2 3" xfId="20939" xr:uid="{0D103AD4-D95B-4147-A629-8A54AC7B1A4E}"/>
    <cellStyle name="20% - Énfasis6 5 4 2 3 2" xfId="40059" xr:uid="{BCEF2EB1-A84E-4EC2-A513-160E591EA977}"/>
    <cellStyle name="20% - Énfasis6 5 4 2 4" xfId="40056" xr:uid="{7DB188FF-2427-4267-9033-5BBA70EC066B}"/>
    <cellStyle name="20% - Énfasis6 5 4 3" xfId="9503" xr:uid="{E6A20DB5-A9D6-4CE5-A396-A27C13826A6F}"/>
    <cellStyle name="20% - Énfasis6 5 4 3 2" xfId="24916" xr:uid="{590A390C-6E23-4E67-9369-39AE9A93938C}"/>
    <cellStyle name="20% - Énfasis6 5 4 3 2 2" xfId="40061" xr:uid="{1D5A7583-68D3-4976-8226-FA870253F2EC}"/>
    <cellStyle name="20% - Énfasis6 5 4 3 3" xfId="40060" xr:uid="{ECED7129-D719-45E8-ACD0-A6C8DF738160}"/>
    <cellStyle name="20% - Énfasis6 5 4 4" xfId="17211" xr:uid="{A7408C89-8F9F-493C-BC2A-9EDF1D1D6D6E}"/>
    <cellStyle name="20% - Énfasis6 5 4 4 2" xfId="40062" xr:uid="{19466BFB-BD72-46ED-BCCC-2745649FE621}"/>
    <cellStyle name="20% - Énfasis6 5 4 5" xfId="40055" xr:uid="{9D3F60B8-4365-4738-A649-F8FA6793E0E9}"/>
    <cellStyle name="20% - Énfasis6 5 5" xfId="4045" xr:uid="{04B62AB2-97CF-4060-B17F-D486E9598EBA}"/>
    <cellStyle name="20% - Énfasis6 5 5 2" xfId="11753" xr:uid="{CF506E12-C037-4254-8E2E-3DCCBCD97912}"/>
    <cellStyle name="20% - Énfasis6 5 5 2 2" xfId="27165" xr:uid="{22237D2E-25B1-497E-96A7-FEB49062B510}"/>
    <cellStyle name="20% - Énfasis6 5 5 2 2 2" xfId="40065" xr:uid="{537C0EFE-8480-4B2E-BB1F-1D000DEBD01C}"/>
    <cellStyle name="20% - Énfasis6 5 5 2 3" xfId="40064" xr:uid="{C3377964-F31E-45C4-BCF8-F19D65DFDEB7}"/>
    <cellStyle name="20% - Énfasis6 5 5 3" xfId="19460" xr:uid="{3A6F5355-B1EA-4444-ADCD-E2D0BFE1A285}"/>
    <cellStyle name="20% - Énfasis6 5 5 3 2" xfId="40066" xr:uid="{7B53B665-EDA1-419F-9B7A-3B0E1B3C32F6}"/>
    <cellStyle name="20% - Énfasis6 5 5 4" xfId="40063" xr:uid="{13CD2BB5-42DC-4FD3-B636-F470644C60E9}"/>
    <cellStyle name="20% - Énfasis6 5 6" xfId="8044" xr:uid="{27416A13-F117-4B22-9FC6-93D9A6C739A1}"/>
    <cellStyle name="20% - Énfasis6 5 6 2" xfId="23457" xr:uid="{37B348B4-8EF0-491C-A45A-8DF11237CD18}"/>
    <cellStyle name="20% - Énfasis6 5 6 2 2" xfId="40068" xr:uid="{30334E02-1F3B-4654-A8AB-9B6F0859BA72}"/>
    <cellStyle name="20% - Énfasis6 5 6 3" xfId="40067" xr:uid="{F5ABC0B7-5354-404A-B7B9-A6C02AB19CE6}"/>
    <cellStyle name="20% - Énfasis6 5 7" xfId="15752" xr:uid="{FDC30D76-6226-425C-9AF8-5D662DFE74EE}"/>
    <cellStyle name="20% - Énfasis6 5 7 2" xfId="40069" xr:uid="{C240E6ED-F93E-47D9-B83B-0EE47DE80D8D}"/>
    <cellStyle name="20% - Énfasis6 5 8" xfId="40006" xr:uid="{610C9974-9198-45BC-B7FD-6A90763A8D13}"/>
    <cellStyle name="20% - Énfasis6 6" xfId="316" xr:uid="{1800FC19-2639-4973-95F1-905F0D7FCE73}"/>
    <cellStyle name="20% - Énfasis6 6 2" xfId="519" xr:uid="{EACAE818-3F9B-4D00-A117-D97CCA2386DF}"/>
    <cellStyle name="20% - Énfasis6 6 2 2" xfId="1180" xr:uid="{AD819521-952E-40BD-BC9B-A5850352CBD5}"/>
    <cellStyle name="20% - Énfasis6 6 2 2 2" xfId="2648" xr:uid="{386D47F4-5FB6-449E-B9B2-5C69688743A7}"/>
    <cellStyle name="20% - Énfasis6 6 2 2 2 2" xfId="6380" xr:uid="{983E12D5-4563-4DBF-A8E8-37BAEC088FE7}"/>
    <cellStyle name="20% - Énfasis6 6 2 2 2 2 2" xfId="14088" xr:uid="{8FFC5460-92E2-4EA0-A1F7-8CFC6774FF6F}"/>
    <cellStyle name="20% - Énfasis6 6 2 2 2 2 2 2" xfId="29500" xr:uid="{E77A6A17-CF5B-407B-83BE-15CE773E1D5D}"/>
    <cellStyle name="20% - Énfasis6 6 2 2 2 2 2 2 2" xfId="40076" xr:uid="{1DEA4952-D214-4517-964E-C1E35810507D}"/>
    <cellStyle name="20% - Énfasis6 6 2 2 2 2 2 3" xfId="40075" xr:uid="{1D8F4B45-B2CA-4E03-A65B-406DCA2F27AF}"/>
    <cellStyle name="20% - Énfasis6 6 2 2 2 2 3" xfId="21795" xr:uid="{087FA70F-30DA-44AE-ADFC-F827BBE41F92}"/>
    <cellStyle name="20% - Énfasis6 6 2 2 2 2 3 2" xfId="40077" xr:uid="{204A6A3B-FF5C-41E3-AABD-F4C18B5669F4}"/>
    <cellStyle name="20% - Énfasis6 6 2 2 2 2 4" xfId="40074" xr:uid="{D56D7D5B-BDA8-499F-8203-AB4137C2BD2F}"/>
    <cellStyle name="20% - Énfasis6 6 2 2 2 3" xfId="10359" xr:uid="{7E5BE6E4-B167-4736-8E99-647713754D51}"/>
    <cellStyle name="20% - Énfasis6 6 2 2 2 3 2" xfId="25772" xr:uid="{11420972-B635-48B6-A73A-5A5F6A4DA1E7}"/>
    <cellStyle name="20% - Énfasis6 6 2 2 2 3 2 2" xfId="40079" xr:uid="{EAB8019C-38CA-49EE-B9EF-93D47A5FD160}"/>
    <cellStyle name="20% - Énfasis6 6 2 2 2 3 3" xfId="40078" xr:uid="{DA9023D5-96E4-4DAE-8A70-6BCABCB4FDE8}"/>
    <cellStyle name="20% - Énfasis6 6 2 2 2 4" xfId="18067" xr:uid="{0F225F3F-D422-4525-B0E1-96089F6226B4}"/>
    <cellStyle name="20% - Énfasis6 6 2 2 2 4 2" xfId="40080" xr:uid="{37D6531E-592C-404A-9EC3-3B8C2B96B630}"/>
    <cellStyle name="20% - Énfasis6 6 2 2 2 5" xfId="40073" xr:uid="{A149410A-908A-4BA6-B03F-2BAF5882000A}"/>
    <cellStyle name="20% - Énfasis6 6 2 2 3" xfId="4917" xr:uid="{E4E59579-8859-445B-B8D6-22E1ED0D06F3}"/>
    <cellStyle name="20% - Énfasis6 6 2 2 3 2" xfId="12625" xr:uid="{16EFC67A-ADE1-4EC3-8419-0E1FFB4848DF}"/>
    <cellStyle name="20% - Énfasis6 6 2 2 3 2 2" xfId="28037" xr:uid="{0922A477-6AE4-452E-B03E-7B329B832ACA}"/>
    <cellStyle name="20% - Énfasis6 6 2 2 3 2 2 2" xfId="40083" xr:uid="{64FB4D3F-5A80-4B4F-8919-7ABD831C9EEF}"/>
    <cellStyle name="20% - Énfasis6 6 2 2 3 2 3" xfId="40082" xr:uid="{1BC364EF-5D2E-4C32-ADF3-3DF7EB91A0CF}"/>
    <cellStyle name="20% - Énfasis6 6 2 2 3 3" xfId="20332" xr:uid="{064D69C2-9763-4B05-B146-D619A097C529}"/>
    <cellStyle name="20% - Énfasis6 6 2 2 3 3 2" xfId="40084" xr:uid="{40599148-E762-4A4C-881E-1C6BEB7A0E29}"/>
    <cellStyle name="20% - Énfasis6 6 2 2 3 4" xfId="40081" xr:uid="{C9859305-8434-45A4-A743-90AFBEDB62EC}"/>
    <cellStyle name="20% - Énfasis6 6 2 2 4" xfId="8900" xr:uid="{12CF0188-7FFA-4809-99D8-5C782C30C78C}"/>
    <cellStyle name="20% - Énfasis6 6 2 2 4 2" xfId="24313" xr:uid="{58ED4C50-674E-4CCD-A52A-462C2243B6D6}"/>
    <cellStyle name="20% - Énfasis6 6 2 2 4 2 2" xfId="40086" xr:uid="{E1D3F551-2DC1-4B9C-A0CF-6BF408057177}"/>
    <cellStyle name="20% - Énfasis6 6 2 2 4 3" xfId="40085" xr:uid="{566ED4F2-BF57-4EA1-B613-A9DE447E9516}"/>
    <cellStyle name="20% - Énfasis6 6 2 2 5" xfId="16608" xr:uid="{72395178-8285-4439-925C-B929D8068C11}"/>
    <cellStyle name="20% - Énfasis6 6 2 2 5 2" xfId="40087" xr:uid="{DBFDBB20-C44D-4A92-9DD5-0FE573C1D46E}"/>
    <cellStyle name="20% - Énfasis6 6 2 2 6" xfId="40072" xr:uid="{079E44AF-2EBB-4E49-9C00-09C6064B0286}"/>
    <cellStyle name="20% - Énfasis6 6 2 3" xfId="2010" xr:uid="{B6B32CBD-F945-470C-8679-9978BCFA9D1C}"/>
    <cellStyle name="20% - Énfasis6 6 2 3 2" xfId="5742" xr:uid="{1886B310-2C3B-41E3-94DA-C209818C8778}"/>
    <cellStyle name="20% - Énfasis6 6 2 3 2 2" xfId="13450" xr:uid="{D47527A4-B9F0-412A-9E12-D83EA6CACA58}"/>
    <cellStyle name="20% - Énfasis6 6 2 3 2 2 2" xfId="28862" xr:uid="{AF34B343-039B-4F15-AA87-253BFE8EFA03}"/>
    <cellStyle name="20% - Énfasis6 6 2 3 2 2 2 2" xfId="40091" xr:uid="{F4320A2E-91BC-4B86-BEAF-ACB76F819CD3}"/>
    <cellStyle name="20% - Énfasis6 6 2 3 2 2 3" xfId="40090" xr:uid="{9B464956-1529-4F97-9708-D6292A09E36C}"/>
    <cellStyle name="20% - Énfasis6 6 2 3 2 3" xfId="21157" xr:uid="{CC00E56D-9FF0-4612-802F-7328B3E5BA37}"/>
    <cellStyle name="20% - Énfasis6 6 2 3 2 3 2" xfId="40092" xr:uid="{DE316822-2B8A-4E25-97F8-9DFD6FDA83C2}"/>
    <cellStyle name="20% - Énfasis6 6 2 3 2 4" xfId="40089" xr:uid="{76E52B41-B420-4248-B6FA-59F27FEC75F5}"/>
    <cellStyle name="20% - Énfasis6 6 2 3 3" xfId="9721" xr:uid="{1F6DD302-E46E-4172-B37E-32339303A6A2}"/>
    <cellStyle name="20% - Énfasis6 6 2 3 3 2" xfId="25134" xr:uid="{D625DC5F-103A-4284-B947-5C70073C1E60}"/>
    <cellStyle name="20% - Énfasis6 6 2 3 3 2 2" xfId="40094" xr:uid="{9D7968CA-9091-47D1-BAA1-81BE2DF33846}"/>
    <cellStyle name="20% - Énfasis6 6 2 3 3 3" xfId="40093" xr:uid="{6890DC49-B966-4D66-BF8D-349F5DD26276}"/>
    <cellStyle name="20% - Énfasis6 6 2 3 4" xfId="17429" xr:uid="{258C2257-D0E7-4B84-B798-B05FD8B17306}"/>
    <cellStyle name="20% - Énfasis6 6 2 3 4 2" xfId="40095" xr:uid="{51CC10E6-DA3D-401E-91A2-7961BCD5808D}"/>
    <cellStyle name="20% - Énfasis6 6 2 3 5" xfId="40088" xr:uid="{DC6A6BCB-DDE2-45FF-92EB-6238E263EB4E}"/>
    <cellStyle name="20% - Énfasis6 6 2 4" xfId="4265" xr:uid="{7A2E5601-3344-48B8-B398-743E2A1645D0}"/>
    <cellStyle name="20% - Énfasis6 6 2 4 2" xfId="11973" xr:uid="{E03FF0B6-A999-420C-B95F-D5B76B4D207E}"/>
    <cellStyle name="20% - Énfasis6 6 2 4 2 2" xfId="27385" xr:uid="{69CA0444-7CD6-4E42-8ED3-3361E779CA05}"/>
    <cellStyle name="20% - Énfasis6 6 2 4 2 2 2" xfId="40098" xr:uid="{EBCFE10F-E577-4910-A72C-0F221D5189D8}"/>
    <cellStyle name="20% - Énfasis6 6 2 4 2 3" xfId="40097" xr:uid="{CA0CCCBE-D254-4570-9CF4-1A7904C4105D}"/>
    <cellStyle name="20% - Énfasis6 6 2 4 3" xfId="19680" xr:uid="{356BD7DC-725F-4C44-964B-17DC8EA80EDC}"/>
    <cellStyle name="20% - Énfasis6 6 2 4 3 2" xfId="40099" xr:uid="{52AE5050-6108-460B-8498-CA7B9F1A89DF}"/>
    <cellStyle name="20% - Énfasis6 6 2 4 4" xfId="40096" xr:uid="{996AC5DC-997A-4485-93C9-EAE05762D212}"/>
    <cellStyle name="20% - Énfasis6 6 2 5" xfId="8262" xr:uid="{63CCEC31-E3D7-427A-88C2-4104C0E5E801}"/>
    <cellStyle name="20% - Énfasis6 6 2 5 2" xfId="23675" xr:uid="{AC0A4F5C-EB56-47F6-AE84-6CA8076DC9B9}"/>
    <cellStyle name="20% - Énfasis6 6 2 5 2 2" xfId="40101" xr:uid="{8834FA38-4DF8-44DB-80BB-7F988B57FA0C}"/>
    <cellStyle name="20% - Énfasis6 6 2 5 3" xfId="40100" xr:uid="{F18048B6-FEE9-4F95-9518-1C782926C5AE}"/>
    <cellStyle name="20% - Énfasis6 6 2 6" xfId="15970" xr:uid="{7A14B630-A845-484E-8DD1-813CA378E9C8}"/>
    <cellStyle name="20% - Énfasis6 6 2 6 2" xfId="40102" xr:uid="{9751D18D-0ECF-44D6-88BA-063B023EF61C}"/>
    <cellStyle name="20% - Énfasis6 6 2 7" xfId="40071" xr:uid="{FBBC0C07-A50E-4C53-9205-3EAE2197F1DF}"/>
    <cellStyle name="20% - Énfasis6 6 3" xfId="980" xr:uid="{B000806D-0193-4B09-8A4D-9F1FB437495D}"/>
    <cellStyle name="20% - Énfasis6 6 3 2" xfId="2450" xr:uid="{BD06E7BA-A3A7-44A8-8132-686016973BD0}"/>
    <cellStyle name="20% - Énfasis6 6 3 2 2" xfId="6182" xr:uid="{B70133F4-F2E9-48E0-8798-54119AA5FF17}"/>
    <cellStyle name="20% - Énfasis6 6 3 2 2 2" xfId="13890" xr:uid="{5A268741-E6BC-4662-AD3E-A6AA1916D142}"/>
    <cellStyle name="20% - Énfasis6 6 3 2 2 2 2" xfId="29302" xr:uid="{65F773BC-5262-4B5F-BE2E-F646FDA25730}"/>
    <cellStyle name="20% - Énfasis6 6 3 2 2 2 2 2" xfId="40107" xr:uid="{5E0FB538-A071-491D-8381-6DC23957BD66}"/>
    <cellStyle name="20% - Énfasis6 6 3 2 2 2 3" xfId="40106" xr:uid="{33947310-7FAE-46FD-BF0F-D60E8ED3B092}"/>
    <cellStyle name="20% - Énfasis6 6 3 2 2 3" xfId="21597" xr:uid="{D1EE76BA-3474-4A74-9516-55D456AF2FE9}"/>
    <cellStyle name="20% - Énfasis6 6 3 2 2 3 2" xfId="40108" xr:uid="{45590E26-BBDB-4207-A5D4-2AB247A56BA8}"/>
    <cellStyle name="20% - Énfasis6 6 3 2 2 4" xfId="40105" xr:uid="{E503152B-01C1-48FC-8F06-123027125AB1}"/>
    <cellStyle name="20% - Énfasis6 6 3 2 3" xfId="10161" xr:uid="{0F8B65D5-C77E-49CD-BB68-CF44D9A9B424}"/>
    <cellStyle name="20% - Énfasis6 6 3 2 3 2" xfId="25574" xr:uid="{68AF1B94-CD9F-4781-88AB-B523A672535C}"/>
    <cellStyle name="20% - Énfasis6 6 3 2 3 2 2" xfId="40110" xr:uid="{E7664DA5-DBFD-4D1E-9BD8-D468CEE1B878}"/>
    <cellStyle name="20% - Énfasis6 6 3 2 3 3" xfId="40109" xr:uid="{55C927AD-CB6B-4B5C-9127-686A25FAC85C}"/>
    <cellStyle name="20% - Énfasis6 6 3 2 4" xfId="17869" xr:uid="{736087D8-1969-492C-9A53-283D7EAA4491}"/>
    <cellStyle name="20% - Énfasis6 6 3 2 4 2" xfId="40111" xr:uid="{4D1F277E-3E01-457E-BB83-94369B12A850}"/>
    <cellStyle name="20% - Énfasis6 6 3 2 5" xfId="40104" xr:uid="{FBFAD4E5-9EEF-47F7-9C54-F126AFD882E0}"/>
    <cellStyle name="20% - Énfasis6 6 3 3" xfId="4717" xr:uid="{0442C5BA-2D6D-44D7-9A40-A7B1A0EDB7FF}"/>
    <cellStyle name="20% - Énfasis6 6 3 3 2" xfId="12425" xr:uid="{63084CF1-23A3-4179-A6FC-AEC35D422172}"/>
    <cellStyle name="20% - Énfasis6 6 3 3 2 2" xfId="27837" xr:uid="{8CBC623B-EB67-44C3-B744-C98CD3127C2A}"/>
    <cellStyle name="20% - Énfasis6 6 3 3 2 2 2" xfId="40114" xr:uid="{752DF8DD-B13F-4304-B97E-5A42955694E4}"/>
    <cellStyle name="20% - Énfasis6 6 3 3 2 3" xfId="40113" xr:uid="{81505E76-820F-4235-BC90-F4066A719D96}"/>
    <cellStyle name="20% - Énfasis6 6 3 3 3" xfId="20132" xr:uid="{D7D80D20-7AF8-4518-AA1B-2587147A7D30}"/>
    <cellStyle name="20% - Énfasis6 6 3 3 3 2" xfId="40115" xr:uid="{D122B5A9-DEEB-4A21-A034-E648EE01CAD9}"/>
    <cellStyle name="20% - Énfasis6 6 3 3 4" xfId="40112" xr:uid="{31A32064-8514-4BFD-9E95-3E8FAD22DD44}"/>
    <cellStyle name="20% - Énfasis6 6 3 4" xfId="8702" xr:uid="{FBC68B34-2C9B-4563-8C01-8C15EC01303C}"/>
    <cellStyle name="20% - Énfasis6 6 3 4 2" xfId="24115" xr:uid="{04AA2A34-2EC4-4A94-AD61-D05E6072018B}"/>
    <cellStyle name="20% - Énfasis6 6 3 4 2 2" xfId="40117" xr:uid="{B20508AC-A85C-411E-B945-61465A2E9B5B}"/>
    <cellStyle name="20% - Énfasis6 6 3 4 3" xfId="40116" xr:uid="{85ADE29A-10DC-4713-AE07-3D1B49CD7EB0}"/>
    <cellStyle name="20% - Énfasis6 6 3 5" xfId="16410" xr:uid="{23B45AE8-29FE-4943-B2FE-B46120CA2FBD}"/>
    <cellStyle name="20% - Énfasis6 6 3 5 2" xfId="40118" xr:uid="{CF65BBE9-BF85-49DD-8C8E-392D17737610}"/>
    <cellStyle name="20% - Énfasis6 6 3 6" xfId="40103" xr:uid="{1C0E02A5-8BFA-4153-9221-0AA406A1AA4A}"/>
    <cellStyle name="20% - Énfasis6 6 4" xfId="1812" xr:uid="{FA23773E-3008-41DC-B29A-3A62293B767F}"/>
    <cellStyle name="20% - Énfasis6 6 4 2" xfId="5544" xr:uid="{FA04F22D-6A7A-4D64-8899-3477154FCA2D}"/>
    <cellStyle name="20% - Énfasis6 6 4 2 2" xfId="13252" xr:uid="{BE81BA9B-FE33-472E-B843-06FDD6713CC9}"/>
    <cellStyle name="20% - Énfasis6 6 4 2 2 2" xfId="28664" xr:uid="{1FC26D07-D2D8-4C7E-8F0D-67623D9A97D7}"/>
    <cellStyle name="20% - Énfasis6 6 4 2 2 2 2" xfId="40122" xr:uid="{80B0AF4D-63E2-4F5A-8E20-E9E91FD94CD7}"/>
    <cellStyle name="20% - Énfasis6 6 4 2 2 3" xfId="40121" xr:uid="{B5013DF2-578A-4A98-B512-BBA82EAAFD77}"/>
    <cellStyle name="20% - Énfasis6 6 4 2 3" xfId="20959" xr:uid="{096EE8C9-B968-46A6-A1C6-93BC5BBC3D6A}"/>
    <cellStyle name="20% - Énfasis6 6 4 2 3 2" xfId="40123" xr:uid="{E5375675-C105-4D2E-8C88-9F80F5B553EB}"/>
    <cellStyle name="20% - Énfasis6 6 4 2 4" xfId="40120" xr:uid="{01797DB0-91FB-4562-BF4E-C074B7F8D9BB}"/>
    <cellStyle name="20% - Énfasis6 6 4 3" xfId="9523" xr:uid="{78ABCD5F-AB25-477B-87A0-3DA814DFFBE2}"/>
    <cellStyle name="20% - Énfasis6 6 4 3 2" xfId="24936" xr:uid="{DBEE4072-C73D-4C5A-98F9-298DBC3D08E1}"/>
    <cellStyle name="20% - Énfasis6 6 4 3 2 2" xfId="40125" xr:uid="{A71EB939-91B7-4261-AF66-1B4D55962C3F}"/>
    <cellStyle name="20% - Énfasis6 6 4 3 3" xfId="40124" xr:uid="{14A664CA-9B2A-4368-A72C-5B0C7DD554ED}"/>
    <cellStyle name="20% - Énfasis6 6 4 4" xfId="17231" xr:uid="{44C2F922-295A-4F1A-ABE1-BD3D3F2C23E7}"/>
    <cellStyle name="20% - Énfasis6 6 4 4 2" xfId="40126" xr:uid="{AA35DF39-22F3-4D56-BD9E-F9A24952AC49}"/>
    <cellStyle name="20% - Énfasis6 6 4 5" xfId="40119" xr:uid="{7F863B8A-9ADA-44E4-827E-ABE5D570EE74}"/>
    <cellStyle name="20% - Énfasis6 6 5" xfId="4065" xr:uid="{AA259373-2782-452E-8A05-A29A2294C7F4}"/>
    <cellStyle name="20% - Énfasis6 6 5 2" xfId="11773" xr:uid="{134EF704-E803-4F35-95DC-032E840EC030}"/>
    <cellStyle name="20% - Énfasis6 6 5 2 2" xfId="27185" xr:uid="{19F39DAE-960A-480A-ABD6-813318F02A9B}"/>
    <cellStyle name="20% - Énfasis6 6 5 2 2 2" xfId="40129" xr:uid="{2FFB692B-2F6F-42CB-AFB9-B5561EE0C487}"/>
    <cellStyle name="20% - Énfasis6 6 5 2 3" xfId="40128" xr:uid="{2635BEB2-11CE-4538-8519-0B13CD1D3D8C}"/>
    <cellStyle name="20% - Énfasis6 6 5 3" xfId="19480" xr:uid="{CF184E94-07DD-431D-9F8F-179CF0D3198F}"/>
    <cellStyle name="20% - Énfasis6 6 5 3 2" xfId="40130" xr:uid="{0349A1C0-23FD-40DA-B26F-70109D6A3975}"/>
    <cellStyle name="20% - Énfasis6 6 5 4" xfId="40127" xr:uid="{EB7BE57C-AC98-4A11-9536-A85EAD0D5C88}"/>
    <cellStyle name="20% - Énfasis6 6 6" xfId="8064" xr:uid="{64CAFC42-A16A-427F-973B-AED96298A0A3}"/>
    <cellStyle name="20% - Énfasis6 6 6 2" xfId="23477" xr:uid="{B122B0E9-7B0A-421D-8241-2725F8AE3A39}"/>
    <cellStyle name="20% - Énfasis6 6 6 2 2" xfId="40132" xr:uid="{5338241C-750D-4DD9-A2B5-9D950B8E0624}"/>
    <cellStyle name="20% - Énfasis6 6 6 3" xfId="40131" xr:uid="{1BB935AB-8C90-43B5-979A-57008C93E403}"/>
    <cellStyle name="20% - Énfasis6 6 7" xfId="15772" xr:uid="{298EB12E-1FD7-4805-982C-1076576BA20C}"/>
    <cellStyle name="20% - Énfasis6 6 7 2" xfId="40133" xr:uid="{A53EAB45-B479-4918-AD60-3FBB271C45F3}"/>
    <cellStyle name="20% - Énfasis6 6 8" xfId="40070" xr:uid="{94C17CEA-A6CA-45DD-B6D5-2281C54468CD}"/>
    <cellStyle name="20% - Énfasis6 7" xfId="539" xr:uid="{0B5A7EE6-3CF2-4BA7-B64E-8972CB430F7E}"/>
    <cellStyle name="20% - Énfasis6 7 2" xfId="1200" xr:uid="{381AF0E7-85A1-41ED-8D40-4DFA59B4770F}"/>
    <cellStyle name="20% - Énfasis6 7 2 2" xfId="2668" xr:uid="{0649ED20-E798-4F48-AE00-4C47F34A6863}"/>
    <cellStyle name="20% - Énfasis6 7 2 2 2" xfId="6400" xr:uid="{FC18234B-7C02-42DE-96C8-7A82360B7B37}"/>
    <cellStyle name="20% - Énfasis6 7 2 2 2 2" xfId="14108" xr:uid="{F6235CB9-2F75-4638-9285-EC5CA4CAE77B}"/>
    <cellStyle name="20% - Énfasis6 7 2 2 2 2 2" xfId="29520" xr:uid="{338E98E8-4B37-4DAA-A376-2AB2E94F138B}"/>
    <cellStyle name="20% - Énfasis6 7 2 2 2 2 2 2" xfId="40139" xr:uid="{0239A946-75AA-489C-B32A-DEB730AE1CE9}"/>
    <cellStyle name="20% - Énfasis6 7 2 2 2 2 3" xfId="40138" xr:uid="{7E020FA5-BDFE-4CD3-AD7C-7EF113C6DEF8}"/>
    <cellStyle name="20% - Énfasis6 7 2 2 2 3" xfId="21815" xr:uid="{63675012-A8AA-4D73-A4EE-81A48A5B4FED}"/>
    <cellStyle name="20% - Énfasis6 7 2 2 2 3 2" xfId="40140" xr:uid="{00A52FA1-68C8-411F-A456-188490DC7BF1}"/>
    <cellStyle name="20% - Énfasis6 7 2 2 2 4" xfId="40137" xr:uid="{16A5C3BE-94CB-498B-8970-248442234D1B}"/>
    <cellStyle name="20% - Énfasis6 7 2 2 3" xfId="10379" xr:uid="{D5A2D864-FF9B-41CB-A889-81C5467E3214}"/>
    <cellStyle name="20% - Énfasis6 7 2 2 3 2" xfId="25792" xr:uid="{28E6FA0B-A361-4C25-B659-1DA019568F72}"/>
    <cellStyle name="20% - Énfasis6 7 2 2 3 2 2" xfId="40142" xr:uid="{C53FC029-4533-4E29-81F2-4F85EED412C4}"/>
    <cellStyle name="20% - Énfasis6 7 2 2 3 3" xfId="40141" xr:uid="{9C1D2505-1EF6-4837-9091-28B084FCDA18}"/>
    <cellStyle name="20% - Énfasis6 7 2 2 4" xfId="18087" xr:uid="{87939769-9F19-4DD7-B9E9-3BCF948ACD1E}"/>
    <cellStyle name="20% - Énfasis6 7 2 2 4 2" xfId="40143" xr:uid="{411D6D33-0F36-4C46-B02F-F3110CC0E3FB}"/>
    <cellStyle name="20% - Énfasis6 7 2 2 5" xfId="40136" xr:uid="{966D5540-92DB-4C17-BA83-CA613371EE4F}"/>
    <cellStyle name="20% - Énfasis6 7 2 3" xfId="4937" xr:uid="{6E4BC982-5448-4048-9149-BB8896217AAF}"/>
    <cellStyle name="20% - Énfasis6 7 2 3 2" xfId="12645" xr:uid="{FDA111D6-2699-4A50-983D-57D80FF4940A}"/>
    <cellStyle name="20% - Énfasis6 7 2 3 2 2" xfId="28057" xr:uid="{8BF0D513-B0FA-4C7C-B6B4-982E64C0FD65}"/>
    <cellStyle name="20% - Énfasis6 7 2 3 2 2 2" xfId="40146" xr:uid="{473842F7-4C91-41C3-B771-987BB5B91DC0}"/>
    <cellStyle name="20% - Énfasis6 7 2 3 2 3" xfId="40145" xr:uid="{6D97D625-7DEF-4E47-BF5B-8C80828BD4FB}"/>
    <cellStyle name="20% - Énfasis6 7 2 3 3" xfId="20352" xr:uid="{F031E1BC-746A-46EE-8402-5AE73912D465}"/>
    <cellStyle name="20% - Énfasis6 7 2 3 3 2" xfId="40147" xr:uid="{000347F6-0D57-497C-AEAC-8723027BAA5F}"/>
    <cellStyle name="20% - Énfasis6 7 2 3 4" xfId="40144" xr:uid="{FCA55A31-A57C-4314-9629-2C8D8E0FC9B5}"/>
    <cellStyle name="20% - Énfasis6 7 2 4" xfId="8920" xr:uid="{2969AB02-8C1A-4ECF-A51E-98D64E2C74DC}"/>
    <cellStyle name="20% - Énfasis6 7 2 4 2" xfId="24333" xr:uid="{06325AA8-F3E3-4A05-B575-89CDB2F23458}"/>
    <cellStyle name="20% - Énfasis6 7 2 4 2 2" xfId="40149" xr:uid="{650EFF70-63E7-4CD1-AE61-696642903F37}"/>
    <cellStyle name="20% - Énfasis6 7 2 4 3" xfId="40148" xr:uid="{67D6E3D9-247F-4B96-A7DE-5E811EE2BF93}"/>
    <cellStyle name="20% - Énfasis6 7 2 5" xfId="16628" xr:uid="{50406D0A-9617-4B0E-B8E5-8400E3CDF64A}"/>
    <cellStyle name="20% - Énfasis6 7 2 5 2" xfId="40150" xr:uid="{16CC6B3C-32B3-4F50-A9EA-BC76FA298D72}"/>
    <cellStyle name="20% - Énfasis6 7 2 6" xfId="40135" xr:uid="{C809D40A-F26E-4728-9995-E86F9DF03E95}"/>
    <cellStyle name="20% - Énfasis6 7 3" xfId="2030" xr:uid="{80974FF9-A59A-46DE-87FB-C5479FCB5570}"/>
    <cellStyle name="20% - Énfasis6 7 3 2" xfId="5762" xr:uid="{F26DF5AD-8DD3-48E3-B201-0CE19EB2BB49}"/>
    <cellStyle name="20% - Énfasis6 7 3 2 2" xfId="13470" xr:uid="{CE5A230D-C849-49A6-BC15-CE4D881787A6}"/>
    <cellStyle name="20% - Énfasis6 7 3 2 2 2" xfId="28882" xr:uid="{2F76F091-9FCD-4AF1-BBE0-E01927B626EA}"/>
    <cellStyle name="20% - Énfasis6 7 3 2 2 2 2" xfId="40154" xr:uid="{234D751F-E063-4E59-A4FC-39CE53B1B0AF}"/>
    <cellStyle name="20% - Énfasis6 7 3 2 2 3" xfId="40153" xr:uid="{CEF30410-AEA2-4754-8242-8A65FD17D031}"/>
    <cellStyle name="20% - Énfasis6 7 3 2 3" xfId="21177" xr:uid="{28D483A3-C313-4A9A-878B-082FBC72DCDB}"/>
    <cellStyle name="20% - Énfasis6 7 3 2 3 2" xfId="40155" xr:uid="{5E9955E6-90A2-422E-ACC2-FA1D8C6A44FE}"/>
    <cellStyle name="20% - Énfasis6 7 3 2 4" xfId="40152" xr:uid="{29A03D7B-ED20-489D-A4B4-6AF44D1754BB}"/>
    <cellStyle name="20% - Énfasis6 7 3 3" xfId="9741" xr:uid="{550382D6-95CA-4724-AB22-5A335828CEEA}"/>
    <cellStyle name="20% - Énfasis6 7 3 3 2" xfId="25154" xr:uid="{449E6B4C-B654-44C4-9A1C-4340AF1C4B5D}"/>
    <cellStyle name="20% - Énfasis6 7 3 3 2 2" xfId="40157" xr:uid="{B44DF22F-FB06-4777-9623-5FCE19E25DAF}"/>
    <cellStyle name="20% - Énfasis6 7 3 3 3" xfId="40156" xr:uid="{AAAAA267-B111-4AE5-9CE3-28FE6A623A7C}"/>
    <cellStyle name="20% - Énfasis6 7 3 4" xfId="17449" xr:uid="{178E56A2-8FED-4EAE-A6DF-289444D22A34}"/>
    <cellStyle name="20% - Énfasis6 7 3 4 2" xfId="40158" xr:uid="{1EF555FB-0873-490F-BDA0-A8F6D9149C38}"/>
    <cellStyle name="20% - Énfasis6 7 3 5" xfId="40151" xr:uid="{585ECD89-6D36-460F-844F-3EA212DC276A}"/>
    <cellStyle name="20% - Énfasis6 7 4" xfId="4285" xr:uid="{FB3C4966-586A-4C61-9297-C22616FACD26}"/>
    <cellStyle name="20% - Énfasis6 7 4 2" xfId="11993" xr:uid="{1574FFF6-A5C5-4CF4-B95B-B926111C7E4A}"/>
    <cellStyle name="20% - Énfasis6 7 4 2 2" xfId="27405" xr:uid="{23BA7085-835C-4DE7-96B6-B43618CEBF7F}"/>
    <cellStyle name="20% - Énfasis6 7 4 2 2 2" xfId="40161" xr:uid="{45E7C2A3-FC0B-4A69-A08F-E99A809C7936}"/>
    <cellStyle name="20% - Énfasis6 7 4 2 3" xfId="40160" xr:uid="{A7D98082-4234-40B8-9581-4BBF44709B05}"/>
    <cellStyle name="20% - Énfasis6 7 4 3" xfId="19700" xr:uid="{322E56BB-BD14-44BD-9EA3-4D8A92EF7527}"/>
    <cellStyle name="20% - Énfasis6 7 4 3 2" xfId="40162" xr:uid="{1EFE6B1A-3C80-4232-8EF1-C96E75881BFF}"/>
    <cellStyle name="20% - Énfasis6 7 4 4" xfId="40159" xr:uid="{0BBAD6F9-5FAE-439E-BCDF-95A745AD971B}"/>
    <cellStyle name="20% - Énfasis6 7 5" xfId="8282" xr:uid="{D1DF5688-3EA9-4AE2-9323-973A0A31A01D}"/>
    <cellStyle name="20% - Énfasis6 7 5 2" xfId="23695" xr:uid="{E21C76F9-F61E-49B8-BA31-C6A1346CCB2B}"/>
    <cellStyle name="20% - Énfasis6 7 5 2 2" xfId="40164" xr:uid="{CC71F952-2F1E-45F4-B624-451D30EC8384}"/>
    <cellStyle name="20% - Énfasis6 7 5 3" xfId="40163" xr:uid="{61E988DB-5740-4989-858B-57B53A62744D}"/>
    <cellStyle name="20% - Énfasis6 7 6" xfId="15990" xr:uid="{FECE4173-188B-4222-8B8D-86E56E1AAE82}"/>
    <cellStyle name="20% - Énfasis6 7 6 2" xfId="40165" xr:uid="{FA5BA287-321F-42E3-A1BA-6E491D0927C2}"/>
    <cellStyle name="20% - Énfasis6 7 7" xfId="40134" xr:uid="{E455D57A-6566-4655-96DB-B3ACC9D7C022}"/>
    <cellStyle name="20% - Énfasis6 8" xfId="559" xr:uid="{F50BB24C-AD8B-42C7-A988-602390C1BFB9}"/>
    <cellStyle name="20% - Énfasis6 8 2" xfId="1220" xr:uid="{C27E61F3-0FBB-4910-B71A-96561419945A}"/>
    <cellStyle name="20% - Énfasis6 8 2 2" xfId="2688" xr:uid="{57563832-96F9-4E42-B56C-3DEB7678D9CA}"/>
    <cellStyle name="20% - Énfasis6 8 2 2 2" xfId="6420" xr:uid="{F474AA18-C45C-4D28-8605-6A11E39E9BA6}"/>
    <cellStyle name="20% - Énfasis6 8 2 2 2 2" xfId="14128" xr:uid="{92DC314C-16B9-4FD5-BE5B-5A5B7951FCB3}"/>
    <cellStyle name="20% - Énfasis6 8 2 2 2 2 2" xfId="29540" xr:uid="{36E656B1-27E4-4ABD-9AA9-7B6228CE16EB}"/>
    <cellStyle name="20% - Énfasis6 8 2 2 2 2 2 2" xfId="40171" xr:uid="{23FBCC46-F45C-4507-B1E8-1D96F2B98063}"/>
    <cellStyle name="20% - Énfasis6 8 2 2 2 2 3" xfId="40170" xr:uid="{00A7E670-9134-4D9B-A204-BA73DA756B8D}"/>
    <cellStyle name="20% - Énfasis6 8 2 2 2 3" xfId="21835" xr:uid="{96729156-9891-46F5-BFFE-985F6C40B055}"/>
    <cellStyle name="20% - Énfasis6 8 2 2 2 3 2" xfId="40172" xr:uid="{2F4D0DF3-8731-4FBC-AD23-62D1E2C1503C}"/>
    <cellStyle name="20% - Énfasis6 8 2 2 2 4" xfId="40169" xr:uid="{B475DA7A-8769-4D28-BACE-8C4D86C559D2}"/>
    <cellStyle name="20% - Énfasis6 8 2 2 3" xfId="10399" xr:uid="{E68B88DF-2580-4E0E-8350-F805A5E1BE1D}"/>
    <cellStyle name="20% - Énfasis6 8 2 2 3 2" xfId="25812" xr:uid="{D4ACA5E2-50D8-4D41-84CA-1DC73F6C251B}"/>
    <cellStyle name="20% - Énfasis6 8 2 2 3 2 2" xfId="40174" xr:uid="{305D3A24-6F3D-41A0-8EA0-069BA4B21C78}"/>
    <cellStyle name="20% - Énfasis6 8 2 2 3 3" xfId="40173" xr:uid="{F08890C5-29DA-4E3F-862D-7009AA710904}"/>
    <cellStyle name="20% - Énfasis6 8 2 2 4" xfId="18107" xr:uid="{F74504FC-1359-418E-9BA1-BD61CE2E1EDE}"/>
    <cellStyle name="20% - Énfasis6 8 2 2 4 2" xfId="40175" xr:uid="{727AA0D3-56DB-4B1B-B7F3-7CA53FF2C5AE}"/>
    <cellStyle name="20% - Énfasis6 8 2 2 5" xfId="40168" xr:uid="{A90F6795-602D-4446-A537-B88C30DB6866}"/>
    <cellStyle name="20% - Énfasis6 8 2 3" xfId="4957" xr:uid="{D0365190-D361-4F63-BE97-22DA5D509F3E}"/>
    <cellStyle name="20% - Énfasis6 8 2 3 2" xfId="12665" xr:uid="{6041CAA4-3B4D-44BB-9CC7-58DEC3A01112}"/>
    <cellStyle name="20% - Énfasis6 8 2 3 2 2" xfId="28077" xr:uid="{5F4EFC4A-66A5-413B-8734-0F8D639AB654}"/>
    <cellStyle name="20% - Énfasis6 8 2 3 2 2 2" xfId="40178" xr:uid="{34D41089-EAF7-4D87-A976-6490F74378F6}"/>
    <cellStyle name="20% - Énfasis6 8 2 3 2 3" xfId="40177" xr:uid="{79E16143-89A4-41A3-9EC4-F911ADCC61C5}"/>
    <cellStyle name="20% - Énfasis6 8 2 3 3" xfId="20372" xr:uid="{4159C860-343F-49C3-8E61-6EBEF76FD340}"/>
    <cellStyle name="20% - Énfasis6 8 2 3 3 2" xfId="40179" xr:uid="{CAA793DF-AEDA-4721-B4F2-D594ABA8AB3E}"/>
    <cellStyle name="20% - Énfasis6 8 2 3 4" xfId="40176" xr:uid="{C852CA43-C56D-42E4-AB7A-8DAFDA77BC4B}"/>
    <cellStyle name="20% - Énfasis6 8 2 4" xfId="8940" xr:uid="{7C1B972E-1FFA-4C7D-96C2-5D08D25B3890}"/>
    <cellStyle name="20% - Énfasis6 8 2 4 2" xfId="24353" xr:uid="{1917F330-7835-4D4F-8C26-CE78D7EDA899}"/>
    <cellStyle name="20% - Énfasis6 8 2 4 2 2" xfId="40181" xr:uid="{98CB9FFA-6B1E-4CDD-AE71-F8B9AE2338D3}"/>
    <cellStyle name="20% - Énfasis6 8 2 4 3" xfId="40180" xr:uid="{CDED6C72-0BE9-45CA-8390-29907987F188}"/>
    <cellStyle name="20% - Énfasis6 8 2 5" xfId="16648" xr:uid="{80F3EBA2-CC2D-4F20-BA17-E3E372D85122}"/>
    <cellStyle name="20% - Énfasis6 8 2 5 2" xfId="40182" xr:uid="{ACBCD06B-AB5F-4E4D-B6B4-332180460154}"/>
    <cellStyle name="20% - Énfasis6 8 2 6" xfId="40167" xr:uid="{8D7DDF7E-D029-4D29-AD4B-360D64C61D19}"/>
    <cellStyle name="20% - Énfasis6 8 3" xfId="2050" xr:uid="{095344AD-AB30-47FB-B9C0-807FC6825ACD}"/>
    <cellStyle name="20% - Énfasis6 8 3 2" xfId="5782" xr:uid="{4F80BEE0-A323-4086-B9F1-144A2CFEA230}"/>
    <cellStyle name="20% - Énfasis6 8 3 2 2" xfId="13490" xr:uid="{D70A2C7D-621C-45C9-8327-72C4AB902145}"/>
    <cellStyle name="20% - Énfasis6 8 3 2 2 2" xfId="28902" xr:uid="{34CFE1FA-F2DD-433B-A5DC-DF95A0C10215}"/>
    <cellStyle name="20% - Énfasis6 8 3 2 2 2 2" xfId="40186" xr:uid="{D6BCC723-BA1A-40CB-A0F8-82A01DCF8BB2}"/>
    <cellStyle name="20% - Énfasis6 8 3 2 2 3" xfId="40185" xr:uid="{C988B346-8592-4EF1-9566-5D636583F0C9}"/>
    <cellStyle name="20% - Énfasis6 8 3 2 3" xfId="21197" xr:uid="{3C85D1E5-2EA8-4A58-90C4-6B032FAC9848}"/>
    <cellStyle name="20% - Énfasis6 8 3 2 3 2" xfId="40187" xr:uid="{7EB714A5-8B06-435D-81A4-C50AF616F87A}"/>
    <cellStyle name="20% - Énfasis6 8 3 2 4" xfId="40184" xr:uid="{380788A2-CE31-4BCA-BF3E-8D6DD1C19B7F}"/>
    <cellStyle name="20% - Énfasis6 8 3 3" xfId="9761" xr:uid="{16B6F416-1DFD-48BD-B6FC-28AA4B34991B}"/>
    <cellStyle name="20% - Énfasis6 8 3 3 2" xfId="25174" xr:uid="{A6FC637B-A898-4E34-87BB-654F7C118484}"/>
    <cellStyle name="20% - Énfasis6 8 3 3 2 2" xfId="40189" xr:uid="{9107EF57-0949-49E3-858D-BC81B9D51EB1}"/>
    <cellStyle name="20% - Énfasis6 8 3 3 3" xfId="40188" xr:uid="{272D3C9A-F162-4B31-A8B0-F16BD1278A2A}"/>
    <cellStyle name="20% - Énfasis6 8 3 4" xfId="17469" xr:uid="{5CA25EC4-F32F-4A68-A574-D155B9EC527A}"/>
    <cellStyle name="20% - Énfasis6 8 3 4 2" xfId="40190" xr:uid="{70E24A47-75F2-468C-A851-9BD10AA2539E}"/>
    <cellStyle name="20% - Énfasis6 8 3 5" xfId="40183" xr:uid="{46081BFD-9C37-4931-A861-8F24711B2DF0}"/>
    <cellStyle name="20% - Énfasis6 8 4" xfId="4305" xr:uid="{CCC510A6-0038-4BCB-990D-952C048B63B0}"/>
    <cellStyle name="20% - Énfasis6 8 4 2" xfId="12013" xr:uid="{930EBA09-31E5-4548-8AAA-018879440E33}"/>
    <cellStyle name="20% - Énfasis6 8 4 2 2" xfId="27425" xr:uid="{4E6BCA10-068D-44FF-832E-F007E07EF082}"/>
    <cellStyle name="20% - Énfasis6 8 4 2 2 2" xfId="40193" xr:uid="{E12EB537-A3B3-4486-BCBC-577B36664A6C}"/>
    <cellStyle name="20% - Énfasis6 8 4 2 3" xfId="40192" xr:uid="{ABEA5478-8323-407D-BB4E-9EAACECD3714}"/>
    <cellStyle name="20% - Énfasis6 8 4 3" xfId="19720" xr:uid="{BA4A7214-9AB1-4CF0-8877-B8FFE9F2EA87}"/>
    <cellStyle name="20% - Énfasis6 8 4 3 2" xfId="40194" xr:uid="{9800893C-BADE-473C-857B-F02D9D7AE22A}"/>
    <cellStyle name="20% - Énfasis6 8 4 4" xfId="40191" xr:uid="{D01B532E-CBB2-443F-8AC4-8306117D9ADF}"/>
    <cellStyle name="20% - Énfasis6 8 5" xfId="8302" xr:uid="{2F35FF12-1915-4B8B-B8F5-7D00543E3E0F}"/>
    <cellStyle name="20% - Énfasis6 8 5 2" xfId="23715" xr:uid="{FBDA2BC0-8377-442C-A15F-27788F93FA1C}"/>
    <cellStyle name="20% - Énfasis6 8 5 2 2" xfId="40196" xr:uid="{B75A8A23-80A1-4CF8-84B3-0E51C2A84EFD}"/>
    <cellStyle name="20% - Énfasis6 8 5 3" xfId="40195" xr:uid="{1CE67C62-42C9-49E4-A84E-2995BC1781DA}"/>
    <cellStyle name="20% - Énfasis6 8 6" xfId="16010" xr:uid="{F117FD26-5378-44B6-96A0-3019CE6258E8}"/>
    <cellStyle name="20% - Énfasis6 8 6 2" xfId="40197" xr:uid="{56DA31CE-0105-4671-817D-ABD2B1A4F5FA}"/>
    <cellStyle name="20% - Énfasis6 8 7" xfId="40166" xr:uid="{56F40899-4C4B-49CF-AF37-24F0EF6C8DEA}"/>
    <cellStyle name="20% - Énfasis6 9" xfId="579" xr:uid="{F80779F0-20BB-4A9B-845B-AD2FE2F0F482}"/>
    <cellStyle name="20% - Énfasis6 9 2" xfId="1240" xr:uid="{966C17DA-9126-457C-A435-96EB2DDCD6D3}"/>
    <cellStyle name="20% - Énfasis6 9 2 2" xfId="2708" xr:uid="{70324C3D-01D8-43E8-95A9-3DD07E3998A0}"/>
    <cellStyle name="20% - Énfasis6 9 2 2 2" xfId="6440" xr:uid="{D110DA4A-9CBB-4FDB-A03D-2916E8200E25}"/>
    <cellStyle name="20% - Énfasis6 9 2 2 2 2" xfId="14148" xr:uid="{AF84CCE1-3BD8-47F5-90B1-30348F81E0A8}"/>
    <cellStyle name="20% - Énfasis6 9 2 2 2 2 2" xfId="29560" xr:uid="{08099F2A-5173-4F56-BA89-0B12B9DFAFE4}"/>
    <cellStyle name="20% - Énfasis6 9 2 2 2 2 2 2" xfId="40203" xr:uid="{2AD10265-2B93-4047-9306-58D117FF525F}"/>
    <cellStyle name="20% - Énfasis6 9 2 2 2 2 3" xfId="40202" xr:uid="{3C5C60F9-3C1F-4008-9467-830345F0C840}"/>
    <cellStyle name="20% - Énfasis6 9 2 2 2 3" xfId="21855" xr:uid="{3E8D9B09-73ED-477B-B792-0B7913E31ED8}"/>
    <cellStyle name="20% - Énfasis6 9 2 2 2 3 2" xfId="40204" xr:uid="{C400DAFE-0B90-4C25-82E8-3838EDCA83B7}"/>
    <cellStyle name="20% - Énfasis6 9 2 2 2 4" xfId="40201" xr:uid="{5B90D11F-3C86-4386-8DC3-166380D801CC}"/>
    <cellStyle name="20% - Énfasis6 9 2 2 3" xfId="10419" xr:uid="{17F7CA31-678D-4FF9-8D66-CA1BCF7077B0}"/>
    <cellStyle name="20% - Énfasis6 9 2 2 3 2" xfId="25832" xr:uid="{F7F18AE2-CDE5-4570-9F1D-938407832855}"/>
    <cellStyle name="20% - Énfasis6 9 2 2 3 2 2" xfId="40206" xr:uid="{3837CDC6-6ADE-422F-9701-58505B88E146}"/>
    <cellStyle name="20% - Énfasis6 9 2 2 3 3" xfId="40205" xr:uid="{E42BBE4C-4412-456F-94D2-925D92AEC4CF}"/>
    <cellStyle name="20% - Énfasis6 9 2 2 4" xfId="18127" xr:uid="{58A4793C-F2AC-4860-949F-C6C855C9C666}"/>
    <cellStyle name="20% - Énfasis6 9 2 2 4 2" xfId="40207" xr:uid="{A0CB3763-3CFC-406D-ACC0-990ED15677CE}"/>
    <cellStyle name="20% - Énfasis6 9 2 2 5" xfId="40200" xr:uid="{F426905B-C099-427F-B79F-6EA616DD5A7B}"/>
    <cellStyle name="20% - Énfasis6 9 2 3" xfId="4977" xr:uid="{7D2C67B9-8867-4052-AA4A-3C6E11722A33}"/>
    <cellStyle name="20% - Énfasis6 9 2 3 2" xfId="12685" xr:uid="{17EF6945-7FF6-40B3-B825-B42C72C6A826}"/>
    <cellStyle name="20% - Énfasis6 9 2 3 2 2" xfId="28097" xr:uid="{CC2FEC4E-B0B5-4D4E-8454-E28EC43ADA51}"/>
    <cellStyle name="20% - Énfasis6 9 2 3 2 2 2" xfId="40210" xr:uid="{E9505EB0-F5FF-4A8B-9F54-CEB76E8D85E6}"/>
    <cellStyle name="20% - Énfasis6 9 2 3 2 3" xfId="40209" xr:uid="{B8C7A1D9-FB12-4903-9DC6-E5ECA2C038F7}"/>
    <cellStyle name="20% - Énfasis6 9 2 3 3" xfId="20392" xr:uid="{F62AB654-8D9F-4ED1-AF0C-6EE51259EC0B}"/>
    <cellStyle name="20% - Énfasis6 9 2 3 3 2" xfId="40211" xr:uid="{4ACC5FAF-056E-4034-B3AB-20B547C6D3FC}"/>
    <cellStyle name="20% - Énfasis6 9 2 3 4" xfId="40208" xr:uid="{9054E721-5520-47FA-92E1-6E7DC499F473}"/>
    <cellStyle name="20% - Énfasis6 9 2 4" xfId="8960" xr:uid="{FA5E3E6B-AFE2-46E4-8777-4762C34D3DCA}"/>
    <cellStyle name="20% - Énfasis6 9 2 4 2" xfId="24373" xr:uid="{90B4C27E-4320-4C4D-B88D-3572E63BD0F6}"/>
    <cellStyle name="20% - Énfasis6 9 2 4 2 2" xfId="40213" xr:uid="{20D7F74E-4B9D-40DB-87B4-CA85BF02C78A}"/>
    <cellStyle name="20% - Énfasis6 9 2 4 3" xfId="40212" xr:uid="{4C428171-23C7-4337-829D-0D245785F252}"/>
    <cellStyle name="20% - Énfasis6 9 2 5" xfId="16668" xr:uid="{B2A1384C-8AD6-4C53-A4CA-6525EB265790}"/>
    <cellStyle name="20% - Énfasis6 9 2 5 2" xfId="40214" xr:uid="{6A2ECB04-4DB6-4F9A-AF7C-B0A44DFD797F}"/>
    <cellStyle name="20% - Énfasis6 9 2 6" xfId="40199" xr:uid="{4934F307-D0A4-4A53-9FE0-1DD22A5C68B3}"/>
    <cellStyle name="20% - Énfasis6 9 3" xfId="2070" xr:uid="{7BFCE5E4-49C4-40FE-BEBC-DC14F9125978}"/>
    <cellStyle name="20% - Énfasis6 9 3 2" xfId="5802" xr:uid="{8DD63502-48D6-4120-909B-C9FB5FD43FB7}"/>
    <cellStyle name="20% - Énfasis6 9 3 2 2" xfId="13510" xr:uid="{4ABE5EC5-385F-48EF-8C3F-3B2816ABC5A9}"/>
    <cellStyle name="20% - Énfasis6 9 3 2 2 2" xfId="28922" xr:uid="{462EF8CE-2C40-450F-95EA-A5FAC74AF784}"/>
    <cellStyle name="20% - Énfasis6 9 3 2 2 2 2" xfId="40218" xr:uid="{9D1F7C06-4A5E-4BA0-B0AC-5E27E0817B14}"/>
    <cellStyle name="20% - Énfasis6 9 3 2 2 3" xfId="40217" xr:uid="{05563BE6-625D-4CCA-83D0-9418568883E3}"/>
    <cellStyle name="20% - Énfasis6 9 3 2 3" xfId="21217" xr:uid="{36444B8A-1A07-4013-8E52-DD3C8E3380B6}"/>
    <cellStyle name="20% - Énfasis6 9 3 2 3 2" xfId="40219" xr:uid="{9092FE81-3F65-4545-81AE-D1F95E26C0AA}"/>
    <cellStyle name="20% - Énfasis6 9 3 2 4" xfId="40216" xr:uid="{8B627852-533D-4CD7-ADAA-E0068573E9FA}"/>
    <cellStyle name="20% - Énfasis6 9 3 3" xfId="9781" xr:uid="{1B3FD485-86E1-49CB-86F9-310FF41647B7}"/>
    <cellStyle name="20% - Énfasis6 9 3 3 2" xfId="25194" xr:uid="{14E14D78-2A4F-4AAE-B54A-69E9FA603335}"/>
    <cellStyle name="20% - Énfasis6 9 3 3 2 2" xfId="40221" xr:uid="{6D2AD33B-C9BB-4D29-8CAA-89C276C30A56}"/>
    <cellStyle name="20% - Énfasis6 9 3 3 3" xfId="40220" xr:uid="{2F649DDD-63A3-4077-9AE9-7366B51AEAC7}"/>
    <cellStyle name="20% - Énfasis6 9 3 4" xfId="17489" xr:uid="{ACBBC297-F9D1-42D4-B569-6709ADCF934B}"/>
    <cellStyle name="20% - Énfasis6 9 3 4 2" xfId="40222" xr:uid="{79973B2E-4A78-462F-86ED-25CF678BEC4B}"/>
    <cellStyle name="20% - Énfasis6 9 3 5" xfId="40215" xr:uid="{21728C69-090D-4F58-890C-701CD4D893F8}"/>
    <cellStyle name="20% - Énfasis6 9 4" xfId="4325" xr:uid="{C9AC7205-FB11-4AD1-9B3E-34273F066BCE}"/>
    <cellStyle name="20% - Énfasis6 9 4 2" xfId="12033" xr:uid="{E79E938D-D3B6-4835-A3E0-DD92059A5BFF}"/>
    <cellStyle name="20% - Énfasis6 9 4 2 2" xfId="27445" xr:uid="{92C1E7FC-C7AE-4707-9805-AAD2A6066197}"/>
    <cellStyle name="20% - Énfasis6 9 4 2 2 2" xfId="40225" xr:uid="{D5A37EA1-1B5F-4011-B83B-3294DF1D5F37}"/>
    <cellStyle name="20% - Énfasis6 9 4 2 3" xfId="40224" xr:uid="{5CB4B3FA-E361-426D-AF66-E0965B14D064}"/>
    <cellStyle name="20% - Énfasis6 9 4 3" xfId="19740" xr:uid="{65CB4093-C765-4514-99D5-EB6D000EB091}"/>
    <cellStyle name="20% - Énfasis6 9 4 3 2" xfId="40226" xr:uid="{5000638C-FF19-4863-BE88-E95633AA92E7}"/>
    <cellStyle name="20% - Énfasis6 9 4 4" xfId="40223" xr:uid="{02C1D2B8-F4B9-4C9B-A1D1-ABF881F1B54B}"/>
    <cellStyle name="20% - Énfasis6 9 5" xfId="8322" xr:uid="{7DCD4BE5-F0DE-4774-AF83-F42D63F4471B}"/>
    <cellStyle name="20% - Énfasis6 9 5 2" xfId="23735" xr:uid="{A8259923-A210-4ADF-B3A3-94AA5900A574}"/>
    <cellStyle name="20% - Énfasis6 9 5 2 2" xfId="40228" xr:uid="{68D96CAB-72B5-463F-80FB-1844D458F815}"/>
    <cellStyle name="20% - Énfasis6 9 5 3" xfId="40227" xr:uid="{E62E6DC0-C667-48FE-B03A-093973D724F4}"/>
    <cellStyle name="20% - Énfasis6 9 6" xfId="16030" xr:uid="{89D389C9-E46D-4610-93A4-0D59FBB225BC}"/>
    <cellStyle name="20% - Énfasis6 9 6 2" xfId="40229" xr:uid="{8300B791-B80D-49BC-9424-BF2A4F2334D2}"/>
    <cellStyle name="20% - Énfasis6 9 7" xfId="40198" xr:uid="{66A4BE06-6A8C-4077-9E1E-4C20E6379D98}"/>
    <cellStyle name="40% - Accent1 10" xfId="3397" xr:uid="{29CD1D35-A025-4280-871C-71BDFB81150E}"/>
    <cellStyle name="40% - Accent1 10 2" xfId="7129" xr:uid="{AA271394-FBA1-4414-8AE0-1FE62C42ACA4}"/>
    <cellStyle name="40% - Accent1 10 2 2" xfId="14837" xr:uid="{C80965D9-72BA-410C-9003-3F4792FE902C}"/>
    <cellStyle name="40% - Accent1 10 2 2 2" xfId="30249" xr:uid="{F7271DBF-F574-498D-BAD3-D4455AEC263D}"/>
    <cellStyle name="40% - Accent1 10 2 2 2 2" xfId="40234" xr:uid="{10F6D158-0F11-4CB7-B575-B1A7F24D913B}"/>
    <cellStyle name="40% - Accent1 10 2 2 3" xfId="40233" xr:uid="{4AB79434-1D1F-4254-AEB3-DA1E4A25481D}"/>
    <cellStyle name="40% - Accent1 10 2 3" xfId="22544" xr:uid="{480A2490-9C86-4EA8-BBE3-FFE92C1B0CA1}"/>
    <cellStyle name="40% - Accent1 10 2 3 2" xfId="40235" xr:uid="{84697840-2673-4F4E-8EAC-D79E1B97E77D}"/>
    <cellStyle name="40% - Accent1 10 2 4" xfId="40232" xr:uid="{21D562C6-9E69-489D-85F1-3567864FBADA}"/>
    <cellStyle name="40% - Accent1 10 3" xfId="11108" xr:uid="{267F0F18-3CF4-4F2A-99DC-02B5DAFCFAB4}"/>
    <cellStyle name="40% - Accent1 10 3 2" xfId="26521" xr:uid="{A0C32702-7D1F-4F0E-9BCF-6AE1CCDF4125}"/>
    <cellStyle name="40% - Accent1 10 3 2 2" xfId="40237" xr:uid="{A28D5A96-D04F-4545-A415-5790FA20FF99}"/>
    <cellStyle name="40% - Accent1 10 3 3" xfId="40236" xr:uid="{BD48AE92-7472-4CC3-B108-E8AD73658ED4}"/>
    <cellStyle name="40% - Accent1 10 4" xfId="18816" xr:uid="{7AF6DF23-2D2C-43CB-919B-EBD81C9AFDF5}"/>
    <cellStyle name="40% - Accent1 10 4 2" xfId="40238" xr:uid="{FEF1933D-498A-458C-8384-A9CCF2093A1F}"/>
    <cellStyle name="40% - Accent1 10 5" xfId="40231" xr:uid="{4AC6626D-6195-44DB-8871-6DFBD6238099}"/>
    <cellStyle name="40% - Accent1 11" xfId="3417" xr:uid="{3AAB6969-97FE-419C-B8BE-9992D782422A}"/>
    <cellStyle name="40% - Accent1 11 2" xfId="7149" xr:uid="{7480BB86-6C1B-4944-8CD9-E86373B60144}"/>
    <cellStyle name="40% - Accent1 11 2 2" xfId="14857" xr:uid="{D86652AA-11A9-48AE-AE32-BE4EA8F0B9AE}"/>
    <cellStyle name="40% - Accent1 11 2 2 2" xfId="30269" xr:uid="{88E3B6F8-2F45-419F-9C11-3A7950E71498}"/>
    <cellStyle name="40% - Accent1 11 2 2 2 2" xfId="40242" xr:uid="{6136C0F0-A212-4450-B3E9-26627AACE470}"/>
    <cellStyle name="40% - Accent1 11 2 2 3" xfId="40241" xr:uid="{4A5FF6A9-3664-4524-BD27-3AB807D06639}"/>
    <cellStyle name="40% - Accent1 11 2 3" xfId="22564" xr:uid="{E8445C7C-A3AE-4AE1-81AB-524141BD5AAB}"/>
    <cellStyle name="40% - Accent1 11 2 3 2" xfId="40243" xr:uid="{0C4ABBEE-AA9A-4421-90E5-17AA1065F60A}"/>
    <cellStyle name="40% - Accent1 11 2 4" xfId="40240" xr:uid="{34F435C7-A4EC-43F1-883F-3C6665280821}"/>
    <cellStyle name="40% - Accent1 11 3" xfId="11128" xr:uid="{3B235B4C-D25B-447F-B93D-E6830EC30A9D}"/>
    <cellStyle name="40% - Accent1 11 3 2" xfId="26541" xr:uid="{201C38AB-F434-4575-9E95-75F7EBD8006B}"/>
    <cellStyle name="40% - Accent1 11 3 2 2" xfId="40245" xr:uid="{DE83C2DD-A317-4F08-89DC-72EB6971ADA8}"/>
    <cellStyle name="40% - Accent1 11 3 3" xfId="40244" xr:uid="{8AA29F43-52BE-4624-9B27-54AA80313800}"/>
    <cellStyle name="40% - Accent1 11 4" xfId="18836" xr:uid="{CF70C0CB-A04F-4B6D-BD13-CC15BCBB4B97}"/>
    <cellStyle name="40% - Accent1 11 4 2" xfId="40246" xr:uid="{86B6591B-42C9-49DC-B96B-855DCD6F5140}"/>
    <cellStyle name="40% - Accent1 11 5" xfId="40239" xr:uid="{946E86EF-29E8-46B0-9418-2683EBDA3864}"/>
    <cellStyle name="40% - Accent1 12" xfId="3437" xr:uid="{0AC09276-35E9-47E4-9C20-1E7AC0BFB5CF}"/>
    <cellStyle name="40% - Accent1 12 2" xfId="7169" xr:uid="{67D5B4D8-9E7F-4192-B955-C3C04DCA1B32}"/>
    <cellStyle name="40% - Accent1 12 2 2" xfId="14877" xr:uid="{02430C90-2CBF-49D4-B784-622E536A2A84}"/>
    <cellStyle name="40% - Accent1 12 2 2 2" xfId="30289" xr:uid="{FEF1E84E-2A63-4636-AD4D-18589E732D34}"/>
    <cellStyle name="40% - Accent1 12 2 2 2 2" xfId="40250" xr:uid="{C27C78C9-60F8-4D9C-838A-8C6BDB892E7E}"/>
    <cellStyle name="40% - Accent1 12 2 2 3" xfId="40249" xr:uid="{4323F7DD-A210-4571-ACEA-0E59A29C10B2}"/>
    <cellStyle name="40% - Accent1 12 2 3" xfId="22584" xr:uid="{B78874B2-B20E-46EC-BF35-F2C0A52ECF6A}"/>
    <cellStyle name="40% - Accent1 12 2 3 2" xfId="40251" xr:uid="{B4E93FC2-BC8B-4AA4-841A-ADDD381E5E9D}"/>
    <cellStyle name="40% - Accent1 12 2 4" xfId="40248" xr:uid="{3A5B2AE0-E7B2-4B43-B8EB-834DBA9E8999}"/>
    <cellStyle name="40% - Accent1 12 3" xfId="11148" xr:uid="{C4922621-FF45-46FA-8C69-223F7B61B6C5}"/>
    <cellStyle name="40% - Accent1 12 3 2" xfId="26561" xr:uid="{66BE288F-14F9-47B7-9571-2C6BF31E93BD}"/>
    <cellStyle name="40% - Accent1 12 3 2 2" xfId="40253" xr:uid="{D46BBBE8-0B0E-40C8-94DF-A7439EE5FA26}"/>
    <cellStyle name="40% - Accent1 12 3 3" xfId="40252" xr:uid="{99377567-122A-41AB-8279-452C51B41E43}"/>
    <cellStyle name="40% - Accent1 12 4" xfId="18856" xr:uid="{EE2FEC63-7354-49E2-B654-421CD2D75D00}"/>
    <cellStyle name="40% - Accent1 12 4 2" xfId="40254" xr:uid="{2BCB20B9-392B-41AE-8EEA-32B6CFF5B15A}"/>
    <cellStyle name="40% - Accent1 12 5" xfId="40247" xr:uid="{B48E23D7-B6EF-4FA3-AC18-55F7912347B2}"/>
    <cellStyle name="40% - Accent1 13" xfId="3457" xr:uid="{CA89C9AD-C665-4F09-A495-9E1C53663DD7}"/>
    <cellStyle name="40% - Accent1 13 2" xfId="7189" xr:uid="{CD4DE74B-B664-4E29-AE9A-0ABC5BA13CC5}"/>
    <cellStyle name="40% - Accent1 13 2 2" xfId="14897" xr:uid="{18F76FFC-2F9C-47FA-BEEC-5FC0EC1D37AA}"/>
    <cellStyle name="40% - Accent1 13 2 2 2" xfId="30309" xr:uid="{292504FC-4FC9-4CB7-8D85-A8DA7E3AF326}"/>
    <cellStyle name="40% - Accent1 13 2 2 2 2" xfId="40258" xr:uid="{18D1B9D3-81DF-42F2-834F-084AC8F115B2}"/>
    <cellStyle name="40% - Accent1 13 2 2 3" xfId="40257" xr:uid="{2D65D362-2A3B-4AFD-952C-757AB50CF59A}"/>
    <cellStyle name="40% - Accent1 13 2 3" xfId="22604" xr:uid="{5A0ED698-956D-468B-A5CD-53D01E8341FB}"/>
    <cellStyle name="40% - Accent1 13 2 3 2" xfId="40259" xr:uid="{B7F064F5-4DFF-4E64-8510-F9E8DD366899}"/>
    <cellStyle name="40% - Accent1 13 2 4" xfId="40256" xr:uid="{16D57B47-3A40-4069-8A34-1DB0C0887866}"/>
    <cellStyle name="40% - Accent1 13 3" xfId="11168" xr:uid="{80950530-3B21-4B20-A61B-39727D96D247}"/>
    <cellStyle name="40% - Accent1 13 3 2" xfId="26581" xr:uid="{7B7B8381-5577-4D12-8FBB-14A5449C3593}"/>
    <cellStyle name="40% - Accent1 13 3 2 2" xfId="40261" xr:uid="{765CAA01-06F2-430B-8A5E-7A25253FB731}"/>
    <cellStyle name="40% - Accent1 13 3 3" xfId="40260" xr:uid="{F6614065-9709-4205-A030-927E624B3C31}"/>
    <cellStyle name="40% - Accent1 13 4" xfId="18876" xr:uid="{2A6A20BB-2600-48B2-9E98-22186DCB735B}"/>
    <cellStyle name="40% - Accent1 13 4 2" xfId="40262" xr:uid="{E322A132-21C5-433C-A29C-2296F2692DA5}"/>
    <cellStyle name="40% - Accent1 13 5" xfId="40255" xr:uid="{7974FAB7-2276-4FAB-8066-14B5C9349994}"/>
    <cellStyle name="40% - Accent1 14" xfId="3477" xr:uid="{3DC6A304-230D-4572-A962-DA2C89B02003}"/>
    <cellStyle name="40% - Accent1 14 2" xfId="7209" xr:uid="{63524D53-870B-4C59-AB4B-93BB9ACA2FDB}"/>
    <cellStyle name="40% - Accent1 14 2 2" xfId="14917" xr:uid="{340507F4-E076-4E5A-A764-2F40A3C1546E}"/>
    <cellStyle name="40% - Accent1 14 2 2 2" xfId="30329" xr:uid="{A1C81747-4F6E-49A4-B451-BAEF1550CB0C}"/>
    <cellStyle name="40% - Accent1 14 2 2 2 2" xfId="40266" xr:uid="{2019ABE8-8B2A-4AAD-B749-FE8ACD033169}"/>
    <cellStyle name="40% - Accent1 14 2 2 3" xfId="40265" xr:uid="{05E8F9C9-586C-4578-BD55-783B816A07C5}"/>
    <cellStyle name="40% - Accent1 14 2 3" xfId="22624" xr:uid="{3BC4E9D6-9783-4D3F-B97F-7ED290E0F8B6}"/>
    <cellStyle name="40% - Accent1 14 2 3 2" xfId="40267" xr:uid="{390F8B16-64E5-4B01-B18B-BD1588346181}"/>
    <cellStyle name="40% - Accent1 14 2 4" xfId="40264" xr:uid="{84265997-B068-4938-9672-D2884BDCB486}"/>
    <cellStyle name="40% - Accent1 14 3" xfId="11188" xr:uid="{07CC7E11-D4EC-4F41-8EAF-526F8E2FB794}"/>
    <cellStyle name="40% - Accent1 14 3 2" xfId="26601" xr:uid="{1936CA9B-6E19-42DE-8916-251F1F7BD2B1}"/>
    <cellStyle name="40% - Accent1 14 3 2 2" xfId="40269" xr:uid="{18C8290B-57A6-4CFF-82C9-FD7D26AB4FEB}"/>
    <cellStyle name="40% - Accent1 14 3 3" xfId="40268" xr:uid="{F5B520D0-E189-4803-B585-5BED5D2E98C5}"/>
    <cellStyle name="40% - Accent1 14 4" xfId="18896" xr:uid="{05920308-F837-47DF-81BF-4C873BF4C58A}"/>
    <cellStyle name="40% - Accent1 14 4 2" xfId="40270" xr:uid="{2A40F765-BF67-4066-BD4A-F3DE690BA49E}"/>
    <cellStyle name="40% - Accent1 14 5" xfId="40263" xr:uid="{A7E200A5-07A0-4DC1-AE16-4A94E0A4EF1D}"/>
    <cellStyle name="40% - Accent1 15" xfId="3497" xr:uid="{488BB141-4A36-4504-AADA-82EE3075EDE1}"/>
    <cellStyle name="40% - Accent1 15 2" xfId="7229" xr:uid="{EDF9CA72-3D77-4235-9004-703BEECF8239}"/>
    <cellStyle name="40% - Accent1 15 2 2" xfId="14937" xr:uid="{260936C2-2822-4FB3-86CF-DF3D5BF8C0B7}"/>
    <cellStyle name="40% - Accent1 15 2 2 2" xfId="30349" xr:uid="{EF8F43D9-2D43-4463-8897-9F0E16D8E736}"/>
    <cellStyle name="40% - Accent1 15 2 2 2 2" xfId="40274" xr:uid="{803B0D08-A575-4CDB-909A-CD4621D075C5}"/>
    <cellStyle name="40% - Accent1 15 2 2 3" xfId="40273" xr:uid="{1572B675-AC76-426D-AD55-3FB7FB3DC3C9}"/>
    <cellStyle name="40% - Accent1 15 2 3" xfId="22644" xr:uid="{E00DB1FB-0E9B-474A-8C28-EDE25FDEEB62}"/>
    <cellStyle name="40% - Accent1 15 2 3 2" xfId="40275" xr:uid="{20D54CBF-AF48-4247-9BA9-4123174C9EED}"/>
    <cellStyle name="40% - Accent1 15 2 4" xfId="40272" xr:uid="{49F23E02-702A-4B51-9D9B-379A1B9F0B9F}"/>
    <cellStyle name="40% - Accent1 15 3" xfId="11208" xr:uid="{115DFF4C-FE27-4D8F-AF9A-6B26B1E0FD54}"/>
    <cellStyle name="40% - Accent1 15 3 2" xfId="26621" xr:uid="{54BB5734-1A5A-442C-97ED-30918F2FFEAC}"/>
    <cellStyle name="40% - Accent1 15 3 2 2" xfId="40277" xr:uid="{610982C1-9267-4616-87F4-5924EF55D308}"/>
    <cellStyle name="40% - Accent1 15 3 3" xfId="40276" xr:uid="{74F77BBA-A4BA-4250-A0DA-1AE899963EC5}"/>
    <cellStyle name="40% - Accent1 15 4" xfId="18916" xr:uid="{9729E885-4580-47D0-AA8D-DF6A8B59A884}"/>
    <cellStyle name="40% - Accent1 15 4 2" xfId="40278" xr:uid="{E755CA47-2063-4A00-A485-BF404BB7BD11}"/>
    <cellStyle name="40% - Accent1 15 5" xfId="40271" xr:uid="{904031B1-CB42-4831-A546-F890F0D30FE3}"/>
    <cellStyle name="40% - Accent1 16" xfId="3517" xr:uid="{60B2C865-E6E3-4800-9CBC-F524DC5D177B}"/>
    <cellStyle name="40% - Accent1 16 2" xfId="7249" xr:uid="{2B926C85-4E5F-4B82-A6B3-AF5EADD10084}"/>
    <cellStyle name="40% - Accent1 16 2 2" xfId="14957" xr:uid="{D6CBF12A-6096-430D-836D-A1F0601C2DCD}"/>
    <cellStyle name="40% - Accent1 16 2 2 2" xfId="30369" xr:uid="{E979BA14-98EC-4EFC-8C6D-CFCA882FA903}"/>
    <cellStyle name="40% - Accent1 16 2 2 2 2" xfId="40282" xr:uid="{A8E7AD9D-5B1D-446C-B01D-AEBBC67A013E}"/>
    <cellStyle name="40% - Accent1 16 2 2 3" xfId="40281" xr:uid="{D1F0D700-1150-412F-B631-64EF3C30C8D9}"/>
    <cellStyle name="40% - Accent1 16 2 3" xfId="22664" xr:uid="{163700CE-2BCF-48F1-96C5-65071AF61D16}"/>
    <cellStyle name="40% - Accent1 16 2 3 2" xfId="40283" xr:uid="{A3150CF0-B1FA-4DA8-A5E0-C254161FE344}"/>
    <cellStyle name="40% - Accent1 16 2 4" xfId="40280" xr:uid="{D6A0943C-9A17-42B9-821B-66F86E13C7B0}"/>
    <cellStyle name="40% - Accent1 16 3" xfId="11228" xr:uid="{B7B6BB2A-B374-4978-B0E4-E64A74F9270E}"/>
    <cellStyle name="40% - Accent1 16 3 2" xfId="26641" xr:uid="{F32DEF2D-0C6D-4E19-B125-768A0F5E295A}"/>
    <cellStyle name="40% - Accent1 16 3 2 2" xfId="40285" xr:uid="{FE614022-7FB2-4BA1-89C0-1143BFFA7072}"/>
    <cellStyle name="40% - Accent1 16 3 3" xfId="40284" xr:uid="{564DB872-E059-4263-AA8E-9C16A179648F}"/>
    <cellStyle name="40% - Accent1 16 4" xfId="18936" xr:uid="{7AB01456-FBAF-49E4-93C6-062AE2EAFC56}"/>
    <cellStyle name="40% - Accent1 16 4 2" xfId="40286" xr:uid="{783752EB-B04E-4052-8D37-1967A4EDE728}"/>
    <cellStyle name="40% - Accent1 16 5" xfId="40279" xr:uid="{FA02F568-CF58-4B39-912F-24C024094A18}"/>
    <cellStyle name="40% - Accent1 17" xfId="3537" xr:uid="{183D11E3-137E-4581-9303-0645BB7EC3ED}"/>
    <cellStyle name="40% - Accent1 17 2" xfId="7269" xr:uid="{94F85BDB-5933-4C3A-A886-E2A9451C3069}"/>
    <cellStyle name="40% - Accent1 17 2 2" xfId="14977" xr:uid="{8C2A8A77-2B14-465F-8E05-CC0F61A1C81A}"/>
    <cellStyle name="40% - Accent1 17 2 2 2" xfId="30389" xr:uid="{4525FD25-D1D3-45CD-9211-F3CA81A38980}"/>
    <cellStyle name="40% - Accent1 17 2 2 2 2" xfId="40290" xr:uid="{2DEA19B7-5F3F-4607-8B51-FDCAB2DCE397}"/>
    <cellStyle name="40% - Accent1 17 2 2 3" xfId="40289" xr:uid="{B4E130D7-1B41-42BD-9D6C-F7CEED6B07B6}"/>
    <cellStyle name="40% - Accent1 17 2 3" xfId="22684" xr:uid="{524D01F6-8BCE-4BF5-AE92-56E88CC9524C}"/>
    <cellStyle name="40% - Accent1 17 2 3 2" xfId="40291" xr:uid="{D3BFBB5A-A99F-47A1-8A53-23714F5F9B80}"/>
    <cellStyle name="40% - Accent1 17 2 4" xfId="40288" xr:uid="{51A260EA-9B2D-4942-9AD3-E3B27299978C}"/>
    <cellStyle name="40% - Accent1 17 3" xfId="11248" xr:uid="{F0EA8867-D2EC-4E5A-8AEA-87AA7CDEF930}"/>
    <cellStyle name="40% - Accent1 17 3 2" xfId="26661" xr:uid="{B17EDBB5-80C3-4B90-A7E9-696C1E3D5996}"/>
    <cellStyle name="40% - Accent1 17 3 2 2" xfId="40293" xr:uid="{EE0B409A-5964-4D5D-87F4-C7E811344318}"/>
    <cellStyle name="40% - Accent1 17 3 3" xfId="40292" xr:uid="{377419AE-FF70-4ED1-90AF-A6861BA2CCD5}"/>
    <cellStyle name="40% - Accent1 17 4" xfId="18956" xr:uid="{2229F492-7EA3-462B-B873-77D4937AC6AB}"/>
    <cellStyle name="40% - Accent1 17 4 2" xfId="40294" xr:uid="{57B945DB-85AD-4851-AB29-BE250105261C}"/>
    <cellStyle name="40% - Accent1 17 5" xfId="40287" xr:uid="{5578361F-381F-4916-B5FD-89C5389D6523}"/>
    <cellStyle name="40% - Accent1 18" xfId="3557" xr:uid="{E7CBDDA6-7690-4667-A27D-88BBA26D6294}"/>
    <cellStyle name="40% - Accent1 18 2" xfId="7289" xr:uid="{B9E6FE3D-2DAA-4BEE-8483-6FB14AD6906B}"/>
    <cellStyle name="40% - Accent1 18 2 2" xfId="14997" xr:uid="{6B90A838-71B4-4721-BA44-8DD324206E44}"/>
    <cellStyle name="40% - Accent1 18 2 2 2" xfId="30409" xr:uid="{3F38C7DB-E392-4211-872E-C06023FC19D8}"/>
    <cellStyle name="40% - Accent1 18 2 2 2 2" xfId="40298" xr:uid="{F9C9568D-45F5-4CA7-867D-D7986ECF5EA1}"/>
    <cellStyle name="40% - Accent1 18 2 2 3" xfId="40297" xr:uid="{25A43BFA-F47E-47FC-8801-7DB9FDFF29F1}"/>
    <cellStyle name="40% - Accent1 18 2 3" xfId="22704" xr:uid="{919B0EC3-FA7B-498D-8818-BFC340713CD7}"/>
    <cellStyle name="40% - Accent1 18 2 3 2" xfId="40299" xr:uid="{333FCE84-8033-495B-9B56-6E840FD36948}"/>
    <cellStyle name="40% - Accent1 18 2 4" xfId="40296" xr:uid="{030E6A65-6CDF-4455-B61B-17622910CD7F}"/>
    <cellStyle name="40% - Accent1 18 3" xfId="11268" xr:uid="{89D998F2-5E0D-43A9-9572-F409D0F5779A}"/>
    <cellStyle name="40% - Accent1 18 3 2" xfId="26681" xr:uid="{A9426EAB-8ED4-4447-948A-CC530057B26A}"/>
    <cellStyle name="40% - Accent1 18 3 2 2" xfId="40301" xr:uid="{4C5F5A9A-C80D-427A-8DB4-71BA7DD045E8}"/>
    <cellStyle name="40% - Accent1 18 3 3" xfId="40300" xr:uid="{F8F6F930-D138-45F2-8687-14DEA3EEDBDB}"/>
    <cellStyle name="40% - Accent1 18 4" xfId="18976" xr:uid="{0364E567-58E7-448A-AB0C-90FC1019AE79}"/>
    <cellStyle name="40% - Accent1 18 4 2" xfId="40302" xr:uid="{B362BBAF-14A7-42A9-ACCA-C7735B00241F}"/>
    <cellStyle name="40% - Accent1 18 5" xfId="40295" xr:uid="{831F88B5-6AA8-423A-96E5-6E601BF7B626}"/>
    <cellStyle name="40% - Accent1 19" xfId="3578" xr:uid="{CCC8ABF1-AF35-4C1E-B850-9AE90A12A4E1}"/>
    <cellStyle name="40% - Accent1 19 2" xfId="7309" xr:uid="{F6C61904-D0F2-47C6-BD30-89D8410E20D9}"/>
    <cellStyle name="40% - Accent1 19 2 2" xfId="15017" xr:uid="{53F7B0FD-15E9-4D17-94D6-F9BDD5EAC634}"/>
    <cellStyle name="40% - Accent1 19 2 2 2" xfId="30429" xr:uid="{88D50C6B-91AC-414B-BA99-DD69A55BC45A}"/>
    <cellStyle name="40% - Accent1 19 2 2 2 2" xfId="40306" xr:uid="{8D318878-FE41-405C-A537-2E1CD21D2122}"/>
    <cellStyle name="40% - Accent1 19 2 2 3" xfId="40305" xr:uid="{74F20D01-1FB8-4938-82F8-83582595F990}"/>
    <cellStyle name="40% - Accent1 19 2 3" xfId="22724" xr:uid="{AC1F0CA5-D5C4-4EB6-A349-50DCA2CBD1BE}"/>
    <cellStyle name="40% - Accent1 19 2 3 2" xfId="40307" xr:uid="{7045FDA2-6730-42D9-966C-7C7139943EBD}"/>
    <cellStyle name="40% - Accent1 19 2 4" xfId="40304" xr:uid="{6B24C983-B973-451A-8F0A-4D538BC721D8}"/>
    <cellStyle name="40% - Accent1 19 3" xfId="11288" xr:uid="{ACCF6123-02CA-45F6-A5D1-3A8015FAC7A6}"/>
    <cellStyle name="40% - Accent1 19 3 2" xfId="26701" xr:uid="{0EAC407E-DC87-4FB6-90C5-8F5C16A6C58D}"/>
    <cellStyle name="40% - Accent1 19 3 2 2" xfId="40309" xr:uid="{E0F96224-9AC3-4F69-94CB-8F6B834EA8B8}"/>
    <cellStyle name="40% - Accent1 19 3 3" xfId="40308" xr:uid="{35245AF8-3498-4B7E-9B79-AC0D6895E8A6}"/>
    <cellStyle name="40% - Accent1 19 4" xfId="18996" xr:uid="{3DEFD3ED-7398-463E-942F-223D1A3DB138}"/>
    <cellStyle name="40% - Accent1 19 4 2" xfId="40310" xr:uid="{6B6E6D03-C1FC-41A8-A33C-B1751619620D}"/>
    <cellStyle name="40% - Accent1 19 5" xfId="40303" xr:uid="{EE1FED8A-D9AF-4F9A-8806-1CACAA6E36B5}"/>
    <cellStyle name="40% - Accent1 2" xfId="81" xr:uid="{A98C411A-6CDC-4F1D-A2C8-1DD25CB042F0}"/>
    <cellStyle name="40% - Accent1 2 10" xfId="40311" xr:uid="{393991CA-51CC-4D10-BC0E-70DAF1381346}"/>
    <cellStyle name="40% - Accent1 2 2" xfId="145" xr:uid="{3C58F6C1-6E1E-495B-91CA-AEB77C92C458}"/>
    <cellStyle name="40% - Accent1 2 2 2" xfId="208" xr:uid="{627F8E67-EE89-4FA7-9A3A-940B95950322}"/>
    <cellStyle name="40% - Accent1 2 2 2 2" xfId="413" xr:uid="{4B6FA0E7-2426-400B-96A8-E930B1A13C99}"/>
    <cellStyle name="40% - Accent1 2 2 2 2 2" xfId="1075" xr:uid="{5ECE2F88-C674-4A7C-BA7D-44DAF387D3BB}"/>
    <cellStyle name="40% - Accent1 2 2 2 2 2 2" xfId="2543" xr:uid="{7A8BBA20-4DC3-4213-9BC4-F0F48C2615BC}"/>
    <cellStyle name="40% - Accent1 2 2 2 2 2 2 2" xfId="6275" xr:uid="{71684CF0-5BBE-463F-98A6-3E80C482DCD3}"/>
    <cellStyle name="40% - Accent1 2 2 2 2 2 2 2 2" xfId="13983" xr:uid="{BF3DFE30-3ADE-4201-9D93-55AFF4C65A1A}"/>
    <cellStyle name="40% - Accent1 2 2 2 2 2 2 2 2 2" xfId="29395" xr:uid="{73DA53FA-3B24-454B-9094-B8C91093A494}"/>
    <cellStyle name="40% - Accent1 2 2 2 2 2 2 2 2 2 2" xfId="40319" xr:uid="{34321A8F-7803-4E11-89B3-E47C795067CE}"/>
    <cellStyle name="40% - Accent1 2 2 2 2 2 2 2 2 3" xfId="40318" xr:uid="{3263ACA5-74BE-4E21-9EBB-3C46302D20B8}"/>
    <cellStyle name="40% - Accent1 2 2 2 2 2 2 2 3" xfId="21690" xr:uid="{979B2015-56CB-4452-92C2-DEEEC1AA92C1}"/>
    <cellStyle name="40% - Accent1 2 2 2 2 2 2 2 3 2" xfId="40320" xr:uid="{038ABABF-7F72-49BB-8884-4BAFF4275143}"/>
    <cellStyle name="40% - Accent1 2 2 2 2 2 2 2 4" xfId="40317" xr:uid="{D20FE600-071E-4E7F-9F12-92CA9EB4BE67}"/>
    <cellStyle name="40% - Accent1 2 2 2 2 2 2 3" xfId="10254" xr:uid="{9BB8D748-6303-47BD-9AAA-3BBC3843E70B}"/>
    <cellStyle name="40% - Accent1 2 2 2 2 2 2 3 2" xfId="25667" xr:uid="{D84A0288-755E-40BE-9C44-B6B3DF14E185}"/>
    <cellStyle name="40% - Accent1 2 2 2 2 2 2 3 2 2" xfId="40322" xr:uid="{1C96D9B4-24C7-4E0F-8802-BDD25F1CB461}"/>
    <cellStyle name="40% - Accent1 2 2 2 2 2 2 3 3" xfId="40321" xr:uid="{B2B8E648-F7EC-439F-A117-651A47D7BE94}"/>
    <cellStyle name="40% - Accent1 2 2 2 2 2 2 4" xfId="17962" xr:uid="{2D43B352-F50A-4E3A-940A-69675B671FC9}"/>
    <cellStyle name="40% - Accent1 2 2 2 2 2 2 4 2" xfId="40323" xr:uid="{BF21942D-AEAB-4CDA-AF34-CB47C69C2704}"/>
    <cellStyle name="40% - Accent1 2 2 2 2 2 2 5" xfId="40316" xr:uid="{6833AE4E-F862-4708-9FDD-D2094C451A5B}"/>
    <cellStyle name="40% - Accent1 2 2 2 2 2 3" xfId="4812" xr:uid="{70BDC86D-0420-4781-B621-AD63189CF7FA}"/>
    <cellStyle name="40% - Accent1 2 2 2 2 2 3 2" xfId="12520" xr:uid="{EE5ECD2F-A197-49D4-BB82-091EB3F2ED6B}"/>
    <cellStyle name="40% - Accent1 2 2 2 2 2 3 2 2" xfId="27932" xr:uid="{B6774BB8-95E2-493E-88AB-7DE7E9F30C81}"/>
    <cellStyle name="40% - Accent1 2 2 2 2 2 3 2 2 2" xfId="40326" xr:uid="{8E1DF8F1-0ED0-448D-AA33-D63724047E1D}"/>
    <cellStyle name="40% - Accent1 2 2 2 2 2 3 2 3" xfId="40325" xr:uid="{E10AE2B7-F596-49F3-9D6E-98039D40A936}"/>
    <cellStyle name="40% - Accent1 2 2 2 2 2 3 3" xfId="20227" xr:uid="{57BF4A44-5DFB-4245-A5AE-919D7676BA6D}"/>
    <cellStyle name="40% - Accent1 2 2 2 2 2 3 3 2" xfId="40327" xr:uid="{300F54DB-3A0A-4267-91C7-77E68F335148}"/>
    <cellStyle name="40% - Accent1 2 2 2 2 2 3 4" xfId="40324" xr:uid="{2DE3626B-1934-463A-9A17-D46E6C610217}"/>
    <cellStyle name="40% - Accent1 2 2 2 2 2 4" xfId="8795" xr:uid="{CFCB4528-4181-45B5-AC9B-562F870EBF99}"/>
    <cellStyle name="40% - Accent1 2 2 2 2 2 4 2" xfId="24208" xr:uid="{3FC59AC5-E41E-46C4-B261-E6419FDC46E0}"/>
    <cellStyle name="40% - Accent1 2 2 2 2 2 4 2 2" xfId="40329" xr:uid="{CF23D6C8-CEC4-4487-8FD9-3CF95D3CB0C7}"/>
    <cellStyle name="40% - Accent1 2 2 2 2 2 4 3" xfId="40328" xr:uid="{A1307814-FF5D-4F72-8FBB-3EC2EC3662E7}"/>
    <cellStyle name="40% - Accent1 2 2 2 2 2 5" xfId="16503" xr:uid="{83F8E4AC-18E5-4953-BC31-2069A7C5D718}"/>
    <cellStyle name="40% - Accent1 2 2 2 2 2 5 2" xfId="40330" xr:uid="{99D0D362-7B6A-486E-B224-C3FA1D91C1D5}"/>
    <cellStyle name="40% - Accent1 2 2 2 2 2 6" xfId="40315" xr:uid="{4C2D9633-4802-46C3-A6F4-C344C681FE1D}"/>
    <cellStyle name="40% - Accent1 2 2 2 2 3" xfId="1905" xr:uid="{9B199670-08AD-4108-8C0A-5E161A7EE5DB}"/>
    <cellStyle name="40% - Accent1 2 2 2 2 3 2" xfId="5637" xr:uid="{B20D8982-2B29-4D02-9193-7B144B8914D6}"/>
    <cellStyle name="40% - Accent1 2 2 2 2 3 2 2" xfId="13345" xr:uid="{BF6E529F-DA8E-4734-9E1D-2F365F5A32A2}"/>
    <cellStyle name="40% - Accent1 2 2 2 2 3 2 2 2" xfId="28757" xr:uid="{027A1BB9-3D9B-487D-AFC7-5C22C2006396}"/>
    <cellStyle name="40% - Accent1 2 2 2 2 3 2 2 2 2" xfId="40334" xr:uid="{C36D42DF-E9B3-48D1-86A3-786AEA24B798}"/>
    <cellStyle name="40% - Accent1 2 2 2 2 3 2 2 3" xfId="40333" xr:uid="{9DE70A36-0C8C-4F51-B8AD-25F1DB4DB9BA}"/>
    <cellStyle name="40% - Accent1 2 2 2 2 3 2 3" xfId="21052" xr:uid="{4E458EBC-FFC9-4908-A3CE-8AB95CD48192}"/>
    <cellStyle name="40% - Accent1 2 2 2 2 3 2 3 2" xfId="40335" xr:uid="{312E6F8D-DA12-4851-9FC6-EF4337AF0F66}"/>
    <cellStyle name="40% - Accent1 2 2 2 2 3 2 4" xfId="40332" xr:uid="{D382FE14-1AF6-4081-8001-7F26BADA9924}"/>
    <cellStyle name="40% - Accent1 2 2 2 2 3 3" xfId="9616" xr:uid="{30098302-E5E4-45F0-AC08-58B0FFF402AF}"/>
    <cellStyle name="40% - Accent1 2 2 2 2 3 3 2" xfId="25029" xr:uid="{2CCBB4CB-C747-421C-955A-AFAB77816542}"/>
    <cellStyle name="40% - Accent1 2 2 2 2 3 3 2 2" xfId="40337" xr:uid="{E27D86BE-CEB7-4AFC-BAB4-CFC216DBE46B}"/>
    <cellStyle name="40% - Accent1 2 2 2 2 3 3 3" xfId="40336" xr:uid="{98501515-58C5-44DF-9C2C-DE6D7D6D0006}"/>
    <cellStyle name="40% - Accent1 2 2 2 2 3 4" xfId="17324" xr:uid="{10F7B1FD-3C22-4F7C-AE7E-0E755AB5719C}"/>
    <cellStyle name="40% - Accent1 2 2 2 2 3 4 2" xfId="40338" xr:uid="{D1C2A22A-9AFB-4142-B99D-4B90B3E178F6}"/>
    <cellStyle name="40% - Accent1 2 2 2 2 3 5" xfId="40331" xr:uid="{9ED2254D-1C75-464F-A05F-C704800C975B}"/>
    <cellStyle name="40% - Accent1 2 2 2 2 4" xfId="4160" xr:uid="{67F0DBF1-B47C-4017-A353-F47FFFCAE252}"/>
    <cellStyle name="40% - Accent1 2 2 2 2 4 2" xfId="11868" xr:uid="{42A74A34-FE65-4B11-BF6F-CD9F80B2178A}"/>
    <cellStyle name="40% - Accent1 2 2 2 2 4 2 2" xfId="27280" xr:uid="{B5E1E70B-906E-42D5-94B8-7A55211CD1C1}"/>
    <cellStyle name="40% - Accent1 2 2 2 2 4 2 2 2" xfId="40341" xr:uid="{96982B99-05BF-45FC-B8AA-6B731AC3F403}"/>
    <cellStyle name="40% - Accent1 2 2 2 2 4 2 3" xfId="40340" xr:uid="{CF506794-863C-4E78-A6BF-83ADB5A2081F}"/>
    <cellStyle name="40% - Accent1 2 2 2 2 4 3" xfId="19575" xr:uid="{A090F2BD-3FB7-4871-8F29-37D89F673553}"/>
    <cellStyle name="40% - Accent1 2 2 2 2 4 3 2" xfId="40342" xr:uid="{35307FF3-6142-457E-A18F-41C8B5BC47CB}"/>
    <cellStyle name="40% - Accent1 2 2 2 2 4 4" xfId="40339" xr:uid="{A218440E-C238-40B6-ACCD-855A37AF4523}"/>
    <cellStyle name="40% - Accent1 2 2 2 2 5" xfId="8157" xr:uid="{49E1FB29-7D44-4E6D-BE8D-4A33BCC455BF}"/>
    <cellStyle name="40% - Accent1 2 2 2 2 5 2" xfId="23570" xr:uid="{DC304170-47C6-4CF4-8884-1BAAF3FDB663}"/>
    <cellStyle name="40% - Accent1 2 2 2 2 5 2 2" xfId="40344" xr:uid="{31147440-B40B-4448-B2B5-CCC415579F7C}"/>
    <cellStyle name="40% - Accent1 2 2 2 2 5 3" xfId="40343" xr:uid="{D7F87C32-DA57-4CDD-8B4A-A8FA2A3144FF}"/>
    <cellStyle name="40% - Accent1 2 2 2 2 6" xfId="15865" xr:uid="{6108A522-0270-4ED3-920D-E1EDA36272EF}"/>
    <cellStyle name="40% - Accent1 2 2 2 2 6 2" xfId="40345" xr:uid="{A500E943-6FCE-4942-A99E-959A1446FEC8}"/>
    <cellStyle name="40% - Accent1 2 2 2 2 7" xfId="40314" xr:uid="{89D13B27-7A15-4F77-A382-C0012D2F8FE6}"/>
    <cellStyle name="40% - Accent1 2 2 2 3" xfId="874" xr:uid="{42CD590F-EA9C-4AB9-ACEE-461CF599FDA1}"/>
    <cellStyle name="40% - Accent1 2 2 2 3 2" xfId="2345" xr:uid="{5ACEA34F-BDAC-485C-B24F-00E77F7F4549}"/>
    <cellStyle name="40% - Accent1 2 2 2 3 2 2" xfId="6077" xr:uid="{F29E1C27-131C-4CF4-99F0-4C84AFBD595E}"/>
    <cellStyle name="40% - Accent1 2 2 2 3 2 2 2" xfId="13785" xr:uid="{94F75651-80FD-47A9-A36D-47C0DD33380D}"/>
    <cellStyle name="40% - Accent1 2 2 2 3 2 2 2 2" xfId="29197" xr:uid="{8301D85C-261C-4143-9B0A-C848ED8C8323}"/>
    <cellStyle name="40% - Accent1 2 2 2 3 2 2 2 2 2" xfId="40350" xr:uid="{CBCFC566-1729-48DD-A205-67A5E2B2E053}"/>
    <cellStyle name="40% - Accent1 2 2 2 3 2 2 2 3" xfId="40349" xr:uid="{2AC4F0B7-60EA-4ABA-9986-0164A3EEBC0C}"/>
    <cellStyle name="40% - Accent1 2 2 2 3 2 2 3" xfId="21492" xr:uid="{F1E58A65-58FB-406A-8CD7-8D710BCE9599}"/>
    <cellStyle name="40% - Accent1 2 2 2 3 2 2 3 2" xfId="40351" xr:uid="{7DF86BC8-E79D-4409-A3B7-ABED5AB8D8E5}"/>
    <cellStyle name="40% - Accent1 2 2 2 3 2 2 4" xfId="40348" xr:uid="{A2FD7987-4816-4E62-8485-627271C98170}"/>
    <cellStyle name="40% - Accent1 2 2 2 3 2 3" xfId="10056" xr:uid="{892EE0CD-D47B-4C06-9251-E4C5B21DDCC3}"/>
    <cellStyle name="40% - Accent1 2 2 2 3 2 3 2" xfId="25469" xr:uid="{BAA3553B-D52F-4948-810D-76A54E23D8B2}"/>
    <cellStyle name="40% - Accent1 2 2 2 3 2 3 2 2" xfId="40353" xr:uid="{9B09A95D-B6CC-49F9-9CAF-A36D2D739794}"/>
    <cellStyle name="40% - Accent1 2 2 2 3 2 3 3" xfId="40352" xr:uid="{7D699B71-C3F0-493E-9CD6-CB490BD219A9}"/>
    <cellStyle name="40% - Accent1 2 2 2 3 2 4" xfId="17764" xr:uid="{F677F851-E837-4319-BC19-B36B577A62C8}"/>
    <cellStyle name="40% - Accent1 2 2 2 3 2 4 2" xfId="40354" xr:uid="{8DE18529-BD24-40A9-813A-A8AB9A864DD3}"/>
    <cellStyle name="40% - Accent1 2 2 2 3 2 5" xfId="40347" xr:uid="{2A45218E-D961-4451-A08F-64A46A84F2BB}"/>
    <cellStyle name="40% - Accent1 2 2 2 3 3" xfId="4611" xr:uid="{AD5E9637-529D-4CE6-80BA-6146C76F1122}"/>
    <cellStyle name="40% - Accent1 2 2 2 3 3 2" xfId="12319" xr:uid="{23329669-978D-47C7-8523-5E697BDC8016}"/>
    <cellStyle name="40% - Accent1 2 2 2 3 3 2 2" xfId="27731" xr:uid="{C071C15E-320E-48AD-8C3A-A2AC7447FB33}"/>
    <cellStyle name="40% - Accent1 2 2 2 3 3 2 2 2" xfId="40357" xr:uid="{110F3A62-F132-4AF5-BE7E-F5A0A16D8FFF}"/>
    <cellStyle name="40% - Accent1 2 2 2 3 3 2 3" xfId="40356" xr:uid="{ED54A066-30B5-47D7-B0D7-E313F7336FAB}"/>
    <cellStyle name="40% - Accent1 2 2 2 3 3 3" xfId="20026" xr:uid="{4A930180-E023-4C12-BB97-5C858C562CF2}"/>
    <cellStyle name="40% - Accent1 2 2 2 3 3 3 2" xfId="40358" xr:uid="{77BF1A23-5C10-480B-AF60-0DD0CC5C9128}"/>
    <cellStyle name="40% - Accent1 2 2 2 3 3 4" xfId="40355" xr:uid="{87E028FD-5395-4A58-8450-A9401C1AE82F}"/>
    <cellStyle name="40% - Accent1 2 2 2 3 4" xfId="8597" xr:uid="{EF49237A-3642-4A99-8F14-79E08D94D06D}"/>
    <cellStyle name="40% - Accent1 2 2 2 3 4 2" xfId="24010" xr:uid="{D6207FBC-4621-469B-A7BC-F9F658999ECB}"/>
    <cellStyle name="40% - Accent1 2 2 2 3 4 2 2" xfId="40360" xr:uid="{3492D42A-6AEB-4AD3-9690-15310EA1DA95}"/>
    <cellStyle name="40% - Accent1 2 2 2 3 4 3" xfId="40359" xr:uid="{38B2D537-A47A-47E8-B58E-451AC8366BD9}"/>
    <cellStyle name="40% - Accent1 2 2 2 3 5" xfId="16305" xr:uid="{57B30E09-21CE-480D-BE38-B59A18805F06}"/>
    <cellStyle name="40% - Accent1 2 2 2 3 5 2" xfId="40361" xr:uid="{7812304C-2364-413B-AB4D-3A3A7115CEDA}"/>
    <cellStyle name="40% - Accent1 2 2 2 3 6" xfId="40346" xr:uid="{5050ED51-3024-4178-B6C9-F36FD56D434A}"/>
    <cellStyle name="40% - Accent1 2 2 2 4" xfId="1707" xr:uid="{63DF0EF9-EEFC-4E2E-A797-EE2685B9AF7C}"/>
    <cellStyle name="40% - Accent1 2 2 2 4 2" xfId="5439" xr:uid="{DA33357A-5720-451A-8017-A14BC3F8231E}"/>
    <cellStyle name="40% - Accent1 2 2 2 4 2 2" xfId="13147" xr:uid="{B81185F4-75EE-462C-BCCC-1DA1EA733CED}"/>
    <cellStyle name="40% - Accent1 2 2 2 4 2 2 2" xfId="28559" xr:uid="{22D6E5F8-3201-4FEE-AAFE-CA56562A5410}"/>
    <cellStyle name="40% - Accent1 2 2 2 4 2 2 2 2" xfId="40365" xr:uid="{B5649220-D923-4678-B6AD-4A61F5DF5EDC}"/>
    <cellStyle name="40% - Accent1 2 2 2 4 2 2 3" xfId="40364" xr:uid="{76467D91-E5C3-4487-B835-4A233738BA34}"/>
    <cellStyle name="40% - Accent1 2 2 2 4 2 3" xfId="20854" xr:uid="{DE733DBC-BA73-4B74-AA9B-51E0E8303D35}"/>
    <cellStyle name="40% - Accent1 2 2 2 4 2 3 2" xfId="40366" xr:uid="{AC039F79-1784-42CF-B695-BBDB47D9E639}"/>
    <cellStyle name="40% - Accent1 2 2 2 4 2 4" xfId="40363" xr:uid="{3E1B708B-D7AD-42AB-AF3B-B1E229228CE3}"/>
    <cellStyle name="40% - Accent1 2 2 2 4 3" xfId="9418" xr:uid="{985B0279-3FE5-40B0-ACA7-2B82D3BECEB4}"/>
    <cellStyle name="40% - Accent1 2 2 2 4 3 2" xfId="24831" xr:uid="{A4BE097B-81EA-47F9-B687-10CC339A1954}"/>
    <cellStyle name="40% - Accent1 2 2 2 4 3 2 2" xfId="40368" xr:uid="{69852A02-61C6-4506-BA0A-46D9B6733569}"/>
    <cellStyle name="40% - Accent1 2 2 2 4 3 3" xfId="40367" xr:uid="{D6AC6487-565E-4C97-9081-8449A70CD91B}"/>
    <cellStyle name="40% - Accent1 2 2 2 4 4" xfId="17126" xr:uid="{07ACD365-E62F-4C53-91BD-F28FCDC5CD33}"/>
    <cellStyle name="40% - Accent1 2 2 2 4 4 2" xfId="40369" xr:uid="{C79D2AD8-C1FC-457B-920B-3F0A1CD34355}"/>
    <cellStyle name="40% - Accent1 2 2 2 4 5" xfId="40362" xr:uid="{3C0654B9-D9E8-46A1-9AB6-E81743A531F6}"/>
    <cellStyle name="40% - Accent1 2 2 2 5" xfId="3959" xr:uid="{ED1A72A7-3B08-48E7-A366-95DE71D41981}"/>
    <cellStyle name="40% - Accent1 2 2 2 5 2" xfId="11667" xr:uid="{FA636D69-6A73-44C4-95C1-ED9555605D3E}"/>
    <cellStyle name="40% - Accent1 2 2 2 5 2 2" xfId="27079" xr:uid="{A3E6209A-2921-476C-96F6-7B3BE5060240}"/>
    <cellStyle name="40% - Accent1 2 2 2 5 2 2 2" xfId="40372" xr:uid="{2100573C-5938-476F-9F02-ACE66D63437A}"/>
    <cellStyle name="40% - Accent1 2 2 2 5 2 3" xfId="40371" xr:uid="{08148FA9-26E2-429A-9AEC-05A8E0CFDC92}"/>
    <cellStyle name="40% - Accent1 2 2 2 5 3" xfId="19374" xr:uid="{39BF2864-810D-4B6A-B84E-14984CF9BE62}"/>
    <cellStyle name="40% - Accent1 2 2 2 5 3 2" xfId="40373" xr:uid="{A5CAB28F-E2C4-4AF1-9CC5-DBBDD42B4109}"/>
    <cellStyle name="40% - Accent1 2 2 2 5 4" xfId="40370" xr:uid="{45A20A4C-BD33-4960-BAD1-AFFC07F6FD72}"/>
    <cellStyle name="40% - Accent1 2 2 2 6" xfId="7959" xr:uid="{D11550FA-C357-4A8C-B5C5-6BED3112B487}"/>
    <cellStyle name="40% - Accent1 2 2 2 6 2" xfId="23372" xr:uid="{626454F6-FF59-4021-B293-537217A7EA60}"/>
    <cellStyle name="40% - Accent1 2 2 2 6 2 2" xfId="40375" xr:uid="{B87028D0-61BA-4315-B8EF-42C686F2BE17}"/>
    <cellStyle name="40% - Accent1 2 2 2 6 3" xfId="40374" xr:uid="{36EA88D8-95D1-4046-B2D2-4AD01C6A5B8C}"/>
    <cellStyle name="40% - Accent1 2 2 2 7" xfId="15667" xr:uid="{47E2D9EB-BC84-4192-B89D-BFA3F450C7E8}"/>
    <cellStyle name="40% - Accent1 2 2 2 7 2" xfId="40376" xr:uid="{D48656D5-E205-43D1-B041-DF426E497048}"/>
    <cellStyle name="40% - Accent1 2 2 2 8" xfId="40313" xr:uid="{DF58576F-A1A8-4682-A2E8-27145846ED08}"/>
    <cellStyle name="40% - Accent1 2 2 3" xfId="362" xr:uid="{7BB1D7EB-916B-4784-9790-0742EA1088ED}"/>
    <cellStyle name="40% - Accent1 2 2 3 2" xfId="1024" xr:uid="{D00A6F7C-F4C3-4740-A1AD-F3FBC8B04CEE}"/>
    <cellStyle name="40% - Accent1 2 2 3 2 2" xfId="2493" xr:uid="{D5988D7A-8FB1-48F6-8F14-DD99DF26D8A2}"/>
    <cellStyle name="40% - Accent1 2 2 3 2 2 2" xfId="6225" xr:uid="{74BFBE5E-1A08-401D-820B-4373D6672B5C}"/>
    <cellStyle name="40% - Accent1 2 2 3 2 2 2 2" xfId="13933" xr:uid="{FD8997E6-B90A-4422-B176-954844F430FE}"/>
    <cellStyle name="40% - Accent1 2 2 3 2 2 2 2 2" xfId="29345" xr:uid="{BDD63B53-09FD-4A37-B26B-3043BEE82D09}"/>
    <cellStyle name="40% - Accent1 2 2 3 2 2 2 2 2 2" xfId="40382" xr:uid="{6F4AD37D-1244-45EB-995C-26FFEBAB1A13}"/>
    <cellStyle name="40% - Accent1 2 2 3 2 2 2 2 3" xfId="40381" xr:uid="{E9299F32-25C0-4098-B10A-86BDCECB78A8}"/>
    <cellStyle name="40% - Accent1 2 2 3 2 2 2 3" xfId="21640" xr:uid="{9E407E23-FBA0-41C8-9F17-F6BD570DFA8F}"/>
    <cellStyle name="40% - Accent1 2 2 3 2 2 2 3 2" xfId="40383" xr:uid="{4C5A6A29-521D-425A-9B7E-FAB07BFD06AC}"/>
    <cellStyle name="40% - Accent1 2 2 3 2 2 2 4" xfId="40380" xr:uid="{3C966216-9F1F-47F7-8667-648D2B62CD1C}"/>
    <cellStyle name="40% - Accent1 2 2 3 2 2 3" xfId="10204" xr:uid="{3EBAC19C-06F9-4DBA-A682-A5FDFDE9285A}"/>
    <cellStyle name="40% - Accent1 2 2 3 2 2 3 2" xfId="25617" xr:uid="{C1E4D6BE-58BF-4131-A1F9-5F6619EAFD7B}"/>
    <cellStyle name="40% - Accent1 2 2 3 2 2 3 2 2" xfId="40385" xr:uid="{48CB21F8-3F6F-4FE7-8B72-1E1B9B1DB92D}"/>
    <cellStyle name="40% - Accent1 2 2 3 2 2 3 3" xfId="40384" xr:uid="{A9642776-BF0D-4146-8037-5DC728B32B37}"/>
    <cellStyle name="40% - Accent1 2 2 3 2 2 4" xfId="17912" xr:uid="{86CE0964-0AD7-4EB2-AB99-9788EEA496F3}"/>
    <cellStyle name="40% - Accent1 2 2 3 2 2 4 2" xfId="40386" xr:uid="{0685D88C-A4C1-4C83-8697-AC08B3652BC5}"/>
    <cellStyle name="40% - Accent1 2 2 3 2 2 5" xfId="40379" xr:uid="{1219B170-42F3-4926-A5E9-EC6F207BC947}"/>
    <cellStyle name="40% - Accent1 2 2 3 2 3" xfId="4761" xr:uid="{2A487311-7344-4C4A-AC3D-AD85F1908FBE}"/>
    <cellStyle name="40% - Accent1 2 2 3 2 3 2" xfId="12469" xr:uid="{83F5215B-3BE7-4EB8-9878-C1AE3A9F9A28}"/>
    <cellStyle name="40% - Accent1 2 2 3 2 3 2 2" xfId="27881" xr:uid="{C5EF7724-1C4E-46B6-960D-8C3AFCADB850}"/>
    <cellStyle name="40% - Accent1 2 2 3 2 3 2 2 2" xfId="40389" xr:uid="{9DA909AC-030C-4742-A428-3D1022AB0E10}"/>
    <cellStyle name="40% - Accent1 2 2 3 2 3 2 3" xfId="40388" xr:uid="{4D35A7D7-F73F-402A-AB37-1BDCBAC5FAED}"/>
    <cellStyle name="40% - Accent1 2 2 3 2 3 3" xfId="20176" xr:uid="{935FF1EE-6A62-4984-9E23-B91CC86C7222}"/>
    <cellStyle name="40% - Accent1 2 2 3 2 3 3 2" xfId="40390" xr:uid="{CC17FC48-6887-4E74-9242-AAAA377B71FD}"/>
    <cellStyle name="40% - Accent1 2 2 3 2 3 4" xfId="40387" xr:uid="{2415FA18-B691-4338-9E25-43E8FA3CD628}"/>
    <cellStyle name="40% - Accent1 2 2 3 2 4" xfId="8745" xr:uid="{D3D30817-7B91-4A37-AA1E-78904AA878E6}"/>
    <cellStyle name="40% - Accent1 2 2 3 2 4 2" xfId="24158" xr:uid="{1E1A68E3-5C7D-4DB2-A438-6D438FDB00AE}"/>
    <cellStyle name="40% - Accent1 2 2 3 2 4 2 2" xfId="40392" xr:uid="{3D110647-791C-47A9-A34A-19098254C305}"/>
    <cellStyle name="40% - Accent1 2 2 3 2 4 3" xfId="40391" xr:uid="{321AA9F4-985C-4D6B-B685-2F332571D89C}"/>
    <cellStyle name="40% - Accent1 2 2 3 2 5" xfId="16453" xr:uid="{CF82B653-920B-41ED-92E2-E668F41C56E7}"/>
    <cellStyle name="40% - Accent1 2 2 3 2 5 2" xfId="40393" xr:uid="{091D04AE-83EC-4CFE-97F2-B36FA8C5D3A1}"/>
    <cellStyle name="40% - Accent1 2 2 3 2 6" xfId="40378" xr:uid="{5E75EF8F-5FBB-49EA-B408-8FADF606C2DE}"/>
    <cellStyle name="40% - Accent1 2 2 3 3" xfId="1855" xr:uid="{7E06D97C-FA0D-46CD-84C0-B17ED2D3820D}"/>
    <cellStyle name="40% - Accent1 2 2 3 3 2" xfId="5587" xr:uid="{C6F644AC-2CF6-4B61-BC50-42725295F0FC}"/>
    <cellStyle name="40% - Accent1 2 2 3 3 2 2" xfId="13295" xr:uid="{670869D6-BDA1-4685-8533-38F4CCF81512}"/>
    <cellStyle name="40% - Accent1 2 2 3 3 2 2 2" xfId="28707" xr:uid="{A5ADD9DB-F755-4E7C-9F8C-FF559EE071B1}"/>
    <cellStyle name="40% - Accent1 2 2 3 3 2 2 2 2" xfId="40397" xr:uid="{E9578C84-298B-4C21-9BF2-28F6C9B3CE5A}"/>
    <cellStyle name="40% - Accent1 2 2 3 3 2 2 3" xfId="40396" xr:uid="{A00B6652-3744-45C4-80A9-015F1F540A2B}"/>
    <cellStyle name="40% - Accent1 2 2 3 3 2 3" xfId="21002" xr:uid="{14345484-25C1-4620-8084-BF5F0A814F4F}"/>
    <cellStyle name="40% - Accent1 2 2 3 3 2 3 2" xfId="40398" xr:uid="{75366E13-10F3-4980-8606-C85D131E42C7}"/>
    <cellStyle name="40% - Accent1 2 2 3 3 2 4" xfId="40395" xr:uid="{A1072614-4756-478F-A8B1-48DA6CFD579B}"/>
    <cellStyle name="40% - Accent1 2 2 3 3 3" xfId="9566" xr:uid="{EE23EB1C-0DF2-4C05-B078-A885AE4F897A}"/>
    <cellStyle name="40% - Accent1 2 2 3 3 3 2" xfId="24979" xr:uid="{A56AF80E-F573-43FE-8552-2A60CDCB6868}"/>
    <cellStyle name="40% - Accent1 2 2 3 3 3 2 2" xfId="40400" xr:uid="{577DC691-98F5-4B1E-9663-1D50CAAE95BD}"/>
    <cellStyle name="40% - Accent1 2 2 3 3 3 3" xfId="40399" xr:uid="{4BFFE6D2-0078-4A7B-8733-96E1D8353AC4}"/>
    <cellStyle name="40% - Accent1 2 2 3 3 4" xfId="17274" xr:uid="{4B5FA31C-5423-4862-B931-563886AF90A3}"/>
    <cellStyle name="40% - Accent1 2 2 3 3 4 2" xfId="40401" xr:uid="{8581C7CB-E7C3-48BC-A575-C0940170DD2B}"/>
    <cellStyle name="40% - Accent1 2 2 3 3 5" xfId="40394" xr:uid="{3F169579-2562-4451-9A3B-96A6570D7537}"/>
    <cellStyle name="40% - Accent1 2 2 3 4" xfId="4109" xr:uid="{A810BE7A-8D54-47CD-BF69-335283803CB3}"/>
    <cellStyle name="40% - Accent1 2 2 3 4 2" xfId="11817" xr:uid="{A4C84BC8-AB3B-4ACF-9EC1-BCC1E9729A58}"/>
    <cellStyle name="40% - Accent1 2 2 3 4 2 2" xfId="27229" xr:uid="{BB58E9E8-65C1-4D93-AF5E-233890CB1EBE}"/>
    <cellStyle name="40% - Accent1 2 2 3 4 2 2 2" xfId="40404" xr:uid="{02B4ED6E-2B48-4C7F-9617-03D3865A868E}"/>
    <cellStyle name="40% - Accent1 2 2 3 4 2 3" xfId="40403" xr:uid="{C9D468A1-7A09-45AA-8949-ABDB572F9C2F}"/>
    <cellStyle name="40% - Accent1 2 2 3 4 3" xfId="19524" xr:uid="{AC949D7E-0921-4378-9338-815AD27A55E6}"/>
    <cellStyle name="40% - Accent1 2 2 3 4 3 2" xfId="40405" xr:uid="{CF44D2A4-F3BE-4C33-9AC5-E16F12895161}"/>
    <cellStyle name="40% - Accent1 2 2 3 4 4" xfId="40402" xr:uid="{69997D9A-F850-4093-A880-FF069EABA2B8}"/>
    <cellStyle name="40% - Accent1 2 2 3 5" xfId="8107" xr:uid="{D27CCEA5-8553-4D3F-B888-4B8852F23C1D}"/>
    <cellStyle name="40% - Accent1 2 2 3 5 2" xfId="23520" xr:uid="{B9886BFC-E1B1-40D3-B289-DF6E833EB19A}"/>
    <cellStyle name="40% - Accent1 2 2 3 5 2 2" xfId="40407" xr:uid="{C88C11D6-4FC7-44C3-B116-2C427CDD1B43}"/>
    <cellStyle name="40% - Accent1 2 2 3 5 3" xfId="40406" xr:uid="{030EF58C-F4E5-44E5-A6BD-65DD70E33C21}"/>
    <cellStyle name="40% - Accent1 2 2 3 6" xfId="15815" xr:uid="{206A61C9-1961-4C96-8D8C-298BE9FC699D}"/>
    <cellStyle name="40% - Accent1 2 2 3 6 2" xfId="40408" xr:uid="{22661D6D-01D4-4E13-ACA4-565995B2AB2E}"/>
    <cellStyle name="40% - Accent1 2 2 3 7" xfId="40377" xr:uid="{ADF02CD2-D056-4097-9E80-842AEE24EDDB}"/>
    <cellStyle name="40% - Accent1 2 2 4" xfId="818" xr:uid="{8073E89B-E1E0-444C-BF10-29B7FB89996E}"/>
    <cellStyle name="40% - Accent1 2 2 4 2" xfId="2295" xr:uid="{D02856E1-D462-46E5-ACD5-5183508A4D10}"/>
    <cellStyle name="40% - Accent1 2 2 4 2 2" xfId="6027" xr:uid="{012E6B3E-5057-4C47-8C5C-5DFFADA0B979}"/>
    <cellStyle name="40% - Accent1 2 2 4 2 2 2" xfId="13735" xr:uid="{D18F4C58-764B-4810-87D0-0D1717D22D34}"/>
    <cellStyle name="40% - Accent1 2 2 4 2 2 2 2" xfId="29147" xr:uid="{1B66EF93-F969-43DF-8743-BD8648A3C65C}"/>
    <cellStyle name="40% - Accent1 2 2 4 2 2 2 2 2" xfId="40413" xr:uid="{315B09FD-E286-4C65-BBE6-F59BD57FB903}"/>
    <cellStyle name="40% - Accent1 2 2 4 2 2 2 3" xfId="40412" xr:uid="{AED67C0E-BDD2-4AD3-B6B6-1151A63FFC0F}"/>
    <cellStyle name="40% - Accent1 2 2 4 2 2 3" xfId="21442" xr:uid="{B592E698-B8AE-45D4-9F0D-3C5486F4282C}"/>
    <cellStyle name="40% - Accent1 2 2 4 2 2 3 2" xfId="40414" xr:uid="{07AAC390-BB64-44AC-81FF-4B8EEBDB68B7}"/>
    <cellStyle name="40% - Accent1 2 2 4 2 2 4" xfId="40411" xr:uid="{85992816-8103-4795-A686-9CC04F9F7F2A}"/>
    <cellStyle name="40% - Accent1 2 2 4 2 3" xfId="10006" xr:uid="{03EA7F80-AB3E-4591-BC8D-B869F043969C}"/>
    <cellStyle name="40% - Accent1 2 2 4 2 3 2" xfId="25419" xr:uid="{8F502937-C3AC-4631-BB1A-279FB7ED7C65}"/>
    <cellStyle name="40% - Accent1 2 2 4 2 3 2 2" xfId="40416" xr:uid="{A985D82B-B5D6-4756-8020-CDB4AD0C1819}"/>
    <cellStyle name="40% - Accent1 2 2 4 2 3 3" xfId="40415" xr:uid="{74C5AA38-46FF-4367-BB7F-C5BC241FE00E}"/>
    <cellStyle name="40% - Accent1 2 2 4 2 4" xfId="17714" xr:uid="{51FA000C-4698-47F5-BC6C-600230F600CD}"/>
    <cellStyle name="40% - Accent1 2 2 4 2 4 2" xfId="40417" xr:uid="{D93CF6CE-71FF-41E9-867C-3782876E2188}"/>
    <cellStyle name="40% - Accent1 2 2 4 2 5" xfId="40410" xr:uid="{8EDDB967-F84F-4B75-8803-45EBF80C580A}"/>
    <cellStyle name="40% - Accent1 2 2 4 3" xfId="4555" xr:uid="{7F689284-7987-41B9-9C81-E8E4986A0786}"/>
    <cellStyle name="40% - Accent1 2 2 4 3 2" xfId="12263" xr:uid="{73A38047-1A8A-463E-A5B3-8035A4D7830F}"/>
    <cellStyle name="40% - Accent1 2 2 4 3 2 2" xfId="27675" xr:uid="{2B87C424-403F-4BDC-8AE4-6CBA312852BF}"/>
    <cellStyle name="40% - Accent1 2 2 4 3 2 2 2" xfId="40420" xr:uid="{DE89FA76-F01B-4107-AF63-67B58E36D8D3}"/>
    <cellStyle name="40% - Accent1 2 2 4 3 2 3" xfId="40419" xr:uid="{B3638585-0AB6-4F1D-BD7D-3FFDDE059E16}"/>
    <cellStyle name="40% - Accent1 2 2 4 3 3" xfId="19970" xr:uid="{FDA0D9CF-F904-4A66-8F84-382B8E831F15}"/>
    <cellStyle name="40% - Accent1 2 2 4 3 3 2" xfId="40421" xr:uid="{160D376F-0C0B-447C-8909-27BB76D0BE95}"/>
    <cellStyle name="40% - Accent1 2 2 4 3 4" xfId="40418" xr:uid="{B164020A-276A-4763-8641-392E8E0487AA}"/>
    <cellStyle name="40% - Accent1 2 2 4 4" xfId="8547" xr:uid="{4B139DC2-40D5-4D55-8CAA-D79727F3579A}"/>
    <cellStyle name="40% - Accent1 2 2 4 4 2" xfId="23960" xr:uid="{0D3F5C6A-FA39-4B16-8267-C174AAC26D81}"/>
    <cellStyle name="40% - Accent1 2 2 4 4 2 2" xfId="40423" xr:uid="{B6AEBA1A-04A7-4293-8101-6C9761053CDA}"/>
    <cellStyle name="40% - Accent1 2 2 4 4 3" xfId="40422" xr:uid="{BBD01ECC-F53D-4693-9D17-CD579BA0B3D1}"/>
    <cellStyle name="40% - Accent1 2 2 4 5" xfId="16255" xr:uid="{1C9A99C8-A675-47FF-92CE-1F7E4B423AAF}"/>
    <cellStyle name="40% - Accent1 2 2 4 5 2" xfId="40424" xr:uid="{75F87F84-9E8F-4D44-8B18-A969FB6A9ED1}"/>
    <cellStyle name="40% - Accent1 2 2 4 6" xfId="40409" xr:uid="{261D7EF2-3877-4923-8CDF-E1AF9BEBA74A}"/>
    <cellStyle name="40% - Accent1 2 2 5" xfId="1656" xr:uid="{5306D2B0-EDFF-47AF-A14C-031633AABB90}"/>
    <cellStyle name="40% - Accent1 2 2 5 2" xfId="5388" xr:uid="{2EF5F0DC-2CED-4011-AF60-F6ED3B7CB492}"/>
    <cellStyle name="40% - Accent1 2 2 5 2 2" xfId="13096" xr:uid="{C2E3410F-29B1-42D8-87DD-BCB3F6554D06}"/>
    <cellStyle name="40% - Accent1 2 2 5 2 2 2" xfId="28508" xr:uid="{403336F2-854E-4A13-8441-4D7EAC7899A1}"/>
    <cellStyle name="40% - Accent1 2 2 5 2 2 2 2" xfId="40428" xr:uid="{AF76634D-7412-4B8B-9263-25EFD7E705ED}"/>
    <cellStyle name="40% - Accent1 2 2 5 2 2 3" xfId="40427" xr:uid="{0CC279EE-D027-45BD-82D1-CCDF50C9BD22}"/>
    <cellStyle name="40% - Accent1 2 2 5 2 3" xfId="20803" xr:uid="{1CFE6F80-06A7-4AE6-A098-0BEFC59456DE}"/>
    <cellStyle name="40% - Accent1 2 2 5 2 3 2" xfId="40429" xr:uid="{A584CB2D-0C89-4B49-B28B-B565C2671E34}"/>
    <cellStyle name="40% - Accent1 2 2 5 2 4" xfId="40426" xr:uid="{D2A930F2-6B93-4C30-85DD-511117DD04E5}"/>
    <cellStyle name="40% - Accent1 2 2 5 3" xfId="9368" xr:uid="{9C3AB6D8-55E5-47D4-B0D4-B9412171C106}"/>
    <cellStyle name="40% - Accent1 2 2 5 3 2" xfId="24781" xr:uid="{FC0C45B8-8AAE-4FC4-9111-E573D5BD3452}"/>
    <cellStyle name="40% - Accent1 2 2 5 3 2 2" xfId="40431" xr:uid="{5E694EE4-81C7-48A3-B525-AB307BF0822C}"/>
    <cellStyle name="40% - Accent1 2 2 5 3 3" xfId="40430" xr:uid="{33E90696-12F2-4769-8522-0EAC5B0DD77D}"/>
    <cellStyle name="40% - Accent1 2 2 5 4" xfId="17076" xr:uid="{D4FB9C4E-A23E-454F-841A-E9DA96089FE9}"/>
    <cellStyle name="40% - Accent1 2 2 5 4 2" xfId="40432" xr:uid="{CDBDB00C-01F7-4D1E-892E-25CAADC47EE1}"/>
    <cellStyle name="40% - Accent1 2 2 5 5" xfId="40425" xr:uid="{D03381C0-C607-457D-A5C4-F11EAEE76E6A}"/>
    <cellStyle name="40% - Accent1 2 2 6" xfId="3903" xr:uid="{70F07BDC-E55A-42C4-AB1A-68F1B55CB3F6}"/>
    <cellStyle name="40% - Accent1 2 2 6 2" xfId="11611" xr:uid="{EF0CC081-AAF6-475D-9629-476679F731A5}"/>
    <cellStyle name="40% - Accent1 2 2 6 2 2" xfId="27023" xr:uid="{3EA99B52-AFF9-432B-BA9F-B63413755C68}"/>
    <cellStyle name="40% - Accent1 2 2 6 2 2 2" xfId="40435" xr:uid="{5AF61ABA-ED13-49C0-9B25-46B24D4F87C5}"/>
    <cellStyle name="40% - Accent1 2 2 6 2 3" xfId="40434" xr:uid="{E9BB9E55-BE42-4495-8AFA-C5D7C774736F}"/>
    <cellStyle name="40% - Accent1 2 2 6 3" xfId="19318" xr:uid="{35AACAB3-AFD7-484F-8E5C-ACD498B2B429}"/>
    <cellStyle name="40% - Accent1 2 2 6 3 2" xfId="40436" xr:uid="{A49F7DFD-0DE9-4D24-AB27-7C63B4626CEC}"/>
    <cellStyle name="40% - Accent1 2 2 6 4" xfId="40433" xr:uid="{4BBCCF98-9E4C-47F3-AE81-13819DF51D17}"/>
    <cellStyle name="40% - Accent1 2 2 7" xfId="7891" xr:uid="{4484FCFE-1340-44E0-A7F1-A51A02857C2B}"/>
    <cellStyle name="40% - Accent1 2 2 7 2" xfId="23304" xr:uid="{250A9AC9-BF79-4A75-8AFF-2870DE4955B9}"/>
    <cellStyle name="40% - Accent1 2 2 7 2 2" xfId="40438" xr:uid="{2A1F587D-90C7-406B-9705-5FEB55DB61E7}"/>
    <cellStyle name="40% - Accent1 2 2 7 3" xfId="40437" xr:uid="{BDFB1992-5DEF-4FB7-9A6A-468F7D84BF65}"/>
    <cellStyle name="40% - Accent1 2 2 8" xfId="15599" xr:uid="{612EC63B-5D69-4F6A-B509-6F198CEAEE13}"/>
    <cellStyle name="40% - Accent1 2 2 8 2" xfId="40439" xr:uid="{9BC67334-421E-44B6-B625-B0BD57B9F929}"/>
    <cellStyle name="40% - Accent1 2 2 9" xfId="40312" xr:uid="{8D21A388-5B81-4FC2-B964-EDA62CDD8934}"/>
    <cellStyle name="40% - Accent1 2 3" xfId="189" xr:uid="{3211D0C7-6DCD-4759-A4F3-1D12D519BE96}"/>
    <cellStyle name="40% - Accent1 2 3 2" xfId="398" xr:uid="{A3B1300C-A045-45E0-85B3-3348D3730114}"/>
    <cellStyle name="40% - Accent1 2 3 2 2" xfId="1060" xr:uid="{7386EBAF-46AA-473B-8CAB-EDBD31D65562}"/>
    <cellStyle name="40% - Accent1 2 3 2 2 2" xfId="2528" xr:uid="{2A77C91C-3F7D-4654-B8C5-DADC4141DEC1}"/>
    <cellStyle name="40% - Accent1 2 3 2 2 2 2" xfId="6260" xr:uid="{CD2133D0-8962-4DEE-9E0D-98EF1F692807}"/>
    <cellStyle name="40% - Accent1 2 3 2 2 2 2 2" xfId="13968" xr:uid="{5E756BFA-F4A7-4656-A3CC-3D9DA60E465F}"/>
    <cellStyle name="40% - Accent1 2 3 2 2 2 2 2 2" xfId="29380" xr:uid="{77720E82-5B9E-41C4-85A6-BB881B204C9C}"/>
    <cellStyle name="40% - Accent1 2 3 2 2 2 2 2 2 2" xfId="40446" xr:uid="{996A4BCA-4934-4D80-953A-55D4DE3AB4E0}"/>
    <cellStyle name="40% - Accent1 2 3 2 2 2 2 2 3" xfId="40445" xr:uid="{D9B61A65-07D0-404B-A083-43739CF1F722}"/>
    <cellStyle name="40% - Accent1 2 3 2 2 2 2 3" xfId="21675" xr:uid="{C093328D-DB70-4F50-95A1-5147DA8189FF}"/>
    <cellStyle name="40% - Accent1 2 3 2 2 2 2 3 2" xfId="40447" xr:uid="{2D2BE249-C4C5-4D2D-A1C9-D9D213C04018}"/>
    <cellStyle name="40% - Accent1 2 3 2 2 2 2 4" xfId="40444" xr:uid="{82A9A087-B5D7-45A4-8261-95CBAD3BD45E}"/>
    <cellStyle name="40% - Accent1 2 3 2 2 2 3" xfId="10239" xr:uid="{72394ED9-F3DC-4655-992A-971BF100C783}"/>
    <cellStyle name="40% - Accent1 2 3 2 2 2 3 2" xfId="25652" xr:uid="{003C2872-7F29-4588-A7CD-F65941F713F0}"/>
    <cellStyle name="40% - Accent1 2 3 2 2 2 3 2 2" xfId="40449" xr:uid="{2FFF10C6-8739-4DC0-8A67-6855C593E7C7}"/>
    <cellStyle name="40% - Accent1 2 3 2 2 2 3 3" xfId="40448" xr:uid="{A2A78A06-D4E9-4E16-B436-AC0FDDCF8024}"/>
    <cellStyle name="40% - Accent1 2 3 2 2 2 4" xfId="17947" xr:uid="{2769EA6B-6541-4ECB-9C36-6127001E70E6}"/>
    <cellStyle name="40% - Accent1 2 3 2 2 2 4 2" xfId="40450" xr:uid="{B6AC407B-1958-4188-8FFD-44979E549F14}"/>
    <cellStyle name="40% - Accent1 2 3 2 2 2 5" xfId="40443" xr:uid="{13551787-07F1-453E-B34C-C1812D4FA6EE}"/>
    <cellStyle name="40% - Accent1 2 3 2 2 3" xfId="4797" xr:uid="{9EB52606-9485-44AE-AB29-C16787F5C45C}"/>
    <cellStyle name="40% - Accent1 2 3 2 2 3 2" xfId="12505" xr:uid="{63750381-5E77-4223-B1C2-7BEEEBDDF79A}"/>
    <cellStyle name="40% - Accent1 2 3 2 2 3 2 2" xfId="27917" xr:uid="{2E35643B-FAD1-420D-A93E-D0216E280A76}"/>
    <cellStyle name="40% - Accent1 2 3 2 2 3 2 2 2" xfId="40453" xr:uid="{519014F9-D00F-47A0-B7C6-D6A924EEF0AD}"/>
    <cellStyle name="40% - Accent1 2 3 2 2 3 2 3" xfId="40452" xr:uid="{040F2DE0-F25F-42B9-BCC1-2CEFB276E83D}"/>
    <cellStyle name="40% - Accent1 2 3 2 2 3 3" xfId="20212" xr:uid="{254176DC-2FF4-4FBA-92BC-456E90CCA7A7}"/>
    <cellStyle name="40% - Accent1 2 3 2 2 3 3 2" xfId="40454" xr:uid="{227B99AD-F875-4F5A-B73F-7A11174B374A}"/>
    <cellStyle name="40% - Accent1 2 3 2 2 3 4" xfId="40451" xr:uid="{79696BD4-7620-41DC-B41E-0C3C58BA14E3}"/>
    <cellStyle name="40% - Accent1 2 3 2 2 4" xfId="8780" xr:uid="{8829A6D8-FC7C-4E1A-BC8A-3083AC9B96B4}"/>
    <cellStyle name="40% - Accent1 2 3 2 2 4 2" xfId="24193" xr:uid="{5A82BDF4-BBFD-4E38-AAB9-A3AA6D447BC1}"/>
    <cellStyle name="40% - Accent1 2 3 2 2 4 2 2" xfId="40456" xr:uid="{41C7D9DE-5A22-4B43-B93D-36080DB91A16}"/>
    <cellStyle name="40% - Accent1 2 3 2 2 4 3" xfId="40455" xr:uid="{796F35E7-3977-4664-B929-DC9CCCA08453}"/>
    <cellStyle name="40% - Accent1 2 3 2 2 5" xfId="16488" xr:uid="{46B31EAC-D4B2-42A9-95A5-C43DFBF80048}"/>
    <cellStyle name="40% - Accent1 2 3 2 2 5 2" xfId="40457" xr:uid="{6B4FF6D7-C100-4C13-94F4-6F401AD11DCD}"/>
    <cellStyle name="40% - Accent1 2 3 2 2 6" xfId="40442" xr:uid="{E47E19E1-615A-4F00-B626-9AF596000D9F}"/>
    <cellStyle name="40% - Accent1 2 3 2 3" xfId="1890" xr:uid="{14966A0B-C2F0-463B-82A3-F6FE66235950}"/>
    <cellStyle name="40% - Accent1 2 3 2 3 2" xfId="5622" xr:uid="{1C2D0D9B-2540-4335-8B34-4AF3ED3844AB}"/>
    <cellStyle name="40% - Accent1 2 3 2 3 2 2" xfId="13330" xr:uid="{AF02A892-6E53-4F05-97BA-6A68CC5FE15A}"/>
    <cellStyle name="40% - Accent1 2 3 2 3 2 2 2" xfId="28742" xr:uid="{17D586D4-55BD-40A5-9ABB-821ECFD85FEB}"/>
    <cellStyle name="40% - Accent1 2 3 2 3 2 2 2 2" xfId="40461" xr:uid="{4A5E05FB-D5E4-4EE4-A908-1E1BD898AA9E}"/>
    <cellStyle name="40% - Accent1 2 3 2 3 2 2 3" xfId="40460" xr:uid="{57D47CC2-2406-4CF5-A84C-05BA1F0F3EF4}"/>
    <cellStyle name="40% - Accent1 2 3 2 3 2 3" xfId="21037" xr:uid="{2F556D74-1635-49E8-82C3-AD5982A15AB6}"/>
    <cellStyle name="40% - Accent1 2 3 2 3 2 3 2" xfId="40462" xr:uid="{18BD00F2-4410-4675-8518-7D4231AD7CDB}"/>
    <cellStyle name="40% - Accent1 2 3 2 3 2 4" xfId="40459" xr:uid="{684F0D89-B96E-4516-9980-F57865B8920D}"/>
    <cellStyle name="40% - Accent1 2 3 2 3 3" xfId="9601" xr:uid="{9FADEC04-3CBF-4FD0-8677-EE33FC9AA703}"/>
    <cellStyle name="40% - Accent1 2 3 2 3 3 2" xfId="25014" xr:uid="{A3B496C9-0ED8-482B-96BA-F8B860D574FF}"/>
    <cellStyle name="40% - Accent1 2 3 2 3 3 2 2" xfId="40464" xr:uid="{BA9B3B09-0539-4040-87AC-57F4382F32E3}"/>
    <cellStyle name="40% - Accent1 2 3 2 3 3 3" xfId="40463" xr:uid="{9FF234AB-ED50-4535-BD50-F54D880EF808}"/>
    <cellStyle name="40% - Accent1 2 3 2 3 4" xfId="17309" xr:uid="{65A5987F-31E0-46FA-9BE4-B4DD4CF98F74}"/>
    <cellStyle name="40% - Accent1 2 3 2 3 4 2" xfId="40465" xr:uid="{D3B13502-CC3F-408B-87C6-3AC57849E1D6}"/>
    <cellStyle name="40% - Accent1 2 3 2 3 5" xfId="40458" xr:uid="{3203F32A-B5D6-460E-8EA0-7B66D7308964}"/>
    <cellStyle name="40% - Accent1 2 3 2 4" xfId="4145" xr:uid="{DF7B9F9F-657C-4DA8-A049-634EB8F59356}"/>
    <cellStyle name="40% - Accent1 2 3 2 4 2" xfId="11853" xr:uid="{D4FC07FA-3447-417E-87F4-7E1DB5E4812C}"/>
    <cellStyle name="40% - Accent1 2 3 2 4 2 2" xfId="27265" xr:uid="{18055CE2-83FF-4A72-B799-B660B1016089}"/>
    <cellStyle name="40% - Accent1 2 3 2 4 2 2 2" xfId="40468" xr:uid="{38457346-489B-4B45-A900-5724837DB59B}"/>
    <cellStyle name="40% - Accent1 2 3 2 4 2 3" xfId="40467" xr:uid="{E16D6304-3B13-4F3A-BA76-AE32C3D73535}"/>
    <cellStyle name="40% - Accent1 2 3 2 4 3" xfId="19560" xr:uid="{AE0C14CC-41D0-4E8E-BB0F-1CAE09433013}"/>
    <cellStyle name="40% - Accent1 2 3 2 4 3 2" xfId="40469" xr:uid="{8F6A5DB3-1FE1-4149-9A01-38B606FF430E}"/>
    <cellStyle name="40% - Accent1 2 3 2 4 4" xfId="40466" xr:uid="{73D66228-9DDB-497F-8443-F64608E70A3E}"/>
    <cellStyle name="40% - Accent1 2 3 2 5" xfId="8142" xr:uid="{8C57829A-B557-4F36-986D-7651978745AE}"/>
    <cellStyle name="40% - Accent1 2 3 2 5 2" xfId="23555" xr:uid="{71969329-6D65-49E2-8A63-965298F82276}"/>
    <cellStyle name="40% - Accent1 2 3 2 5 2 2" xfId="40471" xr:uid="{284FD53E-9FAE-4283-ADFF-4C11921DBB5A}"/>
    <cellStyle name="40% - Accent1 2 3 2 5 3" xfId="40470" xr:uid="{E5ACB471-CC39-4A64-A02B-DBB307AA5BAC}"/>
    <cellStyle name="40% - Accent1 2 3 2 6" xfId="15850" xr:uid="{C01EC0FF-40AC-4033-9FF4-37BB8720E473}"/>
    <cellStyle name="40% - Accent1 2 3 2 6 2" xfId="40472" xr:uid="{FA20D277-3D30-4D73-B475-30E3FF160D6E}"/>
    <cellStyle name="40% - Accent1 2 3 2 7" xfId="40441" xr:uid="{4D75F5A1-1946-41BA-A8E6-3DE4E48CB532}"/>
    <cellStyle name="40% - Accent1 2 3 3" xfId="855" xr:uid="{05428F56-BBD6-43B4-8FE6-542C95567DBD}"/>
    <cellStyle name="40% - Accent1 2 3 3 2" xfId="2330" xr:uid="{17029921-46B5-4C8D-B6D0-D4361B9E7D01}"/>
    <cellStyle name="40% - Accent1 2 3 3 2 2" xfId="6062" xr:uid="{BEEF728F-B2C4-4D5F-A942-9FD2D6AA8128}"/>
    <cellStyle name="40% - Accent1 2 3 3 2 2 2" xfId="13770" xr:uid="{664FC160-EC38-4AC9-96B6-C14FB899531F}"/>
    <cellStyle name="40% - Accent1 2 3 3 2 2 2 2" xfId="29182" xr:uid="{286CCECB-6EF3-472D-87ED-7E7E77880F1C}"/>
    <cellStyle name="40% - Accent1 2 3 3 2 2 2 2 2" xfId="40477" xr:uid="{B8EAE3BA-4B86-42F5-938D-D6D890290E67}"/>
    <cellStyle name="40% - Accent1 2 3 3 2 2 2 3" xfId="40476" xr:uid="{F7BA636E-AF26-4E2C-A287-9DF1711861D0}"/>
    <cellStyle name="40% - Accent1 2 3 3 2 2 3" xfId="21477" xr:uid="{8744CBD2-4297-4FF5-9FC4-C2EB2B3C00F2}"/>
    <cellStyle name="40% - Accent1 2 3 3 2 2 3 2" xfId="40478" xr:uid="{F626A3D5-5F6D-48F2-B688-8C0A450C7880}"/>
    <cellStyle name="40% - Accent1 2 3 3 2 2 4" xfId="40475" xr:uid="{D247823E-4B5D-4B95-9A4C-6777EC67AC52}"/>
    <cellStyle name="40% - Accent1 2 3 3 2 3" xfId="10041" xr:uid="{029E199B-BADB-46C3-BD15-B95377A93FC6}"/>
    <cellStyle name="40% - Accent1 2 3 3 2 3 2" xfId="25454" xr:uid="{6D20DB00-C514-48C4-866D-42F9E92BFEA4}"/>
    <cellStyle name="40% - Accent1 2 3 3 2 3 2 2" xfId="40480" xr:uid="{E14317DD-E88B-45B3-B2FA-DA287A8AC81E}"/>
    <cellStyle name="40% - Accent1 2 3 3 2 3 3" xfId="40479" xr:uid="{406FFE39-ED81-4B46-99DA-FCC5D3B21A09}"/>
    <cellStyle name="40% - Accent1 2 3 3 2 4" xfId="17749" xr:uid="{BA5A519E-11E1-4DB7-AF89-CD35097AFE34}"/>
    <cellStyle name="40% - Accent1 2 3 3 2 4 2" xfId="40481" xr:uid="{145D1F0B-D3A9-47ED-B48F-6BDFD8A7AF1A}"/>
    <cellStyle name="40% - Accent1 2 3 3 2 5" xfId="40474" xr:uid="{59934CA8-17A9-47D0-A491-89B0BF4E7608}"/>
    <cellStyle name="40% - Accent1 2 3 3 3" xfId="4592" xr:uid="{73227BC4-416F-4FB1-9B8D-624BDC8C8FA6}"/>
    <cellStyle name="40% - Accent1 2 3 3 3 2" xfId="12300" xr:uid="{EEFB8B35-0188-4C77-AD13-E0D1DBA7DF9C}"/>
    <cellStyle name="40% - Accent1 2 3 3 3 2 2" xfId="27712" xr:uid="{D3A4DAA3-E426-4B69-A266-4A09C62B3063}"/>
    <cellStyle name="40% - Accent1 2 3 3 3 2 2 2" xfId="40484" xr:uid="{A3AAF020-308B-4E7D-B738-330165CD99C7}"/>
    <cellStyle name="40% - Accent1 2 3 3 3 2 3" xfId="40483" xr:uid="{F1B80C7C-E572-4A19-B9C2-6715DCFD1CD5}"/>
    <cellStyle name="40% - Accent1 2 3 3 3 3" xfId="20007" xr:uid="{1B9E7EE1-FD46-4999-A2E3-5AB97240763E}"/>
    <cellStyle name="40% - Accent1 2 3 3 3 3 2" xfId="40485" xr:uid="{6BDD72DD-4649-4A61-B4FD-9304584A1214}"/>
    <cellStyle name="40% - Accent1 2 3 3 3 4" xfId="40482" xr:uid="{5D41081A-E081-4D13-82B7-9D86336A3DFE}"/>
    <cellStyle name="40% - Accent1 2 3 3 4" xfId="8582" xr:uid="{B3BF42C3-0035-40F9-8C6F-80C69C2BC0D6}"/>
    <cellStyle name="40% - Accent1 2 3 3 4 2" xfId="23995" xr:uid="{574010D3-C89D-46BB-8A33-8FC61CC3481D}"/>
    <cellStyle name="40% - Accent1 2 3 3 4 2 2" xfId="40487" xr:uid="{79794636-9FCC-4978-AEB2-C991BF312BF1}"/>
    <cellStyle name="40% - Accent1 2 3 3 4 3" xfId="40486" xr:uid="{293D805C-51B1-4601-BA9D-A9E13A1D059D}"/>
    <cellStyle name="40% - Accent1 2 3 3 5" xfId="16290" xr:uid="{1DE68750-05A9-433C-A9F1-EB1B2E1812F9}"/>
    <cellStyle name="40% - Accent1 2 3 3 5 2" xfId="40488" xr:uid="{ACCB5DA9-B09F-4FF0-B85D-94D0E89655CA}"/>
    <cellStyle name="40% - Accent1 2 3 3 6" xfId="40473" xr:uid="{6FE390C7-EFCD-455D-A273-38F85099AAED}"/>
    <cellStyle name="40% - Accent1 2 3 4" xfId="1692" xr:uid="{9A42E32F-76D1-44BF-B9B5-0B22CD9DBB08}"/>
    <cellStyle name="40% - Accent1 2 3 4 2" xfId="5424" xr:uid="{F8BD4041-CF1D-4A20-8165-2DA26678181A}"/>
    <cellStyle name="40% - Accent1 2 3 4 2 2" xfId="13132" xr:uid="{7055EA26-95ED-4D7F-B95C-1C14B575BF97}"/>
    <cellStyle name="40% - Accent1 2 3 4 2 2 2" xfId="28544" xr:uid="{B888E1D4-65D5-4774-BE57-A7CF5367F816}"/>
    <cellStyle name="40% - Accent1 2 3 4 2 2 2 2" xfId="40492" xr:uid="{F3D9FD0D-6AB4-4DAA-A2BA-89C3255E7982}"/>
    <cellStyle name="40% - Accent1 2 3 4 2 2 3" xfId="40491" xr:uid="{C4297921-2BA8-4CC1-8AEE-33F09E65DFCF}"/>
    <cellStyle name="40% - Accent1 2 3 4 2 3" xfId="20839" xr:uid="{7F8B4115-393C-44C4-A58C-939B6F187880}"/>
    <cellStyle name="40% - Accent1 2 3 4 2 3 2" xfId="40493" xr:uid="{DB214853-98A2-4578-AE8F-17C6F14EE23E}"/>
    <cellStyle name="40% - Accent1 2 3 4 2 4" xfId="40490" xr:uid="{A40AA380-A345-4278-8682-29E1C737C76B}"/>
    <cellStyle name="40% - Accent1 2 3 4 3" xfId="9403" xr:uid="{5DA08922-53FF-401F-B81A-E776CB5F6BCD}"/>
    <cellStyle name="40% - Accent1 2 3 4 3 2" xfId="24816" xr:uid="{D7D949DD-1850-4265-AB99-159F41EA428F}"/>
    <cellStyle name="40% - Accent1 2 3 4 3 2 2" xfId="40495" xr:uid="{2CE9E99A-1924-481D-816C-E42C1A20E4B1}"/>
    <cellStyle name="40% - Accent1 2 3 4 3 3" xfId="40494" xr:uid="{D1EBE032-9AC3-43B7-AA46-4D4B84F02A0F}"/>
    <cellStyle name="40% - Accent1 2 3 4 4" xfId="17111" xr:uid="{02D72A04-A620-46BE-80B0-73C5D8393D42}"/>
    <cellStyle name="40% - Accent1 2 3 4 4 2" xfId="40496" xr:uid="{8A08894B-EF3B-47B9-9B72-59F37FBFD7A6}"/>
    <cellStyle name="40% - Accent1 2 3 4 5" xfId="40489" xr:uid="{F047870A-6646-446E-95EA-C15B06E1042C}"/>
    <cellStyle name="40% - Accent1 2 3 5" xfId="3940" xr:uid="{F622C901-2343-4DCE-96FC-6054B3ADA717}"/>
    <cellStyle name="40% - Accent1 2 3 5 2" xfId="11648" xr:uid="{A346CF5B-37E5-42FD-9416-FD793866AF17}"/>
    <cellStyle name="40% - Accent1 2 3 5 2 2" xfId="27060" xr:uid="{B436B9FC-791C-4537-AFA9-994A03E230C8}"/>
    <cellStyle name="40% - Accent1 2 3 5 2 2 2" xfId="40499" xr:uid="{5367A468-2473-4466-AD3F-CBB28695D794}"/>
    <cellStyle name="40% - Accent1 2 3 5 2 3" xfId="40498" xr:uid="{C8BFC8C7-79A4-437D-9565-A34270E2B756}"/>
    <cellStyle name="40% - Accent1 2 3 5 3" xfId="19355" xr:uid="{DD8EAE34-0170-4CD9-B840-F9B7266347DA}"/>
    <cellStyle name="40% - Accent1 2 3 5 3 2" xfId="40500" xr:uid="{2EA50286-F604-4FE5-AAB3-1D779A22242C}"/>
    <cellStyle name="40% - Accent1 2 3 5 4" xfId="40497" xr:uid="{F8A6B49F-E5EB-4701-A71C-0BEF2F57CB06}"/>
    <cellStyle name="40% - Accent1 2 3 6" xfId="7944" xr:uid="{0798BEB7-1E4F-4EB9-BA8A-BBBAC7A169C1}"/>
    <cellStyle name="40% - Accent1 2 3 6 2" xfId="23357" xr:uid="{A93F65DB-0DCC-4997-B8E0-2759E8FF1B35}"/>
    <cellStyle name="40% - Accent1 2 3 6 2 2" xfId="40502" xr:uid="{72A8F21A-7CB1-468B-92AB-276394BE46D6}"/>
    <cellStyle name="40% - Accent1 2 3 6 3" xfId="40501" xr:uid="{A78FD0E3-4C81-402C-949A-BA3D9A2EBEFE}"/>
    <cellStyle name="40% - Accent1 2 3 7" xfId="15652" xr:uid="{FC905584-32F4-4811-9BF4-BB09C5041A1C}"/>
    <cellStyle name="40% - Accent1 2 3 7 2" xfId="40503" xr:uid="{276CC248-F5BF-44A6-A763-7F5859BBF77D}"/>
    <cellStyle name="40% - Accent1 2 3 8" xfId="40440" xr:uid="{08EB83C9-1A1C-4D2C-B364-F20784885DD3}"/>
    <cellStyle name="40% - Accent1 2 4" xfId="345" xr:uid="{83E636D3-A924-470C-96CE-F6BBF7BD6F31}"/>
    <cellStyle name="40% - Accent1 2 4 2" xfId="1008" xr:uid="{F3133B5C-44D4-4641-8623-2D3A40A0443D}"/>
    <cellStyle name="40% - Accent1 2 4 2 2" xfId="2478" xr:uid="{CBFFB109-3F5F-4221-970E-4DDE73331564}"/>
    <cellStyle name="40% - Accent1 2 4 2 2 2" xfId="6210" xr:uid="{093F9908-96AF-419C-9215-6E020700FBFC}"/>
    <cellStyle name="40% - Accent1 2 4 2 2 2 2" xfId="13918" xr:uid="{BADE1255-3BB8-4C49-B829-3C8E96475EED}"/>
    <cellStyle name="40% - Accent1 2 4 2 2 2 2 2" xfId="29330" xr:uid="{2FA08107-C254-49D1-BCDE-D06C8EDE92BC}"/>
    <cellStyle name="40% - Accent1 2 4 2 2 2 2 2 2" xfId="40509" xr:uid="{B738ED42-7771-4B6F-A31A-29ACB3D1DDFF}"/>
    <cellStyle name="40% - Accent1 2 4 2 2 2 2 3" xfId="40508" xr:uid="{2242CC6A-5CDB-4916-9F47-C5BC4EFE23FB}"/>
    <cellStyle name="40% - Accent1 2 4 2 2 2 3" xfId="21625" xr:uid="{B5CC4A4A-2609-4053-B36B-60D0C53F95A8}"/>
    <cellStyle name="40% - Accent1 2 4 2 2 2 3 2" xfId="40510" xr:uid="{4FE9924D-0A9D-4C50-BDBF-CB20968C7D73}"/>
    <cellStyle name="40% - Accent1 2 4 2 2 2 4" xfId="40507" xr:uid="{CFC1DB85-A3C0-434F-9CCC-0E85DC095288}"/>
    <cellStyle name="40% - Accent1 2 4 2 2 3" xfId="10189" xr:uid="{005B2486-298B-413E-BBA0-C0B92D9F2566}"/>
    <cellStyle name="40% - Accent1 2 4 2 2 3 2" xfId="25602" xr:uid="{9679B83A-014B-4131-8531-373F4615BC5E}"/>
    <cellStyle name="40% - Accent1 2 4 2 2 3 2 2" xfId="40512" xr:uid="{4CD996FB-4ACF-450D-A35E-510FDF3D2CFB}"/>
    <cellStyle name="40% - Accent1 2 4 2 2 3 3" xfId="40511" xr:uid="{5933FE48-5CFB-4A48-80E5-D6ACDECC7B72}"/>
    <cellStyle name="40% - Accent1 2 4 2 2 4" xfId="17897" xr:uid="{706D18E1-C161-4575-ADEE-E37601F9B6C1}"/>
    <cellStyle name="40% - Accent1 2 4 2 2 4 2" xfId="40513" xr:uid="{130AD2B0-11B7-432B-A759-5064798C76DA}"/>
    <cellStyle name="40% - Accent1 2 4 2 2 5" xfId="40506" xr:uid="{FF1BEAF0-5709-471A-99F8-D18EBBF34D37}"/>
    <cellStyle name="40% - Accent1 2 4 2 3" xfId="4745" xr:uid="{92EB3DF6-E5A6-4F1C-B5E9-34E7ADF33CBA}"/>
    <cellStyle name="40% - Accent1 2 4 2 3 2" xfId="12453" xr:uid="{78EB0926-FFE4-4215-AA47-CEF168C63FF6}"/>
    <cellStyle name="40% - Accent1 2 4 2 3 2 2" xfId="27865" xr:uid="{A747717F-CE74-419B-A8A0-2983BC9E6B7E}"/>
    <cellStyle name="40% - Accent1 2 4 2 3 2 2 2" xfId="40516" xr:uid="{B13AB51D-823A-43DA-AD4B-8E22B4D7F43A}"/>
    <cellStyle name="40% - Accent1 2 4 2 3 2 3" xfId="40515" xr:uid="{C835B21C-C7E7-4537-A823-022EBC1212B1}"/>
    <cellStyle name="40% - Accent1 2 4 2 3 3" xfId="20160" xr:uid="{0BB2BA1C-4491-439C-963A-40B3021214AB}"/>
    <cellStyle name="40% - Accent1 2 4 2 3 3 2" xfId="40517" xr:uid="{875150B5-A5B4-4EB7-BF64-6C0A1D016F64}"/>
    <cellStyle name="40% - Accent1 2 4 2 3 4" xfId="40514" xr:uid="{7E8486EA-9F50-477B-86F1-80AE94A8260F}"/>
    <cellStyle name="40% - Accent1 2 4 2 4" xfId="8730" xr:uid="{44F15436-4948-40A6-88C9-F8A6A50AE91E}"/>
    <cellStyle name="40% - Accent1 2 4 2 4 2" xfId="24143" xr:uid="{FFFACC9F-B6BF-47CB-9619-8E0658DF9ACC}"/>
    <cellStyle name="40% - Accent1 2 4 2 4 2 2" xfId="40519" xr:uid="{015136D8-7157-4B01-B1A6-D61D968F75C9}"/>
    <cellStyle name="40% - Accent1 2 4 2 4 3" xfId="40518" xr:uid="{9384415C-51B1-4033-B80C-B4EDA4F1779C}"/>
    <cellStyle name="40% - Accent1 2 4 2 5" xfId="16438" xr:uid="{03D85AB2-8CF8-4DCB-BC6B-09CE21A8D73C}"/>
    <cellStyle name="40% - Accent1 2 4 2 5 2" xfId="40520" xr:uid="{B9B57A1C-3F4C-48BD-81C7-F8EC05106536}"/>
    <cellStyle name="40% - Accent1 2 4 2 6" xfId="40505" xr:uid="{22C94E36-25E6-4AC4-A342-EE7BE5AD9AA3}"/>
    <cellStyle name="40% - Accent1 2 4 3" xfId="1840" xr:uid="{6E33E140-0BAC-47CD-A37E-89B116606E24}"/>
    <cellStyle name="40% - Accent1 2 4 3 2" xfId="5572" xr:uid="{45EFED17-6723-41EA-9F4D-C70893D2BB97}"/>
    <cellStyle name="40% - Accent1 2 4 3 2 2" xfId="13280" xr:uid="{7A49BC23-ED34-4E4C-910E-A84461636F16}"/>
    <cellStyle name="40% - Accent1 2 4 3 2 2 2" xfId="28692" xr:uid="{50C2742D-66C1-4ADF-A302-74E85B49DA45}"/>
    <cellStyle name="40% - Accent1 2 4 3 2 2 2 2" xfId="40524" xr:uid="{2AEAF2FB-262A-471F-A04F-2C131D227086}"/>
    <cellStyle name="40% - Accent1 2 4 3 2 2 3" xfId="40523" xr:uid="{ECD18B3B-55C8-4DC8-B055-89502ADB7248}"/>
    <cellStyle name="40% - Accent1 2 4 3 2 3" xfId="20987" xr:uid="{69F692D1-4F8F-42C8-B5F2-2F5B3C0F9A2C}"/>
    <cellStyle name="40% - Accent1 2 4 3 2 3 2" xfId="40525" xr:uid="{150F2AE7-9D09-4A06-B51E-6741158FB6E3}"/>
    <cellStyle name="40% - Accent1 2 4 3 2 4" xfId="40522" xr:uid="{3FF68C75-2E30-4710-A312-AC2061A0AC40}"/>
    <cellStyle name="40% - Accent1 2 4 3 3" xfId="9551" xr:uid="{B8E8547E-711A-499F-A454-B40369D0FC7C}"/>
    <cellStyle name="40% - Accent1 2 4 3 3 2" xfId="24964" xr:uid="{829FD375-3C18-4392-A5A3-B3D5862F0EEC}"/>
    <cellStyle name="40% - Accent1 2 4 3 3 2 2" xfId="40527" xr:uid="{5D58BC5A-85D5-4288-A817-8F0747A39EBB}"/>
    <cellStyle name="40% - Accent1 2 4 3 3 3" xfId="40526" xr:uid="{203BBBF2-C4EE-4C95-A2FB-65EB78552708}"/>
    <cellStyle name="40% - Accent1 2 4 3 4" xfId="17259" xr:uid="{F0F0B7A6-F3F2-4991-9DAC-9A109F32A754}"/>
    <cellStyle name="40% - Accent1 2 4 3 4 2" xfId="40528" xr:uid="{D63517AD-FB7B-480C-A2D5-049DAF89654D}"/>
    <cellStyle name="40% - Accent1 2 4 3 5" xfId="40521" xr:uid="{CFE53FFB-F8B4-458C-9532-C109443FE2BA}"/>
    <cellStyle name="40% - Accent1 2 4 4" xfId="4093" xr:uid="{E6C5E680-C403-45CC-8BD8-29B55C41D184}"/>
    <cellStyle name="40% - Accent1 2 4 4 2" xfId="11801" xr:uid="{508DA3DC-3FC3-45D8-B1BC-B6AA97619D9A}"/>
    <cellStyle name="40% - Accent1 2 4 4 2 2" xfId="27213" xr:uid="{87B60608-8318-4CB1-9B40-B481A482C237}"/>
    <cellStyle name="40% - Accent1 2 4 4 2 2 2" xfId="40531" xr:uid="{01FE41A3-A6A2-4732-92C1-6F27E9866BC7}"/>
    <cellStyle name="40% - Accent1 2 4 4 2 3" xfId="40530" xr:uid="{7EBA8440-44E2-4AC0-827B-7F6CA075FAA1}"/>
    <cellStyle name="40% - Accent1 2 4 4 3" xfId="19508" xr:uid="{81E4EC9B-4BF3-43A4-B4F2-5019925CF8CE}"/>
    <cellStyle name="40% - Accent1 2 4 4 3 2" xfId="40532" xr:uid="{68492A30-44C2-4667-8254-9BD14BA0B3F7}"/>
    <cellStyle name="40% - Accent1 2 4 4 4" xfId="40529" xr:uid="{4EF222CA-1DFF-4EFD-9362-5E07F524DC69}"/>
    <cellStyle name="40% - Accent1 2 4 5" xfId="8092" xr:uid="{77A68457-D604-4B61-A66F-8A556F6E7A38}"/>
    <cellStyle name="40% - Accent1 2 4 5 2" xfId="23505" xr:uid="{67CA52C5-5071-4053-9AE2-1D156EB5FBE5}"/>
    <cellStyle name="40% - Accent1 2 4 5 2 2" xfId="40534" xr:uid="{C72301DA-2588-4D4A-A7EC-CA6757D45967}"/>
    <cellStyle name="40% - Accent1 2 4 5 3" xfId="40533" xr:uid="{E4F13227-3E42-490C-9AF5-315F023DADBB}"/>
    <cellStyle name="40% - Accent1 2 4 6" xfId="15800" xr:uid="{F0855588-A5CE-49AA-A184-A94BF1229D49}"/>
    <cellStyle name="40% - Accent1 2 4 6 2" xfId="40535" xr:uid="{103CA69B-86C5-475A-A7F7-354859851B92}"/>
    <cellStyle name="40% - Accent1 2 4 7" xfId="40504" xr:uid="{7EB28DE8-F217-4858-A67D-2DAE95B9BA7D}"/>
    <cellStyle name="40% - Accent1 2 5" xfId="791" xr:uid="{100BCCFA-8F19-490D-9262-02DB41AF73EB}"/>
    <cellStyle name="40% - Accent1 2 5 2" xfId="2280" xr:uid="{BAC4DF8A-BE40-4E24-91DB-B77BC8D6B36E}"/>
    <cellStyle name="40% - Accent1 2 5 2 2" xfId="6012" xr:uid="{EADE72F7-4321-4D3D-819E-C5F208ACE818}"/>
    <cellStyle name="40% - Accent1 2 5 2 2 2" xfId="13720" xr:uid="{DAF922D4-A017-43E6-A114-715F5FF4D9F9}"/>
    <cellStyle name="40% - Accent1 2 5 2 2 2 2" xfId="29132" xr:uid="{AC3F6D92-4FC6-4F28-98DD-21B486E69090}"/>
    <cellStyle name="40% - Accent1 2 5 2 2 2 2 2" xfId="40540" xr:uid="{420C8B43-1828-4D70-8EE8-D0846A23E465}"/>
    <cellStyle name="40% - Accent1 2 5 2 2 2 3" xfId="40539" xr:uid="{5FCEA41E-1FE7-4DD5-90B5-89E8192A386B}"/>
    <cellStyle name="40% - Accent1 2 5 2 2 3" xfId="21427" xr:uid="{694C0FD8-0EAA-4F16-80D9-213BAA72AB8B}"/>
    <cellStyle name="40% - Accent1 2 5 2 2 3 2" xfId="40541" xr:uid="{2EEB24F7-A3BA-4623-ABF2-5E3D1EC0B403}"/>
    <cellStyle name="40% - Accent1 2 5 2 2 4" xfId="40538" xr:uid="{5AC12505-EA19-4F2D-B5C6-A8BFD5D7EDAC}"/>
    <cellStyle name="40% - Accent1 2 5 2 3" xfId="9991" xr:uid="{52745864-A64C-4928-8662-6EAA3E51AF97}"/>
    <cellStyle name="40% - Accent1 2 5 2 3 2" xfId="25404" xr:uid="{1194E90B-FD58-4111-AB22-403BE87349BA}"/>
    <cellStyle name="40% - Accent1 2 5 2 3 2 2" xfId="40543" xr:uid="{ED27C020-059C-420E-A348-680D285EC088}"/>
    <cellStyle name="40% - Accent1 2 5 2 3 3" xfId="40542" xr:uid="{CCA8E7E2-BB52-4D87-88F5-DC89E31140E7}"/>
    <cellStyle name="40% - Accent1 2 5 2 4" xfId="17699" xr:uid="{BFDB0B7F-2B8B-44D5-9B07-34CFB42CD2CA}"/>
    <cellStyle name="40% - Accent1 2 5 2 4 2" xfId="40544" xr:uid="{68E9362A-EEF2-4FC2-B439-29BDBF247D9D}"/>
    <cellStyle name="40% - Accent1 2 5 2 5" xfId="40537" xr:uid="{FA43364A-5B2F-4D5C-8D97-F58B3EB757D4}"/>
    <cellStyle name="40% - Accent1 2 5 3" xfId="4535" xr:uid="{88D316FC-5285-4ABD-A8E3-384DD014E8BC}"/>
    <cellStyle name="40% - Accent1 2 5 3 2" xfId="12243" xr:uid="{9FBD66F4-E42D-4F26-9C42-75280AE75479}"/>
    <cellStyle name="40% - Accent1 2 5 3 2 2" xfId="27655" xr:uid="{4E7DCAAB-3BFE-45E6-9A1D-71664367A35D}"/>
    <cellStyle name="40% - Accent1 2 5 3 2 2 2" xfId="40547" xr:uid="{2999162E-2E36-42D8-94A1-0EF7DC892E26}"/>
    <cellStyle name="40% - Accent1 2 5 3 2 3" xfId="40546" xr:uid="{D853DCA9-7FFD-4B30-8CB4-7C27A8DEDA6A}"/>
    <cellStyle name="40% - Accent1 2 5 3 3" xfId="19950" xr:uid="{723C8296-CCFB-4D77-9B2D-FB40C73A25C1}"/>
    <cellStyle name="40% - Accent1 2 5 3 3 2" xfId="40548" xr:uid="{565D2248-3065-4322-AF49-7DF4D6098D10}"/>
    <cellStyle name="40% - Accent1 2 5 3 4" xfId="40545" xr:uid="{229A1E05-7F9C-432C-8221-FB1CDA42E1E1}"/>
    <cellStyle name="40% - Accent1 2 5 4" xfId="8532" xr:uid="{F0F9B00C-B088-422B-85A1-6E39C12763B7}"/>
    <cellStyle name="40% - Accent1 2 5 4 2" xfId="23945" xr:uid="{9AF6A982-30F0-4A3E-A94C-E8A1A64E20D8}"/>
    <cellStyle name="40% - Accent1 2 5 4 2 2" xfId="40550" xr:uid="{975A4527-0449-484C-AA5A-AA787B4AABE8}"/>
    <cellStyle name="40% - Accent1 2 5 4 3" xfId="40549" xr:uid="{368A765E-DCC8-48CC-81F7-059420331D05}"/>
    <cellStyle name="40% - Accent1 2 5 5" xfId="16240" xr:uid="{B923233F-4082-413E-99D5-9DDF7DBB86B9}"/>
    <cellStyle name="40% - Accent1 2 5 5 2" xfId="40551" xr:uid="{9F2EE2EA-B521-411A-B9F3-A842BD691807}"/>
    <cellStyle name="40% - Accent1 2 5 6" xfId="40536" xr:uid="{634DB637-D946-495A-924E-A3F93EDA014E}"/>
    <cellStyle name="40% - Accent1 2 6" xfId="1638" xr:uid="{94113404-6C04-4A11-88F5-8E7A7E6B9F68}"/>
    <cellStyle name="40% - Accent1 2 6 2" xfId="5372" xr:uid="{C451E32C-EE52-4BA8-AAB4-D957E5259D03}"/>
    <cellStyle name="40% - Accent1 2 6 2 2" xfId="13080" xr:uid="{40EBD46A-6CBB-4815-A024-61B4D5BDD60C}"/>
    <cellStyle name="40% - Accent1 2 6 2 2 2" xfId="28492" xr:uid="{632AB6E7-DF8F-475E-B527-23415781E50C}"/>
    <cellStyle name="40% - Accent1 2 6 2 2 2 2" xfId="40555" xr:uid="{F79DCFD4-541A-4E0F-8609-F4526A86CF54}"/>
    <cellStyle name="40% - Accent1 2 6 2 2 3" xfId="40554" xr:uid="{0BF32AA2-EBF5-4C3F-A936-7DF0D73793EC}"/>
    <cellStyle name="40% - Accent1 2 6 2 3" xfId="20787" xr:uid="{9A9B0B4E-16EA-4A88-8659-9338140AB3F2}"/>
    <cellStyle name="40% - Accent1 2 6 2 3 2" xfId="40556" xr:uid="{126C3880-AD80-4A85-AD9D-8A3171FA1A82}"/>
    <cellStyle name="40% - Accent1 2 6 2 4" xfId="40553" xr:uid="{91F33973-4BA9-423B-AA86-5C04DCD9F1EA}"/>
    <cellStyle name="40% - Accent1 2 6 3" xfId="9353" xr:uid="{9A1A1480-022B-4EEF-B35D-C467B775A924}"/>
    <cellStyle name="40% - Accent1 2 6 3 2" xfId="24766" xr:uid="{DA98CE8F-C363-4CB5-A848-976C874D3197}"/>
    <cellStyle name="40% - Accent1 2 6 3 2 2" xfId="40558" xr:uid="{1A744181-39DC-44B5-B5A7-12E0F04A1058}"/>
    <cellStyle name="40% - Accent1 2 6 3 3" xfId="40557" xr:uid="{096F1323-27C4-4EF7-88AF-0ECD48F87DB1}"/>
    <cellStyle name="40% - Accent1 2 6 4" xfId="17061" xr:uid="{DA09EA25-B3EF-41EC-886A-44C131FC53B3}"/>
    <cellStyle name="40% - Accent1 2 6 4 2" xfId="40559" xr:uid="{F3F9A379-51AC-4206-A47E-6B8B71EF2B18}"/>
    <cellStyle name="40% - Accent1 2 6 5" xfId="40552" xr:uid="{3CEBFD82-F296-413B-A3C2-68B359B0C4E1}"/>
    <cellStyle name="40% - Accent1 2 7" xfId="3882" xr:uid="{F88DC031-92C6-40E3-933F-FB35BD61DBDA}"/>
    <cellStyle name="40% - Accent1 2 7 2" xfId="11591" xr:uid="{72DAFEBD-A52A-4AE0-93E5-B5C293A38A8A}"/>
    <cellStyle name="40% - Accent1 2 7 2 2" xfId="27003" xr:uid="{F8274692-0825-4A5C-96C6-F3FE78856F1F}"/>
    <cellStyle name="40% - Accent1 2 7 2 2 2" xfId="40562" xr:uid="{EA5DAA2E-F2DF-42B9-8D15-732532B099F5}"/>
    <cellStyle name="40% - Accent1 2 7 2 3" xfId="40561" xr:uid="{0645220B-4C55-4D72-841F-1F9E7F685EF7}"/>
    <cellStyle name="40% - Accent1 2 7 3" xfId="19298" xr:uid="{C2007218-1416-4F8F-A42F-3D3B7BC9E962}"/>
    <cellStyle name="40% - Accent1 2 7 3 2" xfId="40563" xr:uid="{6AFF434A-8205-48F7-97F3-C0DE303FBEEB}"/>
    <cellStyle name="40% - Accent1 2 7 4" xfId="40560" xr:uid="{995679B3-692C-4B16-A58E-B96125E9CD35}"/>
    <cellStyle name="40% - Accent1 2 8" xfId="7876" xr:uid="{8FD72B4E-C456-4655-BAC6-E9828B58A055}"/>
    <cellStyle name="40% - Accent1 2 8 2" xfId="23289" xr:uid="{6B0B6D6C-98EE-4F79-BFF7-07176BD18AF7}"/>
    <cellStyle name="40% - Accent1 2 8 2 2" xfId="40565" xr:uid="{330B03A8-B4DE-4369-9EC6-5D9B624B074B}"/>
    <cellStyle name="40% - Accent1 2 8 3" xfId="40564" xr:uid="{24E205A0-070E-4056-9208-2AD723AAA912}"/>
    <cellStyle name="40% - Accent1 2 9" xfId="15584" xr:uid="{3BDD3234-6B67-48EC-8D5A-7636D186F499}"/>
    <cellStyle name="40% - Accent1 2 9 2" xfId="40566" xr:uid="{426E15FA-4C78-4A44-BA4E-1ACFB33A319C}"/>
    <cellStyle name="40% - Accent1 20" xfId="3598" xr:uid="{0A925AF5-0A49-46DB-8772-68EA98B740DE}"/>
    <cellStyle name="40% - Accent1 20 2" xfId="7329" xr:uid="{91F71079-F040-4277-B3FD-8BF246F91786}"/>
    <cellStyle name="40% - Accent1 20 2 2" xfId="15037" xr:uid="{FFB57C44-FAD6-47E7-BAE1-B7E67A9E80CF}"/>
    <cellStyle name="40% - Accent1 20 2 2 2" xfId="30449" xr:uid="{659635BC-C839-4108-ADF9-D1EFE5737032}"/>
    <cellStyle name="40% - Accent1 20 2 2 2 2" xfId="40570" xr:uid="{B1CA756A-EA54-4C5E-A877-12D7C6712A34}"/>
    <cellStyle name="40% - Accent1 20 2 2 3" xfId="40569" xr:uid="{76FC1E62-506F-4E69-8C9E-33E82881993E}"/>
    <cellStyle name="40% - Accent1 20 2 3" xfId="22744" xr:uid="{F94416AE-03DE-4402-B750-46D750D82EDE}"/>
    <cellStyle name="40% - Accent1 20 2 3 2" xfId="40571" xr:uid="{80ED7C9B-9232-4685-AE9F-BCCD3F487C7F}"/>
    <cellStyle name="40% - Accent1 20 2 4" xfId="40568" xr:uid="{89A4F5CD-9254-4F60-B367-69529E7007D7}"/>
    <cellStyle name="40% - Accent1 20 3" xfId="11308" xr:uid="{37262BC4-BE09-4807-ACB9-28105219B68F}"/>
    <cellStyle name="40% - Accent1 20 3 2" xfId="26721" xr:uid="{C82DA6A1-74F2-479A-92FD-DE673E3D1216}"/>
    <cellStyle name="40% - Accent1 20 3 2 2" xfId="40573" xr:uid="{176F951B-ED82-4B75-B182-823F27C532E8}"/>
    <cellStyle name="40% - Accent1 20 3 3" xfId="40572" xr:uid="{8BB8559C-7FAA-47F4-8147-B961B74433D9}"/>
    <cellStyle name="40% - Accent1 20 4" xfId="19016" xr:uid="{A8ACEAC8-47C9-4CE8-BED5-0D25D24794FF}"/>
    <cellStyle name="40% - Accent1 20 4 2" xfId="40574" xr:uid="{30F0BED5-91B8-4DFE-B5BD-064022FF21C1}"/>
    <cellStyle name="40% - Accent1 20 5" xfId="40567" xr:uid="{6B375E32-3778-4C91-86C5-A849B9774A17}"/>
    <cellStyle name="40% - Accent1 21" xfId="3618" xr:uid="{C97F6A0F-F076-43CA-951C-78DF6B5112B7}"/>
    <cellStyle name="40% - Accent1 21 2" xfId="7349" xr:uid="{C94E7EDF-E45E-4E9A-BD3B-B6D055164352}"/>
    <cellStyle name="40% - Accent1 21 2 2" xfId="15057" xr:uid="{3A5E894E-EBFF-4C07-AC94-D4E05D44488D}"/>
    <cellStyle name="40% - Accent1 21 2 2 2" xfId="30469" xr:uid="{02A1480F-4A0E-4595-AFB0-898FB582D74F}"/>
    <cellStyle name="40% - Accent1 21 2 2 2 2" xfId="40578" xr:uid="{7D31B8CD-3B9B-4AEE-A389-C0281EEE43C4}"/>
    <cellStyle name="40% - Accent1 21 2 2 3" xfId="40577" xr:uid="{C25B9E61-8552-42C7-AC42-2FB6CED080BC}"/>
    <cellStyle name="40% - Accent1 21 2 3" xfId="22764" xr:uid="{F1F12005-2CE0-497D-86D2-8F74E9469053}"/>
    <cellStyle name="40% - Accent1 21 2 3 2" xfId="40579" xr:uid="{A29DED96-204D-40C6-8580-D0A9957C71C6}"/>
    <cellStyle name="40% - Accent1 21 2 4" xfId="40576" xr:uid="{B2B3EB86-7C5C-44C8-8333-4F6535FCCE0C}"/>
    <cellStyle name="40% - Accent1 21 3" xfId="11328" xr:uid="{A27620EC-D39B-4409-9A8D-D3B09DC02111}"/>
    <cellStyle name="40% - Accent1 21 3 2" xfId="26741" xr:uid="{67B58842-DF94-41A3-B51C-77F4CD13F113}"/>
    <cellStyle name="40% - Accent1 21 3 2 2" xfId="40581" xr:uid="{B3F3CEFC-AE39-44C9-9835-1669514383F3}"/>
    <cellStyle name="40% - Accent1 21 3 3" xfId="40580" xr:uid="{5FC03585-9F90-46D1-A96A-50B66609415F}"/>
    <cellStyle name="40% - Accent1 21 4" xfId="19036" xr:uid="{FF4866CE-B997-4833-9D5C-D21E2BB0D806}"/>
    <cellStyle name="40% - Accent1 21 4 2" xfId="40582" xr:uid="{B7622076-06F6-4332-BDA6-3E4DAA732124}"/>
    <cellStyle name="40% - Accent1 21 5" xfId="40575" xr:uid="{F929B6C9-07B8-44AB-8F5C-72ABA46662DA}"/>
    <cellStyle name="40% - Accent1 22" xfId="3638" xr:uid="{2F8E9BF7-52A6-4FC8-AAF6-C9F0FAC85223}"/>
    <cellStyle name="40% - Accent1 22 2" xfId="7369" xr:uid="{4C02FD55-88FE-444E-8AC2-21DFF403785E}"/>
    <cellStyle name="40% - Accent1 22 2 2" xfId="15077" xr:uid="{36C8B546-D81E-4D3B-B002-C43469DB80AC}"/>
    <cellStyle name="40% - Accent1 22 2 2 2" xfId="30489" xr:uid="{11468302-E117-4A2C-BA4D-5B5502F5C103}"/>
    <cellStyle name="40% - Accent1 22 2 2 2 2" xfId="40586" xr:uid="{45621FF3-879B-4AAB-A2A9-171330991867}"/>
    <cellStyle name="40% - Accent1 22 2 2 3" xfId="40585" xr:uid="{5A02CBF6-C33C-491B-9482-029BC258697E}"/>
    <cellStyle name="40% - Accent1 22 2 3" xfId="22784" xr:uid="{28B5F32D-88FB-469E-8090-1FAB0BF0C649}"/>
    <cellStyle name="40% - Accent1 22 2 3 2" xfId="40587" xr:uid="{1525C6B9-5796-465A-B177-1091AA4F6B79}"/>
    <cellStyle name="40% - Accent1 22 2 4" xfId="40584" xr:uid="{A1F61586-EFF7-4C04-ABBD-16409071390D}"/>
    <cellStyle name="40% - Accent1 22 3" xfId="11348" xr:uid="{E7C73766-DA3E-47D3-B066-B2F9BE71ADEC}"/>
    <cellStyle name="40% - Accent1 22 3 2" xfId="26761" xr:uid="{4FB6DD6A-6D41-4722-8B3F-D1D926C61423}"/>
    <cellStyle name="40% - Accent1 22 3 2 2" xfId="40589" xr:uid="{35D78FFD-62D6-4EA0-ABDA-31DDECD3A4C6}"/>
    <cellStyle name="40% - Accent1 22 3 3" xfId="40588" xr:uid="{E4FFE528-ADE7-4110-8FD3-59F4DC72BE16}"/>
    <cellStyle name="40% - Accent1 22 4" xfId="19056" xr:uid="{BDE3578F-68A0-4935-931F-F8EB9CD959A0}"/>
    <cellStyle name="40% - Accent1 22 4 2" xfId="40590" xr:uid="{A7E3C248-34B1-480A-A23F-813B98C1DBFD}"/>
    <cellStyle name="40% - Accent1 22 5" xfId="40583" xr:uid="{7F4BD152-476B-427F-A52D-3781D20AB258}"/>
    <cellStyle name="40% - Accent1 23" xfId="3658" xr:uid="{F3AE51F4-5799-45A4-8C30-137354B914E8}"/>
    <cellStyle name="40% - Accent1 23 2" xfId="7389" xr:uid="{A7CC02F8-337F-4DD6-A2FC-0728F3A05E79}"/>
    <cellStyle name="40% - Accent1 23 2 2" xfId="15097" xr:uid="{8239BFAF-BADA-4E84-9954-90F8C7926510}"/>
    <cellStyle name="40% - Accent1 23 2 2 2" xfId="30509" xr:uid="{583CA31A-8486-40F8-942A-33652CFBF308}"/>
    <cellStyle name="40% - Accent1 23 2 2 2 2" xfId="40594" xr:uid="{E33D63BE-D272-401C-8D6C-E9CC2B8E0FD4}"/>
    <cellStyle name="40% - Accent1 23 2 2 3" xfId="40593" xr:uid="{3C756265-F54B-4DCC-98E5-6455DE07BF5A}"/>
    <cellStyle name="40% - Accent1 23 2 3" xfId="22804" xr:uid="{9C8E6D74-A0F7-4268-83E1-6154A368D964}"/>
    <cellStyle name="40% - Accent1 23 2 3 2" xfId="40595" xr:uid="{4E145572-C59A-4CBD-9237-DCA9FE557643}"/>
    <cellStyle name="40% - Accent1 23 2 4" xfId="40592" xr:uid="{9AC88B77-7000-4A64-9AB8-50A33994469C}"/>
    <cellStyle name="40% - Accent1 23 3" xfId="11368" xr:uid="{98FE3EE4-FDD4-405F-86BC-52BFEA15E07F}"/>
    <cellStyle name="40% - Accent1 23 3 2" xfId="26781" xr:uid="{D7A73A01-FB0E-4746-8E3F-54C8685DCF0E}"/>
    <cellStyle name="40% - Accent1 23 3 2 2" xfId="40597" xr:uid="{9DA48D8C-85B3-49A5-9680-9247ED21DA90}"/>
    <cellStyle name="40% - Accent1 23 3 3" xfId="40596" xr:uid="{888516DA-C32E-4634-A329-8BA9C218A958}"/>
    <cellStyle name="40% - Accent1 23 4" xfId="19076" xr:uid="{6E4565B7-458B-4335-80F0-2179CAA10BBF}"/>
    <cellStyle name="40% - Accent1 23 4 2" xfId="40598" xr:uid="{A6CCB17D-13FB-4DDB-B969-5D114A8BC67F}"/>
    <cellStyle name="40% - Accent1 23 5" xfId="40591" xr:uid="{F49C5CEA-CD97-4F9A-BAF2-1E2A1EF5FE3C}"/>
    <cellStyle name="40% - Accent1 24" xfId="3678" xr:uid="{B129EE01-E6EB-4959-8208-23ABE7E311F2}"/>
    <cellStyle name="40% - Accent1 24 2" xfId="7409" xr:uid="{5560296F-0923-49C5-B4C8-4479C2F8C9FC}"/>
    <cellStyle name="40% - Accent1 24 2 2" xfId="15117" xr:uid="{D69567D9-6957-463A-ABA4-5B96226AEA89}"/>
    <cellStyle name="40% - Accent1 24 2 2 2" xfId="30529" xr:uid="{9CC6C077-DD6A-4101-8270-2983E94937BF}"/>
    <cellStyle name="40% - Accent1 24 2 2 2 2" xfId="40602" xr:uid="{A1F90443-198F-4511-9D34-99E5B15D737D}"/>
    <cellStyle name="40% - Accent1 24 2 2 3" xfId="40601" xr:uid="{F9AD52B2-D389-4B3A-8327-CF0ED0394562}"/>
    <cellStyle name="40% - Accent1 24 2 3" xfId="22824" xr:uid="{7DE02A00-F722-4911-9A5A-C8A33093D6DB}"/>
    <cellStyle name="40% - Accent1 24 2 3 2" xfId="40603" xr:uid="{32583457-E0A7-432B-81D4-649FD451EE48}"/>
    <cellStyle name="40% - Accent1 24 2 4" xfId="40600" xr:uid="{26F03C81-4C8B-4D7F-BB1D-CD184903712C}"/>
    <cellStyle name="40% - Accent1 24 3" xfId="11388" xr:uid="{6CE25535-662D-4A25-91D9-AE00E8B2AFC8}"/>
    <cellStyle name="40% - Accent1 24 3 2" xfId="26801" xr:uid="{93F9A646-A9C3-429F-A610-E9E8E3A15A89}"/>
    <cellStyle name="40% - Accent1 24 3 2 2" xfId="40605" xr:uid="{B3D0D720-6621-4E93-B253-5D0E1BC6197F}"/>
    <cellStyle name="40% - Accent1 24 3 3" xfId="40604" xr:uid="{E5917C45-CD51-4766-BE1D-8C6784189B67}"/>
    <cellStyle name="40% - Accent1 24 4" xfId="19096" xr:uid="{592FE0E2-10AE-43C3-890C-A25B1B42746A}"/>
    <cellStyle name="40% - Accent1 24 4 2" xfId="40606" xr:uid="{0471E9F7-1E48-4EF9-AAA8-DAAC123067C3}"/>
    <cellStyle name="40% - Accent1 24 5" xfId="40599" xr:uid="{1ACFE045-3989-482D-BC83-F7908D057C99}"/>
    <cellStyle name="40% - Accent1 25" xfId="3698" xr:uid="{9C1C82C6-E597-4DFF-8DFD-E14616C86089}"/>
    <cellStyle name="40% - Accent1 25 2" xfId="7429" xr:uid="{54401D6B-8363-4EA8-A203-8E28093C6D63}"/>
    <cellStyle name="40% - Accent1 25 2 2" xfId="15137" xr:uid="{565E4605-1BA8-431D-9A24-9E66C1E4A6CA}"/>
    <cellStyle name="40% - Accent1 25 2 2 2" xfId="30549" xr:uid="{0B895D6C-5437-48B2-8B13-17B2BD6774EB}"/>
    <cellStyle name="40% - Accent1 25 2 2 2 2" xfId="40610" xr:uid="{A5F3E805-0AE0-446B-9638-D498509213D9}"/>
    <cellStyle name="40% - Accent1 25 2 2 3" xfId="40609" xr:uid="{EBC44675-60E4-4B4A-A807-CBAF1F851B87}"/>
    <cellStyle name="40% - Accent1 25 2 3" xfId="22844" xr:uid="{7D963F73-7FBF-4B0C-9848-7A228966398F}"/>
    <cellStyle name="40% - Accent1 25 2 3 2" xfId="40611" xr:uid="{4FEDCE08-F868-441E-A188-776C8C12112B}"/>
    <cellStyle name="40% - Accent1 25 2 4" xfId="40608" xr:uid="{4EEC20C5-49B4-485D-84B0-72663D1C1D06}"/>
    <cellStyle name="40% - Accent1 25 3" xfId="11408" xr:uid="{34335512-7C81-40E3-908B-9343CF1DDA3F}"/>
    <cellStyle name="40% - Accent1 25 3 2" xfId="26821" xr:uid="{F44B54C6-7AF4-4E85-A0DF-CFF51AEB028A}"/>
    <cellStyle name="40% - Accent1 25 3 2 2" xfId="40613" xr:uid="{FF23852F-24BD-4F27-941F-3CE3DB94AC74}"/>
    <cellStyle name="40% - Accent1 25 3 3" xfId="40612" xr:uid="{39EAFBBF-8649-4049-85BE-CD3FF644D52E}"/>
    <cellStyle name="40% - Accent1 25 4" xfId="19116" xr:uid="{D676CEF9-9ADC-4337-9536-83E0D1D6C669}"/>
    <cellStyle name="40% - Accent1 25 4 2" xfId="40614" xr:uid="{526C36A4-068C-433F-B2BF-663752A798FC}"/>
    <cellStyle name="40% - Accent1 25 5" xfId="40607" xr:uid="{348F414D-9F0B-417C-B246-374A22D06B81}"/>
    <cellStyle name="40% - Accent1 26" xfId="3718" xr:uid="{1509643C-A6EF-4563-9D76-92F691D3EC91}"/>
    <cellStyle name="40% - Accent1 26 2" xfId="7449" xr:uid="{07C7468B-52D6-4D51-9719-FA11613614E6}"/>
    <cellStyle name="40% - Accent1 26 2 2" xfId="15157" xr:uid="{94DBC4FD-537B-4F16-B695-68774AEE7B41}"/>
    <cellStyle name="40% - Accent1 26 2 2 2" xfId="30569" xr:uid="{1C5BE09A-F660-4351-B0C3-4AC07612AA1C}"/>
    <cellStyle name="40% - Accent1 26 2 2 2 2" xfId="40618" xr:uid="{307DBDEB-BA98-45A3-A360-40F0F621AD51}"/>
    <cellStyle name="40% - Accent1 26 2 2 3" xfId="40617" xr:uid="{7C5283D2-1FA9-41A4-ABCF-0722372B86D0}"/>
    <cellStyle name="40% - Accent1 26 2 3" xfId="22864" xr:uid="{9FD5E66D-5CA1-4833-90A9-57E5D3BAECCE}"/>
    <cellStyle name="40% - Accent1 26 2 3 2" xfId="40619" xr:uid="{BED48B10-045D-4137-B755-0F2AC690E64E}"/>
    <cellStyle name="40% - Accent1 26 2 4" xfId="40616" xr:uid="{BC180648-8C4D-4085-A662-AC077B7DF139}"/>
    <cellStyle name="40% - Accent1 26 3" xfId="11428" xr:uid="{E1322BE0-8C54-44FE-B1F2-F2F81C79DD4C}"/>
    <cellStyle name="40% - Accent1 26 3 2" xfId="26841" xr:uid="{9A76FC94-26C8-4059-A38C-DFBE0670235D}"/>
    <cellStyle name="40% - Accent1 26 3 2 2" xfId="40621" xr:uid="{16F146DF-4E00-4EE5-975A-C9C774DB1369}"/>
    <cellStyle name="40% - Accent1 26 3 3" xfId="40620" xr:uid="{E7CC79B1-A9EF-421F-9E70-7C0861627512}"/>
    <cellStyle name="40% - Accent1 26 4" xfId="19136" xr:uid="{5AD0BBDD-3CA0-45CF-9A1E-A2B483CA9F4A}"/>
    <cellStyle name="40% - Accent1 26 4 2" xfId="40622" xr:uid="{70101E68-16D7-45D5-88E6-2968A7B35758}"/>
    <cellStyle name="40% - Accent1 26 5" xfId="40615" xr:uid="{39A3F645-859D-4078-9963-EB77A69CCFA1}"/>
    <cellStyle name="40% - Accent1 27" xfId="3738" xr:uid="{2ADA24D6-86DD-410E-8ABD-E57F5A592C06}"/>
    <cellStyle name="40% - Accent1 27 2" xfId="7469" xr:uid="{CFFCDB8B-9560-41C7-9840-28411C6DDE2E}"/>
    <cellStyle name="40% - Accent1 27 2 2" xfId="15177" xr:uid="{E5335F34-DE65-48BF-900B-B25E46E11F42}"/>
    <cellStyle name="40% - Accent1 27 2 2 2" xfId="30589" xr:uid="{3CD78995-8B35-4042-B473-2AB79F6D1B92}"/>
    <cellStyle name="40% - Accent1 27 2 2 2 2" xfId="40626" xr:uid="{1A6545EE-9790-48BA-A98F-4D5F6C4E0891}"/>
    <cellStyle name="40% - Accent1 27 2 2 3" xfId="40625" xr:uid="{095D436D-B23B-45ED-8AAC-EFED0F6C40E9}"/>
    <cellStyle name="40% - Accent1 27 2 3" xfId="22884" xr:uid="{C7C9CE9A-F8AA-4B5E-A298-4E3C0CFA69BE}"/>
    <cellStyle name="40% - Accent1 27 2 3 2" xfId="40627" xr:uid="{46CCFE31-0F3C-496D-8EAD-DC295AA7EFC4}"/>
    <cellStyle name="40% - Accent1 27 2 4" xfId="40624" xr:uid="{456164B1-7886-4FC8-8585-015EE6C88B20}"/>
    <cellStyle name="40% - Accent1 27 3" xfId="11448" xr:uid="{44BA20FD-34D4-46BC-B99A-7D6036AD6E4E}"/>
    <cellStyle name="40% - Accent1 27 3 2" xfId="26861" xr:uid="{11E19E83-3FE8-452E-85F8-32E0202FDA38}"/>
    <cellStyle name="40% - Accent1 27 3 2 2" xfId="40629" xr:uid="{2E9198A5-C8A5-4A9A-9BE7-0F194943097D}"/>
    <cellStyle name="40% - Accent1 27 3 3" xfId="40628" xr:uid="{912F5C80-90ED-47B6-B634-8111442C1E32}"/>
    <cellStyle name="40% - Accent1 27 4" xfId="19156" xr:uid="{1DB63B38-6107-4526-8782-4F89257FC051}"/>
    <cellStyle name="40% - Accent1 27 4 2" xfId="40630" xr:uid="{682CA8A4-74BD-4CAA-9C45-B3591531D9BE}"/>
    <cellStyle name="40% - Accent1 27 5" xfId="40623" xr:uid="{224DA0BB-CA3E-4B3A-A7D3-847E47F8E3B4}"/>
    <cellStyle name="40% - Accent1 28" xfId="3758" xr:uid="{F8D97F29-4647-4186-90CC-BC46ED9C83B5}"/>
    <cellStyle name="40% - Accent1 28 2" xfId="7489" xr:uid="{D1A0AA82-5D56-4661-8244-E67641C7F0EC}"/>
    <cellStyle name="40% - Accent1 28 2 2" xfId="15197" xr:uid="{AB3F6076-3104-4D10-B32D-7C573EF12D32}"/>
    <cellStyle name="40% - Accent1 28 2 2 2" xfId="30609" xr:uid="{3EB0A313-9EB9-41D8-83AC-B89BBC70F90C}"/>
    <cellStyle name="40% - Accent1 28 2 2 2 2" xfId="40634" xr:uid="{20386EE5-6756-42E9-8B7A-195EB936CBDA}"/>
    <cellStyle name="40% - Accent1 28 2 2 3" xfId="40633" xr:uid="{CEC2ED20-9358-4EC8-832F-3249F74F9D2E}"/>
    <cellStyle name="40% - Accent1 28 2 3" xfId="22904" xr:uid="{B1F35D91-BFDB-4A5D-96A6-3A6F0CE14F14}"/>
    <cellStyle name="40% - Accent1 28 2 3 2" xfId="40635" xr:uid="{538F3F5A-8305-4732-AB65-2B28F69C40C6}"/>
    <cellStyle name="40% - Accent1 28 2 4" xfId="40632" xr:uid="{C7E9C524-D484-4E9D-B5EC-B5F52B9F651F}"/>
    <cellStyle name="40% - Accent1 28 3" xfId="11468" xr:uid="{E3B1CB15-EC1E-4584-BD75-9174DAAD3BBD}"/>
    <cellStyle name="40% - Accent1 28 3 2" xfId="26881" xr:uid="{E7B432FC-A9A7-419A-A8B5-0FAF8083E13B}"/>
    <cellStyle name="40% - Accent1 28 3 2 2" xfId="40637" xr:uid="{BFCBB6D2-2CC8-4241-A6FE-04365EAD4865}"/>
    <cellStyle name="40% - Accent1 28 3 3" xfId="40636" xr:uid="{CDC0AADE-87F5-4419-B90B-994305835450}"/>
    <cellStyle name="40% - Accent1 28 4" xfId="19176" xr:uid="{115687CE-BE24-40DB-86CA-9AA9A1F3D52D}"/>
    <cellStyle name="40% - Accent1 28 4 2" xfId="40638" xr:uid="{CF5B2CB4-5C92-4B44-B797-ADC61BD376AB}"/>
    <cellStyle name="40% - Accent1 28 5" xfId="40631" xr:uid="{4AA40D65-C7DF-41C1-9E79-665F1F5DB1F5}"/>
    <cellStyle name="40% - Accent1 29" xfId="3778" xr:uid="{E556A649-AF39-4C84-905D-42616A2CA826}"/>
    <cellStyle name="40% - Accent1 29 2" xfId="7509" xr:uid="{DD65323B-4E64-4B78-9685-5599C8ECE5D5}"/>
    <cellStyle name="40% - Accent1 29 2 2" xfId="15217" xr:uid="{B8BED666-B41B-4926-8F25-BE7208154692}"/>
    <cellStyle name="40% - Accent1 29 2 2 2" xfId="30629" xr:uid="{AAF14635-A724-44C0-B79F-FA65416C5D65}"/>
    <cellStyle name="40% - Accent1 29 2 2 2 2" xfId="40642" xr:uid="{CE767F8F-7664-4C6C-AFA2-04EC3EDFA73A}"/>
    <cellStyle name="40% - Accent1 29 2 2 3" xfId="40641" xr:uid="{8897581E-1916-4F4C-B444-3CA727B494E0}"/>
    <cellStyle name="40% - Accent1 29 2 3" xfId="22924" xr:uid="{26876913-4A21-4972-AE01-B1A468F9919A}"/>
    <cellStyle name="40% - Accent1 29 2 3 2" xfId="40643" xr:uid="{357EE2A9-1209-46B2-B2A0-6B30FC7E67CA}"/>
    <cellStyle name="40% - Accent1 29 2 4" xfId="40640" xr:uid="{7DA7EBE3-A1EE-48C6-B81A-3B75440592CB}"/>
    <cellStyle name="40% - Accent1 29 3" xfId="11488" xr:uid="{B66A0C9A-41B4-4B76-80EC-ED3453F99DE3}"/>
    <cellStyle name="40% - Accent1 29 3 2" xfId="26901" xr:uid="{289BE817-3282-4C7F-A939-C1B04ADEF144}"/>
    <cellStyle name="40% - Accent1 29 3 2 2" xfId="40645" xr:uid="{F137A025-2320-4A6B-9B7D-3DB39A0AAB18}"/>
    <cellStyle name="40% - Accent1 29 3 3" xfId="40644" xr:uid="{5F3FB222-B8C8-425D-A63A-87D45A45D2AC}"/>
    <cellStyle name="40% - Accent1 29 4" xfId="19196" xr:uid="{9D8F9F0F-BBAD-407E-8411-0B9674096AA1}"/>
    <cellStyle name="40% - Accent1 29 4 2" xfId="40646" xr:uid="{1E7017C5-5EE2-4567-866E-E9CDF85744B8}"/>
    <cellStyle name="40% - Accent1 29 5" xfId="40639" xr:uid="{05E63973-8C89-4EDE-A3EA-D2D117217564}"/>
    <cellStyle name="40% - Accent1 3" xfId="321" xr:uid="{580D609B-D869-4676-BD9B-B578EEC68AE0}"/>
    <cellStyle name="40% - Accent1 3 2" xfId="985" xr:uid="{70C1B7BC-AFD1-457D-A114-392BEB65356F}"/>
    <cellStyle name="40% - Accent1 3 2 2" xfId="2455" xr:uid="{9BEDF067-E40E-4E75-90F3-D59EE0BF89AE}"/>
    <cellStyle name="40% - Accent1 3 2 2 2" xfId="6187" xr:uid="{A22A2EDC-BE78-4244-8208-48993610FD85}"/>
    <cellStyle name="40% - Accent1 3 2 2 2 2" xfId="13895" xr:uid="{E44887BC-64A3-4DC8-BBAE-4A8A744EE6F8}"/>
    <cellStyle name="40% - Accent1 3 2 2 2 2 2" xfId="29307" xr:uid="{D39D4241-7A5E-401D-949A-7267EE85C56F}"/>
    <cellStyle name="40% - Accent1 3 2 2 2 2 2 2" xfId="40652" xr:uid="{F03DE39B-2E85-432B-8C0B-FA7583D2242A}"/>
    <cellStyle name="40% - Accent1 3 2 2 2 2 3" xfId="40651" xr:uid="{26F69F40-D60C-4E1F-81AA-700FF57E8EFA}"/>
    <cellStyle name="40% - Accent1 3 2 2 2 3" xfId="21602" xr:uid="{3DF99FCF-FAAD-4987-A4B3-01A4F6DF0C30}"/>
    <cellStyle name="40% - Accent1 3 2 2 2 3 2" xfId="40653" xr:uid="{C51D1941-1E9C-4F38-9445-3D64AF45DE7D}"/>
    <cellStyle name="40% - Accent1 3 2 2 2 4" xfId="40650" xr:uid="{6F025528-BCD8-45D9-A7E7-3E3AF355BB33}"/>
    <cellStyle name="40% - Accent1 3 2 2 3" xfId="10166" xr:uid="{3EEE3FDE-5A28-4C12-8DA8-72C729C3317E}"/>
    <cellStyle name="40% - Accent1 3 2 2 3 2" xfId="25579" xr:uid="{FC6EEFB0-806F-488E-80A5-DC05C9E84991}"/>
    <cellStyle name="40% - Accent1 3 2 2 3 2 2" xfId="40655" xr:uid="{304E53B4-C7CA-4DE1-8598-F1A285738921}"/>
    <cellStyle name="40% - Accent1 3 2 2 3 3" xfId="40654" xr:uid="{024291DC-60D7-4155-981A-E5CFD9E3F022}"/>
    <cellStyle name="40% - Accent1 3 2 2 4" xfId="17874" xr:uid="{F5015342-3D66-4C0D-989B-EF11C00A26E0}"/>
    <cellStyle name="40% - Accent1 3 2 2 4 2" xfId="40656" xr:uid="{D0D7C63B-1E18-4FD7-8284-6BF145745453}"/>
    <cellStyle name="40% - Accent1 3 2 2 5" xfId="40649" xr:uid="{5D6236CB-3A55-490B-A0F9-95B0EEE0CC76}"/>
    <cellStyle name="40% - Accent1 3 2 3" xfId="4722" xr:uid="{2F081B45-7CCC-4A80-8364-9A9EAC98A3D0}"/>
    <cellStyle name="40% - Accent1 3 2 3 2" xfId="12430" xr:uid="{6BD6D4C9-06E8-4118-9E6F-BDAC60EB716A}"/>
    <cellStyle name="40% - Accent1 3 2 3 2 2" xfId="27842" xr:uid="{48169710-7795-4C8A-8D21-3274502105DA}"/>
    <cellStyle name="40% - Accent1 3 2 3 2 2 2" xfId="40659" xr:uid="{7E23BED9-CB87-4524-8583-00FCB3345827}"/>
    <cellStyle name="40% - Accent1 3 2 3 2 3" xfId="40658" xr:uid="{10F15ABB-6008-44F8-B586-F30EF7FE68EF}"/>
    <cellStyle name="40% - Accent1 3 2 3 3" xfId="20137" xr:uid="{DAE66DF1-B7F2-462C-A393-12249D39F369}"/>
    <cellStyle name="40% - Accent1 3 2 3 3 2" xfId="40660" xr:uid="{06094968-AFF3-4361-8525-0FD5061F4C7D}"/>
    <cellStyle name="40% - Accent1 3 2 3 4" xfId="40657" xr:uid="{E86CB782-9E78-4E92-89A0-BD146C91E4C8}"/>
    <cellStyle name="40% - Accent1 3 2 4" xfId="8707" xr:uid="{9D277D4E-1F19-446F-B929-1738FA5BEFBF}"/>
    <cellStyle name="40% - Accent1 3 2 4 2" xfId="24120" xr:uid="{D2A1F6EA-547C-40CD-A8AC-D07AFB53FF73}"/>
    <cellStyle name="40% - Accent1 3 2 4 2 2" xfId="40662" xr:uid="{86A4503F-5A9D-4369-95FF-BD9CB0139F62}"/>
    <cellStyle name="40% - Accent1 3 2 4 3" xfId="40661" xr:uid="{D4835DE8-568E-49BB-A7AA-AB6BDC738B9A}"/>
    <cellStyle name="40% - Accent1 3 2 5" xfId="16415" xr:uid="{CB4FBC0F-0E23-4F88-B0B3-50AAC870F9D4}"/>
    <cellStyle name="40% - Accent1 3 2 5 2" xfId="40663" xr:uid="{0BFBA31A-BDA3-4C94-952D-0CE1BE66689C}"/>
    <cellStyle name="40% - Accent1 3 2 6" xfId="40648" xr:uid="{6A7823AB-1A22-4565-913F-24DA2DB2AF64}"/>
    <cellStyle name="40% - Accent1 3 3" xfId="1817" xr:uid="{0B2684DF-B140-410C-9FF2-34C20D8F361F}"/>
    <cellStyle name="40% - Accent1 3 3 2" xfId="5549" xr:uid="{5DD52A61-0975-4E76-A199-1115E02A4807}"/>
    <cellStyle name="40% - Accent1 3 3 2 2" xfId="13257" xr:uid="{96C00712-3DB2-4172-8F76-3122F017932F}"/>
    <cellStyle name="40% - Accent1 3 3 2 2 2" xfId="28669" xr:uid="{745D0599-AD08-4B25-99F5-86EAA8906E65}"/>
    <cellStyle name="40% - Accent1 3 3 2 2 2 2" xfId="40667" xr:uid="{67D4687D-9651-4E33-8CFE-68F4EDC45951}"/>
    <cellStyle name="40% - Accent1 3 3 2 2 3" xfId="40666" xr:uid="{433348F4-025F-40C1-9EED-9FC2C240441D}"/>
    <cellStyle name="40% - Accent1 3 3 2 3" xfId="20964" xr:uid="{53819660-C542-4548-8770-3FE3BAC49475}"/>
    <cellStyle name="40% - Accent1 3 3 2 3 2" xfId="40668" xr:uid="{EBAC05C9-BAC8-4E1F-A57E-57C91E7D2628}"/>
    <cellStyle name="40% - Accent1 3 3 2 4" xfId="40665" xr:uid="{BDA414F3-7FF0-437A-B1E8-42F5958B6AA5}"/>
    <cellStyle name="40% - Accent1 3 3 3" xfId="9528" xr:uid="{BC1FFEF7-2CFF-4A80-9A63-1F0DAAAC626D}"/>
    <cellStyle name="40% - Accent1 3 3 3 2" xfId="24941" xr:uid="{8E7E4DA2-64AA-4909-815F-E2E74616224A}"/>
    <cellStyle name="40% - Accent1 3 3 3 2 2" xfId="40670" xr:uid="{CF949160-62D1-4F84-8753-0C8E9BC22A6A}"/>
    <cellStyle name="40% - Accent1 3 3 3 3" xfId="40669" xr:uid="{F02BA05A-4391-4F91-B06B-DDEF4BBB0A10}"/>
    <cellStyle name="40% - Accent1 3 3 4" xfId="17236" xr:uid="{D5E21F4A-91A9-4E30-9ADE-0E65547AC0D1}"/>
    <cellStyle name="40% - Accent1 3 3 4 2" xfId="40671" xr:uid="{1B63289D-C74A-45D6-B6DF-57BBE76272B6}"/>
    <cellStyle name="40% - Accent1 3 3 5" xfId="40664" xr:uid="{10AEFD92-0D1C-46DB-8C3E-73C651BD35E8}"/>
    <cellStyle name="40% - Accent1 3 4" xfId="4070" xr:uid="{6AEF0A70-7E5D-4947-BBFF-68B14F5A53C9}"/>
    <cellStyle name="40% - Accent1 3 4 2" xfId="11778" xr:uid="{C95A4AA9-C28F-48D8-AFE9-2B5F9215374F}"/>
    <cellStyle name="40% - Accent1 3 4 2 2" xfId="27190" xr:uid="{B79605C8-FFAA-450E-9E64-B42B8CB22C21}"/>
    <cellStyle name="40% - Accent1 3 4 2 2 2" xfId="40674" xr:uid="{7B7861EB-F9FA-473E-9D96-325A93080122}"/>
    <cellStyle name="40% - Accent1 3 4 2 3" xfId="40673" xr:uid="{AAFA691A-E755-4A9F-9C3D-40CE8FAD4D79}"/>
    <cellStyle name="40% - Accent1 3 4 3" xfId="19485" xr:uid="{33FFE19E-FFF4-4966-9AD7-4256793A01CC}"/>
    <cellStyle name="40% - Accent1 3 4 3 2" xfId="40675" xr:uid="{376BE663-CC16-407E-AEB6-65028FD4B20B}"/>
    <cellStyle name="40% - Accent1 3 4 4" xfId="40672" xr:uid="{9BC6FB84-7C40-444D-8253-4C9F4C857569}"/>
    <cellStyle name="40% - Accent1 3 5" xfId="8069" xr:uid="{209BB9FA-BBFA-440E-9C66-FD5E882FB1BE}"/>
    <cellStyle name="40% - Accent1 3 5 2" xfId="23482" xr:uid="{45373DEE-06A0-4660-A267-E291590CD943}"/>
    <cellStyle name="40% - Accent1 3 5 2 2" xfId="40677" xr:uid="{E2330565-2C64-4799-A351-CF6E63E52126}"/>
    <cellStyle name="40% - Accent1 3 5 3" xfId="40676" xr:uid="{9D4D3619-3F1E-4685-8B90-CE3C3A2EEC4D}"/>
    <cellStyle name="40% - Accent1 3 6" xfId="15777" xr:uid="{1BB856CD-82EF-456D-874D-4EC89ADFC048}"/>
    <cellStyle name="40% - Accent1 3 6 2" xfId="40678" xr:uid="{2387EF0D-46E6-47AA-8090-74D1618C6885}"/>
    <cellStyle name="40% - Accent1 3 7" xfId="40647" xr:uid="{90FAA030-8B02-476E-A787-3362A785E168}"/>
    <cellStyle name="40% - Accent1 30" xfId="3798" xr:uid="{D0D29949-1E9E-4EEB-BDDF-549F6D3890E1}"/>
    <cellStyle name="40% - Accent1 30 2" xfId="7529" xr:uid="{48860989-BBCB-44DC-9667-56145C870E05}"/>
    <cellStyle name="40% - Accent1 30 2 2" xfId="15237" xr:uid="{C9EC3CF9-D622-4A99-B3E9-159D002B90B2}"/>
    <cellStyle name="40% - Accent1 30 2 2 2" xfId="30649" xr:uid="{C294BE69-18F3-4C90-990C-ED3222A160AB}"/>
    <cellStyle name="40% - Accent1 30 2 2 2 2" xfId="40682" xr:uid="{A50644FA-399E-48D5-A223-A477DCFF82FA}"/>
    <cellStyle name="40% - Accent1 30 2 2 3" xfId="40681" xr:uid="{601A188F-5E8C-4069-87BD-02F9FCA81822}"/>
    <cellStyle name="40% - Accent1 30 2 3" xfId="22944" xr:uid="{6A017140-3CB8-4831-B022-AA875794732B}"/>
    <cellStyle name="40% - Accent1 30 2 3 2" xfId="40683" xr:uid="{3F913F3F-E534-457F-A95A-DEA30E2E3BFE}"/>
    <cellStyle name="40% - Accent1 30 2 4" xfId="40680" xr:uid="{1F72408D-AFD6-420F-9DC3-71071B25D0A6}"/>
    <cellStyle name="40% - Accent1 30 3" xfId="11508" xr:uid="{F9EFE1AB-4217-4187-85E7-9DFBD84CF163}"/>
    <cellStyle name="40% - Accent1 30 3 2" xfId="26921" xr:uid="{0F2C4E89-1E13-49FB-B410-31ACC38F0381}"/>
    <cellStyle name="40% - Accent1 30 3 2 2" xfId="40685" xr:uid="{18764E51-E01A-4DB3-ABBD-C9803340A7FD}"/>
    <cellStyle name="40% - Accent1 30 3 3" xfId="40684" xr:uid="{BF9D2F42-D935-40A9-A9B3-872C7266DD96}"/>
    <cellStyle name="40% - Accent1 30 4" xfId="19216" xr:uid="{3CAD773C-FCDD-49AB-8421-7FD1D746B147}"/>
    <cellStyle name="40% - Accent1 30 4 2" xfId="40686" xr:uid="{0A203956-C20E-46B4-9DB6-E8A02DDB03F8}"/>
    <cellStyle name="40% - Accent1 30 5" xfId="40679" xr:uid="{9D0ED664-C75F-435D-AAE0-DE1494F07A3F}"/>
    <cellStyle name="40% - Accent1 31" xfId="3818" xr:uid="{0B7A8557-92B2-426B-ABA8-01CB41EA4FB5}"/>
    <cellStyle name="40% - Accent1 31 2" xfId="7549" xr:uid="{D29D1905-CB06-4045-B96B-E7E54BD40F05}"/>
    <cellStyle name="40% - Accent1 31 2 2" xfId="15257" xr:uid="{B8F5B6A0-1D89-4319-A50C-86C71CDB0461}"/>
    <cellStyle name="40% - Accent1 31 2 2 2" xfId="30669" xr:uid="{DFEAD7F9-A390-4590-BDF0-A9404315C1B0}"/>
    <cellStyle name="40% - Accent1 31 2 2 2 2" xfId="40690" xr:uid="{FE1A93C5-78B0-411A-B96B-E2EF90E4BE5F}"/>
    <cellStyle name="40% - Accent1 31 2 2 3" xfId="40689" xr:uid="{672745DF-0432-498C-A372-7972ED4FB517}"/>
    <cellStyle name="40% - Accent1 31 2 3" xfId="22964" xr:uid="{9C6266E6-F482-4EDD-AAE8-AD07B90FFDE2}"/>
    <cellStyle name="40% - Accent1 31 2 3 2" xfId="40691" xr:uid="{570C32FE-ABD4-4D2B-8532-B3ED87C3F1EF}"/>
    <cellStyle name="40% - Accent1 31 2 4" xfId="40688" xr:uid="{7DF59520-83AC-470A-82AC-78B84EBE3467}"/>
    <cellStyle name="40% - Accent1 31 3" xfId="11528" xr:uid="{CDDD6967-0984-47EA-908C-2080EFB69E56}"/>
    <cellStyle name="40% - Accent1 31 3 2" xfId="26941" xr:uid="{9B3CC766-F391-4DE0-9A23-6D73C31B2D61}"/>
    <cellStyle name="40% - Accent1 31 3 2 2" xfId="40693" xr:uid="{C7367FD1-90FA-4C16-B9AD-16115AAEDFE5}"/>
    <cellStyle name="40% - Accent1 31 3 3" xfId="40692" xr:uid="{D9959F9B-471E-46A7-88FB-10B356FE615A}"/>
    <cellStyle name="40% - Accent1 31 4" xfId="19236" xr:uid="{ECBB8CC2-C0BF-44B1-985E-CBBB6E1DCAFA}"/>
    <cellStyle name="40% - Accent1 31 4 2" xfId="40694" xr:uid="{EC437BD7-2CC7-4F1A-A815-85CDF25F2683}"/>
    <cellStyle name="40% - Accent1 31 5" xfId="40687" xr:uid="{65E53881-12C7-45DF-8E7F-F74D4289DBFA}"/>
    <cellStyle name="40% - Accent1 32" xfId="3839" xr:uid="{973E90FB-F6D6-4E61-BC26-CF3D2D44EEE4}"/>
    <cellStyle name="40% - Accent1 32 2" xfId="7569" xr:uid="{B752E249-D7A5-4CF7-B893-96B80DC87F44}"/>
    <cellStyle name="40% - Accent1 32 2 2" xfId="15277" xr:uid="{65170B63-0A06-4641-BE96-59E12FFD73A3}"/>
    <cellStyle name="40% - Accent1 32 2 2 2" xfId="30689" xr:uid="{6E81E7B7-0CB3-42D8-863E-04CF2B85D31B}"/>
    <cellStyle name="40% - Accent1 32 2 2 2 2" xfId="40698" xr:uid="{9C006568-DE37-4A22-9EB5-0396938A81BE}"/>
    <cellStyle name="40% - Accent1 32 2 2 3" xfId="40697" xr:uid="{1AD566EC-F70F-4949-8555-4816B18FDCC1}"/>
    <cellStyle name="40% - Accent1 32 2 3" xfId="22984" xr:uid="{4BEB1B24-9BA8-451F-83F9-1AEC2BEA7CA9}"/>
    <cellStyle name="40% - Accent1 32 2 3 2" xfId="40699" xr:uid="{1DD9D512-00E7-4C55-AB30-53358CDB9EC9}"/>
    <cellStyle name="40% - Accent1 32 2 4" xfId="40696" xr:uid="{7E13538C-83ED-42B5-A3FE-5F2F650EF2C5}"/>
    <cellStyle name="40% - Accent1 32 3" xfId="11549" xr:uid="{8493FA4E-1468-4F5A-B616-5A360A5E93EC}"/>
    <cellStyle name="40% - Accent1 32 3 2" xfId="26961" xr:uid="{E3866211-A379-4683-B015-EF37CCCB7613}"/>
    <cellStyle name="40% - Accent1 32 3 2 2" xfId="40701" xr:uid="{8DD06203-1078-4F51-A689-4E5294DC90AD}"/>
    <cellStyle name="40% - Accent1 32 3 3" xfId="40700" xr:uid="{3221661B-00EA-4C4A-B391-34FE8B82F582}"/>
    <cellStyle name="40% - Accent1 32 4" xfId="19256" xr:uid="{2BE1639C-B5AC-4A81-AA2C-A3D9BB19D5FF}"/>
    <cellStyle name="40% - Accent1 32 4 2" xfId="40702" xr:uid="{10373185-D443-4129-9FE0-8827A8791A76}"/>
    <cellStyle name="40% - Accent1 32 5" xfId="40695" xr:uid="{9B8FD3B7-59D6-4813-BD69-65B1C0992DC1}"/>
    <cellStyle name="40% - Accent1 33" xfId="3858" xr:uid="{1F851D4D-9718-4739-96CF-6494D6D55C07}"/>
    <cellStyle name="40% - Accent1 33 2" xfId="11568" xr:uid="{0A9237EB-6B84-4C32-A4A2-B5D572BA45BB}"/>
    <cellStyle name="40% - Accent1 33 2 2" xfId="26980" xr:uid="{69EA111F-8D89-4506-83E5-1EAD472EB885}"/>
    <cellStyle name="40% - Accent1 33 2 2 2" xfId="40705" xr:uid="{7CA9D51D-A1FC-4885-B166-B329424DEA55}"/>
    <cellStyle name="40% - Accent1 33 2 3" xfId="40704" xr:uid="{4FA8FE7D-C714-4C40-A507-75D8E66FBBD0}"/>
    <cellStyle name="40% - Accent1 33 3" xfId="19275" xr:uid="{327B6AFC-6FC9-4002-9C46-BA7530EC820B}"/>
    <cellStyle name="40% - Accent1 33 3 2" xfId="40706" xr:uid="{C4478C72-535C-4936-A5CD-EC48207EB7FA}"/>
    <cellStyle name="40% - Accent1 33 4" xfId="40703" xr:uid="{9DC9ADB4-17E4-4643-BB0A-1B1BD4046352}"/>
    <cellStyle name="40% - Accent1 34" xfId="7589" xr:uid="{5D9FFE88-2863-417F-B7D7-9337F255ED50}"/>
    <cellStyle name="40% - Accent1 34 2" xfId="15297" xr:uid="{DCF41446-58D1-4686-9357-F0379E6122B4}"/>
    <cellStyle name="40% - Accent1 34 2 2" xfId="30709" xr:uid="{A3DE7AD8-4BC3-4EE4-A18D-9423CE8FFEC3}"/>
    <cellStyle name="40% - Accent1 34 2 2 2" xfId="40709" xr:uid="{5DBC3B71-F075-4C59-BF65-2574E875B6AD}"/>
    <cellStyle name="40% - Accent1 34 2 3" xfId="40708" xr:uid="{33BB2488-7136-4B02-84BF-9BF2EB4B1265}"/>
    <cellStyle name="40% - Accent1 34 3" xfId="23004" xr:uid="{D44037CA-2802-44AC-9723-10CE92FCE5E6}"/>
    <cellStyle name="40% - Accent1 34 3 2" xfId="40710" xr:uid="{235D336E-C72D-47B0-BF6D-E0231FD9C476}"/>
    <cellStyle name="40% - Accent1 34 4" xfId="40707" xr:uid="{AA9ECD23-E65E-4E45-9DB0-BC49F8A7A14D}"/>
    <cellStyle name="40% - Accent1 35" xfId="7609" xr:uid="{C89113FA-F59D-4600-A447-1B0C19E6DE73}"/>
    <cellStyle name="40% - Accent1 35 2" xfId="15317" xr:uid="{339B3564-D253-45AC-8DC5-6500747B8D29}"/>
    <cellStyle name="40% - Accent1 35 2 2" xfId="30729" xr:uid="{276360BD-1B42-4780-B86D-02A45A4B7C49}"/>
    <cellStyle name="40% - Accent1 35 2 2 2" xfId="40713" xr:uid="{20484D53-8232-4CFC-8695-B94DA45E8C1B}"/>
    <cellStyle name="40% - Accent1 35 2 3" xfId="40712" xr:uid="{AB88415A-8ACB-4D04-BA58-8989E4E46C7F}"/>
    <cellStyle name="40% - Accent1 35 3" xfId="23024" xr:uid="{29187F7B-5D1E-41F1-8FD9-D1BA00AC5357}"/>
    <cellStyle name="40% - Accent1 35 3 2" xfId="40714" xr:uid="{D2B7FFD3-70EA-4AEF-8B52-3244924242EC}"/>
    <cellStyle name="40% - Accent1 35 4" xfId="40711" xr:uid="{C121C7DF-CC5F-40B0-A4D8-535431D7BB13}"/>
    <cellStyle name="40% - Accent1 36" xfId="7629" xr:uid="{6A39F6AE-DC58-4514-AC9E-EC702A2B6819}"/>
    <cellStyle name="40% - Accent1 36 2" xfId="15337" xr:uid="{8F75DF11-32FB-4C30-BF0F-DB3A991FBDF6}"/>
    <cellStyle name="40% - Accent1 36 2 2" xfId="30749" xr:uid="{3168F9C4-CE16-4B2C-8564-A114F6DA5ECA}"/>
    <cellStyle name="40% - Accent1 36 2 2 2" xfId="40717" xr:uid="{267F97BC-10EA-4367-914C-00E8AFF58E5E}"/>
    <cellStyle name="40% - Accent1 36 2 3" xfId="40716" xr:uid="{99EE107A-7184-463B-A796-B2807C7D63F1}"/>
    <cellStyle name="40% - Accent1 36 3" xfId="23044" xr:uid="{238567AF-6B0A-437B-890B-A09EA32718A4}"/>
    <cellStyle name="40% - Accent1 36 3 2" xfId="40718" xr:uid="{9C6ABDC7-21D9-449E-BE81-AB19D0DC4271}"/>
    <cellStyle name="40% - Accent1 36 4" xfId="40715" xr:uid="{F96D5A1D-A5D0-4CC4-88F7-14A7CF8D3875}"/>
    <cellStyle name="40% - Accent1 37" xfId="7649" xr:uid="{41891B89-4ECC-4A12-A992-712DF7DCC563}"/>
    <cellStyle name="40% - Accent1 37 2" xfId="15357" xr:uid="{07FAEBA9-A883-4D06-AE8C-DF72182C17DF}"/>
    <cellStyle name="40% - Accent1 37 2 2" xfId="30769" xr:uid="{9C28C81F-D2C6-4763-A897-70AFA26DE017}"/>
    <cellStyle name="40% - Accent1 37 2 2 2" xfId="40721" xr:uid="{0F8C74D3-F86F-4D2F-8D85-8118CF3902D4}"/>
    <cellStyle name="40% - Accent1 37 2 3" xfId="40720" xr:uid="{BE667590-0D95-48EC-A1B4-005585B4D780}"/>
    <cellStyle name="40% - Accent1 37 3" xfId="23064" xr:uid="{1DECD7DE-9AF5-4414-99B1-A09BF5ABD28E}"/>
    <cellStyle name="40% - Accent1 37 3 2" xfId="40722" xr:uid="{0B13B3CB-D6BB-4348-AB5E-3064F507EA32}"/>
    <cellStyle name="40% - Accent1 37 4" xfId="40719" xr:uid="{E0910732-920F-47FC-A584-9608EFBEA9C2}"/>
    <cellStyle name="40% - Accent1 38" xfId="7669" xr:uid="{88DDDF73-7948-47A2-8004-94324BB69750}"/>
    <cellStyle name="40% - Accent1 38 2" xfId="15377" xr:uid="{B35AB342-707B-4AF7-8049-1D302A52BF74}"/>
    <cellStyle name="40% - Accent1 38 2 2" xfId="30789" xr:uid="{E42C6E35-B7B8-4B85-8612-1FF821D15297}"/>
    <cellStyle name="40% - Accent1 38 2 2 2" xfId="40725" xr:uid="{BF7B81B5-1C8B-4203-BB3C-57D3D3E838ED}"/>
    <cellStyle name="40% - Accent1 38 2 3" xfId="40724" xr:uid="{C6981120-E026-4ED6-A598-523B004D9768}"/>
    <cellStyle name="40% - Accent1 38 3" xfId="23084" xr:uid="{1BD606AA-AB8E-4CFC-82AE-04826CD4D110}"/>
    <cellStyle name="40% - Accent1 38 3 2" xfId="40726" xr:uid="{5A9AC4EA-1301-4C76-BDDE-35E8438D592B}"/>
    <cellStyle name="40% - Accent1 38 4" xfId="40723" xr:uid="{41B4F66B-741E-439B-92FA-709EA7CF235A}"/>
    <cellStyle name="40% - Accent1 39" xfId="7689" xr:uid="{F37F0F23-AE6B-486A-BA91-62B7006B8ADD}"/>
    <cellStyle name="40% - Accent1 39 2" xfId="15397" xr:uid="{0C577706-B35A-4FEA-AECD-C491AAB0964B}"/>
    <cellStyle name="40% - Accent1 39 2 2" xfId="30809" xr:uid="{2E53D7A9-7B1E-4FCA-95A1-6DA523AB6D12}"/>
    <cellStyle name="40% - Accent1 39 2 2 2" xfId="40729" xr:uid="{89E58908-B49C-433B-9AD6-44C5CF857AF3}"/>
    <cellStyle name="40% - Accent1 39 2 3" xfId="40728" xr:uid="{BAAB2C2C-9552-4052-A025-FD30BF79B15A}"/>
    <cellStyle name="40% - Accent1 39 3" xfId="23104" xr:uid="{F7305AD7-9538-43BB-9C33-D22D0957302C}"/>
    <cellStyle name="40% - Accent1 39 3 2" xfId="40730" xr:uid="{B1A27F96-BEAE-411E-992F-B4E8B89D4D4D}"/>
    <cellStyle name="40% - Accent1 39 4" xfId="40727" xr:uid="{798D0959-29E9-4ED7-8407-F237C63E3AF2}"/>
    <cellStyle name="40% - Accent1 4" xfId="1614" xr:uid="{A06B4A70-2A9F-49C7-82EC-158914F109BE}"/>
    <cellStyle name="40% - Accent1 4 2" xfId="5349" xr:uid="{1D8302A9-BEBB-442E-BC71-F30F454219BB}"/>
    <cellStyle name="40% - Accent1 4 2 2" xfId="13057" xr:uid="{C6539580-8F38-466A-8397-3186072B08BA}"/>
    <cellStyle name="40% - Accent1 4 2 2 2" xfId="28469" xr:uid="{2455BF62-E9CB-43BE-AACB-5E2387FA42D9}"/>
    <cellStyle name="40% - Accent1 4 2 2 2 2" xfId="40734" xr:uid="{B72A7E8D-7B29-49D7-B7FF-A6DD256681C7}"/>
    <cellStyle name="40% - Accent1 4 2 2 3" xfId="40733" xr:uid="{5703EA28-BCEC-4761-BBE0-12C2262CCDBF}"/>
    <cellStyle name="40% - Accent1 4 2 3" xfId="20764" xr:uid="{33CFD310-0BE7-4CC0-BE9F-2891332651AE}"/>
    <cellStyle name="40% - Accent1 4 2 3 2" xfId="40735" xr:uid="{9583835F-3EEF-4E23-9FE5-FA4147B03301}"/>
    <cellStyle name="40% - Accent1 4 2 4" xfId="40732" xr:uid="{2D37761C-E28D-4090-90F4-1362DC5A8128}"/>
    <cellStyle name="40% - Accent1 4 3" xfId="9330" xr:uid="{FD2DE880-4BE6-4811-BD05-515D1E9AB386}"/>
    <cellStyle name="40% - Accent1 4 3 2" xfId="24743" xr:uid="{9502C173-6799-46B3-A545-39CBEEC4AF8D}"/>
    <cellStyle name="40% - Accent1 4 3 2 2" xfId="40737" xr:uid="{A2B71264-CA5E-4D4E-87A1-4349439A72AD}"/>
    <cellStyle name="40% - Accent1 4 3 3" xfId="40736" xr:uid="{06377F33-6141-4448-9A89-7A77E663C4DE}"/>
    <cellStyle name="40% - Accent1 4 4" xfId="17038" xr:uid="{1DA4547B-F690-4832-92AB-A53CAC7DC0AA}"/>
    <cellStyle name="40% - Accent1 4 4 2" xfId="40738" xr:uid="{1475B032-BF0B-4111-9DB0-49381E0CE366}"/>
    <cellStyle name="40% - Accent1 4 5" xfId="40731" xr:uid="{ED9EEACC-2A2F-4765-BC4F-9A22986686F5}"/>
    <cellStyle name="40% - Accent1 40" xfId="7709" xr:uid="{1388920F-CF98-45CD-976C-91F9976A9966}"/>
    <cellStyle name="40% - Accent1 40 2" xfId="15417" xr:uid="{E237455E-6930-4B88-A645-F393EF2B7C94}"/>
    <cellStyle name="40% - Accent1 40 2 2" xfId="30829" xr:uid="{F158EF1D-C139-4751-8793-D1BCD2CA9923}"/>
    <cellStyle name="40% - Accent1 40 2 2 2" xfId="40741" xr:uid="{C1A45732-34EA-4409-8F80-9535EFCAE615}"/>
    <cellStyle name="40% - Accent1 40 2 3" xfId="40740" xr:uid="{27F41A4E-FC48-4414-AA23-519D722BD658}"/>
    <cellStyle name="40% - Accent1 40 3" xfId="23124" xr:uid="{48AB5ED1-2688-477F-8B3D-3FDDCA58E6E5}"/>
    <cellStyle name="40% - Accent1 40 3 2" xfId="40742" xr:uid="{72A58081-7EEB-4507-9898-D1C0C03AEFF8}"/>
    <cellStyle name="40% - Accent1 40 4" xfId="40739" xr:uid="{3CBCF317-3882-47F5-9DCA-49D4A310FF9C}"/>
    <cellStyle name="40% - Accent1 41" xfId="7729" xr:uid="{F46262A4-6481-445F-AD47-107FB4CE84D5}"/>
    <cellStyle name="40% - Accent1 41 2" xfId="15437" xr:uid="{CDCFB5AC-C809-4144-A2AD-A1522B9A84E6}"/>
    <cellStyle name="40% - Accent1 41 2 2" xfId="30849" xr:uid="{31EE95D0-1DFF-46B0-83A6-903092E34CC9}"/>
    <cellStyle name="40% - Accent1 41 2 2 2" xfId="40745" xr:uid="{BBBB3531-7389-4410-9918-3FEB92FA56E0}"/>
    <cellStyle name="40% - Accent1 41 2 3" xfId="40744" xr:uid="{1F78CEB7-9DA6-4F3C-AEEF-CD6D3C3298B9}"/>
    <cellStyle name="40% - Accent1 41 3" xfId="23144" xr:uid="{65084F1D-C1F4-4D50-85D8-66F8968A5690}"/>
    <cellStyle name="40% - Accent1 41 3 2" xfId="40746" xr:uid="{F2E48EC8-A6A3-44E7-975F-17C9C9F37BEB}"/>
    <cellStyle name="40% - Accent1 41 4" xfId="40743" xr:uid="{D0BFDC4E-6FF4-43E2-A6DD-12222173E1D7}"/>
    <cellStyle name="40% - Accent1 42" xfId="7749" xr:uid="{BE40C1C9-BCAB-4421-97AD-4076D5EF59A7}"/>
    <cellStyle name="40% - Accent1 42 2" xfId="15457" xr:uid="{6B43D9AB-7484-413A-882D-8810548F8431}"/>
    <cellStyle name="40% - Accent1 42 2 2" xfId="30869" xr:uid="{D168B7E7-1F1C-46A9-97FB-BA77BEFA6C8E}"/>
    <cellStyle name="40% - Accent1 42 2 2 2" xfId="40749" xr:uid="{12931C05-D931-4B6A-B144-10ECDFD192B4}"/>
    <cellStyle name="40% - Accent1 42 2 3" xfId="40748" xr:uid="{69BFAEE3-7E8F-4667-B2B7-B7C846F05EC0}"/>
    <cellStyle name="40% - Accent1 42 3" xfId="23164" xr:uid="{C6142980-6212-45D2-9269-99C943C2EB86}"/>
    <cellStyle name="40% - Accent1 42 3 2" xfId="40750" xr:uid="{8EB73C93-973F-4345-B3C7-051295A1849C}"/>
    <cellStyle name="40% - Accent1 42 4" xfId="40747" xr:uid="{75CD5A38-A117-412E-86B1-02C4C2C3A1F3}"/>
    <cellStyle name="40% - Accent1 43" xfId="7769" xr:uid="{E29F3D37-BDBB-4C3C-95C8-F81397CA3916}"/>
    <cellStyle name="40% - Accent1 43 2" xfId="15477" xr:uid="{377EE701-86BE-4E76-AFEA-AF1726D8EEB0}"/>
    <cellStyle name="40% - Accent1 43 2 2" xfId="30889" xr:uid="{C339CAAF-F676-4C3D-8386-1FBA6F194D96}"/>
    <cellStyle name="40% - Accent1 43 2 2 2" xfId="40753" xr:uid="{236B427C-AB32-4756-ADC3-B79060765F83}"/>
    <cellStyle name="40% - Accent1 43 2 3" xfId="40752" xr:uid="{0DCE6DF5-9CD1-4F98-A37D-80A8F17FACEE}"/>
    <cellStyle name="40% - Accent1 43 3" xfId="23184" xr:uid="{BE46E603-9D4A-4E53-B16C-DAB6125F1F62}"/>
    <cellStyle name="40% - Accent1 43 3 2" xfId="40754" xr:uid="{FE00C179-8A82-4B69-A206-82961FE65402}"/>
    <cellStyle name="40% - Accent1 43 4" xfId="40751" xr:uid="{1143679F-BED8-4092-A00C-1BFF571F1AD7}"/>
    <cellStyle name="40% - Accent1 44" xfId="7789" xr:uid="{DF38950A-FEA1-44E5-95E6-4147A04E58DF}"/>
    <cellStyle name="40% - Accent1 44 2" xfId="15497" xr:uid="{9C0ED7FA-54B1-4733-81DD-553E26707542}"/>
    <cellStyle name="40% - Accent1 44 2 2" xfId="30909" xr:uid="{0DC381FF-8772-447C-A123-BB9EA8C72438}"/>
    <cellStyle name="40% - Accent1 44 2 2 2" xfId="40757" xr:uid="{55878C58-3542-4B09-BB6A-C722A1448BD6}"/>
    <cellStyle name="40% - Accent1 44 2 3" xfId="40756" xr:uid="{0AB58723-B808-4CC2-A96C-F19014B51EF8}"/>
    <cellStyle name="40% - Accent1 44 3" xfId="23204" xr:uid="{EC8CDA38-4D37-412E-887A-4CC8B7A1B9A0}"/>
    <cellStyle name="40% - Accent1 44 3 2" xfId="40758" xr:uid="{B9704C70-C0F0-462A-8869-5920C4B4924D}"/>
    <cellStyle name="40% - Accent1 44 4" xfId="40755" xr:uid="{0BAED5C9-D183-4EEA-8E7F-655DEBF29892}"/>
    <cellStyle name="40% - Accent1 45" xfId="7811" xr:uid="{E837D303-DB2F-49EC-A6F9-B1C0747ACDC7}"/>
    <cellStyle name="40% - Accent1 45 2" xfId="15519" xr:uid="{5D068C23-ECF3-4693-9D02-8C00C051CABF}"/>
    <cellStyle name="40% - Accent1 45 2 2" xfId="30931" xr:uid="{490077FC-F054-43AF-903E-21AC03CCC353}"/>
    <cellStyle name="40% - Accent1 45 2 2 2" xfId="40761" xr:uid="{B69E7336-9742-4C2D-9ABD-5924CC841893}"/>
    <cellStyle name="40% - Accent1 45 2 3" xfId="40760" xr:uid="{C7A1FA39-0ED2-4DC0-8ADF-F17B784E89D4}"/>
    <cellStyle name="40% - Accent1 45 3" xfId="23226" xr:uid="{571C55B8-1C24-4311-A964-A777396137E9}"/>
    <cellStyle name="40% - Accent1 45 3 2" xfId="40762" xr:uid="{19D9D2D5-2318-4B95-9BB0-C12B39ED3710}"/>
    <cellStyle name="40% - Accent1 45 4" xfId="40759" xr:uid="{49141571-067E-4F21-B768-5EA884A27480}"/>
    <cellStyle name="40% - Accent1 46" xfId="7832" xr:uid="{F1B006C7-0440-4D14-8B90-D400F65E58E1}"/>
    <cellStyle name="40% - Accent1 46 2" xfId="15540" xr:uid="{2CE8D572-E5A4-4FB3-87C7-16FAD73F153F}"/>
    <cellStyle name="40% - Accent1 46 2 2" xfId="30951" xr:uid="{63C3ECA2-1BE4-43B9-A162-2B6339ECDF71}"/>
    <cellStyle name="40% - Accent1 46 2 2 2" xfId="40765" xr:uid="{3C06C8EE-D6BF-4397-9A2B-005122CD11FD}"/>
    <cellStyle name="40% - Accent1 46 2 3" xfId="40764" xr:uid="{749689FD-DF1E-427C-86E2-FAE1436F3230}"/>
    <cellStyle name="40% - Accent1 46 3" xfId="23246" xr:uid="{A7C51C3E-238A-4ADB-ABA2-25476A146B40}"/>
    <cellStyle name="40% - Accent1 46 3 2" xfId="40766" xr:uid="{6DAB8E53-8552-41EB-981C-10406471AFA1}"/>
    <cellStyle name="40% - Accent1 46 4" xfId="40763" xr:uid="{4BE4C640-1D1A-4700-9682-A65F873DE9DF}"/>
    <cellStyle name="40% - Accent1 47" xfId="7852" xr:uid="{104B7C22-F29F-42DB-9A76-00E58EF7585F}"/>
    <cellStyle name="40% - Accent1 47 2" xfId="15560" xr:uid="{DD7B13A2-FCAA-4C12-8CD7-8AEA9F740D16}"/>
    <cellStyle name="40% - Accent1 47 2 2" xfId="30971" xr:uid="{02390279-5711-4AAA-9FEA-3E8C56198ABA}"/>
    <cellStyle name="40% - Accent1 47 2 2 2" xfId="40769" xr:uid="{2BBC3554-357B-4F01-B2A2-1DB7CC3BC2E5}"/>
    <cellStyle name="40% - Accent1 47 2 3" xfId="40768" xr:uid="{5E899817-366B-41B7-8669-6349EAD8CBE5}"/>
    <cellStyle name="40% - Accent1 47 3" xfId="23266" xr:uid="{05D6AB0A-ECAD-4F4C-8391-0B663A1CFF2A}"/>
    <cellStyle name="40% - Accent1 47 3 2" xfId="40770" xr:uid="{F39774B5-867F-4C96-8E4D-7246494A60D8}"/>
    <cellStyle name="40% - Accent1 47 4" xfId="40767" xr:uid="{177A1D45-0C7F-42CE-9C51-02B6715C32B1}"/>
    <cellStyle name="40% - Accent1 48" xfId="7905" xr:uid="{ABD8FD82-DCDC-448E-A739-8C1903727A6D}"/>
    <cellStyle name="40% - Accent1 48 2" xfId="23318" xr:uid="{3AE19E74-8AD8-43B0-AF33-0C1E97F1E2E5}"/>
    <cellStyle name="40% - Accent1 48 2 2" xfId="40772" xr:uid="{E47F081A-E0E5-4DC9-9EBD-DE8029FEFFEA}"/>
    <cellStyle name="40% - Accent1 48 3" xfId="40771" xr:uid="{58EE4D40-5603-4E44-B070-855AC4D7FA84}"/>
    <cellStyle name="40% - Accent1 49" xfId="15613" xr:uid="{6F64FD0E-5512-4DE3-A0B0-FC38966D656B}"/>
    <cellStyle name="40% - Accent1 49 2" xfId="40773" xr:uid="{283AC07E-A8E0-4031-800F-41108C8A96F2}"/>
    <cellStyle name="40% - Accent1 5" xfId="3297" xr:uid="{81625E5B-36AD-4589-8B8E-9427E36A5DD4}"/>
    <cellStyle name="40% - Accent1 5 2" xfId="7029" xr:uid="{C86B5C42-CF33-49FA-AE3B-2C9E163E6AD9}"/>
    <cellStyle name="40% - Accent1 5 2 2" xfId="14737" xr:uid="{9DB8105F-CDA4-4D55-9084-08529CEAD701}"/>
    <cellStyle name="40% - Accent1 5 2 2 2" xfId="30149" xr:uid="{48EBA023-A815-4376-BBE8-13E1C2E538D9}"/>
    <cellStyle name="40% - Accent1 5 2 2 2 2" xfId="40777" xr:uid="{7F835B2B-296A-4929-9703-49C2D038D32E}"/>
    <cellStyle name="40% - Accent1 5 2 2 3" xfId="40776" xr:uid="{94261F83-0AE0-4CE6-B9BD-CB7DDADA8E83}"/>
    <cellStyle name="40% - Accent1 5 2 3" xfId="22444" xr:uid="{9623C436-7941-496C-A618-6B90ED72F05C}"/>
    <cellStyle name="40% - Accent1 5 2 3 2" xfId="40778" xr:uid="{C296679B-7230-4B3E-B215-18BC75F5FE85}"/>
    <cellStyle name="40% - Accent1 5 2 4" xfId="40775" xr:uid="{001045D3-E3D5-4195-B26C-D3B8FFF6C761}"/>
    <cellStyle name="40% - Accent1 5 3" xfId="11008" xr:uid="{B15ED71A-E27E-446C-B731-28C3957266C0}"/>
    <cellStyle name="40% - Accent1 5 3 2" xfId="26421" xr:uid="{A4EEBB45-EB9D-436F-9CA4-67C3114C2BA7}"/>
    <cellStyle name="40% - Accent1 5 3 2 2" xfId="40780" xr:uid="{3FAED467-AEF2-44FD-A9B5-F2878B7DD911}"/>
    <cellStyle name="40% - Accent1 5 3 3" xfId="40779" xr:uid="{29065ACA-8F9E-43D8-947E-1DFFC482D1AF}"/>
    <cellStyle name="40% - Accent1 5 4" xfId="18716" xr:uid="{492F1222-0CAB-4343-BE09-A3B5723B1FD3}"/>
    <cellStyle name="40% - Accent1 5 4 2" xfId="40781" xr:uid="{01446E44-BFDF-4DD7-A137-4B6CFBF30B58}"/>
    <cellStyle name="40% - Accent1 5 5" xfId="40774" xr:uid="{661C13B6-0FE7-4CB8-8BF4-F01937915ABC}"/>
    <cellStyle name="40% - Accent1 50" xfId="30991" xr:uid="{209953A6-1447-4311-9D3D-066337447055}"/>
    <cellStyle name="40% - Accent1 50 2" xfId="40782" xr:uid="{14CBA8C5-01F7-4077-9A2E-5AF509126A46}"/>
    <cellStyle name="40% - Accent1 51" xfId="40230" xr:uid="{41A323DC-9510-48D8-BAA4-FCE02128FE5B}"/>
    <cellStyle name="40% - Accent1 52" xfId="61971" xr:uid="{1A9471AC-749A-49F9-86E2-FC8DC45D96AF}"/>
    <cellStyle name="40% - Accent1 53" xfId="61991" xr:uid="{8C386F04-C5CA-4F98-9AE2-FE2CB2DE816F}"/>
    <cellStyle name="40% - Accent1 54" xfId="62011" xr:uid="{72C92B37-91EA-422E-88F6-7B68A5EB828A}"/>
    <cellStyle name="40% - Accent1 55" xfId="62035" xr:uid="{A9DA988B-764E-4285-B48B-B85F12607E62}"/>
    <cellStyle name="40% - Accent1 56" xfId="62058" xr:uid="{E5F28E08-1233-401B-8763-BA9B5DA52534}"/>
    <cellStyle name="40% - Accent1 57" xfId="62080" xr:uid="{747A5F52-DC44-422F-98E4-472120C659F4}"/>
    <cellStyle name="40% - Accent1 6" xfId="3317" xr:uid="{AE1B4DC0-1D8A-4AD1-A167-50888F609E6A}"/>
    <cellStyle name="40% - Accent1 6 2" xfId="7049" xr:uid="{6753062B-9CC3-4AE7-9DD2-16B4C4A11C19}"/>
    <cellStyle name="40% - Accent1 6 2 2" xfId="14757" xr:uid="{F0311FF0-EF54-4136-9957-8B68B0A6B53D}"/>
    <cellStyle name="40% - Accent1 6 2 2 2" xfId="30169" xr:uid="{09704358-C817-4FC7-904B-FBD8181A2206}"/>
    <cellStyle name="40% - Accent1 6 2 2 2 2" xfId="40786" xr:uid="{8E362EB0-FC95-46E3-96C4-DFC155CCC7DE}"/>
    <cellStyle name="40% - Accent1 6 2 2 3" xfId="40785" xr:uid="{109948C1-C72C-4D13-9E5A-76A58130E948}"/>
    <cellStyle name="40% - Accent1 6 2 3" xfId="22464" xr:uid="{3C67D99D-75FC-47D3-A160-C8549CF9D1FE}"/>
    <cellStyle name="40% - Accent1 6 2 3 2" xfId="40787" xr:uid="{5FB8BDD3-86EF-4D81-8928-200DC85887EF}"/>
    <cellStyle name="40% - Accent1 6 2 4" xfId="40784" xr:uid="{4D8129AF-7345-46B3-A108-EF4A926B2B2D}"/>
    <cellStyle name="40% - Accent1 6 3" xfId="11028" xr:uid="{5324341D-95D7-41A5-9B2C-28B8F86A794D}"/>
    <cellStyle name="40% - Accent1 6 3 2" xfId="26441" xr:uid="{618158E7-E7B7-43BC-A576-8EB2C76553FA}"/>
    <cellStyle name="40% - Accent1 6 3 2 2" xfId="40789" xr:uid="{FD095543-AEE4-4882-9946-2A3DFBA1DAFC}"/>
    <cellStyle name="40% - Accent1 6 3 3" xfId="40788" xr:uid="{58399C1F-C012-4E24-9D01-F1E1B00E6F0F}"/>
    <cellStyle name="40% - Accent1 6 4" xfId="18736" xr:uid="{FD6E2F76-0AFF-499D-850D-5B223B44FE5F}"/>
    <cellStyle name="40% - Accent1 6 4 2" xfId="40790" xr:uid="{EB7C5D35-9C1A-4961-903B-306F3076CBA1}"/>
    <cellStyle name="40% - Accent1 6 5" xfId="40783" xr:uid="{EE88A3C9-F057-4869-B33F-258E83EA4A62}"/>
    <cellStyle name="40% - Accent1 7" xfId="3337" xr:uid="{15FBBAD1-B228-4DD3-BF21-6BBDD604EC5F}"/>
    <cellStyle name="40% - Accent1 7 2" xfId="7069" xr:uid="{F2CFFA16-8B6D-47A1-992A-87056A6B855A}"/>
    <cellStyle name="40% - Accent1 7 2 2" xfId="14777" xr:uid="{935C4A69-C22E-44E2-849D-A32FFC86EB3C}"/>
    <cellStyle name="40% - Accent1 7 2 2 2" xfId="30189" xr:uid="{AB40D5E3-A0F8-4B40-B5BF-FFE683C7EA8C}"/>
    <cellStyle name="40% - Accent1 7 2 2 2 2" xfId="40794" xr:uid="{17331E4F-3C19-4C46-B54F-172A30D465D1}"/>
    <cellStyle name="40% - Accent1 7 2 2 3" xfId="40793" xr:uid="{65BC7BE0-B0F2-4CAA-A3A4-BE700AD40383}"/>
    <cellStyle name="40% - Accent1 7 2 3" xfId="22484" xr:uid="{E8B393E1-EAA3-4758-B602-AFEDA657F866}"/>
    <cellStyle name="40% - Accent1 7 2 3 2" xfId="40795" xr:uid="{BD2A9DDC-6FFE-47EC-ABE9-C9FC630C0F81}"/>
    <cellStyle name="40% - Accent1 7 2 4" xfId="40792" xr:uid="{4683A659-B99D-4C36-9B05-A07FFF7F516B}"/>
    <cellStyle name="40% - Accent1 7 3" xfId="11048" xr:uid="{CA4F1344-B095-4757-A446-A15538968D8E}"/>
    <cellStyle name="40% - Accent1 7 3 2" xfId="26461" xr:uid="{E1360FCB-AB75-4359-BDAD-F4AB30B1C9BC}"/>
    <cellStyle name="40% - Accent1 7 3 2 2" xfId="40797" xr:uid="{C3E580CE-EA65-47E8-AFF0-96EA4F8C2F56}"/>
    <cellStyle name="40% - Accent1 7 3 3" xfId="40796" xr:uid="{B854B706-3BC0-4F1E-A5B2-91B579884EB6}"/>
    <cellStyle name="40% - Accent1 7 4" xfId="18756" xr:uid="{574312F7-3F44-4297-8E55-126CE6ACF6B8}"/>
    <cellStyle name="40% - Accent1 7 4 2" xfId="40798" xr:uid="{2548C6CE-B21E-4805-B7B6-3CDFF80226E1}"/>
    <cellStyle name="40% - Accent1 7 5" xfId="40791" xr:uid="{03EB6281-C2F8-4263-BD60-065789A9D348}"/>
    <cellStyle name="40% - Accent1 8" xfId="3357" xr:uid="{D49D3EBC-EA87-46CC-BF84-316D7FA9E9F4}"/>
    <cellStyle name="40% - Accent1 8 2" xfId="7089" xr:uid="{0FF958C4-A6F3-41D3-A420-6ECB0F12419C}"/>
    <cellStyle name="40% - Accent1 8 2 2" xfId="14797" xr:uid="{6D2B1278-5625-4A19-BEB9-5AC3DF507F84}"/>
    <cellStyle name="40% - Accent1 8 2 2 2" xfId="30209" xr:uid="{7FB50F99-F281-4068-B9BD-B823C4ED8A40}"/>
    <cellStyle name="40% - Accent1 8 2 2 2 2" xfId="40802" xr:uid="{54648500-39BB-4D2C-BA79-A1C857208FFF}"/>
    <cellStyle name="40% - Accent1 8 2 2 3" xfId="40801" xr:uid="{8C14DC62-72CF-4758-8245-6581306FDCBE}"/>
    <cellStyle name="40% - Accent1 8 2 3" xfId="22504" xr:uid="{A03715E5-89D5-4BF3-A8D1-9C49ACF1EE8F}"/>
    <cellStyle name="40% - Accent1 8 2 3 2" xfId="40803" xr:uid="{B798EDA4-258B-4A83-BA66-213DF76AC0CC}"/>
    <cellStyle name="40% - Accent1 8 2 4" xfId="40800" xr:uid="{185C79C2-0DB4-4736-8B24-11B749311AE1}"/>
    <cellStyle name="40% - Accent1 8 3" xfId="11068" xr:uid="{AC26090B-46CF-41CE-9DB6-E1B2C0A62EF9}"/>
    <cellStyle name="40% - Accent1 8 3 2" xfId="26481" xr:uid="{643F02D2-1ECE-4294-B712-F87968C95A99}"/>
    <cellStyle name="40% - Accent1 8 3 2 2" xfId="40805" xr:uid="{E558663C-4165-414D-A8D0-E762D042E12D}"/>
    <cellStyle name="40% - Accent1 8 3 3" xfId="40804" xr:uid="{51C97BE5-0327-499E-99AB-6385B845E185}"/>
    <cellStyle name="40% - Accent1 8 4" xfId="18776" xr:uid="{84E8A5A9-BB7C-441B-A320-3E74F66218DE}"/>
    <cellStyle name="40% - Accent1 8 4 2" xfId="40806" xr:uid="{FAA9ACBB-6FDA-47F6-813B-B556292BCCE0}"/>
    <cellStyle name="40% - Accent1 8 5" xfId="40799" xr:uid="{9A3AA0B9-AD53-43D0-95B4-BB1E079D1B77}"/>
    <cellStyle name="40% - Accent1 9" xfId="3377" xr:uid="{466EE20A-238C-4D49-AB4B-36CFEFD14A6B}"/>
    <cellStyle name="40% - Accent1 9 2" xfId="7109" xr:uid="{C9F5821C-F23D-4C24-93B7-0CC6E324DC42}"/>
    <cellStyle name="40% - Accent1 9 2 2" xfId="14817" xr:uid="{F5EFE667-0486-4486-A073-1B56A5D8A5D3}"/>
    <cellStyle name="40% - Accent1 9 2 2 2" xfId="30229" xr:uid="{24A0E95F-0456-4124-A23A-AF3A8342DD7C}"/>
    <cellStyle name="40% - Accent1 9 2 2 2 2" xfId="40810" xr:uid="{11520383-A009-4E44-B6AE-2F8B40DCD2EB}"/>
    <cellStyle name="40% - Accent1 9 2 2 3" xfId="40809" xr:uid="{6375E9A8-82E6-46B9-81EA-EBFE1BED938B}"/>
    <cellStyle name="40% - Accent1 9 2 3" xfId="22524" xr:uid="{C2C434DA-C999-4502-8573-CAA1DA5D9C62}"/>
    <cellStyle name="40% - Accent1 9 2 3 2" xfId="40811" xr:uid="{F68AB8AC-0071-48D5-BA6B-2804FE5C82D7}"/>
    <cellStyle name="40% - Accent1 9 2 4" xfId="40808" xr:uid="{E4D9B33C-AF53-4680-806B-EAC5F6324164}"/>
    <cellStyle name="40% - Accent1 9 3" xfId="11088" xr:uid="{DE7FBE2D-2F40-4120-8833-FFC1C708C031}"/>
    <cellStyle name="40% - Accent1 9 3 2" xfId="26501" xr:uid="{7F601EA3-0E8E-41A6-BF25-046225CCC364}"/>
    <cellStyle name="40% - Accent1 9 3 2 2" xfId="40813" xr:uid="{B88195AB-8102-413D-AAA6-77761397B64D}"/>
    <cellStyle name="40% - Accent1 9 3 3" xfId="40812" xr:uid="{286B79FF-1151-4098-80EE-4E19338B387F}"/>
    <cellStyle name="40% - Accent1 9 4" xfId="18796" xr:uid="{21ECF3E4-3492-4EFC-B781-6DE57B4B07D4}"/>
    <cellStyle name="40% - Accent1 9 4 2" xfId="40814" xr:uid="{21C87B07-BCAF-4130-8AC1-52FBBDE9F237}"/>
    <cellStyle name="40% - Accent1 9 5" xfId="40807" xr:uid="{8D2C7C96-B2DB-489C-89C3-4E2CEB4236A8}"/>
    <cellStyle name="40% - Accent2 10" xfId="3400" xr:uid="{76956FEF-340B-4576-88B2-3219CAA4ED10}"/>
    <cellStyle name="40% - Accent2 10 2" xfId="7132" xr:uid="{198103E1-BFD3-436A-8188-D57034D5339C}"/>
    <cellStyle name="40% - Accent2 10 2 2" xfId="14840" xr:uid="{4BC4E1F2-CB58-425A-8C9D-401DBD8C5225}"/>
    <cellStyle name="40% - Accent2 10 2 2 2" xfId="30252" xr:uid="{D2A3B781-6ADB-4518-92B9-5D4B8C275C45}"/>
    <cellStyle name="40% - Accent2 10 2 2 2 2" xfId="40819" xr:uid="{01AABD26-FD05-479B-8B1B-E6ED5C572DE7}"/>
    <cellStyle name="40% - Accent2 10 2 2 3" xfId="40818" xr:uid="{2FAB3BC3-A590-40CD-A4B6-FAAEC6CB9C4B}"/>
    <cellStyle name="40% - Accent2 10 2 3" xfId="22547" xr:uid="{4965C083-35FD-470F-BCD1-D3B121BED662}"/>
    <cellStyle name="40% - Accent2 10 2 3 2" xfId="40820" xr:uid="{CED5BEFF-C8A0-4793-97B4-CAA10EF5AAB2}"/>
    <cellStyle name="40% - Accent2 10 2 4" xfId="40817" xr:uid="{DAA453F4-2AB4-4EE8-825A-54FDE6E9CDDF}"/>
    <cellStyle name="40% - Accent2 10 3" xfId="11111" xr:uid="{D4747750-C71E-433E-8D3C-E39690B13028}"/>
    <cellStyle name="40% - Accent2 10 3 2" xfId="26524" xr:uid="{C89B51F6-851E-4D12-8FB8-7962D671B384}"/>
    <cellStyle name="40% - Accent2 10 3 2 2" xfId="40822" xr:uid="{9D77AAF6-AB86-4AF3-9E9A-4D8A6D106401}"/>
    <cellStyle name="40% - Accent2 10 3 3" xfId="40821" xr:uid="{2FC7D47F-1654-43CF-BAB1-57A262FBEEC3}"/>
    <cellStyle name="40% - Accent2 10 4" xfId="18819" xr:uid="{60440324-0D4B-4A93-90FC-2553A76DBF86}"/>
    <cellStyle name="40% - Accent2 10 4 2" xfId="40823" xr:uid="{FBC9DDA2-AFDE-4546-B2DA-7604CCA25A9A}"/>
    <cellStyle name="40% - Accent2 10 5" xfId="40816" xr:uid="{AD8EC4CC-5ECB-4BBB-8235-1A0C6235F03C}"/>
    <cellStyle name="40% - Accent2 11" xfId="3420" xr:uid="{9E3CD516-2072-4FDB-A462-C50CA15EB340}"/>
    <cellStyle name="40% - Accent2 11 2" xfId="7152" xr:uid="{5C2FE71B-C00A-4409-98D0-596F56DF92EB}"/>
    <cellStyle name="40% - Accent2 11 2 2" xfId="14860" xr:uid="{30725169-4B85-4B14-99B5-C2DDB5ED9A8A}"/>
    <cellStyle name="40% - Accent2 11 2 2 2" xfId="30272" xr:uid="{1ADB39E4-8C06-424D-A4B9-A23DB7C31071}"/>
    <cellStyle name="40% - Accent2 11 2 2 2 2" xfId="40827" xr:uid="{ACDE6040-FE75-4A09-865C-278B9084D6EF}"/>
    <cellStyle name="40% - Accent2 11 2 2 3" xfId="40826" xr:uid="{EC8F943F-3443-45BF-B5A1-07D744D69302}"/>
    <cellStyle name="40% - Accent2 11 2 3" xfId="22567" xr:uid="{1CF37436-EE0C-47AC-9D58-DDE402181FA8}"/>
    <cellStyle name="40% - Accent2 11 2 3 2" xfId="40828" xr:uid="{E19AA44B-81C4-415D-8DCB-B76FB30C71A8}"/>
    <cellStyle name="40% - Accent2 11 2 4" xfId="40825" xr:uid="{9F1F150F-CF0B-4F42-A2A5-0446BA436F77}"/>
    <cellStyle name="40% - Accent2 11 3" xfId="11131" xr:uid="{3B27E32F-A376-475E-AFD4-222F7DD3EEF6}"/>
    <cellStyle name="40% - Accent2 11 3 2" xfId="26544" xr:uid="{C1D7B353-259B-4E1E-B0AF-DE2289AB0D00}"/>
    <cellStyle name="40% - Accent2 11 3 2 2" xfId="40830" xr:uid="{BFEEE621-F945-41A1-8F3B-FE2232F3998C}"/>
    <cellStyle name="40% - Accent2 11 3 3" xfId="40829" xr:uid="{6B6C388E-747F-416D-A664-3EE2E63D9600}"/>
    <cellStyle name="40% - Accent2 11 4" xfId="18839" xr:uid="{BD0FC7AC-4121-44BF-8214-DD9D4B7B83ED}"/>
    <cellStyle name="40% - Accent2 11 4 2" xfId="40831" xr:uid="{21556E5E-D1FC-4F91-9C95-58B0C52E0BCC}"/>
    <cellStyle name="40% - Accent2 11 5" xfId="40824" xr:uid="{212BFD5D-8CBF-4F1A-BDEA-2E0D7907DDA6}"/>
    <cellStyle name="40% - Accent2 12" xfId="3440" xr:uid="{53511BBA-A1E1-4442-886F-AD00A90B83C1}"/>
    <cellStyle name="40% - Accent2 12 2" xfId="7172" xr:uid="{C5D50229-BB1A-4057-932C-F4F418FF8BB2}"/>
    <cellStyle name="40% - Accent2 12 2 2" xfId="14880" xr:uid="{81AC02D8-146B-4496-910C-FE5281D152F1}"/>
    <cellStyle name="40% - Accent2 12 2 2 2" xfId="30292" xr:uid="{85CC1C42-BF80-42C5-BB11-315D0FD48983}"/>
    <cellStyle name="40% - Accent2 12 2 2 2 2" xfId="40835" xr:uid="{B6AA6426-545B-45E9-876E-89EA03995819}"/>
    <cellStyle name="40% - Accent2 12 2 2 3" xfId="40834" xr:uid="{D4F8CE99-3377-4275-9609-BE4381B629CD}"/>
    <cellStyle name="40% - Accent2 12 2 3" xfId="22587" xr:uid="{8AF65A58-2003-44E4-8A6B-378E22EA492A}"/>
    <cellStyle name="40% - Accent2 12 2 3 2" xfId="40836" xr:uid="{DBCD5432-3058-4E52-93BA-777B87F600D2}"/>
    <cellStyle name="40% - Accent2 12 2 4" xfId="40833" xr:uid="{7BE79F9F-83BF-4399-B69E-15F46F017931}"/>
    <cellStyle name="40% - Accent2 12 3" xfId="11151" xr:uid="{057D1B72-D575-4E51-8780-3F6A8ADB2DD9}"/>
    <cellStyle name="40% - Accent2 12 3 2" xfId="26564" xr:uid="{2AC4D538-4872-4F5F-B556-AB7BCA16D36D}"/>
    <cellStyle name="40% - Accent2 12 3 2 2" xfId="40838" xr:uid="{2C55BA34-DEF3-4F1C-8E13-11F3D5B00B0E}"/>
    <cellStyle name="40% - Accent2 12 3 3" xfId="40837" xr:uid="{FB514AFE-3B75-4172-9B59-2E0E15982258}"/>
    <cellStyle name="40% - Accent2 12 4" xfId="18859" xr:uid="{2335A6B6-F0F1-4207-84D9-A33696979401}"/>
    <cellStyle name="40% - Accent2 12 4 2" xfId="40839" xr:uid="{3D574457-A546-4130-A164-EF8BFAD0896B}"/>
    <cellStyle name="40% - Accent2 12 5" xfId="40832" xr:uid="{899E2D14-9B03-432A-88DE-67767F1C1FB7}"/>
    <cellStyle name="40% - Accent2 13" xfId="3460" xr:uid="{21D772FE-F668-470E-AC9C-B484646E1F44}"/>
    <cellStyle name="40% - Accent2 13 2" xfId="7192" xr:uid="{112E304A-26ED-4BAA-A308-A680EAC5523E}"/>
    <cellStyle name="40% - Accent2 13 2 2" xfId="14900" xr:uid="{0636B30C-B245-4467-AE2C-2C9D07A28201}"/>
    <cellStyle name="40% - Accent2 13 2 2 2" xfId="30312" xr:uid="{6BE772BE-BEB6-4363-B590-98EE2C13B29B}"/>
    <cellStyle name="40% - Accent2 13 2 2 2 2" xfId="40843" xr:uid="{135C8C85-B066-4F2D-928D-ED85B62948CE}"/>
    <cellStyle name="40% - Accent2 13 2 2 3" xfId="40842" xr:uid="{55BB331A-3E5A-416F-8036-FA84E727AFEA}"/>
    <cellStyle name="40% - Accent2 13 2 3" xfId="22607" xr:uid="{41234D1B-38B6-42B5-9423-428A15063330}"/>
    <cellStyle name="40% - Accent2 13 2 3 2" xfId="40844" xr:uid="{6C3B7612-5761-4DEF-935C-A9C07512E86B}"/>
    <cellStyle name="40% - Accent2 13 2 4" xfId="40841" xr:uid="{61E1CE1B-F7D3-4F4C-90D3-5D3B9D388BFC}"/>
    <cellStyle name="40% - Accent2 13 3" xfId="11171" xr:uid="{C3F7430A-E6C9-4B44-B037-1ACAD7496D81}"/>
    <cellStyle name="40% - Accent2 13 3 2" xfId="26584" xr:uid="{9677F3CF-7AFF-4DE8-98F3-E4188CF50547}"/>
    <cellStyle name="40% - Accent2 13 3 2 2" xfId="40846" xr:uid="{AABFB35B-F540-489F-A65F-84D4DFFE4F3B}"/>
    <cellStyle name="40% - Accent2 13 3 3" xfId="40845" xr:uid="{D921ED63-5075-4A89-A3CF-1A0BA94E5D24}"/>
    <cellStyle name="40% - Accent2 13 4" xfId="18879" xr:uid="{3A6067E7-576C-4A91-9B75-BDBA148ACD31}"/>
    <cellStyle name="40% - Accent2 13 4 2" xfId="40847" xr:uid="{7EBDF4C0-88B7-4B05-AE0B-9C65F6CE7324}"/>
    <cellStyle name="40% - Accent2 13 5" xfId="40840" xr:uid="{62AC5F16-A56D-4EDC-AF12-ACBA9C492BF5}"/>
    <cellStyle name="40% - Accent2 14" xfId="3480" xr:uid="{1DB5C73E-0FC7-47D9-9FA2-95606E5452EC}"/>
    <cellStyle name="40% - Accent2 14 2" xfId="7212" xr:uid="{908A5A64-7670-488E-94DE-62CB98636901}"/>
    <cellStyle name="40% - Accent2 14 2 2" xfId="14920" xr:uid="{E4D9E5DC-779E-4929-8F73-DDBDB4D4A7B5}"/>
    <cellStyle name="40% - Accent2 14 2 2 2" xfId="30332" xr:uid="{22F6FEFD-70BF-428A-BB2C-2314E68226EA}"/>
    <cellStyle name="40% - Accent2 14 2 2 2 2" xfId="40851" xr:uid="{2C34B905-5C5D-41BB-8DED-2C975BE10FB4}"/>
    <cellStyle name="40% - Accent2 14 2 2 3" xfId="40850" xr:uid="{0C663620-D786-4575-9C85-51B797AE460D}"/>
    <cellStyle name="40% - Accent2 14 2 3" xfId="22627" xr:uid="{C2E8850E-21FC-4453-BDCC-C62CD47E8E82}"/>
    <cellStyle name="40% - Accent2 14 2 3 2" xfId="40852" xr:uid="{72503B3F-1981-413A-A1D3-C44EEDB1FF10}"/>
    <cellStyle name="40% - Accent2 14 2 4" xfId="40849" xr:uid="{09D1D519-F98B-4ADD-A283-893C81210F25}"/>
    <cellStyle name="40% - Accent2 14 3" xfId="11191" xr:uid="{8D34B7C7-06D6-427C-94E6-912A19CB8C8A}"/>
    <cellStyle name="40% - Accent2 14 3 2" xfId="26604" xr:uid="{08AC5A63-B470-4CE8-9EEE-AA0A9C5C750D}"/>
    <cellStyle name="40% - Accent2 14 3 2 2" xfId="40854" xr:uid="{CE4AAF46-5797-4368-9A63-EA13AE3E0A48}"/>
    <cellStyle name="40% - Accent2 14 3 3" xfId="40853" xr:uid="{52CA2DAC-4A0F-473B-B2F7-894F6A9DB684}"/>
    <cellStyle name="40% - Accent2 14 4" xfId="18899" xr:uid="{0F755CEE-AA95-4AA2-A198-B0B5E13345BD}"/>
    <cellStyle name="40% - Accent2 14 4 2" xfId="40855" xr:uid="{3F7E7C01-A987-4877-B536-2410C754DB86}"/>
    <cellStyle name="40% - Accent2 14 5" xfId="40848" xr:uid="{08EFA320-6771-4FF6-9A37-A857BB92CDD9}"/>
    <cellStyle name="40% - Accent2 15" xfId="3500" xr:uid="{1341B222-7B98-4473-8EA8-B54269764A35}"/>
    <cellStyle name="40% - Accent2 15 2" xfId="7232" xr:uid="{8EFF227E-8D0F-4635-BE56-823B4DC5309D}"/>
    <cellStyle name="40% - Accent2 15 2 2" xfId="14940" xr:uid="{F41B8728-4A5B-452D-84E2-99F681EBA5B9}"/>
    <cellStyle name="40% - Accent2 15 2 2 2" xfId="30352" xr:uid="{8E28829C-0909-4C59-82AB-59C1C5B5E64F}"/>
    <cellStyle name="40% - Accent2 15 2 2 2 2" xfId="40859" xr:uid="{5486024D-EDAD-496E-80C3-C08A5CCBC058}"/>
    <cellStyle name="40% - Accent2 15 2 2 3" xfId="40858" xr:uid="{62D2936D-A93B-498C-BFA0-13B5794BF36A}"/>
    <cellStyle name="40% - Accent2 15 2 3" xfId="22647" xr:uid="{0FE2E721-19C8-4CF7-8F8A-7EEA3F0C49C1}"/>
    <cellStyle name="40% - Accent2 15 2 3 2" xfId="40860" xr:uid="{55E0E89D-ED5F-4701-AE7F-82503CF6FE4A}"/>
    <cellStyle name="40% - Accent2 15 2 4" xfId="40857" xr:uid="{D9A469BC-4554-4713-9B3A-F7E89793F101}"/>
    <cellStyle name="40% - Accent2 15 3" xfId="11211" xr:uid="{ADC2625C-522B-41E9-9D74-B1E5569592B7}"/>
    <cellStyle name="40% - Accent2 15 3 2" xfId="26624" xr:uid="{0B70FA0A-04E8-46F9-94A7-9C777752739B}"/>
    <cellStyle name="40% - Accent2 15 3 2 2" xfId="40862" xr:uid="{AE839139-255E-406D-A533-3F319E653601}"/>
    <cellStyle name="40% - Accent2 15 3 3" xfId="40861" xr:uid="{08B862AE-75D3-4783-9EF1-167753532C4C}"/>
    <cellStyle name="40% - Accent2 15 4" xfId="18919" xr:uid="{C8CFAD87-C60C-42DB-A366-7DD1D73A3D85}"/>
    <cellStyle name="40% - Accent2 15 4 2" xfId="40863" xr:uid="{459E0A8A-59E0-40DE-BBE6-E9FF81225C6B}"/>
    <cellStyle name="40% - Accent2 15 5" xfId="40856" xr:uid="{18C510FC-BF60-4216-983B-6BE34DAE1919}"/>
    <cellStyle name="40% - Accent2 16" xfId="3520" xr:uid="{1B7A04D0-E86F-46B9-8258-B4A20087D424}"/>
    <cellStyle name="40% - Accent2 16 2" xfId="7252" xr:uid="{8D75B0E5-47F3-486B-9ADC-C58C8FC8D6FF}"/>
    <cellStyle name="40% - Accent2 16 2 2" xfId="14960" xr:uid="{9595496B-F322-45BE-BE0E-64C7CB8B8E33}"/>
    <cellStyle name="40% - Accent2 16 2 2 2" xfId="30372" xr:uid="{5284022E-E6D0-48FF-85DD-96EA289562A7}"/>
    <cellStyle name="40% - Accent2 16 2 2 2 2" xfId="40867" xr:uid="{6FF91C3C-A510-475B-89A9-F616B415FE2A}"/>
    <cellStyle name="40% - Accent2 16 2 2 3" xfId="40866" xr:uid="{00B3275C-6F19-45E4-ACFA-77E28E3EC461}"/>
    <cellStyle name="40% - Accent2 16 2 3" xfId="22667" xr:uid="{80342483-5134-464C-835B-1AC48C16B367}"/>
    <cellStyle name="40% - Accent2 16 2 3 2" xfId="40868" xr:uid="{A010147A-5DDC-4D83-AF30-CDAC3052E07C}"/>
    <cellStyle name="40% - Accent2 16 2 4" xfId="40865" xr:uid="{306A44AE-043A-43C6-B9AF-6A3C74FE6495}"/>
    <cellStyle name="40% - Accent2 16 3" xfId="11231" xr:uid="{3D2BFD5A-5313-445B-93E0-042FAAC44D28}"/>
    <cellStyle name="40% - Accent2 16 3 2" xfId="26644" xr:uid="{41D133B1-69CD-4285-BEA9-32CE3A63C06E}"/>
    <cellStyle name="40% - Accent2 16 3 2 2" xfId="40870" xr:uid="{C452992B-AB01-435B-9480-E3C1B2567B00}"/>
    <cellStyle name="40% - Accent2 16 3 3" xfId="40869" xr:uid="{1BDC0FBD-BF0A-4787-830B-DCC70F1A3BD4}"/>
    <cellStyle name="40% - Accent2 16 4" xfId="18939" xr:uid="{726D3532-A5D4-443B-9537-BECC2ED1ED56}"/>
    <cellStyle name="40% - Accent2 16 4 2" xfId="40871" xr:uid="{80F27BEA-F6BE-4A1E-8223-ACB5E8BC8311}"/>
    <cellStyle name="40% - Accent2 16 5" xfId="40864" xr:uid="{9E306FF8-B8CE-4751-BE75-7F9ADB759E54}"/>
    <cellStyle name="40% - Accent2 17" xfId="3540" xr:uid="{14C3C634-14F1-4844-A2BE-6FCB685E58A2}"/>
    <cellStyle name="40% - Accent2 17 2" xfId="7272" xr:uid="{37B90F58-6209-4510-ADB6-3AAAFD9117AB}"/>
    <cellStyle name="40% - Accent2 17 2 2" xfId="14980" xr:uid="{21EFD090-5DC5-4F81-AFD3-D46941BF4536}"/>
    <cellStyle name="40% - Accent2 17 2 2 2" xfId="30392" xr:uid="{13C7F420-A9AF-4267-A707-66481B45DD0A}"/>
    <cellStyle name="40% - Accent2 17 2 2 2 2" xfId="40875" xr:uid="{A5198D51-A8E3-46AC-838D-D0E3324D7A97}"/>
    <cellStyle name="40% - Accent2 17 2 2 3" xfId="40874" xr:uid="{80235CE4-193B-403B-83E4-1F656B6C2D5B}"/>
    <cellStyle name="40% - Accent2 17 2 3" xfId="22687" xr:uid="{8CE39181-7B61-43D0-8C18-04611B3F2034}"/>
    <cellStyle name="40% - Accent2 17 2 3 2" xfId="40876" xr:uid="{46767D0B-A439-45B1-B08B-F6FC2D592FE2}"/>
    <cellStyle name="40% - Accent2 17 2 4" xfId="40873" xr:uid="{CA2B85F9-288F-406D-9D94-E497873C745E}"/>
    <cellStyle name="40% - Accent2 17 3" xfId="11251" xr:uid="{CBD452AB-16E3-49C7-AF9D-F85974234C8B}"/>
    <cellStyle name="40% - Accent2 17 3 2" xfId="26664" xr:uid="{BD0F2272-E1E9-4CAB-AAC3-385C961D365B}"/>
    <cellStyle name="40% - Accent2 17 3 2 2" xfId="40878" xr:uid="{0704D3A8-ACC8-4B57-B91F-E2FA461C9CCD}"/>
    <cellStyle name="40% - Accent2 17 3 3" xfId="40877" xr:uid="{C50B9CF7-ADE1-42CD-B700-7BC7363EE96F}"/>
    <cellStyle name="40% - Accent2 17 4" xfId="18959" xr:uid="{854A12D3-1DFF-4819-85E2-F43CDD1CAAE2}"/>
    <cellStyle name="40% - Accent2 17 4 2" xfId="40879" xr:uid="{9F193086-EC5C-46F8-A2A0-A635C75C14DD}"/>
    <cellStyle name="40% - Accent2 17 5" xfId="40872" xr:uid="{F2B7D9E8-E69C-4D12-AC4C-C60BDEE4DD0C}"/>
    <cellStyle name="40% - Accent2 18" xfId="3560" xr:uid="{EA69ABE6-94AB-4650-AE33-9DD73A4858E7}"/>
    <cellStyle name="40% - Accent2 18 2" xfId="7292" xr:uid="{A61590F4-127A-4770-9AAE-6CBF3F0A0D77}"/>
    <cellStyle name="40% - Accent2 18 2 2" xfId="15000" xr:uid="{05B3040A-E041-44C3-804F-A7619AA1DF8C}"/>
    <cellStyle name="40% - Accent2 18 2 2 2" xfId="30412" xr:uid="{531DB52E-F271-4EEE-B9B7-2A3185FFADCA}"/>
    <cellStyle name="40% - Accent2 18 2 2 2 2" xfId="40883" xr:uid="{A3885BE3-AC2C-4899-8E05-267DB46482FF}"/>
    <cellStyle name="40% - Accent2 18 2 2 3" xfId="40882" xr:uid="{3409F5F3-F3FE-4169-9FC5-9C0A9F7B2F3B}"/>
    <cellStyle name="40% - Accent2 18 2 3" xfId="22707" xr:uid="{2C1FB285-BF63-4CE3-A053-F1AB3B3E1FF5}"/>
    <cellStyle name="40% - Accent2 18 2 3 2" xfId="40884" xr:uid="{F5255D34-0D32-42E1-A5F9-4247378668C1}"/>
    <cellStyle name="40% - Accent2 18 2 4" xfId="40881" xr:uid="{D44ED5E4-7611-4296-8A3B-A9DA6B8D898C}"/>
    <cellStyle name="40% - Accent2 18 3" xfId="11271" xr:uid="{FD0552CF-68B0-4B8A-9D09-79AC16820BB7}"/>
    <cellStyle name="40% - Accent2 18 3 2" xfId="26684" xr:uid="{F5ED126F-949A-4B52-9BFD-13663CF32E37}"/>
    <cellStyle name="40% - Accent2 18 3 2 2" xfId="40886" xr:uid="{453F7836-1666-4995-A0BA-FB88A25B77A6}"/>
    <cellStyle name="40% - Accent2 18 3 3" xfId="40885" xr:uid="{7128CD78-92A6-41CD-A583-09684E5FCA9D}"/>
    <cellStyle name="40% - Accent2 18 4" xfId="18979" xr:uid="{BCB0FD9E-BC22-4ECC-9842-A7A9A29C059A}"/>
    <cellStyle name="40% - Accent2 18 4 2" xfId="40887" xr:uid="{752A9470-3A38-4D63-B888-EF99B5B2A00D}"/>
    <cellStyle name="40% - Accent2 18 5" xfId="40880" xr:uid="{BC114062-1AC4-49C2-8730-FC8BBA0B503E}"/>
    <cellStyle name="40% - Accent2 19" xfId="3581" xr:uid="{CB2E4DB3-305B-4392-8DA3-B610D5715C69}"/>
    <cellStyle name="40% - Accent2 19 2" xfId="7312" xr:uid="{ADC03E6C-C2A1-49AB-AB99-99986FA6E6E5}"/>
    <cellStyle name="40% - Accent2 19 2 2" xfId="15020" xr:uid="{6C30D8D4-667B-4EA3-86A6-A0D44345FACD}"/>
    <cellStyle name="40% - Accent2 19 2 2 2" xfId="30432" xr:uid="{A09EBDA7-86FA-46A2-85E3-8209C88EFB4E}"/>
    <cellStyle name="40% - Accent2 19 2 2 2 2" xfId="40891" xr:uid="{35362432-A241-49C8-90E2-EFCCD999EEEC}"/>
    <cellStyle name="40% - Accent2 19 2 2 3" xfId="40890" xr:uid="{9ED88DEA-1C83-47D0-B304-EF8F78CCAB8E}"/>
    <cellStyle name="40% - Accent2 19 2 3" xfId="22727" xr:uid="{F5C26835-671B-49A2-AB4A-D8FAB9DB4D1E}"/>
    <cellStyle name="40% - Accent2 19 2 3 2" xfId="40892" xr:uid="{48933E79-165F-4192-A501-BAA53957DA95}"/>
    <cellStyle name="40% - Accent2 19 2 4" xfId="40889" xr:uid="{2292E51D-F935-446B-8D83-CABCDEE6B855}"/>
    <cellStyle name="40% - Accent2 19 3" xfId="11291" xr:uid="{AEE8107E-3567-40F4-93A7-68E71A375B7B}"/>
    <cellStyle name="40% - Accent2 19 3 2" xfId="26704" xr:uid="{8BA14488-D9EA-4416-8A84-7FC2E3F817AC}"/>
    <cellStyle name="40% - Accent2 19 3 2 2" xfId="40894" xr:uid="{534D41A6-C839-4BDE-9178-279DF7F8EC8B}"/>
    <cellStyle name="40% - Accent2 19 3 3" xfId="40893" xr:uid="{11931AEC-2E98-4514-BC08-38C54F4B96B9}"/>
    <cellStyle name="40% - Accent2 19 4" xfId="18999" xr:uid="{600DEB6D-68D6-4DC4-AF82-196AABD7940F}"/>
    <cellStyle name="40% - Accent2 19 4 2" xfId="40895" xr:uid="{06D90DA5-A86A-4551-B010-68F1BE214723}"/>
    <cellStyle name="40% - Accent2 19 5" xfId="40888" xr:uid="{465F34F9-D485-40C7-A9AD-71DBEA1D35EB}"/>
    <cellStyle name="40% - Accent2 2" xfId="82" xr:uid="{5F8E15B2-BAB0-4915-8E9B-99E0C63CA988}"/>
    <cellStyle name="40% - Accent2 2 10" xfId="40896" xr:uid="{9998BA90-F7D1-436D-A364-3C528FBDE509}"/>
    <cellStyle name="40% - Accent2 2 2" xfId="146" xr:uid="{5654935A-ECDA-45E1-92AF-8423F784A1FB}"/>
    <cellStyle name="40% - Accent2 2 2 2" xfId="209" xr:uid="{8274E7A8-B59A-470E-97D9-A4604B1DDA87}"/>
    <cellStyle name="40% - Accent2 2 2 2 2" xfId="414" xr:uid="{9DA6BE49-27D9-4EFA-9A9F-875D90789771}"/>
    <cellStyle name="40% - Accent2 2 2 2 2 2" xfId="1076" xr:uid="{DBB1E39B-9FC6-48CD-9949-A8DF2AA0F0CD}"/>
    <cellStyle name="40% - Accent2 2 2 2 2 2 2" xfId="2544" xr:uid="{52115D87-CF2B-442C-8F6C-C17D7520CEE9}"/>
    <cellStyle name="40% - Accent2 2 2 2 2 2 2 2" xfId="6276" xr:uid="{3B060161-3330-4150-BF0A-01CE85019E0C}"/>
    <cellStyle name="40% - Accent2 2 2 2 2 2 2 2 2" xfId="13984" xr:uid="{7C9EE50F-613B-42D4-ADEF-B11A1F72F89D}"/>
    <cellStyle name="40% - Accent2 2 2 2 2 2 2 2 2 2" xfId="29396" xr:uid="{10BE0CF1-8A7B-4A28-902A-3CF543641318}"/>
    <cellStyle name="40% - Accent2 2 2 2 2 2 2 2 2 2 2" xfId="40904" xr:uid="{555D6450-4DBD-4E8F-98F7-ECA61370551B}"/>
    <cellStyle name="40% - Accent2 2 2 2 2 2 2 2 2 3" xfId="40903" xr:uid="{A1245830-4C6D-4E96-958B-955E0EFE4942}"/>
    <cellStyle name="40% - Accent2 2 2 2 2 2 2 2 3" xfId="21691" xr:uid="{9C18904B-11E9-4020-BC44-8920AB60D769}"/>
    <cellStyle name="40% - Accent2 2 2 2 2 2 2 2 3 2" xfId="40905" xr:uid="{F17BA4C7-12FA-4555-A643-C83CF49C48AF}"/>
    <cellStyle name="40% - Accent2 2 2 2 2 2 2 2 4" xfId="40902" xr:uid="{C72FC2DA-92E9-4ADF-B3E4-87F713BB889B}"/>
    <cellStyle name="40% - Accent2 2 2 2 2 2 2 3" xfId="10255" xr:uid="{81589396-B186-4189-8326-3780F32A217A}"/>
    <cellStyle name="40% - Accent2 2 2 2 2 2 2 3 2" xfId="25668" xr:uid="{F972676F-A3FC-45CA-83DE-55F0F1F24E56}"/>
    <cellStyle name="40% - Accent2 2 2 2 2 2 2 3 2 2" xfId="40907" xr:uid="{3A4E8EF9-2C85-4710-8DA0-4999AABD1A6A}"/>
    <cellStyle name="40% - Accent2 2 2 2 2 2 2 3 3" xfId="40906" xr:uid="{11875C8D-DA9F-4ADE-8BDC-7081B9CD101E}"/>
    <cellStyle name="40% - Accent2 2 2 2 2 2 2 4" xfId="17963" xr:uid="{751E63C5-F64D-49A2-8654-C60F9017085B}"/>
    <cellStyle name="40% - Accent2 2 2 2 2 2 2 4 2" xfId="40908" xr:uid="{8BF864F4-1BBA-4B08-A259-2949B3688996}"/>
    <cellStyle name="40% - Accent2 2 2 2 2 2 2 5" xfId="40901" xr:uid="{A3F03949-A2E2-4208-BA3E-267C109EAAD3}"/>
    <cellStyle name="40% - Accent2 2 2 2 2 2 3" xfId="4813" xr:uid="{5F338FFA-4B3D-4B0A-A761-EDCF8893E82D}"/>
    <cellStyle name="40% - Accent2 2 2 2 2 2 3 2" xfId="12521" xr:uid="{80E5D379-33F5-46CA-81EA-828C3BAF2892}"/>
    <cellStyle name="40% - Accent2 2 2 2 2 2 3 2 2" xfId="27933" xr:uid="{73F5073B-ED68-4C48-ADEE-D90EEBCB9972}"/>
    <cellStyle name="40% - Accent2 2 2 2 2 2 3 2 2 2" xfId="40911" xr:uid="{42E52FAE-E92C-43BB-A41A-AA3A4AA2EEBE}"/>
    <cellStyle name="40% - Accent2 2 2 2 2 2 3 2 3" xfId="40910" xr:uid="{7CA8757F-648D-49A2-8F30-A33056C9C9CE}"/>
    <cellStyle name="40% - Accent2 2 2 2 2 2 3 3" xfId="20228" xr:uid="{C8209B5E-C4E0-4504-A602-D0F790B2D110}"/>
    <cellStyle name="40% - Accent2 2 2 2 2 2 3 3 2" xfId="40912" xr:uid="{859DCAD5-ED7C-4148-8B09-035FB214188B}"/>
    <cellStyle name="40% - Accent2 2 2 2 2 2 3 4" xfId="40909" xr:uid="{36B37E21-36A8-467A-A978-9273CA75D3A8}"/>
    <cellStyle name="40% - Accent2 2 2 2 2 2 4" xfId="8796" xr:uid="{1DD09D04-AB95-4FA5-A755-BADC7C1F92B1}"/>
    <cellStyle name="40% - Accent2 2 2 2 2 2 4 2" xfId="24209" xr:uid="{357F6DE5-6D44-460F-97E6-474098FDD127}"/>
    <cellStyle name="40% - Accent2 2 2 2 2 2 4 2 2" xfId="40914" xr:uid="{CBE85882-A8A4-46D3-821F-253D45697AD6}"/>
    <cellStyle name="40% - Accent2 2 2 2 2 2 4 3" xfId="40913" xr:uid="{403AE2AC-625F-43D1-91EE-A7A6C2458EF7}"/>
    <cellStyle name="40% - Accent2 2 2 2 2 2 5" xfId="16504" xr:uid="{324F3C36-6697-447C-8083-E7FD9DEFD2AD}"/>
    <cellStyle name="40% - Accent2 2 2 2 2 2 5 2" xfId="40915" xr:uid="{961EDDB7-BFE7-4D01-9F30-1920FC9F4521}"/>
    <cellStyle name="40% - Accent2 2 2 2 2 2 6" xfId="40900" xr:uid="{24CF33CB-6584-4FF1-B841-9012936F5752}"/>
    <cellStyle name="40% - Accent2 2 2 2 2 3" xfId="1906" xr:uid="{3BC910C7-52E2-479D-8F12-A4B516B9AC10}"/>
    <cellStyle name="40% - Accent2 2 2 2 2 3 2" xfId="5638" xr:uid="{C367C7CB-0282-4B86-AD6B-859048D4619D}"/>
    <cellStyle name="40% - Accent2 2 2 2 2 3 2 2" xfId="13346" xr:uid="{28FB5A87-AF28-4022-B1BF-2A6FCEF3A5C7}"/>
    <cellStyle name="40% - Accent2 2 2 2 2 3 2 2 2" xfId="28758" xr:uid="{A66E0E71-A530-488A-AFFA-346EB782D818}"/>
    <cellStyle name="40% - Accent2 2 2 2 2 3 2 2 2 2" xfId="40919" xr:uid="{CF0171AF-72CF-4A6D-B9FA-AE79ABE6CFA7}"/>
    <cellStyle name="40% - Accent2 2 2 2 2 3 2 2 3" xfId="40918" xr:uid="{086B9A73-5462-489A-99B7-F95B1F1F59F3}"/>
    <cellStyle name="40% - Accent2 2 2 2 2 3 2 3" xfId="21053" xr:uid="{72D52387-5BEB-41AD-BC3B-0C844227C7D4}"/>
    <cellStyle name="40% - Accent2 2 2 2 2 3 2 3 2" xfId="40920" xr:uid="{0EAA45E2-287B-4162-8F54-DF91674A580F}"/>
    <cellStyle name="40% - Accent2 2 2 2 2 3 2 4" xfId="40917" xr:uid="{A448257F-73F0-49E6-93FF-AEC6F0227056}"/>
    <cellStyle name="40% - Accent2 2 2 2 2 3 3" xfId="9617" xr:uid="{D177EBC5-7A7A-4800-B8BA-5C95D4E3A4EE}"/>
    <cellStyle name="40% - Accent2 2 2 2 2 3 3 2" xfId="25030" xr:uid="{07CE9C37-868A-4692-8F8E-1A7B5B6395A2}"/>
    <cellStyle name="40% - Accent2 2 2 2 2 3 3 2 2" xfId="40922" xr:uid="{C4B504CD-7046-496E-BF29-48172E0C0DA6}"/>
    <cellStyle name="40% - Accent2 2 2 2 2 3 3 3" xfId="40921" xr:uid="{DC93A090-D3E9-4305-A570-DBBBB72817D6}"/>
    <cellStyle name="40% - Accent2 2 2 2 2 3 4" xfId="17325" xr:uid="{92DFFC4F-56E3-4FBC-92EC-9764B60A9873}"/>
    <cellStyle name="40% - Accent2 2 2 2 2 3 4 2" xfId="40923" xr:uid="{F1D38A94-DA84-477D-9087-3B47FCCE6C23}"/>
    <cellStyle name="40% - Accent2 2 2 2 2 3 5" xfId="40916" xr:uid="{155B0508-F38B-4794-9AF2-E6AA195948CD}"/>
    <cellStyle name="40% - Accent2 2 2 2 2 4" xfId="4161" xr:uid="{4F0269C1-5754-45A2-96CD-035323CFDA49}"/>
    <cellStyle name="40% - Accent2 2 2 2 2 4 2" xfId="11869" xr:uid="{0926CD9A-FAD0-4A00-A741-3705E4CDE449}"/>
    <cellStyle name="40% - Accent2 2 2 2 2 4 2 2" xfId="27281" xr:uid="{9E94140D-0855-4C77-AF8F-3D063B4C863E}"/>
    <cellStyle name="40% - Accent2 2 2 2 2 4 2 2 2" xfId="40926" xr:uid="{96F30F67-08CD-4181-929A-16B14D3B41F4}"/>
    <cellStyle name="40% - Accent2 2 2 2 2 4 2 3" xfId="40925" xr:uid="{659E7496-FC6E-471A-ACE2-6A0EA034A671}"/>
    <cellStyle name="40% - Accent2 2 2 2 2 4 3" xfId="19576" xr:uid="{784BAE02-D64A-4631-B3D8-5B421CA42767}"/>
    <cellStyle name="40% - Accent2 2 2 2 2 4 3 2" xfId="40927" xr:uid="{077CC269-05D7-4189-9882-CCF6D45BD3CD}"/>
    <cellStyle name="40% - Accent2 2 2 2 2 4 4" xfId="40924" xr:uid="{226CDC00-368C-430A-89FC-FF794F6441BC}"/>
    <cellStyle name="40% - Accent2 2 2 2 2 5" xfId="8158" xr:uid="{215C2510-0BCA-4BBA-AFD5-1F609CF54E0A}"/>
    <cellStyle name="40% - Accent2 2 2 2 2 5 2" xfId="23571" xr:uid="{7CF82648-765A-4A2A-8322-5CE379B78CA3}"/>
    <cellStyle name="40% - Accent2 2 2 2 2 5 2 2" xfId="40929" xr:uid="{3EA72052-BD0E-41E3-97BA-45A2A3492BB9}"/>
    <cellStyle name="40% - Accent2 2 2 2 2 5 3" xfId="40928" xr:uid="{3C6A044C-35CB-4351-809C-AE61F54605F8}"/>
    <cellStyle name="40% - Accent2 2 2 2 2 6" xfId="15866" xr:uid="{3473705C-45C2-424A-93C1-AB442A74C460}"/>
    <cellStyle name="40% - Accent2 2 2 2 2 6 2" xfId="40930" xr:uid="{842282C5-1A39-4355-B13A-1B2935E5538D}"/>
    <cellStyle name="40% - Accent2 2 2 2 2 7" xfId="40899" xr:uid="{735646C1-48DC-4BA8-88A4-28A3E80D5565}"/>
    <cellStyle name="40% - Accent2 2 2 2 3" xfId="875" xr:uid="{7DF4B9F5-F1AD-4335-BCBA-C4EBF641D0EB}"/>
    <cellStyle name="40% - Accent2 2 2 2 3 2" xfId="2346" xr:uid="{B76DC9E1-AFE7-45F4-B28F-316BF0D016DC}"/>
    <cellStyle name="40% - Accent2 2 2 2 3 2 2" xfId="6078" xr:uid="{5672250C-336F-468D-BE85-F6F1B88D3991}"/>
    <cellStyle name="40% - Accent2 2 2 2 3 2 2 2" xfId="13786" xr:uid="{435E7E22-62EF-4577-BAD9-37AA50F62F98}"/>
    <cellStyle name="40% - Accent2 2 2 2 3 2 2 2 2" xfId="29198" xr:uid="{BBEF7FD3-DA30-4262-B80F-5FCD2E1EC1AB}"/>
    <cellStyle name="40% - Accent2 2 2 2 3 2 2 2 2 2" xfId="40935" xr:uid="{390EF6A9-CA85-45C3-BE17-C22B4D811D15}"/>
    <cellStyle name="40% - Accent2 2 2 2 3 2 2 2 3" xfId="40934" xr:uid="{AB6A9BD4-F415-41A5-BAFE-CF6E967D2587}"/>
    <cellStyle name="40% - Accent2 2 2 2 3 2 2 3" xfId="21493" xr:uid="{6D2B0D5C-4EEA-4188-8124-3953705C8FDF}"/>
    <cellStyle name="40% - Accent2 2 2 2 3 2 2 3 2" xfId="40936" xr:uid="{649455E1-594F-4BC5-A0C0-96F47625B98A}"/>
    <cellStyle name="40% - Accent2 2 2 2 3 2 2 4" xfId="40933" xr:uid="{3E513EC4-E55A-43F2-B2EA-02A92405A6E8}"/>
    <cellStyle name="40% - Accent2 2 2 2 3 2 3" xfId="10057" xr:uid="{80CF1138-9B17-4CE9-93E7-AAEB31D1DFFD}"/>
    <cellStyle name="40% - Accent2 2 2 2 3 2 3 2" xfId="25470" xr:uid="{B8B6D84B-F42A-485C-B64A-071A043E850D}"/>
    <cellStyle name="40% - Accent2 2 2 2 3 2 3 2 2" xfId="40938" xr:uid="{DE0559AD-6A42-441B-8F2D-08C369BA365A}"/>
    <cellStyle name="40% - Accent2 2 2 2 3 2 3 3" xfId="40937" xr:uid="{CDE6365D-AD3D-4CB9-8C5C-8687D6BF8221}"/>
    <cellStyle name="40% - Accent2 2 2 2 3 2 4" xfId="17765" xr:uid="{BBAD18F7-094C-409D-9ADC-C63E61B25B1B}"/>
    <cellStyle name="40% - Accent2 2 2 2 3 2 4 2" xfId="40939" xr:uid="{859B0AFB-CD28-4363-9682-69FF9C8F7E65}"/>
    <cellStyle name="40% - Accent2 2 2 2 3 2 5" xfId="40932" xr:uid="{8ECADF1C-1CF6-486B-874D-DA3F9E902E6F}"/>
    <cellStyle name="40% - Accent2 2 2 2 3 3" xfId="4612" xr:uid="{CBA0F0D5-F1BC-43F6-8BD8-9B2E023D36EA}"/>
    <cellStyle name="40% - Accent2 2 2 2 3 3 2" xfId="12320" xr:uid="{72799501-C0B6-4A3F-ACA7-47F33A959D80}"/>
    <cellStyle name="40% - Accent2 2 2 2 3 3 2 2" xfId="27732" xr:uid="{D0470ECA-E4C4-478A-A9F0-9D5AFFEE90BF}"/>
    <cellStyle name="40% - Accent2 2 2 2 3 3 2 2 2" xfId="40942" xr:uid="{69B7BDE2-C4FB-4C86-A7A0-3592A963BA40}"/>
    <cellStyle name="40% - Accent2 2 2 2 3 3 2 3" xfId="40941" xr:uid="{F5BC8DEE-D736-4FA2-8866-0ED32E8B5C40}"/>
    <cellStyle name="40% - Accent2 2 2 2 3 3 3" xfId="20027" xr:uid="{DD4B4A61-BED8-45F7-AEFA-DDD927D5AADB}"/>
    <cellStyle name="40% - Accent2 2 2 2 3 3 3 2" xfId="40943" xr:uid="{E1D6D4DC-5C89-437C-85EC-418D71C07094}"/>
    <cellStyle name="40% - Accent2 2 2 2 3 3 4" xfId="40940" xr:uid="{C60C2A09-0055-4002-A039-A0A102BF2838}"/>
    <cellStyle name="40% - Accent2 2 2 2 3 4" xfId="8598" xr:uid="{8FEAF817-FDD4-4558-B6A2-4715DD4810E1}"/>
    <cellStyle name="40% - Accent2 2 2 2 3 4 2" xfId="24011" xr:uid="{672F05B5-3E4B-47DD-BAD9-4FD1EB3014BB}"/>
    <cellStyle name="40% - Accent2 2 2 2 3 4 2 2" xfId="40945" xr:uid="{85D614CB-1564-43DD-B72A-4ACCFF5B5353}"/>
    <cellStyle name="40% - Accent2 2 2 2 3 4 3" xfId="40944" xr:uid="{393E1173-0C7E-476C-BA9C-AD0D5BF2BE85}"/>
    <cellStyle name="40% - Accent2 2 2 2 3 5" xfId="16306" xr:uid="{22E4BD3C-A5C3-4D49-88F9-9E8F08AAEDB3}"/>
    <cellStyle name="40% - Accent2 2 2 2 3 5 2" xfId="40946" xr:uid="{12A89900-67B4-44E4-9763-56CA365DC03C}"/>
    <cellStyle name="40% - Accent2 2 2 2 3 6" xfId="40931" xr:uid="{A120D5C7-3EF5-48DF-8095-241BFE2140D5}"/>
    <cellStyle name="40% - Accent2 2 2 2 4" xfId="1708" xr:uid="{9C13A50C-CC7D-4214-9884-FA676723BBAB}"/>
    <cellStyle name="40% - Accent2 2 2 2 4 2" xfId="5440" xr:uid="{917B1D75-C3AC-4943-9BB6-A4E403E56D13}"/>
    <cellStyle name="40% - Accent2 2 2 2 4 2 2" xfId="13148" xr:uid="{5B04BC1A-CEDD-4365-BBA3-893674F93C56}"/>
    <cellStyle name="40% - Accent2 2 2 2 4 2 2 2" xfId="28560" xr:uid="{AE8F90CA-E851-4D74-BBFA-0AF2EFF52082}"/>
    <cellStyle name="40% - Accent2 2 2 2 4 2 2 2 2" xfId="40950" xr:uid="{3BCEA0B9-70A6-4CF9-9C51-790FC01F10D8}"/>
    <cellStyle name="40% - Accent2 2 2 2 4 2 2 3" xfId="40949" xr:uid="{03476F62-1B70-486B-98EB-0A91C0374A7F}"/>
    <cellStyle name="40% - Accent2 2 2 2 4 2 3" xfId="20855" xr:uid="{BB4EE581-71A2-4705-9CB8-70AAB4FD10B2}"/>
    <cellStyle name="40% - Accent2 2 2 2 4 2 3 2" xfId="40951" xr:uid="{B3A2B3E9-2294-4FDE-AF22-02A1F4800C0E}"/>
    <cellStyle name="40% - Accent2 2 2 2 4 2 4" xfId="40948" xr:uid="{E6C520FC-2734-4FE4-A08D-6CF59AC3DF8D}"/>
    <cellStyle name="40% - Accent2 2 2 2 4 3" xfId="9419" xr:uid="{16971ED2-24AD-448D-93F7-F111625A4467}"/>
    <cellStyle name="40% - Accent2 2 2 2 4 3 2" xfId="24832" xr:uid="{D62AF89B-313A-410E-82A1-B4693EC4FD1F}"/>
    <cellStyle name="40% - Accent2 2 2 2 4 3 2 2" xfId="40953" xr:uid="{808CED18-0EF5-4327-9ABB-8A8DCAC12601}"/>
    <cellStyle name="40% - Accent2 2 2 2 4 3 3" xfId="40952" xr:uid="{550B132C-5CC7-423C-A9D5-1AE230F22990}"/>
    <cellStyle name="40% - Accent2 2 2 2 4 4" xfId="17127" xr:uid="{5F362CBF-0B4C-4913-803C-E2F5C73B2C32}"/>
    <cellStyle name="40% - Accent2 2 2 2 4 4 2" xfId="40954" xr:uid="{ECA297CD-7A2E-46B5-9C17-C5F9B81CC7DC}"/>
    <cellStyle name="40% - Accent2 2 2 2 4 5" xfId="40947" xr:uid="{7D53D696-D7A8-4A2D-9DBE-A7EA0BA80C51}"/>
    <cellStyle name="40% - Accent2 2 2 2 5" xfId="3960" xr:uid="{A6AD5092-F48F-41B5-90C0-7B000F3C6BEB}"/>
    <cellStyle name="40% - Accent2 2 2 2 5 2" xfId="11668" xr:uid="{B55930B2-C820-4AD9-9AF6-42C79DAB505B}"/>
    <cellStyle name="40% - Accent2 2 2 2 5 2 2" xfId="27080" xr:uid="{7BF0B04B-323A-48E4-A6A3-F9AC0592D057}"/>
    <cellStyle name="40% - Accent2 2 2 2 5 2 2 2" xfId="40957" xr:uid="{BE15413D-6E7E-4C5F-9DE6-1A7565DC28E8}"/>
    <cellStyle name="40% - Accent2 2 2 2 5 2 3" xfId="40956" xr:uid="{93799B35-03F3-4EDD-9201-A9E84337D04B}"/>
    <cellStyle name="40% - Accent2 2 2 2 5 3" xfId="19375" xr:uid="{F46CAB1A-B9A2-451A-A13A-EFF24B716E22}"/>
    <cellStyle name="40% - Accent2 2 2 2 5 3 2" xfId="40958" xr:uid="{7663A3C0-8381-49D0-8BC4-0F94C231339B}"/>
    <cellStyle name="40% - Accent2 2 2 2 5 4" xfId="40955" xr:uid="{A8E77D41-DCE1-4364-BE01-1C9EB09224EB}"/>
    <cellStyle name="40% - Accent2 2 2 2 6" xfId="7960" xr:uid="{DFA99693-6F9E-4E1A-BB11-2926F0A004AB}"/>
    <cellStyle name="40% - Accent2 2 2 2 6 2" xfId="23373" xr:uid="{5879AC3B-3875-48D8-869A-52306337F78E}"/>
    <cellStyle name="40% - Accent2 2 2 2 6 2 2" xfId="40960" xr:uid="{DF37119B-1210-4890-B166-4550633BB132}"/>
    <cellStyle name="40% - Accent2 2 2 2 6 3" xfId="40959" xr:uid="{40F1A45C-E192-4AEB-A702-A2FE44AC6F0E}"/>
    <cellStyle name="40% - Accent2 2 2 2 7" xfId="15668" xr:uid="{7F795A7B-E0A2-4157-ADF4-DB05B0FE45A5}"/>
    <cellStyle name="40% - Accent2 2 2 2 7 2" xfId="40961" xr:uid="{5977453F-434F-4527-87B5-0EBBC1D43ADA}"/>
    <cellStyle name="40% - Accent2 2 2 2 8" xfId="40898" xr:uid="{FE504F97-C403-44F9-A6FA-C6BAB19ADFF2}"/>
    <cellStyle name="40% - Accent2 2 2 3" xfId="363" xr:uid="{B8E6FA20-61D6-4234-B455-7A851259B315}"/>
    <cellStyle name="40% - Accent2 2 2 3 2" xfId="1025" xr:uid="{CFF62CF6-C6E7-47BD-ACFE-3F97633AE98D}"/>
    <cellStyle name="40% - Accent2 2 2 3 2 2" xfId="2494" xr:uid="{8CADD82E-DEB4-491E-88B9-49769E9924F0}"/>
    <cellStyle name="40% - Accent2 2 2 3 2 2 2" xfId="6226" xr:uid="{12E20EB9-A508-4FC8-85BB-D70F87B12F93}"/>
    <cellStyle name="40% - Accent2 2 2 3 2 2 2 2" xfId="13934" xr:uid="{30635BD9-9398-4BEC-BEA6-1AB44048CB81}"/>
    <cellStyle name="40% - Accent2 2 2 3 2 2 2 2 2" xfId="29346" xr:uid="{023B8987-523B-4A2F-B270-5299852B707D}"/>
    <cellStyle name="40% - Accent2 2 2 3 2 2 2 2 2 2" xfId="40967" xr:uid="{D1C740C4-5793-45C7-82DA-1A1B1AF6AA46}"/>
    <cellStyle name="40% - Accent2 2 2 3 2 2 2 2 3" xfId="40966" xr:uid="{D72B87EF-4BD9-4671-B2AC-2BD664F40DFE}"/>
    <cellStyle name="40% - Accent2 2 2 3 2 2 2 3" xfId="21641" xr:uid="{E3D171F5-79B4-472A-8DE6-C16A454D87C8}"/>
    <cellStyle name="40% - Accent2 2 2 3 2 2 2 3 2" xfId="40968" xr:uid="{4BECAD11-B993-450C-9B45-F5EE8E091818}"/>
    <cellStyle name="40% - Accent2 2 2 3 2 2 2 4" xfId="40965" xr:uid="{82FB66B0-1BC9-4C5E-B3C9-580D1CE700D8}"/>
    <cellStyle name="40% - Accent2 2 2 3 2 2 3" xfId="10205" xr:uid="{59632307-4E88-4B19-A038-A9249518F550}"/>
    <cellStyle name="40% - Accent2 2 2 3 2 2 3 2" xfId="25618" xr:uid="{386E72DF-5FCE-43EE-A0FA-1635438370BD}"/>
    <cellStyle name="40% - Accent2 2 2 3 2 2 3 2 2" xfId="40970" xr:uid="{2B4DC9E5-55B4-4056-A4E8-D1351869210E}"/>
    <cellStyle name="40% - Accent2 2 2 3 2 2 3 3" xfId="40969" xr:uid="{C80A6C46-DD5A-4D03-93A8-50FD31CD2B8C}"/>
    <cellStyle name="40% - Accent2 2 2 3 2 2 4" xfId="17913" xr:uid="{15C1E6BA-C5A3-469E-9AD8-831AC7E0498D}"/>
    <cellStyle name="40% - Accent2 2 2 3 2 2 4 2" xfId="40971" xr:uid="{740B975D-76DF-4C05-8C2A-8D56EABD82D1}"/>
    <cellStyle name="40% - Accent2 2 2 3 2 2 5" xfId="40964" xr:uid="{3FF3C316-B12A-4DE6-AE58-3F19864A0A9C}"/>
    <cellStyle name="40% - Accent2 2 2 3 2 3" xfId="4762" xr:uid="{7B175DE6-4D43-4CDC-BE01-F493A622551A}"/>
    <cellStyle name="40% - Accent2 2 2 3 2 3 2" xfId="12470" xr:uid="{269B0ED4-1DCE-4B4F-851A-706E71DE2DDE}"/>
    <cellStyle name="40% - Accent2 2 2 3 2 3 2 2" xfId="27882" xr:uid="{03889D15-50E0-4AF7-85C7-4A3EDDA090C6}"/>
    <cellStyle name="40% - Accent2 2 2 3 2 3 2 2 2" xfId="40974" xr:uid="{456F100B-9DB8-4EC7-9DD6-38DAC149560D}"/>
    <cellStyle name="40% - Accent2 2 2 3 2 3 2 3" xfId="40973" xr:uid="{F12AB0A1-A7C5-4C1F-B9A6-B7A05BAADA1D}"/>
    <cellStyle name="40% - Accent2 2 2 3 2 3 3" xfId="20177" xr:uid="{E30EDF92-ADDE-4780-8AA5-12DF7BF4D59D}"/>
    <cellStyle name="40% - Accent2 2 2 3 2 3 3 2" xfId="40975" xr:uid="{B09E1951-A4AD-4781-910D-0BC9C238AE35}"/>
    <cellStyle name="40% - Accent2 2 2 3 2 3 4" xfId="40972" xr:uid="{7B3135E4-396C-412B-80F9-E8461D58FA5F}"/>
    <cellStyle name="40% - Accent2 2 2 3 2 4" xfId="8746" xr:uid="{5288E51B-56B0-4EFE-8696-9076D8867257}"/>
    <cellStyle name="40% - Accent2 2 2 3 2 4 2" xfId="24159" xr:uid="{6206124E-C6A3-4605-9360-0277E46EF9DD}"/>
    <cellStyle name="40% - Accent2 2 2 3 2 4 2 2" xfId="40977" xr:uid="{6B17B8B9-60F5-4EC8-BE41-FA36C429D9F1}"/>
    <cellStyle name="40% - Accent2 2 2 3 2 4 3" xfId="40976" xr:uid="{6F056FE7-2968-42F3-AC33-23EC5F734DAA}"/>
    <cellStyle name="40% - Accent2 2 2 3 2 5" xfId="16454" xr:uid="{8A0B89E5-D156-43E7-BBB5-BB80E1C3F302}"/>
    <cellStyle name="40% - Accent2 2 2 3 2 5 2" xfId="40978" xr:uid="{A18A068D-A9C5-45B6-9E37-72DD984AC0C3}"/>
    <cellStyle name="40% - Accent2 2 2 3 2 6" xfId="40963" xr:uid="{E6BFB86E-A75D-4E88-8AA6-6EB45AC65047}"/>
    <cellStyle name="40% - Accent2 2 2 3 3" xfId="1856" xr:uid="{63DFDA6D-3EB4-4946-A4CE-8778177C827C}"/>
    <cellStyle name="40% - Accent2 2 2 3 3 2" xfId="5588" xr:uid="{7CB24317-93CF-4A32-B2A4-B9FEF72028C7}"/>
    <cellStyle name="40% - Accent2 2 2 3 3 2 2" xfId="13296" xr:uid="{138F59BA-842E-4CDB-B707-CA5671194EDF}"/>
    <cellStyle name="40% - Accent2 2 2 3 3 2 2 2" xfId="28708" xr:uid="{92FB2B2F-48DA-4DB0-8A89-8831100C8455}"/>
    <cellStyle name="40% - Accent2 2 2 3 3 2 2 2 2" xfId="40982" xr:uid="{5AE4795E-E655-4DA6-A812-B4FF73DB9207}"/>
    <cellStyle name="40% - Accent2 2 2 3 3 2 2 3" xfId="40981" xr:uid="{A9D1A029-74AC-4BA0-ACFF-4CFC0946134B}"/>
    <cellStyle name="40% - Accent2 2 2 3 3 2 3" xfId="21003" xr:uid="{362CCC79-C48B-4D51-8CAD-EC8598713B09}"/>
    <cellStyle name="40% - Accent2 2 2 3 3 2 3 2" xfId="40983" xr:uid="{81B5EA01-9F75-47DC-93A4-AC5420F549B6}"/>
    <cellStyle name="40% - Accent2 2 2 3 3 2 4" xfId="40980" xr:uid="{A362B8FA-81ED-451B-98D0-39BA86FFEED5}"/>
    <cellStyle name="40% - Accent2 2 2 3 3 3" xfId="9567" xr:uid="{07DC10D9-02E5-4D2E-8121-FA137325DDF1}"/>
    <cellStyle name="40% - Accent2 2 2 3 3 3 2" xfId="24980" xr:uid="{AFF4D15A-2AB4-4A2E-B7AF-5542B1457F09}"/>
    <cellStyle name="40% - Accent2 2 2 3 3 3 2 2" xfId="40985" xr:uid="{BE4A01F6-E249-45B9-9164-769AA133A3A4}"/>
    <cellStyle name="40% - Accent2 2 2 3 3 3 3" xfId="40984" xr:uid="{E9B57C76-E672-4BD3-A46A-F7EA446D3B39}"/>
    <cellStyle name="40% - Accent2 2 2 3 3 4" xfId="17275" xr:uid="{4C1971B7-CE91-4C6B-81F5-F01523D64952}"/>
    <cellStyle name="40% - Accent2 2 2 3 3 4 2" xfId="40986" xr:uid="{5B51F88A-50F6-407D-983E-FD012ABFC4ED}"/>
    <cellStyle name="40% - Accent2 2 2 3 3 5" xfId="40979" xr:uid="{1230D121-2E7B-4B3B-88A6-E8317E354464}"/>
    <cellStyle name="40% - Accent2 2 2 3 4" xfId="4110" xr:uid="{93A34698-C93E-418B-B6E3-71B97535EA55}"/>
    <cellStyle name="40% - Accent2 2 2 3 4 2" xfId="11818" xr:uid="{840221CC-A349-43C9-A40A-0AD1C752885A}"/>
    <cellStyle name="40% - Accent2 2 2 3 4 2 2" xfId="27230" xr:uid="{B4D51C6A-0B47-4CAB-86A3-E5C5D056233D}"/>
    <cellStyle name="40% - Accent2 2 2 3 4 2 2 2" xfId="40989" xr:uid="{8FF78A3F-3BB0-44F8-8370-E03B19029E12}"/>
    <cellStyle name="40% - Accent2 2 2 3 4 2 3" xfId="40988" xr:uid="{D96131DE-006D-45AA-B27F-FB8737018FF2}"/>
    <cellStyle name="40% - Accent2 2 2 3 4 3" xfId="19525" xr:uid="{004FA5F9-65DB-468F-AF97-966930705BFD}"/>
    <cellStyle name="40% - Accent2 2 2 3 4 3 2" xfId="40990" xr:uid="{B0D0BDCB-48F4-4D18-96FC-6719A9498FBE}"/>
    <cellStyle name="40% - Accent2 2 2 3 4 4" xfId="40987" xr:uid="{02418F5B-05B4-4320-80D4-2F3C311FC595}"/>
    <cellStyle name="40% - Accent2 2 2 3 5" xfId="8108" xr:uid="{5F21F29D-7925-45DC-BC1A-5D752328263A}"/>
    <cellStyle name="40% - Accent2 2 2 3 5 2" xfId="23521" xr:uid="{D0BF5AB8-A07A-4962-BCCE-A8CDC09BCE61}"/>
    <cellStyle name="40% - Accent2 2 2 3 5 2 2" xfId="40992" xr:uid="{08362113-0FB3-4BAB-B726-E5B779703992}"/>
    <cellStyle name="40% - Accent2 2 2 3 5 3" xfId="40991" xr:uid="{3278ABBB-CDE4-44E4-818B-DF3B85E4D528}"/>
    <cellStyle name="40% - Accent2 2 2 3 6" xfId="15816" xr:uid="{64679502-462E-40AF-83D7-6FC762C56346}"/>
    <cellStyle name="40% - Accent2 2 2 3 6 2" xfId="40993" xr:uid="{D08D7A84-342F-462C-BD8A-39C30E953F75}"/>
    <cellStyle name="40% - Accent2 2 2 3 7" xfId="40962" xr:uid="{5371AAFF-9948-401B-9961-8DF0D9611786}"/>
    <cellStyle name="40% - Accent2 2 2 4" xfId="819" xr:uid="{87B79379-31D2-4DDA-8F75-15AF3D713492}"/>
    <cellStyle name="40% - Accent2 2 2 4 2" xfId="2296" xr:uid="{5AFD45F9-46DA-40EC-B185-8EAD08D88526}"/>
    <cellStyle name="40% - Accent2 2 2 4 2 2" xfId="6028" xr:uid="{1DBC06AD-945A-4432-BD60-143C7CBDD64B}"/>
    <cellStyle name="40% - Accent2 2 2 4 2 2 2" xfId="13736" xr:uid="{C6C42257-1B84-424D-83B0-2D2532104DD0}"/>
    <cellStyle name="40% - Accent2 2 2 4 2 2 2 2" xfId="29148" xr:uid="{123BFBE7-C60D-44A1-A11C-B1AEF48364B7}"/>
    <cellStyle name="40% - Accent2 2 2 4 2 2 2 2 2" xfId="40998" xr:uid="{FA312E46-933C-4014-8019-F330FDC19997}"/>
    <cellStyle name="40% - Accent2 2 2 4 2 2 2 3" xfId="40997" xr:uid="{45B0F6C7-AEC4-4462-AF20-AAE0C9C4DF49}"/>
    <cellStyle name="40% - Accent2 2 2 4 2 2 3" xfId="21443" xr:uid="{C95FEF79-5B95-4CE8-B992-5090C5E4D2BB}"/>
    <cellStyle name="40% - Accent2 2 2 4 2 2 3 2" xfId="40999" xr:uid="{D869098A-9542-4762-AB1A-B03C972D72D2}"/>
    <cellStyle name="40% - Accent2 2 2 4 2 2 4" xfId="40996" xr:uid="{7A292F2F-9220-469F-ABB2-BB3210766992}"/>
    <cellStyle name="40% - Accent2 2 2 4 2 3" xfId="10007" xr:uid="{3CA75C8C-1863-41B7-8FB8-51F77E7A0B0B}"/>
    <cellStyle name="40% - Accent2 2 2 4 2 3 2" xfId="25420" xr:uid="{0FCC661A-BE64-4D64-8C68-037791534E63}"/>
    <cellStyle name="40% - Accent2 2 2 4 2 3 2 2" xfId="41001" xr:uid="{8223E3BA-D318-48C4-B24D-A2B2254FBD3D}"/>
    <cellStyle name="40% - Accent2 2 2 4 2 3 3" xfId="41000" xr:uid="{5687AC19-19DB-4F74-8C3B-FF91BC6EFF18}"/>
    <cellStyle name="40% - Accent2 2 2 4 2 4" xfId="17715" xr:uid="{76A4E53C-1AD7-45FA-AF74-A9962CA2B4D6}"/>
    <cellStyle name="40% - Accent2 2 2 4 2 4 2" xfId="41002" xr:uid="{670ED4CC-6828-4042-97AB-F2A655F25749}"/>
    <cellStyle name="40% - Accent2 2 2 4 2 5" xfId="40995" xr:uid="{3FBE6177-A457-482D-82B7-BD4C56F794F6}"/>
    <cellStyle name="40% - Accent2 2 2 4 3" xfId="4556" xr:uid="{0635609E-03EF-4D92-B3D8-B5D766A32051}"/>
    <cellStyle name="40% - Accent2 2 2 4 3 2" xfId="12264" xr:uid="{30E4B270-F476-4DF0-817C-BF944256FED0}"/>
    <cellStyle name="40% - Accent2 2 2 4 3 2 2" xfId="27676" xr:uid="{A037A0AB-2302-455D-9053-B8112AA4B1C0}"/>
    <cellStyle name="40% - Accent2 2 2 4 3 2 2 2" xfId="41005" xr:uid="{16494DC8-C724-4668-899C-0E4C586A9FFD}"/>
    <cellStyle name="40% - Accent2 2 2 4 3 2 3" xfId="41004" xr:uid="{1A145409-B94D-4CCB-9DA9-61BA86203AC3}"/>
    <cellStyle name="40% - Accent2 2 2 4 3 3" xfId="19971" xr:uid="{DF9400A5-F12D-416B-AC90-F32E4373EF01}"/>
    <cellStyle name="40% - Accent2 2 2 4 3 3 2" xfId="41006" xr:uid="{66AB42B5-53A4-48BD-A950-26BBB288037E}"/>
    <cellStyle name="40% - Accent2 2 2 4 3 4" xfId="41003" xr:uid="{E81757FA-1917-4CAA-B8FF-33D7EEDDCD59}"/>
    <cellStyle name="40% - Accent2 2 2 4 4" xfId="8548" xr:uid="{B3E45457-8094-4995-9778-944E3BB222EE}"/>
    <cellStyle name="40% - Accent2 2 2 4 4 2" xfId="23961" xr:uid="{9AC145A6-4E56-4E44-A2CD-B9F569B25B8B}"/>
    <cellStyle name="40% - Accent2 2 2 4 4 2 2" xfId="41008" xr:uid="{593BE64F-812C-4308-A1C5-0E68EA506F68}"/>
    <cellStyle name="40% - Accent2 2 2 4 4 3" xfId="41007" xr:uid="{03939300-BC49-4E2C-B962-C4D924983225}"/>
    <cellStyle name="40% - Accent2 2 2 4 5" xfId="16256" xr:uid="{A7168A51-A587-4D2C-A6FE-E6F84646039E}"/>
    <cellStyle name="40% - Accent2 2 2 4 5 2" xfId="41009" xr:uid="{3BCD7427-741D-473B-A8A5-58B65A8BF530}"/>
    <cellStyle name="40% - Accent2 2 2 4 6" xfId="40994" xr:uid="{C5339767-4A5C-403B-8E81-C156B0F15E3C}"/>
    <cellStyle name="40% - Accent2 2 2 5" xfId="1657" xr:uid="{71D2AE1C-7385-4BDE-9207-9F5018735FA7}"/>
    <cellStyle name="40% - Accent2 2 2 5 2" xfId="5389" xr:uid="{18472E32-A9B7-4DDB-82E0-7E7B489A76BB}"/>
    <cellStyle name="40% - Accent2 2 2 5 2 2" xfId="13097" xr:uid="{74C7ADDA-E207-4A10-BC9C-2F6DCB452E32}"/>
    <cellStyle name="40% - Accent2 2 2 5 2 2 2" xfId="28509" xr:uid="{22EBDDCD-499E-497E-878E-B7C3FBF2DF53}"/>
    <cellStyle name="40% - Accent2 2 2 5 2 2 2 2" xfId="41013" xr:uid="{D0FBF326-DF51-4E1D-A2E3-09FDE0E989D9}"/>
    <cellStyle name="40% - Accent2 2 2 5 2 2 3" xfId="41012" xr:uid="{F9220389-1AD6-443B-B850-CB016D4817CE}"/>
    <cellStyle name="40% - Accent2 2 2 5 2 3" xfId="20804" xr:uid="{8264A975-26EE-466B-AF3D-BFC5B678CAFA}"/>
    <cellStyle name="40% - Accent2 2 2 5 2 3 2" xfId="41014" xr:uid="{EAE7F44A-CB99-4BEE-8A7D-F6B805354ABB}"/>
    <cellStyle name="40% - Accent2 2 2 5 2 4" xfId="41011" xr:uid="{74E2E0F9-E534-46BA-B392-A06951761843}"/>
    <cellStyle name="40% - Accent2 2 2 5 3" xfId="9369" xr:uid="{5C99F3DF-CA54-4B1C-B6CA-E9300AAC64EF}"/>
    <cellStyle name="40% - Accent2 2 2 5 3 2" xfId="24782" xr:uid="{607CDB41-A953-47AA-A715-8E3BB51F5B20}"/>
    <cellStyle name="40% - Accent2 2 2 5 3 2 2" xfId="41016" xr:uid="{09DE8D02-3D08-4394-AD45-C3741C4FD652}"/>
    <cellStyle name="40% - Accent2 2 2 5 3 3" xfId="41015" xr:uid="{C5FB2380-C3DA-4BF4-949A-6155DC9A8088}"/>
    <cellStyle name="40% - Accent2 2 2 5 4" xfId="17077" xr:uid="{EDF4DCC6-8B54-48BF-9DC1-B44A67AAAAA6}"/>
    <cellStyle name="40% - Accent2 2 2 5 4 2" xfId="41017" xr:uid="{F35DBFA8-69A9-4DC0-8DA1-F5A1F4951D5C}"/>
    <cellStyle name="40% - Accent2 2 2 5 5" xfId="41010" xr:uid="{12859E2F-4B5C-4D78-ADB1-101A618B6467}"/>
    <cellStyle name="40% - Accent2 2 2 6" xfId="3904" xr:uid="{943F8D30-DEC3-48A6-8499-07FB12025837}"/>
    <cellStyle name="40% - Accent2 2 2 6 2" xfId="11612" xr:uid="{4AB5523F-F204-4723-8634-C8150A04DAA1}"/>
    <cellStyle name="40% - Accent2 2 2 6 2 2" xfId="27024" xr:uid="{D5A6D85D-4FEC-42F8-BC28-4F40BB8C4EBD}"/>
    <cellStyle name="40% - Accent2 2 2 6 2 2 2" xfId="41020" xr:uid="{09CBCF81-7401-447F-A081-0C11504952C1}"/>
    <cellStyle name="40% - Accent2 2 2 6 2 3" xfId="41019" xr:uid="{FFCA88AE-FDCB-47F7-A9DB-6DEC89ECD9C4}"/>
    <cellStyle name="40% - Accent2 2 2 6 3" xfId="19319" xr:uid="{703CCCD1-23A1-41D9-8880-51B5CABFCF0E}"/>
    <cellStyle name="40% - Accent2 2 2 6 3 2" xfId="41021" xr:uid="{F098D407-27A3-4F93-95BA-B3E7916E72D2}"/>
    <cellStyle name="40% - Accent2 2 2 6 4" xfId="41018" xr:uid="{455BE8AE-C79A-4C5A-91C4-CF70A71C825D}"/>
    <cellStyle name="40% - Accent2 2 2 7" xfId="7892" xr:uid="{A0EF0AF9-2F66-4124-9977-BDF73A9FC383}"/>
    <cellStyle name="40% - Accent2 2 2 7 2" xfId="23305" xr:uid="{AFFC81C0-3E82-41DD-8604-6EDAB6935B29}"/>
    <cellStyle name="40% - Accent2 2 2 7 2 2" xfId="41023" xr:uid="{49878C16-31D7-4738-97CF-29FB442CE8C9}"/>
    <cellStyle name="40% - Accent2 2 2 7 3" xfId="41022" xr:uid="{400FBF5A-3546-4B70-AA22-47AD0971AD80}"/>
    <cellStyle name="40% - Accent2 2 2 8" xfId="15600" xr:uid="{9D396ED4-FED8-4CFC-939C-6EDA07E132A6}"/>
    <cellStyle name="40% - Accent2 2 2 8 2" xfId="41024" xr:uid="{55CEDEF0-63CE-4112-A954-E0425050AA6B}"/>
    <cellStyle name="40% - Accent2 2 2 9" xfId="40897" xr:uid="{9CF20AC0-816E-4DA8-A74F-D5A02E34B8D0}"/>
    <cellStyle name="40% - Accent2 2 3" xfId="190" xr:uid="{67870888-F9C9-48E0-931C-6949DE417E01}"/>
    <cellStyle name="40% - Accent2 2 3 2" xfId="399" xr:uid="{8CEDBB53-76E4-4997-977A-590FD2797EEE}"/>
    <cellStyle name="40% - Accent2 2 3 2 2" xfId="1061" xr:uid="{E4E07622-1251-4491-8343-5FF871ED49C7}"/>
    <cellStyle name="40% - Accent2 2 3 2 2 2" xfId="2529" xr:uid="{07FC4DE0-420D-488D-806F-21046F312052}"/>
    <cellStyle name="40% - Accent2 2 3 2 2 2 2" xfId="6261" xr:uid="{E322BACF-9786-4EDA-B753-26EE6FF8A1CA}"/>
    <cellStyle name="40% - Accent2 2 3 2 2 2 2 2" xfId="13969" xr:uid="{0F19CF83-8E25-435E-94FB-355FA0DA58FF}"/>
    <cellStyle name="40% - Accent2 2 3 2 2 2 2 2 2" xfId="29381" xr:uid="{368A301E-A808-4C1F-8F5D-A917B504F8FA}"/>
    <cellStyle name="40% - Accent2 2 3 2 2 2 2 2 2 2" xfId="41031" xr:uid="{10FA916E-1122-4431-85EC-4F0BA057FF15}"/>
    <cellStyle name="40% - Accent2 2 3 2 2 2 2 2 3" xfId="41030" xr:uid="{2B2E1FE1-5BAF-4932-AA61-0BEF751A1681}"/>
    <cellStyle name="40% - Accent2 2 3 2 2 2 2 3" xfId="21676" xr:uid="{DE5AD7F8-4EF5-4167-8596-4ACA3892AB6E}"/>
    <cellStyle name="40% - Accent2 2 3 2 2 2 2 3 2" xfId="41032" xr:uid="{B85ACFC0-4150-4441-B0FE-DAB891A420C1}"/>
    <cellStyle name="40% - Accent2 2 3 2 2 2 2 4" xfId="41029" xr:uid="{AE8B8662-D14E-4082-8AE5-19868A11FFC4}"/>
    <cellStyle name="40% - Accent2 2 3 2 2 2 3" xfId="10240" xr:uid="{428B6E38-1013-4742-AD92-0B7F5DF47F12}"/>
    <cellStyle name="40% - Accent2 2 3 2 2 2 3 2" xfId="25653" xr:uid="{7AAC32B7-6CCB-4062-8608-BDEE31BBC324}"/>
    <cellStyle name="40% - Accent2 2 3 2 2 2 3 2 2" xfId="41034" xr:uid="{9DD676E3-FC37-4E24-909B-6F38F315E5E6}"/>
    <cellStyle name="40% - Accent2 2 3 2 2 2 3 3" xfId="41033" xr:uid="{499ECC55-0979-4EBD-85BB-EDB0E1ACB045}"/>
    <cellStyle name="40% - Accent2 2 3 2 2 2 4" xfId="17948" xr:uid="{47EC59EB-BD58-419C-9C17-2DFF5907DECB}"/>
    <cellStyle name="40% - Accent2 2 3 2 2 2 4 2" xfId="41035" xr:uid="{72E753D2-F789-4A97-9CDA-D5F17119B73B}"/>
    <cellStyle name="40% - Accent2 2 3 2 2 2 5" xfId="41028" xr:uid="{3C709301-B488-4394-952D-BA7D88AD6B0A}"/>
    <cellStyle name="40% - Accent2 2 3 2 2 3" xfId="4798" xr:uid="{8A081434-9239-4F8F-B992-DD0DE25C21BE}"/>
    <cellStyle name="40% - Accent2 2 3 2 2 3 2" xfId="12506" xr:uid="{7B142E2C-D5ED-4A95-911A-CF5EFDCA99CB}"/>
    <cellStyle name="40% - Accent2 2 3 2 2 3 2 2" xfId="27918" xr:uid="{B0DF9FE3-9BC8-492D-87CC-0DB930ED6C04}"/>
    <cellStyle name="40% - Accent2 2 3 2 2 3 2 2 2" xfId="41038" xr:uid="{CC2C0B96-A185-4815-9209-6D8728552EC1}"/>
    <cellStyle name="40% - Accent2 2 3 2 2 3 2 3" xfId="41037" xr:uid="{09AEE79E-1A28-4974-BDDC-097ACC6FF73B}"/>
    <cellStyle name="40% - Accent2 2 3 2 2 3 3" xfId="20213" xr:uid="{25AC6E52-5AEB-44F1-9BF6-4B6D345458FD}"/>
    <cellStyle name="40% - Accent2 2 3 2 2 3 3 2" xfId="41039" xr:uid="{71362706-040F-4143-9CFD-6C267DB35F1A}"/>
    <cellStyle name="40% - Accent2 2 3 2 2 3 4" xfId="41036" xr:uid="{46911651-2927-452A-A932-4E7298AAC515}"/>
    <cellStyle name="40% - Accent2 2 3 2 2 4" xfId="8781" xr:uid="{9A2584C2-C564-480C-838B-9F96CA67DB13}"/>
    <cellStyle name="40% - Accent2 2 3 2 2 4 2" xfId="24194" xr:uid="{8DEF96D5-EBFE-4155-8D4E-392AAD740584}"/>
    <cellStyle name="40% - Accent2 2 3 2 2 4 2 2" xfId="41041" xr:uid="{6F5BCD8A-D73B-4BD5-9591-A335A00D7FF5}"/>
    <cellStyle name="40% - Accent2 2 3 2 2 4 3" xfId="41040" xr:uid="{51CFF0AE-4FF0-44D4-A271-D0C4B3D118DB}"/>
    <cellStyle name="40% - Accent2 2 3 2 2 5" xfId="16489" xr:uid="{0C676468-D8AD-4820-A2A8-F6C29A5E50BA}"/>
    <cellStyle name="40% - Accent2 2 3 2 2 5 2" xfId="41042" xr:uid="{710DD6E7-A9A5-4840-9782-490489F9DB72}"/>
    <cellStyle name="40% - Accent2 2 3 2 2 6" xfId="41027" xr:uid="{8669E231-B872-473E-8CA9-C4A113318EC3}"/>
    <cellStyle name="40% - Accent2 2 3 2 3" xfId="1891" xr:uid="{671D2EC8-EF41-4185-96A2-7A1F7C3D4A8A}"/>
    <cellStyle name="40% - Accent2 2 3 2 3 2" xfId="5623" xr:uid="{4EBBEC6D-C660-47FF-95DC-FAD26EEB3380}"/>
    <cellStyle name="40% - Accent2 2 3 2 3 2 2" xfId="13331" xr:uid="{6E12E207-D598-4B05-8F9A-E85AD48B9DF6}"/>
    <cellStyle name="40% - Accent2 2 3 2 3 2 2 2" xfId="28743" xr:uid="{8B241CCA-E6FD-445F-B1C4-45DF892DE2DE}"/>
    <cellStyle name="40% - Accent2 2 3 2 3 2 2 2 2" xfId="41046" xr:uid="{64F61962-F696-4F0B-ABE0-48F2F3B591D4}"/>
    <cellStyle name="40% - Accent2 2 3 2 3 2 2 3" xfId="41045" xr:uid="{1E5E5D7E-0D8F-4537-AF7A-6E8BE4B05C56}"/>
    <cellStyle name="40% - Accent2 2 3 2 3 2 3" xfId="21038" xr:uid="{BFD054CA-6C86-4FAD-B26C-49D270E125AB}"/>
    <cellStyle name="40% - Accent2 2 3 2 3 2 3 2" xfId="41047" xr:uid="{8D0D7F8C-9FAB-4882-AEA2-0A39CF88786F}"/>
    <cellStyle name="40% - Accent2 2 3 2 3 2 4" xfId="41044" xr:uid="{85BD019A-E732-4171-B109-C2E71CFD16C3}"/>
    <cellStyle name="40% - Accent2 2 3 2 3 3" xfId="9602" xr:uid="{A6F06016-4F60-4F33-A25F-529F04E1365B}"/>
    <cellStyle name="40% - Accent2 2 3 2 3 3 2" xfId="25015" xr:uid="{86C555CD-6AD0-4539-B28A-4F8A7B7884A9}"/>
    <cellStyle name="40% - Accent2 2 3 2 3 3 2 2" xfId="41049" xr:uid="{CCB665D3-0764-4568-ACEA-3C6A4F61C9F6}"/>
    <cellStyle name="40% - Accent2 2 3 2 3 3 3" xfId="41048" xr:uid="{1EBD6A82-A958-4F06-8204-A517387BA24D}"/>
    <cellStyle name="40% - Accent2 2 3 2 3 4" xfId="17310" xr:uid="{BE9FBA60-6512-4155-B41F-DB6532F764DC}"/>
    <cellStyle name="40% - Accent2 2 3 2 3 4 2" xfId="41050" xr:uid="{9420ED83-194B-4C3B-8E61-B7A0D9E6E48A}"/>
    <cellStyle name="40% - Accent2 2 3 2 3 5" xfId="41043" xr:uid="{374D3053-B721-4C23-A79F-8697E9E9535A}"/>
    <cellStyle name="40% - Accent2 2 3 2 4" xfId="4146" xr:uid="{20062042-6EB7-4661-A1F9-7B415B76AEB5}"/>
    <cellStyle name="40% - Accent2 2 3 2 4 2" xfId="11854" xr:uid="{75A1D6D5-C38C-4610-9133-DDE26E24FD3E}"/>
    <cellStyle name="40% - Accent2 2 3 2 4 2 2" xfId="27266" xr:uid="{CD44398F-C95A-4E30-90D2-95AD031183BA}"/>
    <cellStyle name="40% - Accent2 2 3 2 4 2 2 2" xfId="41053" xr:uid="{866B8E05-9652-4170-BD75-79AD43BF5456}"/>
    <cellStyle name="40% - Accent2 2 3 2 4 2 3" xfId="41052" xr:uid="{B09444A4-6F00-4170-9148-DF7F15BCE460}"/>
    <cellStyle name="40% - Accent2 2 3 2 4 3" xfId="19561" xr:uid="{FE9B5A1C-F2F3-474F-91B8-D43DAC706738}"/>
    <cellStyle name="40% - Accent2 2 3 2 4 3 2" xfId="41054" xr:uid="{2199119F-F9E5-4A6E-ABFC-BED6208DBE58}"/>
    <cellStyle name="40% - Accent2 2 3 2 4 4" xfId="41051" xr:uid="{9FF973F6-3D45-40CD-AB02-FBEFAF4A3568}"/>
    <cellStyle name="40% - Accent2 2 3 2 5" xfId="8143" xr:uid="{10017801-7FA8-42DB-80D6-799E54E5C7E7}"/>
    <cellStyle name="40% - Accent2 2 3 2 5 2" xfId="23556" xr:uid="{AF9C4FC9-8B91-4B8B-A8A8-8CE9028C9FBC}"/>
    <cellStyle name="40% - Accent2 2 3 2 5 2 2" xfId="41056" xr:uid="{3D573B85-C8E5-49F8-9FC8-86AE944B6F27}"/>
    <cellStyle name="40% - Accent2 2 3 2 5 3" xfId="41055" xr:uid="{C6D5A97F-7D26-4AFE-98DB-45246D7F3862}"/>
    <cellStyle name="40% - Accent2 2 3 2 6" xfId="15851" xr:uid="{60642A09-B697-4B5E-9541-A5E9656FE953}"/>
    <cellStyle name="40% - Accent2 2 3 2 6 2" xfId="41057" xr:uid="{14951C2F-4B3D-4D09-85F3-C104E92F468F}"/>
    <cellStyle name="40% - Accent2 2 3 2 7" xfId="41026" xr:uid="{0556F56D-B01C-4E4D-B810-17EEC2865FD3}"/>
    <cellStyle name="40% - Accent2 2 3 3" xfId="856" xr:uid="{D0D9270B-75CF-45CA-8049-AB80E83E069D}"/>
    <cellStyle name="40% - Accent2 2 3 3 2" xfId="2331" xr:uid="{9A77A17F-1162-4D69-84CB-74945DA44A59}"/>
    <cellStyle name="40% - Accent2 2 3 3 2 2" xfId="6063" xr:uid="{AD4E89B1-8FEE-411C-9B3B-05CEC2D28DAE}"/>
    <cellStyle name="40% - Accent2 2 3 3 2 2 2" xfId="13771" xr:uid="{61EBFF3D-0E98-4CDF-8008-A4CC84A4344B}"/>
    <cellStyle name="40% - Accent2 2 3 3 2 2 2 2" xfId="29183" xr:uid="{6E73F7EF-C3CB-4659-94B9-657E6C3B2652}"/>
    <cellStyle name="40% - Accent2 2 3 3 2 2 2 2 2" xfId="41062" xr:uid="{F0FB71B3-20B3-4089-9D66-461036B7E4D6}"/>
    <cellStyle name="40% - Accent2 2 3 3 2 2 2 3" xfId="41061" xr:uid="{30C8FBEF-DAB2-4B44-A74D-11B6AAAB286A}"/>
    <cellStyle name="40% - Accent2 2 3 3 2 2 3" xfId="21478" xr:uid="{BEDC4194-38DA-4817-80F8-255BA87A4E12}"/>
    <cellStyle name="40% - Accent2 2 3 3 2 2 3 2" xfId="41063" xr:uid="{1B5B0953-281B-4459-8200-825D82C7B390}"/>
    <cellStyle name="40% - Accent2 2 3 3 2 2 4" xfId="41060" xr:uid="{FCED3EF3-B726-42B6-9979-3B3E241F481D}"/>
    <cellStyle name="40% - Accent2 2 3 3 2 3" xfId="10042" xr:uid="{0E1BE1AD-875E-4EA3-987F-AD2E2631B5B3}"/>
    <cellStyle name="40% - Accent2 2 3 3 2 3 2" xfId="25455" xr:uid="{F7646FB3-3B02-42C3-BEF7-A9A9AFC693B9}"/>
    <cellStyle name="40% - Accent2 2 3 3 2 3 2 2" xfId="41065" xr:uid="{5A774388-DA16-4259-8B45-358181420327}"/>
    <cellStyle name="40% - Accent2 2 3 3 2 3 3" xfId="41064" xr:uid="{40A041D8-909A-441B-9BB4-A66552C3955B}"/>
    <cellStyle name="40% - Accent2 2 3 3 2 4" xfId="17750" xr:uid="{30839E3A-25E6-4AC7-8475-E6BA6CA1007C}"/>
    <cellStyle name="40% - Accent2 2 3 3 2 4 2" xfId="41066" xr:uid="{AF28710A-2C65-4A0B-9A02-91C09C5BA2CA}"/>
    <cellStyle name="40% - Accent2 2 3 3 2 5" xfId="41059" xr:uid="{67EF4298-B143-4EF5-8D17-EC2C5C6117B1}"/>
    <cellStyle name="40% - Accent2 2 3 3 3" xfId="4593" xr:uid="{55D148A1-E7B1-4099-AE90-969D938D2CBF}"/>
    <cellStyle name="40% - Accent2 2 3 3 3 2" xfId="12301" xr:uid="{07CC90A5-CE0A-46ED-98E3-ECB7BFEF1394}"/>
    <cellStyle name="40% - Accent2 2 3 3 3 2 2" xfId="27713" xr:uid="{DE26747F-99B4-4A24-BEB0-6E02D877BA12}"/>
    <cellStyle name="40% - Accent2 2 3 3 3 2 2 2" xfId="41069" xr:uid="{3C0EF85E-7289-436E-9350-06FDA66DE3A1}"/>
    <cellStyle name="40% - Accent2 2 3 3 3 2 3" xfId="41068" xr:uid="{A152B42F-4D79-4CF2-8C97-D67E83B1B0BB}"/>
    <cellStyle name="40% - Accent2 2 3 3 3 3" xfId="20008" xr:uid="{502F5583-B269-4CEC-8184-071ED8E145BC}"/>
    <cellStyle name="40% - Accent2 2 3 3 3 3 2" xfId="41070" xr:uid="{77BFC960-DDA7-4E60-8021-893839155BFD}"/>
    <cellStyle name="40% - Accent2 2 3 3 3 4" xfId="41067" xr:uid="{DCD7283C-24C2-48D8-A882-4D75137328B2}"/>
    <cellStyle name="40% - Accent2 2 3 3 4" xfId="8583" xr:uid="{1A1ECC99-CD39-438E-A7A6-83C3B185A3AB}"/>
    <cellStyle name="40% - Accent2 2 3 3 4 2" xfId="23996" xr:uid="{A1C814A8-0784-4B64-B50D-B2D4451CB33C}"/>
    <cellStyle name="40% - Accent2 2 3 3 4 2 2" xfId="41072" xr:uid="{4284DD75-023F-44EB-80EE-B0596AE19E57}"/>
    <cellStyle name="40% - Accent2 2 3 3 4 3" xfId="41071" xr:uid="{1EF31288-A4E9-44C3-A0C3-755396B8BE93}"/>
    <cellStyle name="40% - Accent2 2 3 3 5" xfId="16291" xr:uid="{2A7C0A0D-2E6B-4147-9242-57A7CFACFB4A}"/>
    <cellStyle name="40% - Accent2 2 3 3 5 2" xfId="41073" xr:uid="{C7405EBA-CA23-4008-95A6-4AF6EEB2FBC8}"/>
    <cellStyle name="40% - Accent2 2 3 3 6" xfId="41058" xr:uid="{E0F68253-7B74-42D1-8480-FB65CAB22282}"/>
    <cellStyle name="40% - Accent2 2 3 4" xfId="1693" xr:uid="{E3F3D7A1-F577-4CFE-B5B2-61AC5BE6B29F}"/>
    <cellStyle name="40% - Accent2 2 3 4 2" xfId="5425" xr:uid="{DCF27309-42B9-4108-B4F5-6B9D1FBF9579}"/>
    <cellStyle name="40% - Accent2 2 3 4 2 2" xfId="13133" xr:uid="{916E1CA2-805B-4F3B-8820-8C4496F0F882}"/>
    <cellStyle name="40% - Accent2 2 3 4 2 2 2" xfId="28545" xr:uid="{04B79EB9-DB25-4A2A-A41D-EAD9EA0DB2C7}"/>
    <cellStyle name="40% - Accent2 2 3 4 2 2 2 2" xfId="41077" xr:uid="{CF23F45D-69D7-4F27-AF34-1B3CE4428496}"/>
    <cellStyle name="40% - Accent2 2 3 4 2 2 3" xfId="41076" xr:uid="{A42894D6-4678-4673-BC7B-BF025901BDB5}"/>
    <cellStyle name="40% - Accent2 2 3 4 2 3" xfId="20840" xr:uid="{F8C8953F-2591-4F2F-8572-DA624ABB0541}"/>
    <cellStyle name="40% - Accent2 2 3 4 2 3 2" xfId="41078" xr:uid="{CAB1898F-CE1B-4917-8495-F6A9E932F48E}"/>
    <cellStyle name="40% - Accent2 2 3 4 2 4" xfId="41075" xr:uid="{7195AB9F-0B7C-4786-800E-228EFE5C3AC0}"/>
    <cellStyle name="40% - Accent2 2 3 4 3" xfId="9404" xr:uid="{893E662C-7314-4CB0-858C-E6E28322E660}"/>
    <cellStyle name="40% - Accent2 2 3 4 3 2" xfId="24817" xr:uid="{D9605C35-F767-4E3D-8927-3F408510E650}"/>
    <cellStyle name="40% - Accent2 2 3 4 3 2 2" xfId="41080" xr:uid="{6B9CE282-BE16-4453-B588-A77DEF92D5A6}"/>
    <cellStyle name="40% - Accent2 2 3 4 3 3" xfId="41079" xr:uid="{1FBF7569-98E5-4714-977D-5DE5C22B788A}"/>
    <cellStyle name="40% - Accent2 2 3 4 4" xfId="17112" xr:uid="{08F1F5EF-3D96-4598-8100-F8A91C69E253}"/>
    <cellStyle name="40% - Accent2 2 3 4 4 2" xfId="41081" xr:uid="{D719FF61-520F-4F46-AE54-6A3B80F6314F}"/>
    <cellStyle name="40% - Accent2 2 3 4 5" xfId="41074" xr:uid="{07B684EB-7743-406A-B774-1E8984EB79B5}"/>
    <cellStyle name="40% - Accent2 2 3 5" xfId="3941" xr:uid="{BBDA3C5B-C350-41A5-93A3-CA6EF343DEFB}"/>
    <cellStyle name="40% - Accent2 2 3 5 2" xfId="11649" xr:uid="{0754CA69-2F34-4A20-A908-DD30DF923E6B}"/>
    <cellStyle name="40% - Accent2 2 3 5 2 2" xfId="27061" xr:uid="{2DE9FB9D-4CD7-424D-AAF9-9B64F0C2AA34}"/>
    <cellStyle name="40% - Accent2 2 3 5 2 2 2" xfId="41084" xr:uid="{3BEBF5DC-7EB9-464F-84C4-D7ECC4796B6E}"/>
    <cellStyle name="40% - Accent2 2 3 5 2 3" xfId="41083" xr:uid="{A9D26669-17FE-486D-A9A7-A9CCB5EBBFD5}"/>
    <cellStyle name="40% - Accent2 2 3 5 3" xfId="19356" xr:uid="{8180D808-ABE6-4762-9DB9-140953F65F4E}"/>
    <cellStyle name="40% - Accent2 2 3 5 3 2" xfId="41085" xr:uid="{3DFA3FFB-C2DA-47CB-8D5D-F9889E3E6B7E}"/>
    <cellStyle name="40% - Accent2 2 3 5 4" xfId="41082" xr:uid="{98D74F0F-C2B0-4F56-A279-F37EC5F4C37E}"/>
    <cellStyle name="40% - Accent2 2 3 6" xfId="7945" xr:uid="{57F1251F-F9B4-43F9-9CE7-40CA7912131F}"/>
    <cellStyle name="40% - Accent2 2 3 6 2" xfId="23358" xr:uid="{C7319CCA-5793-4FC9-9FA2-16E59ACD224B}"/>
    <cellStyle name="40% - Accent2 2 3 6 2 2" xfId="41087" xr:uid="{A2C5C9E8-009E-4424-AF01-3A8270EAC09B}"/>
    <cellStyle name="40% - Accent2 2 3 6 3" xfId="41086" xr:uid="{D9ED7706-40C6-4CEA-BA97-A3DFD37018F6}"/>
    <cellStyle name="40% - Accent2 2 3 7" xfId="15653" xr:uid="{862CFC52-7824-4EDE-A0E2-3F5F927FCC28}"/>
    <cellStyle name="40% - Accent2 2 3 7 2" xfId="41088" xr:uid="{F26C0883-CC7C-48D5-B16A-96E3E715DCBA}"/>
    <cellStyle name="40% - Accent2 2 3 8" xfId="41025" xr:uid="{5224FE39-48FA-4C75-A495-5AD625C3F940}"/>
    <cellStyle name="40% - Accent2 2 4" xfId="346" xr:uid="{A96F8FA5-7195-42F3-98BB-83C76625C5A1}"/>
    <cellStyle name="40% - Accent2 2 4 2" xfId="1009" xr:uid="{551AB465-F9F4-4353-ADC0-A6C690689CA3}"/>
    <cellStyle name="40% - Accent2 2 4 2 2" xfId="2479" xr:uid="{C4A4780E-3B54-4BEA-8C37-09A5EB13566C}"/>
    <cellStyle name="40% - Accent2 2 4 2 2 2" xfId="6211" xr:uid="{BA4370CA-DBA9-446D-9120-13DF50DA1C2F}"/>
    <cellStyle name="40% - Accent2 2 4 2 2 2 2" xfId="13919" xr:uid="{D0276E06-4429-4CD6-938E-2DA459C3CB1C}"/>
    <cellStyle name="40% - Accent2 2 4 2 2 2 2 2" xfId="29331" xr:uid="{0BC9A45D-B557-4DFF-88D2-74C221EE02E7}"/>
    <cellStyle name="40% - Accent2 2 4 2 2 2 2 2 2" xfId="41094" xr:uid="{17F3AE57-FA46-420E-A95A-C62EA5BEC48F}"/>
    <cellStyle name="40% - Accent2 2 4 2 2 2 2 3" xfId="41093" xr:uid="{08148C3B-73DC-4CBE-859B-CF0CF8D3377B}"/>
    <cellStyle name="40% - Accent2 2 4 2 2 2 3" xfId="21626" xr:uid="{9C53CB32-71CE-4547-A0A4-9278A5320661}"/>
    <cellStyle name="40% - Accent2 2 4 2 2 2 3 2" xfId="41095" xr:uid="{558BA4B1-C800-4223-991E-5EC0173D14E8}"/>
    <cellStyle name="40% - Accent2 2 4 2 2 2 4" xfId="41092" xr:uid="{64583497-7CE5-4F0A-8E5B-CBF41D4D954D}"/>
    <cellStyle name="40% - Accent2 2 4 2 2 3" xfId="10190" xr:uid="{946D7B1B-9EF8-445E-ADC5-AB62039CDA19}"/>
    <cellStyle name="40% - Accent2 2 4 2 2 3 2" xfId="25603" xr:uid="{DFF16950-39A0-4C74-AD25-01B2027E77CB}"/>
    <cellStyle name="40% - Accent2 2 4 2 2 3 2 2" xfId="41097" xr:uid="{C869A86E-4F28-4250-A2FB-E12F455A9FD7}"/>
    <cellStyle name="40% - Accent2 2 4 2 2 3 3" xfId="41096" xr:uid="{8E1CD807-4733-474A-AB5E-FF5FE27B3D85}"/>
    <cellStyle name="40% - Accent2 2 4 2 2 4" xfId="17898" xr:uid="{C9F9876D-1B4C-470D-B3F0-EAC05EBD1F8E}"/>
    <cellStyle name="40% - Accent2 2 4 2 2 4 2" xfId="41098" xr:uid="{615B7B2E-F7C1-492B-9D93-2239DC951CF4}"/>
    <cellStyle name="40% - Accent2 2 4 2 2 5" xfId="41091" xr:uid="{6C18365B-F3A6-459B-9050-38691EB6D00A}"/>
    <cellStyle name="40% - Accent2 2 4 2 3" xfId="4746" xr:uid="{D566FDEB-FA00-4F0B-97AE-A0482AFD70ED}"/>
    <cellStyle name="40% - Accent2 2 4 2 3 2" xfId="12454" xr:uid="{07F6F201-107A-4E7C-A0E3-E374CF0C51D3}"/>
    <cellStyle name="40% - Accent2 2 4 2 3 2 2" xfId="27866" xr:uid="{9E444784-7662-40B2-8C2B-CB81627C12E1}"/>
    <cellStyle name="40% - Accent2 2 4 2 3 2 2 2" xfId="41101" xr:uid="{9CDF2BE3-DDC5-4AEA-B910-E9D20988EF86}"/>
    <cellStyle name="40% - Accent2 2 4 2 3 2 3" xfId="41100" xr:uid="{133D9612-08E9-4575-8BC5-E1130B00D43B}"/>
    <cellStyle name="40% - Accent2 2 4 2 3 3" xfId="20161" xr:uid="{1C47F65A-AC7B-4A0B-A427-F0F55EDDE14B}"/>
    <cellStyle name="40% - Accent2 2 4 2 3 3 2" xfId="41102" xr:uid="{CA061D3A-7B0F-4074-9535-A6D992ADE1F9}"/>
    <cellStyle name="40% - Accent2 2 4 2 3 4" xfId="41099" xr:uid="{834C21C1-FD76-45CF-8876-C2D0C3ED7F31}"/>
    <cellStyle name="40% - Accent2 2 4 2 4" xfId="8731" xr:uid="{6D5B0CD1-4FAF-4BCB-98ED-44975EB6C4E7}"/>
    <cellStyle name="40% - Accent2 2 4 2 4 2" xfId="24144" xr:uid="{ADF5FF64-97A9-41C8-BBBB-3B1EA4E59ED2}"/>
    <cellStyle name="40% - Accent2 2 4 2 4 2 2" xfId="41104" xr:uid="{731DDF88-E812-4798-B680-D1A9C7388923}"/>
    <cellStyle name="40% - Accent2 2 4 2 4 3" xfId="41103" xr:uid="{141055DD-0DFF-40DC-867C-E48B50F6FD62}"/>
    <cellStyle name="40% - Accent2 2 4 2 5" xfId="16439" xr:uid="{85D8A5BE-C673-48C2-9E5C-F880CE228473}"/>
    <cellStyle name="40% - Accent2 2 4 2 5 2" xfId="41105" xr:uid="{8FD2A7E4-2638-40C2-8FBB-F3074E614C1B}"/>
    <cellStyle name="40% - Accent2 2 4 2 6" xfId="41090" xr:uid="{5AA906C7-087A-4CCD-A535-7F7F1E3D18FD}"/>
    <cellStyle name="40% - Accent2 2 4 3" xfId="1841" xr:uid="{AA1F415C-5B72-43C3-833D-68860E6C47DC}"/>
    <cellStyle name="40% - Accent2 2 4 3 2" xfId="5573" xr:uid="{08FB6E56-5D94-44E0-9B78-254B366EC2CB}"/>
    <cellStyle name="40% - Accent2 2 4 3 2 2" xfId="13281" xr:uid="{569F31B1-21F6-4A26-BE42-BEB305220A1E}"/>
    <cellStyle name="40% - Accent2 2 4 3 2 2 2" xfId="28693" xr:uid="{237C1F6F-D4AA-408C-AB1E-26710B9CFE7D}"/>
    <cellStyle name="40% - Accent2 2 4 3 2 2 2 2" xfId="41109" xr:uid="{8C2315D6-C95B-4135-A7DB-7D6586A09391}"/>
    <cellStyle name="40% - Accent2 2 4 3 2 2 3" xfId="41108" xr:uid="{827F8594-6277-4E4F-81DA-42DB6E0249CC}"/>
    <cellStyle name="40% - Accent2 2 4 3 2 3" xfId="20988" xr:uid="{F8D5538B-1F76-4C9B-9775-AB00E506AA0C}"/>
    <cellStyle name="40% - Accent2 2 4 3 2 3 2" xfId="41110" xr:uid="{F3980F5B-DFB7-4DCA-88F9-02FFCCD13EB1}"/>
    <cellStyle name="40% - Accent2 2 4 3 2 4" xfId="41107" xr:uid="{8CA5400F-EC01-430A-BBA7-FCD1FA458D71}"/>
    <cellStyle name="40% - Accent2 2 4 3 3" xfId="9552" xr:uid="{1563ADEE-0407-4A93-9B26-D9DD74FF4A54}"/>
    <cellStyle name="40% - Accent2 2 4 3 3 2" xfId="24965" xr:uid="{57A9D65A-E4D5-4C11-9757-1A4E661E3899}"/>
    <cellStyle name="40% - Accent2 2 4 3 3 2 2" xfId="41112" xr:uid="{2C4BA7BD-995B-48BD-815B-3DA342019266}"/>
    <cellStyle name="40% - Accent2 2 4 3 3 3" xfId="41111" xr:uid="{BF7F173D-8CCD-4BE4-BE17-E13132C40AB7}"/>
    <cellStyle name="40% - Accent2 2 4 3 4" xfId="17260" xr:uid="{2E025B84-DEAC-4A7C-8159-25442CB2E0FF}"/>
    <cellStyle name="40% - Accent2 2 4 3 4 2" xfId="41113" xr:uid="{9D35056E-42B5-4A97-BB2F-A4C2846DD740}"/>
    <cellStyle name="40% - Accent2 2 4 3 5" xfId="41106" xr:uid="{6C8F17F2-3BFC-4EC3-AF5E-7CAFEB50EDED}"/>
    <cellStyle name="40% - Accent2 2 4 4" xfId="4094" xr:uid="{3EBD0313-56EA-498E-A5B6-8458CB9281A5}"/>
    <cellStyle name="40% - Accent2 2 4 4 2" xfId="11802" xr:uid="{5E024AD0-FDDC-4377-9DCC-3D9F7E96FEF5}"/>
    <cellStyle name="40% - Accent2 2 4 4 2 2" xfId="27214" xr:uid="{1A870C22-A3D1-4761-ACF4-85F88CD46E47}"/>
    <cellStyle name="40% - Accent2 2 4 4 2 2 2" xfId="41116" xr:uid="{E55242C4-53F7-431D-BD6E-19BE76A7D69A}"/>
    <cellStyle name="40% - Accent2 2 4 4 2 3" xfId="41115" xr:uid="{537AB6EF-44E4-4495-8A36-11C730CC7EB7}"/>
    <cellStyle name="40% - Accent2 2 4 4 3" xfId="19509" xr:uid="{D032825A-9BDC-44C1-99B4-518A9F7F39A4}"/>
    <cellStyle name="40% - Accent2 2 4 4 3 2" xfId="41117" xr:uid="{DD5201C4-33FB-472A-BABE-57CB7931D44B}"/>
    <cellStyle name="40% - Accent2 2 4 4 4" xfId="41114" xr:uid="{1FD906DD-4885-4755-A82B-F25EB0E850EE}"/>
    <cellStyle name="40% - Accent2 2 4 5" xfId="8093" xr:uid="{838CF9CD-038A-4302-A153-43DF161D88FB}"/>
    <cellStyle name="40% - Accent2 2 4 5 2" xfId="23506" xr:uid="{20CF070E-E3C8-4DD0-B3F3-EB1ACD9CD8AD}"/>
    <cellStyle name="40% - Accent2 2 4 5 2 2" xfId="41119" xr:uid="{1F5F01DA-2FDF-4055-A83E-D7ED64CFEFB4}"/>
    <cellStyle name="40% - Accent2 2 4 5 3" xfId="41118" xr:uid="{91E91C45-32D2-4BC4-AB7E-1F406D8B03C0}"/>
    <cellStyle name="40% - Accent2 2 4 6" xfId="15801" xr:uid="{EB5D7D74-160E-4FDD-91F3-1F611D5DD680}"/>
    <cellStyle name="40% - Accent2 2 4 6 2" xfId="41120" xr:uid="{707722E1-AA7E-4102-8EFE-38BDBD345AF4}"/>
    <cellStyle name="40% - Accent2 2 4 7" xfId="41089" xr:uid="{7C460EFA-83EF-4F23-821C-A1740B117305}"/>
    <cellStyle name="40% - Accent2 2 5" xfId="792" xr:uid="{1B9B24E5-37A0-465A-ABD3-EE55334E281F}"/>
    <cellStyle name="40% - Accent2 2 5 2" xfId="2281" xr:uid="{F1D47CF4-C752-41CB-AF4D-E07E650542E3}"/>
    <cellStyle name="40% - Accent2 2 5 2 2" xfId="6013" xr:uid="{C35255D5-665C-45FC-92AF-D675D31CFC83}"/>
    <cellStyle name="40% - Accent2 2 5 2 2 2" xfId="13721" xr:uid="{398EDCB6-5A9A-4D17-A2B4-EFE278B18AE6}"/>
    <cellStyle name="40% - Accent2 2 5 2 2 2 2" xfId="29133" xr:uid="{E4E6A322-26A6-4931-AFF3-C97301C6A15E}"/>
    <cellStyle name="40% - Accent2 2 5 2 2 2 2 2" xfId="41125" xr:uid="{29BEE500-23EF-4DC1-B36E-66109E3D643E}"/>
    <cellStyle name="40% - Accent2 2 5 2 2 2 3" xfId="41124" xr:uid="{CA8A6674-D399-417B-9CD6-B3402537B915}"/>
    <cellStyle name="40% - Accent2 2 5 2 2 3" xfId="21428" xr:uid="{05A0C5E7-904F-4938-99FA-0B14017AD053}"/>
    <cellStyle name="40% - Accent2 2 5 2 2 3 2" xfId="41126" xr:uid="{F244BB9D-2CEE-46FA-8DF7-3617383494D7}"/>
    <cellStyle name="40% - Accent2 2 5 2 2 4" xfId="41123" xr:uid="{FC440104-7C04-44ED-BA39-BB886737901C}"/>
    <cellStyle name="40% - Accent2 2 5 2 3" xfId="9992" xr:uid="{E4C752F4-18B8-4D9C-818A-B96E50A83F13}"/>
    <cellStyle name="40% - Accent2 2 5 2 3 2" xfId="25405" xr:uid="{5B322F1F-8990-4DE6-BEBA-6BD8F2FABD4C}"/>
    <cellStyle name="40% - Accent2 2 5 2 3 2 2" xfId="41128" xr:uid="{C0EF3180-EB19-4C20-9B57-83D2C853E0A8}"/>
    <cellStyle name="40% - Accent2 2 5 2 3 3" xfId="41127" xr:uid="{D6EFF45C-B75F-4A01-BA00-257E720F23C1}"/>
    <cellStyle name="40% - Accent2 2 5 2 4" xfId="17700" xr:uid="{F996404E-0DFD-4F72-92EA-7302127C6A2E}"/>
    <cellStyle name="40% - Accent2 2 5 2 4 2" xfId="41129" xr:uid="{800543AD-99A8-41AE-A224-72256010A3FD}"/>
    <cellStyle name="40% - Accent2 2 5 2 5" xfId="41122" xr:uid="{2F82925F-2105-423F-B40E-A55428B7DE2F}"/>
    <cellStyle name="40% - Accent2 2 5 3" xfId="4536" xr:uid="{2BE6F819-06A6-4B7C-B0E0-A4328069EF77}"/>
    <cellStyle name="40% - Accent2 2 5 3 2" xfId="12244" xr:uid="{99601363-0754-40C5-A445-E6DFBACD9BE9}"/>
    <cellStyle name="40% - Accent2 2 5 3 2 2" xfId="27656" xr:uid="{719551C7-57A6-498C-B09A-A96E609C7734}"/>
    <cellStyle name="40% - Accent2 2 5 3 2 2 2" xfId="41132" xr:uid="{7FE41BB3-46E9-428C-B0AA-93CD7AFBC14F}"/>
    <cellStyle name="40% - Accent2 2 5 3 2 3" xfId="41131" xr:uid="{2D9FFCBB-994C-45CB-81F7-9F5F80F0A550}"/>
    <cellStyle name="40% - Accent2 2 5 3 3" xfId="19951" xr:uid="{00CCF3EA-0E59-4087-B02E-2EBA0D1DED38}"/>
    <cellStyle name="40% - Accent2 2 5 3 3 2" xfId="41133" xr:uid="{9A6782A9-BCA0-4366-B823-AB11DF4BF823}"/>
    <cellStyle name="40% - Accent2 2 5 3 4" xfId="41130" xr:uid="{CEA6BA33-3C6E-4E50-8BE2-07B0B0C6BF81}"/>
    <cellStyle name="40% - Accent2 2 5 4" xfId="8533" xr:uid="{BA2BF2F5-54F7-4297-8A46-A4C8C622CC0B}"/>
    <cellStyle name="40% - Accent2 2 5 4 2" xfId="23946" xr:uid="{4E480C67-FA52-4575-9272-0B3902E8E567}"/>
    <cellStyle name="40% - Accent2 2 5 4 2 2" xfId="41135" xr:uid="{13B198CD-E69E-4972-B154-3CC48F9C49FB}"/>
    <cellStyle name="40% - Accent2 2 5 4 3" xfId="41134" xr:uid="{8C17D56A-63DF-4B4F-8323-E2D56BF1D5FD}"/>
    <cellStyle name="40% - Accent2 2 5 5" xfId="16241" xr:uid="{EA139E7D-F5F0-4338-9DAE-69369DE96B67}"/>
    <cellStyle name="40% - Accent2 2 5 5 2" xfId="41136" xr:uid="{44E2E472-9DA1-47EC-A472-F5AD555C313D}"/>
    <cellStyle name="40% - Accent2 2 5 6" xfId="41121" xr:uid="{F9CECD6B-A5D8-4698-B97C-894F1103D258}"/>
    <cellStyle name="40% - Accent2 2 6" xfId="1639" xr:uid="{0ACB2453-50F9-4487-8237-2623B24DD265}"/>
    <cellStyle name="40% - Accent2 2 6 2" xfId="5373" xr:uid="{87E869F2-ABD5-4CAE-9371-50A37D1FD598}"/>
    <cellStyle name="40% - Accent2 2 6 2 2" xfId="13081" xr:uid="{740E4E07-8424-49EA-BC6A-D65809FF0B5C}"/>
    <cellStyle name="40% - Accent2 2 6 2 2 2" xfId="28493" xr:uid="{31E2466B-343D-4BD3-8A17-72261B4B24D3}"/>
    <cellStyle name="40% - Accent2 2 6 2 2 2 2" xfId="41140" xr:uid="{7A14F006-4E97-4BD7-A073-D2D63EB51A42}"/>
    <cellStyle name="40% - Accent2 2 6 2 2 3" xfId="41139" xr:uid="{46DD4F02-51D2-41AF-9F76-A21795EC82E1}"/>
    <cellStyle name="40% - Accent2 2 6 2 3" xfId="20788" xr:uid="{656DD2A0-CB0A-44C0-8326-987C938D59A0}"/>
    <cellStyle name="40% - Accent2 2 6 2 3 2" xfId="41141" xr:uid="{85ACF459-7908-425A-AC90-15969AC2976A}"/>
    <cellStyle name="40% - Accent2 2 6 2 4" xfId="41138" xr:uid="{43FFF5C6-75EC-469D-ABE3-264154B2E48F}"/>
    <cellStyle name="40% - Accent2 2 6 3" xfId="9354" xr:uid="{A4AD355A-057C-40FC-B233-88101667CD2A}"/>
    <cellStyle name="40% - Accent2 2 6 3 2" xfId="24767" xr:uid="{6E0AB421-C72D-4784-B227-93FFEAD9D9B1}"/>
    <cellStyle name="40% - Accent2 2 6 3 2 2" xfId="41143" xr:uid="{0A3946E9-C7C9-4ED1-ABC9-641F2A816662}"/>
    <cellStyle name="40% - Accent2 2 6 3 3" xfId="41142" xr:uid="{C22AF469-7A40-4B94-ACA8-BD98B5D903F5}"/>
    <cellStyle name="40% - Accent2 2 6 4" xfId="17062" xr:uid="{38745A77-FEF7-4F28-BCA0-A6EC50F2804E}"/>
    <cellStyle name="40% - Accent2 2 6 4 2" xfId="41144" xr:uid="{90857183-1F70-444D-B327-7CCE1F72E43B}"/>
    <cellStyle name="40% - Accent2 2 6 5" xfId="41137" xr:uid="{20AEE7BA-D32A-4E58-9CDD-0C19D29EA42B}"/>
    <cellStyle name="40% - Accent2 2 7" xfId="3883" xr:uid="{87521AFA-32D5-475D-825A-23A7B035308B}"/>
    <cellStyle name="40% - Accent2 2 7 2" xfId="11592" xr:uid="{B8109417-ACC0-4D3B-9E29-7B7DDB8DED18}"/>
    <cellStyle name="40% - Accent2 2 7 2 2" xfId="27004" xr:uid="{7ACF0D38-2490-417A-8557-3F45AB97B41C}"/>
    <cellStyle name="40% - Accent2 2 7 2 2 2" xfId="41147" xr:uid="{0D399FF9-3DDE-4032-9158-10F1789B0FC7}"/>
    <cellStyle name="40% - Accent2 2 7 2 3" xfId="41146" xr:uid="{E9A81CC7-96BB-4974-8640-53EEBF6E44BD}"/>
    <cellStyle name="40% - Accent2 2 7 3" xfId="19299" xr:uid="{23A58296-41E8-435F-AD63-38FE35298AC6}"/>
    <cellStyle name="40% - Accent2 2 7 3 2" xfId="41148" xr:uid="{583BB9FD-5E5D-4668-B982-8D1D505D3B88}"/>
    <cellStyle name="40% - Accent2 2 7 4" xfId="41145" xr:uid="{CBACE1F8-460C-4E43-9FD3-709C757E4227}"/>
    <cellStyle name="40% - Accent2 2 8" xfId="7877" xr:uid="{58D33C98-E932-4263-A9A0-6A13ACECA694}"/>
    <cellStyle name="40% - Accent2 2 8 2" xfId="23290" xr:uid="{57F3A1A2-5734-4A9E-8991-88D41C55AE73}"/>
    <cellStyle name="40% - Accent2 2 8 2 2" xfId="41150" xr:uid="{FC0B84C4-FD9E-4675-B858-F7AD7529F214}"/>
    <cellStyle name="40% - Accent2 2 8 3" xfId="41149" xr:uid="{84D3A01B-C4AA-4899-9D40-BF5E8B319F00}"/>
    <cellStyle name="40% - Accent2 2 9" xfId="15585" xr:uid="{E1E3EB45-FF2C-4E19-BEF5-B6D48EC4BB77}"/>
    <cellStyle name="40% - Accent2 2 9 2" xfId="41151" xr:uid="{291CC3A9-534E-4F5A-B46E-2860A27C9D8F}"/>
    <cellStyle name="40% - Accent2 20" xfId="3601" xr:uid="{C472944E-05C3-44D1-B73A-B0DC8394ED75}"/>
    <cellStyle name="40% - Accent2 20 2" xfId="7332" xr:uid="{D7B23745-AB8D-4BF3-9B46-99B6ED49F216}"/>
    <cellStyle name="40% - Accent2 20 2 2" xfId="15040" xr:uid="{4D3C0B16-9351-42AB-AD76-E8CAA24F65B3}"/>
    <cellStyle name="40% - Accent2 20 2 2 2" xfId="30452" xr:uid="{36CAA57D-0F9A-4531-9F97-0B7FCFA46512}"/>
    <cellStyle name="40% - Accent2 20 2 2 2 2" xfId="41155" xr:uid="{13741A8A-95AD-4FF6-81BC-378F530137B9}"/>
    <cellStyle name="40% - Accent2 20 2 2 3" xfId="41154" xr:uid="{9C8A171B-3A91-4F73-A70D-B4E7B3518481}"/>
    <cellStyle name="40% - Accent2 20 2 3" xfId="22747" xr:uid="{35ADF054-C628-4C37-830A-9EDE7E5451DE}"/>
    <cellStyle name="40% - Accent2 20 2 3 2" xfId="41156" xr:uid="{094E2B01-20E0-4A4B-BCCE-FD096F30E89B}"/>
    <cellStyle name="40% - Accent2 20 2 4" xfId="41153" xr:uid="{88C4F0B5-CFC3-46FD-AEAA-777C2949F867}"/>
    <cellStyle name="40% - Accent2 20 3" xfId="11311" xr:uid="{77526A16-5AEF-4B17-A552-30188D21DBDC}"/>
    <cellStyle name="40% - Accent2 20 3 2" xfId="26724" xr:uid="{C5FE5AA7-8C62-433F-9466-83FDADD62864}"/>
    <cellStyle name="40% - Accent2 20 3 2 2" xfId="41158" xr:uid="{90DE3394-00FF-4ABB-A767-55B6759A0E54}"/>
    <cellStyle name="40% - Accent2 20 3 3" xfId="41157" xr:uid="{9F6C55A5-97DF-43D4-8F6C-EFA48A2A56B3}"/>
    <cellStyle name="40% - Accent2 20 4" xfId="19019" xr:uid="{24CCE665-A90A-4C02-A3DE-002A59725BE5}"/>
    <cellStyle name="40% - Accent2 20 4 2" xfId="41159" xr:uid="{6C43A603-B6AE-4D4B-9F52-C38CA40A904C}"/>
    <cellStyle name="40% - Accent2 20 5" xfId="41152" xr:uid="{326BE763-B87B-4F9B-9522-8EC15821DE8A}"/>
    <cellStyle name="40% - Accent2 21" xfId="3621" xr:uid="{500D5DA8-6DA0-49A6-80AE-88DF7EECE38A}"/>
    <cellStyle name="40% - Accent2 21 2" xfId="7352" xr:uid="{1C5C4497-83AB-4F63-B6A7-E196A52D9A89}"/>
    <cellStyle name="40% - Accent2 21 2 2" xfId="15060" xr:uid="{21496A5E-D90E-45E7-A253-F93697DEAA5C}"/>
    <cellStyle name="40% - Accent2 21 2 2 2" xfId="30472" xr:uid="{AD42C58C-512B-44D9-8E69-C573FDEF303F}"/>
    <cellStyle name="40% - Accent2 21 2 2 2 2" xfId="41163" xr:uid="{7A6A3CF6-296B-4584-9880-9EDDC14191D5}"/>
    <cellStyle name="40% - Accent2 21 2 2 3" xfId="41162" xr:uid="{F9F96DFE-A680-4549-BA16-E407DEF24AC4}"/>
    <cellStyle name="40% - Accent2 21 2 3" xfId="22767" xr:uid="{BB019E69-D535-4866-93D5-C73DA952798B}"/>
    <cellStyle name="40% - Accent2 21 2 3 2" xfId="41164" xr:uid="{34528A7A-5D75-420F-AD57-F593A794A99C}"/>
    <cellStyle name="40% - Accent2 21 2 4" xfId="41161" xr:uid="{70090BFA-38E1-4160-BE7F-96058858B12B}"/>
    <cellStyle name="40% - Accent2 21 3" xfId="11331" xr:uid="{D18A777C-0F7C-4DEB-9252-CE35B71367CD}"/>
    <cellStyle name="40% - Accent2 21 3 2" xfId="26744" xr:uid="{F3252853-EBC8-4C59-A754-FDD3E06281D7}"/>
    <cellStyle name="40% - Accent2 21 3 2 2" xfId="41166" xr:uid="{1A6CF873-86CF-4306-941E-314BCF90832E}"/>
    <cellStyle name="40% - Accent2 21 3 3" xfId="41165" xr:uid="{9A3AE1D2-3C50-4758-A418-045CB202572D}"/>
    <cellStyle name="40% - Accent2 21 4" xfId="19039" xr:uid="{1BA0E8B7-333E-40E0-AA07-EE5DAF4D8C6B}"/>
    <cellStyle name="40% - Accent2 21 4 2" xfId="41167" xr:uid="{32272A73-8A86-4A3B-8DD5-95B9EF226691}"/>
    <cellStyle name="40% - Accent2 21 5" xfId="41160" xr:uid="{471E02E4-5887-4811-96DF-8600B0FAA882}"/>
    <cellStyle name="40% - Accent2 22" xfId="3641" xr:uid="{E1496282-BBB2-49B7-BF60-DDE15D7D9F1E}"/>
    <cellStyle name="40% - Accent2 22 2" xfId="7372" xr:uid="{A469E149-558F-4C24-85EC-70E76B6FBDA9}"/>
    <cellStyle name="40% - Accent2 22 2 2" xfId="15080" xr:uid="{95DBAA52-2024-4F82-B165-608F6667BC14}"/>
    <cellStyle name="40% - Accent2 22 2 2 2" xfId="30492" xr:uid="{3F07D999-0C84-4224-A3FC-ED3F42969F91}"/>
    <cellStyle name="40% - Accent2 22 2 2 2 2" xfId="41171" xr:uid="{3585A96D-05A1-44CB-A039-506A85C3530B}"/>
    <cellStyle name="40% - Accent2 22 2 2 3" xfId="41170" xr:uid="{FD0CCEE4-35A4-4519-AE4F-DA6088B97F13}"/>
    <cellStyle name="40% - Accent2 22 2 3" xfId="22787" xr:uid="{AAC4C733-AD11-4BFC-A7BA-E1DFBA6E93B3}"/>
    <cellStyle name="40% - Accent2 22 2 3 2" xfId="41172" xr:uid="{9C33A133-F66F-434B-9777-F0EE465DAA69}"/>
    <cellStyle name="40% - Accent2 22 2 4" xfId="41169" xr:uid="{A21F3152-B43D-4A44-A85B-6A5A47C7D5EF}"/>
    <cellStyle name="40% - Accent2 22 3" xfId="11351" xr:uid="{627CFAC1-A6FF-4FF7-B168-FDE9D48FC4F3}"/>
    <cellStyle name="40% - Accent2 22 3 2" xfId="26764" xr:uid="{4670A843-A017-40BE-957B-D28758E0AE47}"/>
    <cellStyle name="40% - Accent2 22 3 2 2" xfId="41174" xr:uid="{D326BDD8-535A-44E8-B022-CCC8B7A984E6}"/>
    <cellStyle name="40% - Accent2 22 3 3" xfId="41173" xr:uid="{FC08E0F2-1274-4339-96D2-3FF133CA813A}"/>
    <cellStyle name="40% - Accent2 22 4" xfId="19059" xr:uid="{A0555C51-6C42-4F8C-A455-DEA0EE3DE853}"/>
    <cellStyle name="40% - Accent2 22 4 2" xfId="41175" xr:uid="{1BFB4CFD-82E6-487A-BCBD-E40FF19E9B86}"/>
    <cellStyle name="40% - Accent2 22 5" xfId="41168" xr:uid="{3A49DEE1-0279-4392-9F0E-407EF64EA4A3}"/>
    <cellStyle name="40% - Accent2 23" xfId="3661" xr:uid="{A7141430-ADBD-46A1-975E-6E6086CD247A}"/>
    <cellStyle name="40% - Accent2 23 2" xfId="7392" xr:uid="{D7EB1D7E-FF87-46AD-A369-FF7490E8C77A}"/>
    <cellStyle name="40% - Accent2 23 2 2" xfId="15100" xr:uid="{077F614F-3F85-4E73-8CCD-ECF2202B12B6}"/>
    <cellStyle name="40% - Accent2 23 2 2 2" xfId="30512" xr:uid="{4148E30B-96C6-4268-9380-9BBEFECE96AD}"/>
    <cellStyle name="40% - Accent2 23 2 2 2 2" xfId="41179" xr:uid="{B2974970-5CD2-4243-9C43-BFB11A0880BE}"/>
    <cellStyle name="40% - Accent2 23 2 2 3" xfId="41178" xr:uid="{DD1B9F44-C3FE-424A-9826-076A834B8F96}"/>
    <cellStyle name="40% - Accent2 23 2 3" xfId="22807" xr:uid="{B5FE46A6-1CCF-44C7-A96F-69419EDB7678}"/>
    <cellStyle name="40% - Accent2 23 2 3 2" xfId="41180" xr:uid="{449A46CE-7568-4544-ACC3-84CE5D567EC5}"/>
    <cellStyle name="40% - Accent2 23 2 4" xfId="41177" xr:uid="{E0E2A19A-13C1-4BB7-A717-572B31FF7045}"/>
    <cellStyle name="40% - Accent2 23 3" xfId="11371" xr:uid="{12DDEBCA-4280-4521-BF8E-2D38A0A0024A}"/>
    <cellStyle name="40% - Accent2 23 3 2" xfId="26784" xr:uid="{08A2BA33-692D-4D5A-AC25-9D49D29A4940}"/>
    <cellStyle name="40% - Accent2 23 3 2 2" xfId="41182" xr:uid="{37A874EE-83DB-4BEE-B820-FD1DB99F52C3}"/>
    <cellStyle name="40% - Accent2 23 3 3" xfId="41181" xr:uid="{D2370BDB-2A5B-451A-B7E9-20F2F718A5BB}"/>
    <cellStyle name="40% - Accent2 23 4" xfId="19079" xr:uid="{197778AC-7181-4EB1-AC1B-081C0E46B5F4}"/>
    <cellStyle name="40% - Accent2 23 4 2" xfId="41183" xr:uid="{E6863D88-16BB-4C90-9CD0-EFA662953B27}"/>
    <cellStyle name="40% - Accent2 23 5" xfId="41176" xr:uid="{FBBF13D2-B854-47E1-B946-E61544B602D1}"/>
    <cellStyle name="40% - Accent2 24" xfId="3681" xr:uid="{B3E51A1F-CE48-414C-B9DB-9EF5F8648FEB}"/>
    <cellStyle name="40% - Accent2 24 2" xfId="7412" xr:uid="{D6BBBFCC-FDCE-4477-A845-C7BDC0C693F4}"/>
    <cellStyle name="40% - Accent2 24 2 2" xfId="15120" xr:uid="{6E7EA84F-8CFB-487C-B44B-9036F4D11C78}"/>
    <cellStyle name="40% - Accent2 24 2 2 2" xfId="30532" xr:uid="{A77B78E8-BC71-45D0-9361-28B8ED208948}"/>
    <cellStyle name="40% - Accent2 24 2 2 2 2" xfId="41187" xr:uid="{CA3A232F-BE18-42B5-B2CB-6147C0B76BFF}"/>
    <cellStyle name="40% - Accent2 24 2 2 3" xfId="41186" xr:uid="{92877FF1-F344-409E-AF94-589CF76A1BCE}"/>
    <cellStyle name="40% - Accent2 24 2 3" xfId="22827" xr:uid="{65A27EFC-5988-4B20-AB35-4E1792918470}"/>
    <cellStyle name="40% - Accent2 24 2 3 2" xfId="41188" xr:uid="{B2BEE561-FA9C-4EB3-AF9F-77EE4509BEFF}"/>
    <cellStyle name="40% - Accent2 24 2 4" xfId="41185" xr:uid="{435C31A5-75D6-4DE3-81B2-C30FB6CA80A1}"/>
    <cellStyle name="40% - Accent2 24 3" xfId="11391" xr:uid="{60CA91FD-359D-47CE-A039-6C0785757303}"/>
    <cellStyle name="40% - Accent2 24 3 2" xfId="26804" xr:uid="{311D4952-E5DE-4FCE-8AD6-87D89CE6C278}"/>
    <cellStyle name="40% - Accent2 24 3 2 2" xfId="41190" xr:uid="{D8CAC608-D9F7-4D77-8C99-99A4A45AA4EB}"/>
    <cellStyle name="40% - Accent2 24 3 3" xfId="41189" xr:uid="{8F14BC94-3F8E-4065-B7A7-45FDF6E92382}"/>
    <cellStyle name="40% - Accent2 24 4" xfId="19099" xr:uid="{DA57E717-CE11-443E-805E-B8EDDCCCFA94}"/>
    <cellStyle name="40% - Accent2 24 4 2" xfId="41191" xr:uid="{795E3F90-8CB0-408D-94D9-CF4938C3BED1}"/>
    <cellStyle name="40% - Accent2 24 5" xfId="41184" xr:uid="{AA986315-4981-418B-8C23-BF86E4E81C73}"/>
    <cellStyle name="40% - Accent2 25" xfId="3701" xr:uid="{E227B472-AA02-4548-9FD9-95FAF31B0AF5}"/>
    <cellStyle name="40% - Accent2 25 2" xfId="7432" xr:uid="{910DFEFC-29C8-4172-95B6-887B129BD73F}"/>
    <cellStyle name="40% - Accent2 25 2 2" xfId="15140" xr:uid="{09CB50BD-8010-4CD8-9D2C-DD4419959A2B}"/>
    <cellStyle name="40% - Accent2 25 2 2 2" xfId="30552" xr:uid="{A95C222A-319F-4D27-8CAC-591ED4A7866F}"/>
    <cellStyle name="40% - Accent2 25 2 2 2 2" xfId="41195" xr:uid="{DDD116ED-6315-4188-A6FB-4F919EE950DC}"/>
    <cellStyle name="40% - Accent2 25 2 2 3" xfId="41194" xr:uid="{D0560636-8757-40E9-882E-D6C0D667451D}"/>
    <cellStyle name="40% - Accent2 25 2 3" xfId="22847" xr:uid="{38B79EF4-7FA7-4BF7-9426-DAB5382C8614}"/>
    <cellStyle name="40% - Accent2 25 2 3 2" xfId="41196" xr:uid="{01E4A16B-6FC4-43B4-958B-0D74BAFDF533}"/>
    <cellStyle name="40% - Accent2 25 2 4" xfId="41193" xr:uid="{2785243A-F500-45B1-AC29-0B2E7BF6226E}"/>
    <cellStyle name="40% - Accent2 25 3" xfId="11411" xr:uid="{4D3BD583-3688-4E30-AE8A-9624C8BFEC4B}"/>
    <cellStyle name="40% - Accent2 25 3 2" xfId="26824" xr:uid="{8166271E-A40C-4444-A654-020D1EFF1029}"/>
    <cellStyle name="40% - Accent2 25 3 2 2" xfId="41198" xr:uid="{538ECF65-81AC-4674-9E07-F0B9BE8DEED8}"/>
    <cellStyle name="40% - Accent2 25 3 3" xfId="41197" xr:uid="{39D48989-6FA6-4C7B-A756-990237F9C24D}"/>
    <cellStyle name="40% - Accent2 25 4" xfId="19119" xr:uid="{F6AC5CCE-F88B-4894-B91D-7C1B0D81A5BC}"/>
    <cellStyle name="40% - Accent2 25 4 2" xfId="41199" xr:uid="{2FFFC287-E1B7-471B-8644-BF37F987DDF8}"/>
    <cellStyle name="40% - Accent2 25 5" xfId="41192" xr:uid="{E8EA9BE7-FD4D-4E2E-BB3A-6B6FDE23ACC6}"/>
    <cellStyle name="40% - Accent2 26" xfId="3721" xr:uid="{FD551A8C-A556-4A1F-BAB1-CD681852C159}"/>
    <cellStyle name="40% - Accent2 26 2" xfId="7452" xr:uid="{06FFFFDA-FB86-4E0D-8D1B-266AB3098750}"/>
    <cellStyle name="40% - Accent2 26 2 2" xfId="15160" xr:uid="{0E5CCC63-F5DA-42B9-9004-8782C3128AC6}"/>
    <cellStyle name="40% - Accent2 26 2 2 2" xfId="30572" xr:uid="{E75FC133-8CFE-4236-A7B8-74F0EC8FFC03}"/>
    <cellStyle name="40% - Accent2 26 2 2 2 2" xfId="41203" xr:uid="{407B76E7-3DF1-46E4-9612-EAE2FD4E7C2D}"/>
    <cellStyle name="40% - Accent2 26 2 2 3" xfId="41202" xr:uid="{B1223447-9A06-423E-9991-7FF8A91D6B80}"/>
    <cellStyle name="40% - Accent2 26 2 3" xfId="22867" xr:uid="{29077ABE-DF4E-4FC8-B7EF-4E90B9B7E087}"/>
    <cellStyle name="40% - Accent2 26 2 3 2" xfId="41204" xr:uid="{1916CCB3-978C-414B-BC4B-6089B7C9C971}"/>
    <cellStyle name="40% - Accent2 26 2 4" xfId="41201" xr:uid="{B5BAEF54-0489-4AD8-975D-52D7AEA6B7C6}"/>
    <cellStyle name="40% - Accent2 26 3" xfId="11431" xr:uid="{3575EE5D-5640-4F89-87E4-F8E82D4B041E}"/>
    <cellStyle name="40% - Accent2 26 3 2" xfId="26844" xr:uid="{6473DCB9-48A7-4A51-9F74-BEFFA2EA9081}"/>
    <cellStyle name="40% - Accent2 26 3 2 2" xfId="41206" xr:uid="{90519E44-795A-478F-8CE5-59A83F906FFB}"/>
    <cellStyle name="40% - Accent2 26 3 3" xfId="41205" xr:uid="{3D7ECA75-B58E-4B07-9FB4-50B1B7D22914}"/>
    <cellStyle name="40% - Accent2 26 4" xfId="19139" xr:uid="{FF2473E1-E4AD-4077-A435-715984B78025}"/>
    <cellStyle name="40% - Accent2 26 4 2" xfId="41207" xr:uid="{69B1721D-2E23-4EE7-AAE2-8961D1C769B5}"/>
    <cellStyle name="40% - Accent2 26 5" xfId="41200" xr:uid="{10A6EB93-2BEA-41CE-86A7-6518BC12CFAC}"/>
    <cellStyle name="40% - Accent2 27" xfId="3741" xr:uid="{B2915FAD-2C1C-44F8-A094-07C1AD8392CC}"/>
    <cellStyle name="40% - Accent2 27 2" xfId="7472" xr:uid="{FDC8202A-6D2C-4872-B0C4-04FAE069714B}"/>
    <cellStyle name="40% - Accent2 27 2 2" xfId="15180" xr:uid="{B7C4E740-AE20-45FF-98C3-7D5199548631}"/>
    <cellStyle name="40% - Accent2 27 2 2 2" xfId="30592" xr:uid="{3EB6B7A9-1227-4A46-8FC2-EBD661F04BDF}"/>
    <cellStyle name="40% - Accent2 27 2 2 2 2" xfId="41211" xr:uid="{3821F08F-EAF1-43CA-A0A7-7E374C27AD44}"/>
    <cellStyle name="40% - Accent2 27 2 2 3" xfId="41210" xr:uid="{72DE2CFC-A4EA-4248-AA71-AD5D804A8E88}"/>
    <cellStyle name="40% - Accent2 27 2 3" xfId="22887" xr:uid="{C122D206-C33D-4D42-803C-FA6D51F4FAE8}"/>
    <cellStyle name="40% - Accent2 27 2 3 2" xfId="41212" xr:uid="{E4C8134F-C286-4007-8BCA-C5F61A9EE454}"/>
    <cellStyle name="40% - Accent2 27 2 4" xfId="41209" xr:uid="{59CF21A2-0160-46BC-B1BE-99C55D39CF3E}"/>
    <cellStyle name="40% - Accent2 27 3" xfId="11451" xr:uid="{182648A6-87A4-4CDB-91E6-70DED178D7DF}"/>
    <cellStyle name="40% - Accent2 27 3 2" xfId="26864" xr:uid="{E2E02FF7-4787-49FA-B695-27D8F752154C}"/>
    <cellStyle name="40% - Accent2 27 3 2 2" xfId="41214" xr:uid="{A3AB1D3E-DED7-457E-A697-88D2754C578C}"/>
    <cellStyle name="40% - Accent2 27 3 3" xfId="41213" xr:uid="{A6890520-6117-4D41-B8E2-86E57C382586}"/>
    <cellStyle name="40% - Accent2 27 4" xfId="19159" xr:uid="{AD13C061-267C-43D0-BA2A-F5606C8D63AC}"/>
    <cellStyle name="40% - Accent2 27 4 2" xfId="41215" xr:uid="{9E38919E-9988-476B-A695-94B3C4A9E1F2}"/>
    <cellStyle name="40% - Accent2 27 5" xfId="41208" xr:uid="{9391664D-B834-4039-95FB-83C801132F4B}"/>
    <cellStyle name="40% - Accent2 28" xfId="3761" xr:uid="{7F60C04B-DC31-487F-8A63-6AE0336A5CAF}"/>
    <cellStyle name="40% - Accent2 28 2" xfId="7492" xr:uid="{0E84461D-82CA-46D6-B6B8-B7FFFF2FFDBB}"/>
    <cellStyle name="40% - Accent2 28 2 2" xfId="15200" xr:uid="{A99B5D8D-7752-4CD7-AD1C-7F03FF37C0D7}"/>
    <cellStyle name="40% - Accent2 28 2 2 2" xfId="30612" xr:uid="{8FD5F8C8-8D65-46FE-98A2-5FF94ED70EB1}"/>
    <cellStyle name="40% - Accent2 28 2 2 2 2" xfId="41219" xr:uid="{942D662C-D415-403E-AA12-FE5415C75AB1}"/>
    <cellStyle name="40% - Accent2 28 2 2 3" xfId="41218" xr:uid="{49D240F3-892D-4E7A-AC0A-8A01B8008D43}"/>
    <cellStyle name="40% - Accent2 28 2 3" xfId="22907" xr:uid="{AD52A645-4A2D-42D5-B280-9CBD0A76CD50}"/>
    <cellStyle name="40% - Accent2 28 2 3 2" xfId="41220" xr:uid="{7B1C54CF-755D-44DE-A1DE-929CC292EC5D}"/>
    <cellStyle name="40% - Accent2 28 2 4" xfId="41217" xr:uid="{33B87DBD-4644-4728-9FF5-725C333836F8}"/>
    <cellStyle name="40% - Accent2 28 3" xfId="11471" xr:uid="{D119B65F-7E57-4E4E-96C7-68C5527467CF}"/>
    <cellStyle name="40% - Accent2 28 3 2" xfId="26884" xr:uid="{3672BD35-BC3E-4E01-BDE0-61328A6F951D}"/>
    <cellStyle name="40% - Accent2 28 3 2 2" xfId="41222" xr:uid="{B5A8773A-B15E-4F29-8436-5F70E7251B61}"/>
    <cellStyle name="40% - Accent2 28 3 3" xfId="41221" xr:uid="{9608B5DB-B583-4A65-8BED-79C0CE8E4AE1}"/>
    <cellStyle name="40% - Accent2 28 4" xfId="19179" xr:uid="{1A105C8E-429D-47EE-BF03-9B2E871CE8FA}"/>
    <cellStyle name="40% - Accent2 28 4 2" xfId="41223" xr:uid="{5B3368A8-C672-4043-BF77-18259A60EA9C}"/>
    <cellStyle name="40% - Accent2 28 5" xfId="41216" xr:uid="{5DE8A277-853D-415D-955A-6C08BF682E85}"/>
    <cellStyle name="40% - Accent2 29" xfId="3781" xr:uid="{EF8B3966-BC30-4B16-85B9-0936125E3717}"/>
    <cellStyle name="40% - Accent2 29 2" xfId="7512" xr:uid="{FE0C60B5-F465-4CC8-A9A1-85308785E77E}"/>
    <cellStyle name="40% - Accent2 29 2 2" xfId="15220" xr:uid="{90401884-43AB-45AD-A2AE-916D241A5075}"/>
    <cellStyle name="40% - Accent2 29 2 2 2" xfId="30632" xr:uid="{8FE46B75-6444-4E13-9D8F-120F91B2987B}"/>
    <cellStyle name="40% - Accent2 29 2 2 2 2" xfId="41227" xr:uid="{38863411-72DF-400B-BE21-92EA21AF205C}"/>
    <cellStyle name="40% - Accent2 29 2 2 3" xfId="41226" xr:uid="{02038A1B-F46E-44FB-8AB8-8BCD43B424C1}"/>
    <cellStyle name="40% - Accent2 29 2 3" xfId="22927" xr:uid="{A3C76A60-D746-4B41-AE3B-58B2427A8D98}"/>
    <cellStyle name="40% - Accent2 29 2 3 2" xfId="41228" xr:uid="{AEAD462C-FE66-4E14-AE5A-35D0FA92D99C}"/>
    <cellStyle name="40% - Accent2 29 2 4" xfId="41225" xr:uid="{ECB02CBE-CB42-4D46-B637-23908B2F84DB}"/>
    <cellStyle name="40% - Accent2 29 3" xfId="11491" xr:uid="{51ACC89D-855F-43C8-B6D1-35E09981FC4B}"/>
    <cellStyle name="40% - Accent2 29 3 2" xfId="26904" xr:uid="{095988E0-4D33-42DC-8AE2-E7C25E87AB6A}"/>
    <cellStyle name="40% - Accent2 29 3 2 2" xfId="41230" xr:uid="{EF9C2F6E-820D-4331-9120-C6AD9AFA25E8}"/>
    <cellStyle name="40% - Accent2 29 3 3" xfId="41229" xr:uid="{51660CC9-3A1E-49DF-88E8-2996431F24F5}"/>
    <cellStyle name="40% - Accent2 29 4" xfId="19199" xr:uid="{F3BDE21E-24FE-4A02-B922-09B1F069D0C1}"/>
    <cellStyle name="40% - Accent2 29 4 2" xfId="41231" xr:uid="{A03A120A-A57E-4466-B838-22A31182C174}"/>
    <cellStyle name="40% - Accent2 29 5" xfId="41224" xr:uid="{49BDF159-B198-49A4-A564-5C0571DDAB5C}"/>
    <cellStyle name="40% - Accent2 3" xfId="324" xr:uid="{0A691215-867C-4986-A961-7A56B1DDD2B3}"/>
    <cellStyle name="40% - Accent2 3 2" xfId="988" xr:uid="{D83897B8-0B48-4BAD-9265-F8D3A6D47869}"/>
    <cellStyle name="40% - Accent2 3 2 2" xfId="2458" xr:uid="{0A8205E8-6501-4AA2-93E1-E2C4B959FC88}"/>
    <cellStyle name="40% - Accent2 3 2 2 2" xfId="6190" xr:uid="{3E5D7C5F-4EB9-4A30-9C7C-06169893AEC0}"/>
    <cellStyle name="40% - Accent2 3 2 2 2 2" xfId="13898" xr:uid="{E195109E-4926-4786-97D1-984ABD8EED01}"/>
    <cellStyle name="40% - Accent2 3 2 2 2 2 2" xfId="29310" xr:uid="{BD676248-0898-4312-A106-E5E539DB71CA}"/>
    <cellStyle name="40% - Accent2 3 2 2 2 2 2 2" xfId="41237" xr:uid="{601294F5-96DB-4541-945D-42D23941AF4F}"/>
    <cellStyle name="40% - Accent2 3 2 2 2 2 3" xfId="41236" xr:uid="{E0CD5854-5F92-497B-973C-647389E91108}"/>
    <cellStyle name="40% - Accent2 3 2 2 2 3" xfId="21605" xr:uid="{AF1CBD5B-BE23-49F2-9E51-5949FF81CCF8}"/>
    <cellStyle name="40% - Accent2 3 2 2 2 3 2" xfId="41238" xr:uid="{6CB36B59-5034-4247-BDC6-20F38A3649A0}"/>
    <cellStyle name="40% - Accent2 3 2 2 2 4" xfId="41235" xr:uid="{FA1D4C75-0661-41C8-B128-E205F53AD486}"/>
    <cellStyle name="40% - Accent2 3 2 2 3" xfId="10169" xr:uid="{E0549B33-03CD-4762-BED6-A595F452FE32}"/>
    <cellStyle name="40% - Accent2 3 2 2 3 2" xfId="25582" xr:uid="{6942C8E4-F89D-4DFC-8928-FADAE7EEDBBF}"/>
    <cellStyle name="40% - Accent2 3 2 2 3 2 2" xfId="41240" xr:uid="{C5CA918D-9B4A-426F-BD0D-5861DFC50CAB}"/>
    <cellStyle name="40% - Accent2 3 2 2 3 3" xfId="41239" xr:uid="{A27AED0B-5EDD-4F57-8449-F6A6965BF308}"/>
    <cellStyle name="40% - Accent2 3 2 2 4" xfId="17877" xr:uid="{BF9FFA0C-AC54-4E8F-9185-B358AB7D3E63}"/>
    <cellStyle name="40% - Accent2 3 2 2 4 2" xfId="41241" xr:uid="{3DE16818-303D-44F1-8567-9550C79BAEE2}"/>
    <cellStyle name="40% - Accent2 3 2 2 5" xfId="41234" xr:uid="{9DEC1080-E313-4EF2-9322-ADE91D566AAA}"/>
    <cellStyle name="40% - Accent2 3 2 3" xfId="4725" xr:uid="{414B8D7E-A1A9-41CC-ACFF-31CD8C2F3E13}"/>
    <cellStyle name="40% - Accent2 3 2 3 2" xfId="12433" xr:uid="{6E4E990E-C439-4EFD-AE2A-D6EAC1B2CC40}"/>
    <cellStyle name="40% - Accent2 3 2 3 2 2" xfId="27845" xr:uid="{B09A5105-9848-4056-8A22-263A8CBF3455}"/>
    <cellStyle name="40% - Accent2 3 2 3 2 2 2" xfId="41244" xr:uid="{2FD6941B-6B08-49AF-819B-2ED75AAA3039}"/>
    <cellStyle name="40% - Accent2 3 2 3 2 3" xfId="41243" xr:uid="{375C57BE-2604-425F-A74B-EC69A872011C}"/>
    <cellStyle name="40% - Accent2 3 2 3 3" xfId="20140" xr:uid="{70396A3E-3720-45D6-8032-83CED7944EA7}"/>
    <cellStyle name="40% - Accent2 3 2 3 3 2" xfId="41245" xr:uid="{5A163368-13FB-42FA-9A83-163364E58EB2}"/>
    <cellStyle name="40% - Accent2 3 2 3 4" xfId="41242" xr:uid="{5DD2FA25-B592-414C-8F4F-3422472C660C}"/>
    <cellStyle name="40% - Accent2 3 2 4" xfId="8710" xr:uid="{B4B88050-225C-42F6-B614-52B9F8DD54A8}"/>
    <cellStyle name="40% - Accent2 3 2 4 2" xfId="24123" xr:uid="{C2906516-F7DD-4F5E-AB0C-012CBF0EE444}"/>
    <cellStyle name="40% - Accent2 3 2 4 2 2" xfId="41247" xr:uid="{39D92AD7-6878-41F3-BD1A-750355AAAB93}"/>
    <cellStyle name="40% - Accent2 3 2 4 3" xfId="41246" xr:uid="{57B5B1E8-64DB-4446-91ED-CCCAFF3735ED}"/>
    <cellStyle name="40% - Accent2 3 2 5" xfId="16418" xr:uid="{82AE0CAB-E713-428A-BFFA-C24DA5633BB4}"/>
    <cellStyle name="40% - Accent2 3 2 5 2" xfId="41248" xr:uid="{29EB0F64-7175-4844-9CAE-3DB6279770C4}"/>
    <cellStyle name="40% - Accent2 3 2 6" xfId="41233" xr:uid="{45F3F467-62C6-44E7-8AB7-261D866D47DF}"/>
    <cellStyle name="40% - Accent2 3 3" xfId="1820" xr:uid="{96AD82C5-331E-40DF-910A-D83C563A5FCE}"/>
    <cellStyle name="40% - Accent2 3 3 2" xfId="5552" xr:uid="{5ED91D72-4FD6-4686-9366-AD385A730486}"/>
    <cellStyle name="40% - Accent2 3 3 2 2" xfId="13260" xr:uid="{DB7B425F-2320-40E9-9379-01470983626C}"/>
    <cellStyle name="40% - Accent2 3 3 2 2 2" xfId="28672" xr:uid="{B4A3A3EA-87FC-4707-B21B-ACBF32DC45DC}"/>
    <cellStyle name="40% - Accent2 3 3 2 2 2 2" xfId="41252" xr:uid="{D289816E-8A6F-4BDE-AC07-27159691143E}"/>
    <cellStyle name="40% - Accent2 3 3 2 2 3" xfId="41251" xr:uid="{96A6084D-B7BC-43C5-A43D-2A7B5E47807A}"/>
    <cellStyle name="40% - Accent2 3 3 2 3" xfId="20967" xr:uid="{92866374-FFE2-4F73-8B4A-506463B1AB69}"/>
    <cellStyle name="40% - Accent2 3 3 2 3 2" xfId="41253" xr:uid="{098E3A3B-2088-4CB4-92A2-FE958A101049}"/>
    <cellStyle name="40% - Accent2 3 3 2 4" xfId="41250" xr:uid="{8DA42B11-EA15-45E9-86AE-0FA98DEB1A63}"/>
    <cellStyle name="40% - Accent2 3 3 3" xfId="9531" xr:uid="{C3CA3E75-6E0A-4E38-AB97-4F2B2AAEB28F}"/>
    <cellStyle name="40% - Accent2 3 3 3 2" xfId="24944" xr:uid="{42B3267C-DE0A-42DE-B14A-B372A65A9543}"/>
    <cellStyle name="40% - Accent2 3 3 3 2 2" xfId="41255" xr:uid="{A4656C85-4743-4E8E-BC53-82E9A5E0E139}"/>
    <cellStyle name="40% - Accent2 3 3 3 3" xfId="41254" xr:uid="{545B4890-409D-496B-8588-BBDE997F4899}"/>
    <cellStyle name="40% - Accent2 3 3 4" xfId="17239" xr:uid="{68CAB232-2C5B-47A3-B2DF-89D2752D5565}"/>
    <cellStyle name="40% - Accent2 3 3 4 2" xfId="41256" xr:uid="{D92D484F-F08C-439F-9C10-0C987A2A6C10}"/>
    <cellStyle name="40% - Accent2 3 3 5" xfId="41249" xr:uid="{1A34CBC8-056F-4B2B-BAEE-EBED5F6CE51E}"/>
    <cellStyle name="40% - Accent2 3 4" xfId="4073" xr:uid="{1CD54B57-9C1F-4E90-844F-3455124F5A87}"/>
    <cellStyle name="40% - Accent2 3 4 2" xfId="11781" xr:uid="{F351B6A1-AC26-41E3-ACB9-6D9E7ABA0E4A}"/>
    <cellStyle name="40% - Accent2 3 4 2 2" xfId="27193" xr:uid="{5433FB0E-E3FF-4595-BD33-4E97C53BA820}"/>
    <cellStyle name="40% - Accent2 3 4 2 2 2" xfId="41259" xr:uid="{17880019-C812-43D6-AC46-726F01D35940}"/>
    <cellStyle name="40% - Accent2 3 4 2 3" xfId="41258" xr:uid="{91B2BBF2-BBA3-495B-94A9-5269E612F4C4}"/>
    <cellStyle name="40% - Accent2 3 4 3" xfId="19488" xr:uid="{4C01455D-64B7-49EE-8E57-FF512296D43F}"/>
    <cellStyle name="40% - Accent2 3 4 3 2" xfId="41260" xr:uid="{0F793B3B-3688-4D7F-B946-EC9370F632A6}"/>
    <cellStyle name="40% - Accent2 3 4 4" xfId="41257" xr:uid="{8FCAB1EB-C863-45BE-B446-1CC83AB522AA}"/>
    <cellStyle name="40% - Accent2 3 5" xfId="8072" xr:uid="{DD70D170-6755-425F-9A23-E9A7A78583C6}"/>
    <cellStyle name="40% - Accent2 3 5 2" xfId="23485" xr:uid="{2F8B9713-AAE0-4186-82B8-53C5676F0759}"/>
    <cellStyle name="40% - Accent2 3 5 2 2" xfId="41262" xr:uid="{89A1C937-7EF7-47D8-A326-E70A6D9E3A09}"/>
    <cellStyle name="40% - Accent2 3 5 3" xfId="41261" xr:uid="{66030006-D126-48C4-A60B-560274ED0209}"/>
    <cellStyle name="40% - Accent2 3 6" xfId="15780" xr:uid="{481628DD-EF12-4B71-A284-61A338FD7D4E}"/>
    <cellStyle name="40% - Accent2 3 6 2" xfId="41263" xr:uid="{804C44B3-6864-4B31-B017-2B3641D82819}"/>
    <cellStyle name="40% - Accent2 3 7" xfId="41232" xr:uid="{D0C6CC21-506A-4DCE-82EE-211AEFB187AF}"/>
    <cellStyle name="40% - Accent2 30" xfId="3801" xr:uid="{FF5FBCBC-F315-4F23-BBFF-4C69863C120A}"/>
    <cellStyle name="40% - Accent2 30 2" xfId="7532" xr:uid="{8153DC1A-D3FA-46E0-80FB-2471434FE3F3}"/>
    <cellStyle name="40% - Accent2 30 2 2" xfId="15240" xr:uid="{3BFDD766-C031-4C80-8D44-EBAA3D9DBBA3}"/>
    <cellStyle name="40% - Accent2 30 2 2 2" xfId="30652" xr:uid="{A438981F-8D7A-4DC0-9D01-E741AD529971}"/>
    <cellStyle name="40% - Accent2 30 2 2 2 2" xfId="41267" xr:uid="{20BD79DC-11A1-4938-A375-CB694DE2ABF9}"/>
    <cellStyle name="40% - Accent2 30 2 2 3" xfId="41266" xr:uid="{E6294963-0A3A-4E3F-BC07-620548806605}"/>
    <cellStyle name="40% - Accent2 30 2 3" xfId="22947" xr:uid="{42E7E984-0925-4545-B54A-ADF1903EDA01}"/>
    <cellStyle name="40% - Accent2 30 2 3 2" xfId="41268" xr:uid="{94840FE9-01BB-4506-A155-2B120F21FC8E}"/>
    <cellStyle name="40% - Accent2 30 2 4" xfId="41265" xr:uid="{A11A6C68-6D5F-47E3-B81F-F7C32F90E546}"/>
    <cellStyle name="40% - Accent2 30 3" xfId="11511" xr:uid="{AEEF0B51-ACEB-4263-8814-1675184424A2}"/>
    <cellStyle name="40% - Accent2 30 3 2" xfId="26924" xr:uid="{F89A23E8-78FD-4411-82B8-F581D3E38F76}"/>
    <cellStyle name="40% - Accent2 30 3 2 2" xfId="41270" xr:uid="{DB58224D-177A-4340-91CB-A16E89D9ED64}"/>
    <cellStyle name="40% - Accent2 30 3 3" xfId="41269" xr:uid="{6ED60464-6F74-4859-B10B-A294600D806F}"/>
    <cellStyle name="40% - Accent2 30 4" xfId="19219" xr:uid="{3657534B-56EB-48DC-A4C1-8311942DCC1C}"/>
    <cellStyle name="40% - Accent2 30 4 2" xfId="41271" xr:uid="{E4CF31BB-986F-4F1F-B256-BDA220C1FF91}"/>
    <cellStyle name="40% - Accent2 30 5" xfId="41264" xr:uid="{8F3B650E-09A5-4B8A-B76A-1879F186E4F4}"/>
    <cellStyle name="40% - Accent2 31" xfId="3821" xr:uid="{A3F9ECEE-B601-4DBE-A69D-9310FDD9E1ED}"/>
    <cellStyle name="40% - Accent2 31 2" xfId="7552" xr:uid="{7C56D430-CCAF-4847-8F65-4F3AA9F15BCD}"/>
    <cellStyle name="40% - Accent2 31 2 2" xfId="15260" xr:uid="{BA286241-AF7A-49C4-8D94-C8B7A14DB26C}"/>
    <cellStyle name="40% - Accent2 31 2 2 2" xfId="30672" xr:uid="{3FB808E1-D218-4607-B041-F35AB92F4894}"/>
    <cellStyle name="40% - Accent2 31 2 2 2 2" xfId="41275" xr:uid="{5E32F6A0-ABBB-4BC4-9B98-6DEAFAC8F9A8}"/>
    <cellStyle name="40% - Accent2 31 2 2 3" xfId="41274" xr:uid="{6CEC300A-3257-49AF-96CF-FDDDFA2902C1}"/>
    <cellStyle name="40% - Accent2 31 2 3" xfId="22967" xr:uid="{AC4A0A77-4E8C-4ADC-8DE2-F3229C080A68}"/>
    <cellStyle name="40% - Accent2 31 2 3 2" xfId="41276" xr:uid="{68906DC0-C6D8-40E0-90B0-AFA5170839C6}"/>
    <cellStyle name="40% - Accent2 31 2 4" xfId="41273" xr:uid="{3B038782-EE7D-4099-8E0F-9749306D9747}"/>
    <cellStyle name="40% - Accent2 31 3" xfId="11531" xr:uid="{D5FAAFA2-C73D-4F5D-A4EB-152DAC67C15C}"/>
    <cellStyle name="40% - Accent2 31 3 2" xfId="26944" xr:uid="{455B2C2C-B6F3-47A1-837B-DF3AFB766F58}"/>
    <cellStyle name="40% - Accent2 31 3 2 2" xfId="41278" xr:uid="{1C62143B-3483-4FFB-B8FA-B09BE41023E4}"/>
    <cellStyle name="40% - Accent2 31 3 3" xfId="41277" xr:uid="{69ECA212-5982-4FEF-82CC-FD089C0602A4}"/>
    <cellStyle name="40% - Accent2 31 4" xfId="19239" xr:uid="{BCA1DD1D-6A1A-4F84-AF77-0ABF4AF6B8DF}"/>
    <cellStyle name="40% - Accent2 31 4 2" xfId="41279" xr:uid="{8EBAFC8D-58C0-41DD-A912-32C933E97BE3}"/>
    <cellStyle name="40% - Accent2 31 5" xfId="41272" xr:uid="{C2BC33A1-0900-4348-8137-EF6A916A76C5}"/>
    <cellStyle name="40% - Accent2 32" xfId="3842" xr:uid="{FE786A40-C0BE-4F0A-A842-3182E9C1DAAA}"/>
    <cellStyle name="40% - Accent2 32 2" xfId="7572" xr:uid="{43573D5D-BAD7-40EC-9E98-29FB92E7D773}"/>
    <cellStyle name="40% - Accent2 32 2 2" xfId="15280" xr:uid="{1ABA04C1-767D-4523-A0E6-4766B5E4C2A8}"/>
    <cellStyle name="40% - Accent2 32 2 2 2" xfId="30692" xr:uid="{02FF21AF-6CF9-4C07-A5CF-D8635348537F}"/>
    <cellStyle name="40% - Accent2 32 2 2 2 2" xfId="41283" xr:uid="{026B6D74-8C0C-4756-A66C-75D37B2B208A}"/>
    <cellStyle name="40% - Accent2 32 2 2 3" xfId="41282" xr:uid="{CF71B250-F0EB-4A44-87CB-E9EB78F3A894}"/>
    <cellStyle name="40% - Accent2 32 2 3" xfId="22987" xr:uid="{215DDACE-A58A-4BE0-9E81-BD514B3E79CB}"/>
    <cellStyle name="40% - Accent2 32 2 3 2" xfId="41284" xr:uid="{79956E23-59FB-4833-B77B-91F64D90C3CF}"/>
    <cellStyle name="40% - Accent2 32 2 4" xfId="41281" xr:uid="{0C195290-43F9-428E-A8B1-097D6BF539D5}"/>
    <cellStyle name="40% - Accent2 32 3" xfId="11552" xr:uid="{83E0F962-581F-4BA9-8E4C-9B75DED41670}"/>
    <cellStyle name="40% - Accent2 32 3 2" xfId="26964" xr:uid="{5EFEAE6E-2A01-4B9D-B24D-03AE3BB55691}"/>
    <cellStyle name="40% - Accent2 32 3 2 2" xfId="41286" xr:uid="{719F08FF-A662-4B16-BA98-DC90243FC369}"/>
    <cellStyle name="40% - Accent2 32 3 3" xfId="41285" xr:uid="{3ACAEC81-54D2-4C31-8A84-3C5E2CB15B95}"/>
    <cellStyle name="40% - Accent2 32 4" xfId="19259" xr:uid="{32C92B3F-1011-43BD-8C25-5F448181AB78}"/>
    <cellStyle name="40% - Accent2 32 4 2" xfId="41287" xr:uid="{DD0469C9-B29E-44CB-9442-A6B3B716DCEA}"/>
    <cellStyle name="40% - Accent2 32 5" xfId="41280" xr:uid="{6F2BEBE2-864D-41AD-B9B6-EFAAB7FDF438}"/>
    <cellStyle name="40% - Accent2 33" xfId="3861" xr:uid="{95951403-327A-4FCB-A285-27CE428FC509}"/>
    <cellStyle name="40% - Accent2 33 2" xfId="11571" xr:uid="{FE24DBCF-AA49-4D11-9AE9-D5D7B0DFD490}"/>
    <cellStyle name="40% - Accent2 33 2 2" xfId="26983" xr:uid="{B9F28A8C-F71F-43E7-A091-8CE792F2768A}"/>
    <cellStyle name="40% - Accent2 33 2 2 2" xfId="41290" xr:uid="{A341FA95-5628-44CD-B57C-AB673FAED8E8}"/>
    <cellStyle name="40% - Accent2 33 2 3" xfId="41289" xr:uid="{EA7549CB-F94B-48A1-A07E-71EEA65B237B}"/>
    <cellStyle name="40% - Accent2 33 3" xfId="19278" xr:uid="{FB7A49FC-58F2-4F48-902D-F280C6AC700F}"/>
    <cellStyle name="40% - Accent2 33 3 2" xfId="41291" xr:uid="{757806CC-CAAE-4CB5-BEB4-602573F7C740}"/>
    <cellStyle name="40% - Accent2 33 4" xfId="41288" xr:uid="{8C1239F5-0EF7-4CD3-AD69-0C1CE6141F9D}"/>
    <cellStyle name="40% - Accent2 34" xfId="7592" xr:uid="{C54C1610-81FF-44B2-BB59-EBFEB7A0BFA8}"/>
    <cellStyle name="40% - Accent2 34 2" xfId="15300" xr:uid="{20F8CD23-8C4F-4AE9-A530-A3481FBB770C}"/>
    <cellStyle name="40% - Accent2 34 2 2" xfId="30712" xr:uid="{AA34DD19-8387-4448-8FCE-B7EEF0D6588D}"/>
    <cellStyle name="40% - Accent2 34 2 2 2" xfId="41294" xr:uid="{0B9EBDCF-50F8-4814-A7CF-538F914D0B51}"/>
    <cellStyle name="40% - Accent2 34 2 3" xfId="41293" xr:uid="{B9A344BC-C308-42B2-97EC-ADA65D7A9898}"/>
    <cellStyle name="40% - Accent2 34 3" xfId="23007" xr:uid="{E6AD9061-2E3B-4EFC-B769-57A62147C5B7}"/>
    <cellStyle name="40% - Accent2 34 3 2" xfId="41295" xr:uid="{CA293A5E-A09D-4EB5-9AF2-85A925E1B492}"/>
    <cellStyle name="40% - Accent2 34 4" xfId="41292" xr:uid="{4B1FBC9C-F41B-48C8-BB87-80CE9B9C3BF7}"/>
    <cellStyle name="40% - Accent2 35" xfId="7612" xr:uid="{6A7BE87B-0F12-4B53-BE7B-B975E9A38685}"/>
    <cellStyle name="40% - Accent2 35 2" xfId="15320" xr:uid="{17CAB36B-5569-47BD-893C-C318777E6B09}"/>
    <cellStyle name="40% - Accent2 35 2 2" xfId="30732" xr:uid="{0313A6F0-5FF9-4550-8279-DD853C605C6F}"/>
    <cellStyle name="40% - Accent2 35 2 2 2" xfId="41298" xr:uid="{CC70173D-FA6D-4C0C-8BD2-75B33B31360C}"/>
    <cellStyle name="40% - Accent2 35 2 3" xfId="41297" xr:uid="{4DE31DE5-3182-4139-A84B-5ABB3FC33624}"/>
    <cellStyle name="40% - Accent2 35 3" xfId="23027" xr:uid="{FBD0280F-DFCE-42FF-973E-4845092E6DCC}"/>
    <cellStyle name="40% - Accent2 35 3 2" xfId="41299" xr:uid="{82CDB416-C266-489C-9CED-DB4973CF1243}"/>
    <cellStyle name="40% - Accent2 35 4" xfId="41296" xr:uid="{F41A30D8-F348-47B6-8E78-D3BA8CCA3C6E}"/>
    <cellStyle name="40% - Accent2 36" xfId="7632" xr:uid="{691EA701-D05A-4F5B-BCCB-363E2F76294A}"/>
    <cellStyle name="40% - Accent2 36 2" xfId="15340" xr:uid="{5E28236A-92F5-4511-AD55-9B2576C50B35}"/>
    <cellStyle name="40% - Accent2 36 2 2" xfId="30752" xr:uid="{1489DAD0-6CE0-4B5A-B3CA-339871020F41}"/>
    <cellStyle name="40% - Accent2 36 2 2 2" xfId="41302" xr:uid="{01089016-DBA5-49C5-AED5-93A0A2E73A63}"/>
    <cellStyle name="40% - Accent2 36 2 3" xfId="41301" xr:uid="{41A1A5A7-B7FD-40EE-AB15-E77AEBE6BB7B}"/>
    <cellStyle name="40% - Accent2 36 3" xfId="23047" xr:uid="{EE1DF5C3-EC29-4DB0-A1E5-AC410451DE82}"/>
    <cellStyle name="40% - Accent2 36 3 2" xfId="41303" xr:uid="{AB06A03A-51A6-4954-A0F4-01172779A922}"/>
    <cellStyle name="40% - Accent2 36 4" xfId="41300" xr:uid="{70F061E3-8ED8-4345-8491-B88A4DDFD346}"/>
    <cellStyle name="40% - Accent2 37" xfId="7652" xr:uid="{DF78DA69-0C6C-4E4E-91F5-69272B69CE64}"/>
    <cellStyle name="40% - Accent2 37 2" xfId="15360" xr:uid="{B58B61CA-C500-40C9-BCDA-E698A9A6DE13}"/>
    <cellStyle name="40% - Accent2 37 2 2" xfId="30772" xr:uid="{E60315A2-32F0-49D5-A8B7-9A2FE12099A8}"/>
    <cellStyle name="40% - Accent2 37 2 2 2" xfId="41306" xr:uid="{0BBBA086-93F7-4222-8240-47F77003F843}"/>
    <cellStyle name="40% - Accent2 37 2 3" xfId="41305" xr:uid="{9F1AD362-D476-447F-A9A6-A4168BA9566F}"/>
    <cellStyle name="40% - Accent2 37 3" xfId="23067" xr:uid="{4EB3BB2D-7889-43D8-8E7E-D61BC251187E}"/>
    <cellStyle name="40% - Accent2 37 3 2" xfId="41307" xr:uid="{585BAB5E-87D2-45CF-BF42-3C830AB70696}"/>
    <cellStyle name="40% - Accent2 37 4" xfId="41304" xr:uid="{CE82014D-4750-43E4-ACDF-FEBD19472EC4}"/>
    <cellStyle name="40% - Accent2 38" xfId="7672" xr:uid="{94563529-9F44-4A8D-B322-8CFF31E1B77C}"/>
    <cellStyle name="40% - Accent2 38 2" xfId="15380" xr:uid="{76980677-5B4D-43D6-B967-B93D88F72C72}"/>
    <cellStyle name="40% - Accent2 38 2 2" xfId="30792" xr:uid="{B30811FC-BDD3-49EE-9E4A-AAC9093E5D2D}"/>
    <cellStyle name="40% - Accent2 38 2 2 2" xfId="41310" xr:uid="{BE60E7E1-49F0-4F30-8E4A-99EFC81CA613}"/>
    <cellStyle name="40% - Accent2 38 2 3" xfId="41309" xr:uid="{A3FC2CC6-0CBB-4A04-841F-CFBC7B5A0B1B}"/>
    <cellStyle name="40% - Accent2 38 3" xfId="23087" xr:uid="{91E07A00-5874-430F-A5D5-827A21ADE7F0}"/>
    <cellStyle name="40% - Accent2 38 3 2" xfId="41311" xr:uid="{26B2ED2F-5C7B-4644-A508-ED4386299A52}"/>
    <cellStyle name="40% - Accent2 38 4" xfId="41308" xr:uid="{96A66CCB-6354-4A37-B852-EB96ECE3AF1F}"/>
    <cellStyle name="40% - Accent2 39" xfId="7692" xr:uid="{63240A88-CF36-4611-B7A0-54B624F9CD1C}"/>
    <cellStyle name="40% - Accent2 39 2" xfId="15400" xr:uid="{DA341412-E7A7-4CC2-9B57-05B362A7D48E}"/>
    <cellStyle name="40% - Accent2 39 2 2" xfId="30812" xr:uid="{7959D26A-613C-4AF4-BEEF-355F6A100585}"/>
    <cellStyle name="40% - Accent2 39 2 2 2" xfId="41314" xr:uid="{DD84FF08-877C-4CA8-8F84-72225965420A}"/>
    <cellStyle name="40% - Accent2 39 2 3" xfId="41313" xr:uid="{4CCA91E8-5E3D-4BEC-806B-4DE59849C2FC}"/>
    <cellStyle name="40% - Accent2 39 3" xfId="23107" xr:uid="{3BBA6901-48C6-4A72-BA67-1CAF133443C6}"/>
    <cellStyle name="40% - Accent2 39 3 2" xfId="41315" xr:uid="{5155B4F1-7C00-4E7D-B572-377B2AE77673}"/>
    <cellStyle name="40% - Accent2 39 4" xfId="41312" xr:uid="{E2B8C9AD-E296-4425-805D-24CF05492D5E}"/>
    <cellStyle name="40% - Accent2 4" xfId="1617" xr:uid="{CA579D89-C2D3-4C0B-973D-9491E5FBB7DC}"/>
    <cellStyle name="40% - Accent2 4 2" xfId="5352" xr:uid="{79A73C26-1A3C-41F8-9A32-09AA22E6D609}"/>
    <cellStyle name="40% - Accent2 4 2 2" xfId="13060" xr:uid="{2BA28B9F-E2D8-40D7-AC15-D97D85878923}"/>
    <cellStyle name="40% - Accent2 4 2 2 2" xfId="28472" xr:uid="{0D4CD68E-FD8D-48C6-B8CF-99D4F6CD8507}"/>
    <cellStyle name="40% - Accent2 4 2 2 2 2" xfId="41319" xr:uid="{EC61384B-DB0D-447E-AD60-1AA9DB71F083}"/>
    <cellStyle name="40% - Accent2 4 2 2 3" xfId="41318" xr:uid="{08BE42B8-605D-43D2-8179-12B89BBE2814}"/>
    <cellStyle name="40% - Accent2 4 2 3" xfId="20767" xr:uid="{C692C144-2C15-4675-BBF9-35213CA930B2}"/>
    <cellStyle name="40% - Accent2 4 2 3 2" xfId="41320" xr:uid="{BE4D6918-6171-4E49-86C6-F7DE281FC0E1}"/>
    <cellStyle name="40% - Accent2 4 2 4" xfId="41317" xr:uid="{BE648FFE-990E-4CF8-8291-CCCFC28A15C0}"/>
    <cellStyle name="40% - Accent2 4 3" xfId="9333" xr:uid="{07A19D68-DCDC-411A-A9DF-5FCFD51C683D}"/>
    <cellStyle name="40% - Accent2 4 3 2" xfId="24746" xr:uid="{9A12F013-9CFE-46CF-AE97-A894A3E1C112}"/>
    <cellStyle name="40% - Accent2 4 3 2 2" xfId="41322" xr:uid="{3D42924E-B112-4787-9F5F-A3CE420F916E}"/>
    <cellStyle name="40% - Accent2 4 3 3" xfId="41321" xr:uid="{7A95EA1D-B035-4098-9A2F-7B66513ADD00}"/>
    <cellStyle name="40% - Accent2 4 4" xfId="17041" xr:uid="{13F89E8A-ABEF-4E65-ABDB-27567502E47F}"/>
    <cellStyle name="40% - Accent2 4 4 2" xfId="41323" xr:uid="{97756B49-7672-4086-A2A5-D3D75C6D54AF}"/>
    <cellStyle name="40% - Accent2 4 5" xfId="41316" xr:uid="{B2B8CD0B-E600-480B-815F-CA00A75ED26F}"/>
    <cellStyle name="40% - Accent2 40" xfId="7712" xr:uid="{01EB64C1-FAE5-4620-8E0C-9D60021699D5}"/>
    <cellStyle name="40% - Accent2 40 2" xfId="15420" xr:uid="{AFEF711B-CBB1-4709-A387-60B75027B310}"/>
    <cellStyle name="40% - Accent2 40 2 2" xfId="30832" xr:uid="{28B63A64-637C-4DDB-9FA6-A497B2231ABD}"/>
    <cellStyle name="40% - Accent2 40 2 2 2" xfId="41326" xr:uid="{F514A09E-91BA-4301-B6BC-F58735EA5437}"/>
    <cellStyle name="40% - Accent2 40 2 3" xfId="41325" xr:uid="{8ECD4B76-B064-44A0-96D5-2E6B9B2A3254}"/>
    <cellStyle name="40% - Accent2 40 3" xfId="23127" xr:uid="{161C82B8-BBFF-4A3D-A102-3D34B1B050DF}"/>
    <cellStyle name="40% - Accent2 40 3 2" xfId="41327" xr:uid="{31070CB5-21F3-403D-8237-9884AA92121D}"/>
    <cellStyle name="40% - Accent2 40 4" xfId="41324" xr:uid="{FB89E468-83B2-4E78-9688-755D63AF38AF}"/>
    <cellStyle name="40% - Accent2 41" xfId="7732" xr:uid="{B39648F8-7891-4DC7-93EE-EBE0B85B9B5E}"/>
    <cellStyle name="40% - Accent2 41 2" xfId="15440" xr:uid="{EFB5F1F0-1067-4689-A49B-E30A9FD129B1}"/>
    <cellStyle name="40% - Accent2 41 2 2" xfId="30852" xr:uid="{F4EE0EC0-15CF-4AB2-B10F-6C6F333A0E5D}"/>
    <cellStyle name="40% - Accent2 41 2 2 2" xfId="41330" xr:uid="{836BEB2E-9D25-4C83-ADF9-65521DA0F903}"/>
    <cellStyle name="40% - Accent2 41 2 3" xfId="41329" xr:uid="{AFD249E3-A00C-45F7-945D-3CCEAE6BAD4F}"/>
    <cellStyle name="40% - Accent2 41 3" xfId="23147" xr:uid="{B3F77273-8BBA-47F6-BD2A-240DD3CCDE0D}"/>
    <cellStyle name="40% - Accent2 41 3 2" xfId="41331" xr:uid="{FD04FF08-5F70-47BD-9AE7-543F449F6AA6}"/>
    <cellStyle name="40% - Accent2 41 4" xfId="41328" xr:uid="{8BC13A8E-91FF-4D47-9ADB-54F35A736851}"/>
    <cellStyle name="40% - Accent2 42" xfId="7752" xr:uid="{E163B19F-01A3-45A9-870A-0FDF03A1C5E6}"/>
    <cellStyle name="40% - Accent2 42 2" xfId="15460" xr:uid="{013720B1-8A9B-4573-A1C8-A8BA7EBFE81A}"/>
    <cellStyle name="40% - Accent2 42 2 2" xfId="30872" xr:uid="{404DBAA9-05C2-4149-8FD0-F0CAD781CE6F}"/>
    <cellStyle name="40% - Accent2 42 2 2 2" xfId="41334" xr:uid="{C5AF16BA-F92A-401E-B065-245C478E558C}"/>
    <cellStyle name="40% - Accent2 42 2 3" xfId="41333" xr:uid="{3D03817E-566E-485F-818D-3020C4BCD717}"/>
    <cellStyle name="40% - Accent2 42 3" xfId="23167" xr:uid="{CBC7D479-49A7-4AE3-BCFF-5FD26EB52573}"/>
    <cellStyle name="40% - Accent2 42 3 2" xfId="41335" xr:uid="{B6624331-2A3B-4980-86F3-5F0CDD1AC5CE}"/>
    <cellStyle name="40% - Accent2 42 4" xfId="41332" xr:uid="{72CE87C8-BCB4-4131-AEE5-89207F02551D}"/>
    <cellStyle name="40% - Accent2 43" xfId="7772" xr:uid="{4EB9D424-DBD2-47CC-A032-F0048291AC6F}"/>
    <cellStyle name="40% - Accent2 43 2" xfId="15480" xr:uid="{7D2467E9-C806-49F2-AB6F-AF202416399D}"/>
    <cellStyle name="40% - Accent2 43 2 2" xfId="30892" xr:uid="{937A963A-38A3-454E-B8B8-5437D95975C8}"/>
    <cellStyle name="40% - Accent2 43 2 2 2" xfId="41338" xr:uid="{976D4BB5-38A0-49A9-833D-4D9D9AF5BF48}"/>
    <cellStyle name="40% - Accent2 43 2 3" xfId="41337" xr:uid="{E5843EED-433A-4F78-8F76-A993F89DD79E}"/>
    <cellStyle name="40% - Accent2 43 3" xfId="23187" xr:uid="{A4C69519-4A5D-4C3E-8C7D-877D9756041A}"/>
    <cellStyle name="40% - Accent2 43 3 2" xfId="41339" xr:uid="{41033E29-6351-4B79-A181-8C8193B244C4}"/>
    <cellStyle name="40% - Accent2 43 4" xfId="41336" xr:uid="{FD0FBBE5-0301-4CB1-B48C-56BFF90E6B0D}"/>
    <cellStyle name="40% - Accent2 44" xfId="7792" xr:uid="{0BC071AA-CD05-4B36-A68A-C2AFA995514C}"/>
    <cellStyle name="40% - Accent2 44 2" xfId="15500" xr:uid="{50409FA8-824E-48A7-AE83-01AD195215E7}"/>
    <cellStyle name="40% - Accent2 44 2 2" xfId="30912" xr:uid="{2BE3C1C3-0BB4-4C05-9771-B6794F54D69B}"/>
    <cellStyle name="40% - Accent2 44 2 2 2" xfId="41342" xr:uid="{3F0E904F-01E2-4E24-97DE-C69610B5CF7E}"/>
    <cellStyle name="40% - Accent2 44 2 3" xfId="41341" xr:uid="{B208E480-CA2C-4003-8F15-36C1CDAA5BA6}"/>
    <cellStyle name="40% - Accent2 44 3" xfId="23207" xr:uid="{09E33F6B-CEBE-4F4B-9CBB-77B639579415}"/>
    <cellStyle name="40% - Accent2 44 3 2" xfId="41343" xr:uid="{5731917D-8A43-42DF-99B6-2E40030CB5AB}"/>
    <cellStyle name="40% - Accent2 44 4" xfId="41340" xr:uid="{17097C12-CBB3-4B7B-90C6-3583B6209669}"/>
    <cellStyle name="40% - Accent2 45" xfId="7814" xr:uid="{A071CBD5-F4F6-40A3-B958-E0665F2223AF}"/>
    <cellStyle name="40% - Accent2 45 2" xfId="15522" xr:uid="{819346BC-CA94-406B-A665-7E6D7CD0C950}"/>
    <cellStyle name="40% - Accent2 45 2 2" xfId="30934" xr:uid="{97EE7F18-C411-4B06-84F9-A6985BFACE92}"/>
    <cellStyle name="40% - Accent2 45 2 2 2" xfId="41346" xr:uid="{0F13CE25-99EF-4930-B725-EA9AF3B39572}"/>
    <cellStyle name="40% - Accent2 45 2 3" xfId="41345" xr:uid="{CE4AA8DF-1EFC-469D-A1CA-F85A45EDE177}"/>
    <cellStyle name="40% - Accent2 45 3" xfId="23229" xr:uid="{4187420E-FD95-48C7-807A-A7392680AEBC}"/>
    <cellStyle name="40% - Accent2 45 3 2" xfId="41347" xr:uid="{01669899-15DC-46E9-86A4-1DC57D2B50D3}"/>
    <cellStyle name="40% - Accent2 45 4" xfId="41344" xr:uid="{E7ABF768-4834-43F6-AC2E-E38496E0AE2F}"/>
    <cellStyle name="40% - Accent2 46" xfId="7835" xr:uid="{B2990D41-B63B-4C62-BC96-7392B0A75644}"/>
    <cellStyle name="40% - Accent2 46 2" xfId="15543" xr:uid="{CEFB6FA6-1604-4862-AED9-CEAFAC155225}"/>
    <cellStyle name="40% - Accent2 46 2 2" xfId="30954" xr:uid="{D34F0669-C3CE-46E5-BC07-3274C6129492}"/>
    <cellStyle name="40% - Accent2 46 2 2 2" xfId="41350" xr:uid="{94FC14A6-F0E8-4D37-8AF9-0FA6DC3F064D}"/>
    <cellStyle name="40% - Accent2 46 2 3" xfId="41349" xr:uid="{D941670B-C88C-4CEF-B563-17786F2EE5B4}"/>
    <cellStyle name="40% - Accent2 46 3" xfId="23249" xr:uid="{F3FA58E7-783C-47EF-9AFF-8CE3EC95AD19}"/>
    <cellStyle name="40% - Accent2 46 3 2" xfId="41351" xr:uid="{5345160D-1912-4BC5-A5B9-A6B30CA4C178}"/>
    <cellStyle name="40% - Accent2 46 4" xfId="41348" xr:uid="{1ED3A821-644A-4EC8-B9F7-D7A69E159455}"/>
    <cellStyle name="40% - Accent2 47" xfId="7855" xr:uid="{DF7E6F24-25D3-4E68-B979-DE85A59B363A}"/>
    <cellStyle name="40% - Accent2 47 2" xfId="15563" xr:uid="{A102DE99-19F4-4C28-9610-68C2BA0530D5}"/>
    <cellStyle name="40% - Accent2 47 2 2" xfId="30974" xr:uid="{CE727403-0FA3-454E-B7AA-66735076F461}"/>
    <cellStyle name="40% - Accent2 47 2 2 2" xfId="41354" xr:uid="{81F00668-8A43-4116-9211-50D44C838029}"/>
    <cellStyle name="40% - Accent2 47 2 3" xfId="41353" xr:uid="{5C067897-53EC-4773-935D-4F77E62C0FAD}"/>
    <cellStyle name="40% - Accent2 47 3" xfId="23269" xr:uid="{249B0DD0-6B07-411C-BBE0-DC46FC854204}"/>
    <cellStyle name="40% - Accent2 47 3 2" xfId="41355" xr:uid="{A7B4551F-A556-499A-80FF-9A20059A167C}"/>
    <cellStyle name="40% - Accent2 47 4" xfId="41352" xr:uid="{2F61E6E5-53A2-452B-A39A-8DAA0800AE02}"/>
    <cellStyle name="40% - Accent2 48" xfId="7908" xr:uid="{5B4151F6-A285-4AE0-85BF-E8970433EA02}"/>
    <cellStyle name="40% - Accent2 48 2" xfId="23321" xr:uid="{88EDAC23-3C23-4B42-AC70-B5FA23AE8BFA}"/>
    <cellStyle name="40% - Accent2 48 2 2" xfId="41357" xr:uid="{B8B07943-0E79-487C-B8C1-50A626243B6E}"/>
    <cellStyle name="40% - Accent2 48 3" xfId="41356" xr:uid="{58946890-A719-45B2-9EC0-0440BE17AFC8}"/>
    <cellStyle name="40% - Accent2 49" xfId="15616" xr:uid="{8F227924-D429-4F44-AD7A-AE793B40E8FA}"/>
    <cellStyle name="40% - Accent2 49 2" xfId="41358" xr:uid="{076B2B74-0385-46F2-AE9D-E0FA090A958D}"/>
    <cellStyle name="40% - Accent2 5" xfId="3300" xr:uid="{A5C77DF8-7411-4B94-8D13-33791738F6F2}"/>
    <cellStyle name="40% - Accent2 5 2" xfId="7032" xr:uid="{E198C1E4-EC0F-4306-8982-ECD949409D19}"/>
    <cellStyle name="40% - Accent2 5 2 2" xfId="14740" xr:uid="{2C93608F-F35A-4D02-A81B-852AB9398A76}"/>
    <cellStyle name="40% - Accent2 5 2 2 2" xfId="30152" xr:uid="{7446BE83-646B-45E0-B224-935CBDE91B5C}"/>
    <cellStyle name="40% - Accent2 5 2 2 2 2" xfId="41362" xr:uid="{C81C6983-B37F-4978-8036-55279F75D6B8}"/>
    <cellStyle name="40% - Accent2 5 2 2 3" xfId="41361" xr:uid="{6A8CD4D6-04C7-4AE5-BC7A-0DE1BA608FEB}"/>
    <cellStyle name="40% - Accent2 5 2 3" xfId="22447" xr:uid="{5FBB1556-F8D4-4764-8BFF-95F108FDA848}"/>
    <cellStyle name="40% - Accent2 5 2 3 2" xfId="41363" xr:uid="{0B7F0AD6-E275-4E44-B37F-8EB2BAF9903C}"/>
    <cellStyle name="40% - Accent2 5 2 4" xfId="41360" xr:uid="{1313F34B-EC36-4127-ADB6-C6AAE1CF9B36}"/>
    <cellStyle name="40% - Accent2 5 3" xfId="11011" xr:uid="{E2C43B13-68EE-465A-88C6-6169C1DBCB30}"/>
    <cellStyle name="40% - Accent2 5 3 2" xfId="26424" xr:uid="{C7891536-06BE-40E4-BE3E-979D350E5D91}"/>
    <cellStyle name="40% - Accent2 5 3 2 2" xfId="41365" xr:uid="{D996B3E1-745D-4495-ACC4-B12E195E2CD2}"/>
    <cellStyle name="40% - Accent2 5 3 3" xfId="41364" xr:uid="{53415EBF-D558-4D9E-9814-CD4AD94366D2}"/>
    <cellStyle name="40% - Accent2 5 4" xfId="18719" xr:uid="{CA5E1CF5-FBB0-4645-B9A1-A5C6FA57A86F}"/>
    <cellStyle name="40% - Accent2 5 4 2" xfId="41366" xr:uid="{DA5B9BCC-834A-476A-968C-C2E512B4A824}"/>
    <cellStyle name="40% - Accent2 5 5" xfId="41359" xr:uid="{8E705DC4-7561-4794-95DB-1CBADB5ADC9A}"/>
    <cellStyle name="40% - Accent2 50" xfId="30994" xr:uid="{DEF7F496-E80E-45AB-84D4-F0234468F64D}"/>
    <cellStyle name="40% - Accent2 50 2" xfId="41367" xr:uid="{968F00B1-09CB-4341-B0F8-33F792BE8A23}"/>
    <cellStyle name="40% - Accent2 51" xfId="40815" xr:uid="{0BD314D2-589F-4B61-9140-CF544C6C0E8B}"/>
    <cellStyle name="40% - Accent2 52" xfId="61974" xr:uid="{E423CBEA-8195-4756-A1FA-DE2CB08F96F2}"/>
    <cellStyle name="40% - Accent2 53" xfId="61994" xr:uid="{A9AB1E21-817F-4C7F-A089-51BF4A29F706}"/>
    <cellStyle name="40% - Accent2 54" xfId="62014" xr:uid="{BB5EAD42-44C2-401E-86E9-8F7F4BFD73B9}"/>
    <cellStyle name="40% - Accent2 55" xfId="62036" xr:uid="{80D79B54-7628-4799-97D9-D92EA2FBC405}"/>
    <cellStyle name="40% - Accent2 56" xfId="62059" xr:uid="{DCA02F68-43A0-453E-A4E3-00FAE305E48D}"/>
    <cellStyle name="40% - Accent2 57" xfId="62083" xr:uid="{49F40143-60B7-4E5F-A45D-3C17B1064400}"/>
    <cellStyle name="40% - Accent2 6" xfId="3320" xr:uid="{878AE378-8867-4F2B-944F-FC19780960CB}"/>
    <cellStyle name="40% - Accent2 6 2" xfId="7052" xr:uid="{EA79DDC6-D603-43C1-A209-5EDC5C104553}"/>
    <cellStyle name="40% - Accent2 6 2 2" xfId="14760" xr:uid="{F4192A38-2C57-4BC2-ABFA-D83C329147A5}"/>
    <cellStyle name="40% - Accent2 6 2 2 2" xfId="30172" xr:uid="{8F2C66EC-7BE3-44B5-9029-B07B539B58FA}"/>
    <cellStyle name="40% - Accent2 6 2 2 2 2" xfId="41371" xr:uid="{880CD012-B705-468C-9964-BEE24AED2BC6}"/>
    <cellStyle name="40% - Accent2 6 2 2 3" xfId="41370" xr:uid="{A07AEA13-7688-4878-A1AC-E974F72A2153}"/>
    <cellStyle name="40% - Accent2 6 2 3" xfId="22467" xr:uid="{BBA52700-5E2F-477A-96D4-599B89F4D670}"/>
    <cellStyle name="40% - Accent2 6 2 3 2" xfId="41372" xr:uid="{9B6D8B2D-B7C5-401B-B0D8-801D92B6029B}"/>
    <cellStyle name="40% - Accent2 6 2 4" xfId="41369" xr:uid="{6A1A7D89-9D7A-4926-BB62-D3DED1C07FC7}"/>
    <cellStyle name="40% - Accent2 6 3" xfId="11031" xr:uid="{9685F48B-914C-4952-AEFA-FCE8F63C669D}"/>
    <cellStyle name="40% - Accent2 6 3 2" xfId="26444" xr:uid="{008A6073-DD31-4185-8CD0-B51366DBE0DB}"/>
    <cellStyle name="40% - Accent2 6 3 2 2" xfId="41374" xr:uid="{519F69E0-00CA-4EAA-8B52-2E04502ACB73}"/>
    <cellStyle name="40% - Accent2 6 3 3" xfId="41373" xr:uid="{A4A10295-E2EF-4669-A6F6-A7033AC80ED8}"/>
    <cellStyle name="40% - Accent2 6 4" xfId="18739" xr:uid="{12F21ED7-0F85-4582-8BE3-BA1844415D41}"/>
    <cellStyle name="40% - Accent2 6 4 2" xfId="41375" xr:uid="{B12650CE-4B8D-4325-B4B7-E77ACE23CD66}"/>
    <cellStyle name="40% - Accent2 6 5" xfId="41368" xr:uid="{C9C1B24F-479D-433D-9949-A7CD27104192}"/>
    <cellStyle name="40% - Accent2 7" xfId="3340" xr:uid="{A5F56CE8-B1DD-4B27-BE29-1D4506FD1FDE}"/>
    <cellStyle name="40% - Accent2 7 2" xfId="7072" xr:uid="{EE879D29-1DF3-48CD-A546-7CFE79FB4E76}"/>
    <cellStyle name="40% - Accent2 7 2 2" xfId="14780" xr:uid="{5004A1F7-307D-45BA-A553-C5D3F1B4A974}"/>
    <cellStyle name="40% - Accent2 7 2 2 2" xfId="30192" xr:uid="{0D6FD2B6-C3D6-42A7-9921-58AA46761EE1}"/>
    <cellStyle name="40% - Accent2 7 2 2 2 2" xfId="41379" xr:uid="{0E21C89D-7144-4C0A-A6D5-2B0BCBD6E8F6}"/>
    <cellStyle name="40% - Accent2 7 2 2 3" xfId="41378" xr:uid="{67B6CC04-EA0A-431A-9DD2-E52ED3E9E2AD}"/>
    <cellStyle name="40% - Accent2 7 2 3" xfId="22487" xr:uid="{1F35C4A9-9B65-4C9E-AFE0-4B29995844FF}"/>
    <cellStyle name="40% - Accent2 7 2 3 2" xfId="41380" xr:uid="{B636E940-311E-4B0C-BBC9-FA08327050E4}"/>
    <cellStyle name="40% - Accent2 7 2 4" xfId="41377" xr:uid="{D3CEECA5-778C-47BD-90C5-83ECEB2D0CC0}"/>
    <cellStyle name="40% - Accent2 7 3" xfId="11051" xr:uid="{8C14F606-17FC-4039-8980-16A9A5AA98D1}"/>
    <cellStyle name="40% - Accent2 7 3 2" xfId="26464" xr:uid="{C15274B4-CFF3-46DC-B6A1-662190E6B3B3}"/>
    <cellStyle name="40% - Accent2 7 3 2 2" xfId="41382" xr:uid="{7EFCF76B-D282-47F7-8E2C-91BEAB033217}"/>
    <cellStyle name="40% - Accent2 7 3 3" xfId="41381" xr:uid="{A1B5CE65-0B8A-4EFB-ABD3-B3A9947FB09F}"/>
    <cellStyle name="40% - Accent2 7 4" xfId="18759" xr:uid="{8811CB41-4AD8-4FA1-A3D0-2B888EDC8E94}"/>
    <cellStyle name="40% - Accent2 7 4 2" xfId="41383" xr:uid="{87C52BFC-8C72-49DA-AA2B-D8DC55CD4DD7}"/>
    <cellStyle name="40% - Accent2 7 5" xfId="41376" xr:uid="{DD84C55D-8DAC-446B-9C50-417C1B37FE7D}"/>
    <cellStyle name="40% - Accent2 8" xfId="3360" xr:uid="{8ADBB5E7-A0AE-4984-A794-529EE0BE1CC2}"/>
    <cellStyle name="40% - Accent2 8 2" xfId="7092" xr:uid="{DE2DA757-6DBA-4ACF-A0EE-A13FFDBC7399}"/>
    <cellStyle name="40% - Accent2 8 2 2" xfId="14800" xr:uid="{1811DA1E-E161-4651-ADD8-F4BAAA93ABE7}"/>
    <cellStyle name="40% - Accent2 8 2 2 2" xfId="30212" xr:uid="{C0B58835-619B-4873-BA28-E7F6B998CAC4}"/>
    <cellStyle name="40% - Accent2 8 2 2 2 2" xfId="41387" xr:uid="{1EF50D55-D8E4-4E6A-9C10-F81CB270B52C}"/>
    <cellStyle name="40% - Accent2 8 2 2 3" xfId="41386" xr:uid="{A2E8519F-0E1A-4531-8B68-04874FC2014B}"/>
    <cellStyle name="40% - Accent2 8 2 3" xfId="22507" xr:uid="{C66DCFFE-843F-4235-89C6-94D933A90375}"/>
    <cellStyle name="40% - Accent2 8 2 3 2" xfId="41388" xr:uid="{C9988A3F-314C-4EA0-A884-B11793932E67}"/>
    <cellStyle name="40% - Accent2 8 2 4" xfId="41385" xr:uid="{6809C295-1DEB-49EB-9FF7-79B6A50E914D}"/>
    <cellStyle name="40% - Accent2 8 3" xfId="11071" xr:uid="{C9E90CD1-C7A3-4F40-A4A7-D334D2205F19}"/>
    <cellStyle name="40% - Accent2 8 3 2" xfId="26484" xr:uid="{B7F4074D-4A20-4930-A2D6-513D1E02C6B8}"/>
    <cellStyle name="40% - Accent2 8 3 2 2" xfId="41390" xr:uid="{1400F49C-6E33-42E4-94C3-AAA8F7FA362E}"/>
    <cellStyle name="40% - Accent2 8 3 3" xfId="41389" xr:uid="{0799F5B7-41E3-460B-8A86-0D452F3EEE8C}"/>
    <cellStyle name="40% - Accent2 8 4" xfId="18779" xr:uid="{E7E46DC0-D373-4E88-B0C1-4A203BB5F076}"/>
    <cellStyle name="40% - Accent2 8 4 2" xfId="41391" xr:uid="{B8A319A4-9CEF-4FCE-876C-A2C5EBAD73A1}"/>
    <cellStyle name="40% - Accent2 8 5" xfId="41384" xr:uid="{95BE6900-5599-478A-9325-686D9DB0CA48}"/>
    <cellStyle name="40% - Accent2 9" xfId="3380" xr:uid="{14432882-4CD6-40B2-8541-47E86C9CD7DC}"/>
    <cellStyle name="40% - Accent2 9 2" xfId="7112" xr:uid="{BFFF327B-A752-45D1-B0E9-A227ACD0F6EA}"/>
    <cellStyle name="40% - Accent2 9 2 2" xfId="14820" xr:uid="{F33F4B9C-855C-4BA0-9E2D-AAD673DACCBF}"/>
    <cellStyle name="40% - Accent2 9 2 2 2" xfId="30232" xr:uid="{4CCC3875-8D4C-4381-98DD-0C6961923A00}"/>
    <cellStyle name="40% - Accent2 9 2 2 2 2" xfId="41395" xr:uid="{4479BC68-324D-496C-896A-53FA93C8F0BF}"/>
    <cellStyle name="40% - Accent2 9 2 2 3" xfId="41394" xr:uid="{66879342-7396-4F3A-92AA-759777918BE5}"/>
    <cellStyle name="40% - Accent2 9 2 3" xfId="22527" xr:uid="{128138E7-263F-430B-BDB1-A26DC4D52B4B}"/>
    <cellStyle name="40% - Accent2 9 2 3 2" xfId="41396" xr:uid="{ABE1BBA6-3AF0-4F69-9F0E-AF4D8BEBDC45}"/>
    <cellStyle name="40% - Accent2 9 2 4" xfId="41393" xr:uid="{BE2A3B48-46C0-4001-8F65-3CB7DC6B8DE9}"/>
    <cellStyle name="40% - Accent2 9 3" xfId="11091" xr:uid="{F8F5E92C-2FC7-4A0F-9B72-4F0E88450CDD}"/>
    <cellStyle name="40% - Accent2 9 3 2" xfId="26504" xr:uid="{CEC8E590-58B3-43E1-8F9D-EB817004E771}"/>
    <cellStyle name="40% - Accent2 9 3 2 2" xfId="41398" xr:uid="{EF7FEBAA-6843-4327-85E9-46BA7568716D}"/>
    <cellStyle name="40% - Accent2 9 3 3" xfId="41397" xr:uid="{32FF06DF-BCA1-44B3-B1E9-8782FAA5D189}"/>
    <cellStyle name="40% - Accent2 9 4" xfId="18799" xr:uid="{F4C6EAE2-C6A7-4E29-B4BE-5B4624C268FF}"/>
    <cellStyle name="40% - Accent2 9 4 2" xfId="41399" xr:uid="{FE3E4D36-D727-4492-8F69-9DCB48CCDD87}"/>
    <cellStyle name="40% - Accent2 9 5" xfId="41392" xr:uid="{E8750C2A-BF8B-4574-9392-8656473A1C49}"/>
    <cellStyle name="40% - Accent3 10" xfId="3403" xr:uid="{E8C7E513-9B17-48C6-9FC1-09077BDCE34C}"/>
    <cellStyle name="40% - Accent3 10 2" xfId="7135" xr:uid="{34EB57E5-AC9E-4B42-843D-EC3A7E530D46}"/>
    <cellStyle name="40% - Accent3 10 2 2" xfId="14843" xr:uid="{CDA3FBD8-0B11-4F43-81C3-A5B5BFA863FB}"/>
    <cellStyle name="40% - Accent3 10 2 2 2" xfId="30255" xr:uid="{C56FF1B3-E37A-4F55-904F-C589B936D03F}"/>
    <cellStyle name="40% - Accent3 10 2 2 2 2" xfId="41404" xr:uid="{5878C138-94C0-4053-8DE4-D2C84476B342}"/>
    <cellStyle name="40% - Accent3 10 2 2 3" xfId="41403" xr:uid="{630B780F-562C-4051-AEEA-63F565228EF7}"/>
    <cellStyle name="40% - Accent3 10 2 3" xfId="22550" xr:uid="{F7E9029A-9E55-473C-B1C3-E011F60F8BB8}"/>
    <cellStyle name="40% - Accent3 10 2 3 2" xfId="41405" xr:uid="{3203CE1C-E16F-4C73-89C3-44361C8BDA28}"/>
    <cellStyle name="40% - Accent3 10 2 4" xfId="41402" xr:uid="{A3232D6C-5D0C-4353-B9FD-30E9CBE73484}"/>
    <cellStyle name="40% - Accent3 10 3" xfId="11114" xr:uid="{B28581FD-73A8-4DDF-90D6-613034E39E8B}"/>
    <cellStyle name="40% - Accent3 10 3 2" xfId="26527" xr:uid="{EDB25B80-28C4-4F53-86EF-E412B7E931DD}"/>
    <cellStyle name="40% - Accent3 10 3 2 2" xfId="41407" xr:uid="{3870D118-AC95-48AA-9F84-A5115902A3C0}"/>
    <cellStyle name="40% - Accent3 10 3 3" xfId="41406" xr:uid="{3D642BC4-7870-4410-AC6B-5A387B6A0BA8}"/>
    <cellStyle name="40% - Accent3 10 4" xfId="18822" xr:uid="{CA8F77B3-D274-41F3-994F-BC9F4CAA056F}"/>
    <cellStyle name="40% - Accent3 10 4 2" xfId="41408" xr:uid="{38A1DA16-27A1-4F92-B195-3AECD18ED4E3}"/>
    <cellStyle name="40% - Accent3 10 5" xfId="41401" xr:uid="{0E2491E1-B7D9-45D6-AE34-C440DDD8C095}"/>
    <cellStyle name="40% - Accent3 11" xfId="3423" xr:uid="{3C781842-EF73-4123-B193-84F4BAD8BAFC}"/>
    <cellStyle name="40% - Accent3 11 2" xfId="7155" xr:uid="{15C85737-471B-4F70-A370-C2E42080350D}"/>
    <cellStyle name="40% - Accent3 11 2 2" xfId="14863" xr:uid="{D671BBB6-72FC-45BE-99C8-CEEAB30D0BEB}"/>
    <cellStyle name="40% - Accent3 11 2 2 2" xfId="30275" xr:uid="{31C07A8E-8C59-4495-9BBC-EA38E5E33660}"/>
    <cellStyle name="40% - Accent3 11 2 2 2 2" xfId="41412" xr:uid="{B8B52DBD-CE22-4AB5-AA2A-56CAB6C76CE4}"/>
    <cellStyle name="40% - Accent3 11 2 2 3" xfId="41411" xr:uid="{EF0582C8-7BE8-4F39-9315-BB4EB0970E5B}"/>
    <cellStyle name="40% - Accent3 11 2 3" xfId="22570" xr:uid="{FF1CC964-4362-4784-B967-308491A967C3}"/>
    <cellStyle name="40% - Accent3 11 2 3 2" xfId="41413" xr:uid="{41668351-D3E2-48C3-B173-3F828ED5C65E}"/>
    <cellStyle name="40% - Accent3 11 2 4" xfId="41410" xr:uid="{38D48DAB-EBA9-4996-B1B2-ACD879B58B6D}"/>
    <cellStyle name="40% - Accent3 11 3" xfId="11134" xr:uid="{AEF9B8E6-B958-47AB-91C5-2510F8F5C10A}"/>
    <cellStyle name="40% - Accent3 11 3 2" xfId="26547" xr:uid="{7F82A403-C072-4B37-9913-9662F262F65A}"/>
    <cellStyle name="40% - Accent3 11 3 2 2" xfId="41415" xr:uid="{4C37315E-74DE-4654-9406-347381FF1AAC}"/>
    <cellStyle name="40% - Accent3 11 3 3" xfId="41414" xr:uid="{0D63D667-EB7D-4060-9E73-2A355FF36B51}"/>
    <cellStyle name="40% - Accent3 11 4" xfId="18842" xr:uid="{57B4B1B0-D182-4889-A1FC-367E83558CAA}"/>
    <cellStyle name="40% - Accent3 11 4 2" xfId="41416" xr:uid="{A0FBFE0C-B4C7-4608-B8F4-1CB3130A393F}"/>
    <cellStyle name="40% - Accent3 11 5" xfId="41409" xr:uid="{B7B58700-3FD5-4A3C-9FDA-67E9141281BF}"/>
    <cellStyle name="40% - Accent3 12" xfId="3443" xr:uid="{23C7AE9A-D7C6-4CEC-B63D-DA7B102CBD29}"/>
    <cellStyle name="40% - Accent3 12 2" xfId="7175" xr:uid="{F71D9BA4-0A2B-45D0-9DCE-9868C86225C0}"/>
    <cellStyle name="40% - Accent3 12 2 2" xfId="14883" xr:uid="{DD3174E7-5468-4F65-B6DB-79B34F45B680}"/>
    <cellStyle name="40% - Accent3 12 2 2 2" xfId="30295" xr:uid="{6494CB70-7390-4DC5-9BC0-A8194F3FFA23}"/>
    <cellStyle name="40% - Accent3 12 2 2 2 2" xfId="41420" xr:uid="{B729B6CC-86BA-445C-94F6-0B89C77399DD}"/>
    <cellStyle name="40% - Accent3 12 2 2 3" xfId="41419" xr:uid="{706CBE75-8F88-4806-8AD9-2B46F7E8735E}"/>
    <cellStyle name="40% - Accent3 12 2 3" xfId="22590" xr:uid="{6F822B67-9AFC-44BD-939D-8B89C00B4C7E}"/>
    <cellStyle name="40% - Accent3 12 2 3 2" xfId="41421" xr:uid="{4AD0FBD2-4272-47FF-B814-DD2DDD307DBC}"/>
    <cellStyle name="40% - Accent3 12 2 4" xfId="41418" xr:uid="{76FBD440-DFB7-4345-AA9D-5B81FD562A78}"/>
    <cellStyle name="40% - Accent3 12 3" xfId="11154" xr:uid="{FBFF4401-A641-4D4C-B139-6951F96C8A27}"/>
    <cellStyle name="40% - Accent3 12 3 2" xfId="26567" xr:uid="{D8DA30D2-60A2-4149-8575-49FC36CDCBBC}"/>
    <cellStyle name="40% - Accent3 12 3 2 2" xfId="41423" xr:uid="{EF3D6657-169C-4A69-8F71-C68374CFB82F}"/>
    <cellStyle name="40% - Accent3 12 3 3" xfId="41422" xr:uid="{C1787899-45E6-40F4-B552-38965E5595EC}"/>
    <cellStyle name="40% - Accent3 12 4" xfId="18862" xr:uid="{105DDE91-D82F-48EA-9B63-F65A4F0ACBCF}"/>
    <cellStyle name="40% - Accent3 12 4 2" xfId="41424" xr:uid="{5F23BE09-313C-4706-8E04-E23A35D3C611}"/>
    <cellStyle name="40% - Accent3 12 5" xfId="41417" xr:uid="{7A9897C8-C707-45C5-8ECE-C4064406EC8C}"/>
    <cellStyle name="40% - Accent3 13" xfId="3463" xr:uid="{0BAA3D65-7B05-4821-B7E8-669F6C24E232}"/>
    <cellStyle name="40% - Accent3 13 2" xfId="7195" xr:uid="{CF5E6240-84EF-479A-8226-BD5CAEE09F57}"/>
    <cellStyle name="40% - Accent3 13 2 2" xfId="14903" xr:uid="{F0E55454-39E8-4D65-8DF5-A387724E2416}"/>
    <cellStyle name="40% - Accent3 13 2 2 2" xfId="30315" xr:uid="{BFA1FD09-64FC-4552-A2EA-B64214DCE4DE}"/>
    <cellStyle name="40% - Accent3 13 2 2 2 2" xfId="41428" xr:uid="{F1B2BD31-C176-45B4-9BC1-DDDFDD7249A1}"/>
    <cellStyle name="40% - Accent3 13 2 2 3" xfId="41427" xr:uid="{4EB65A17-2994-4330-AEA4-475CF3D45A66}"/>
    <cellStyle name="40% - Accent3 13 2 3" xfId="22610" xr:uid="{1BD15923-17EB-4053-A8C5-43A2F907D234}"/>
    <cellStyle name="40% - Accent3 13 2 3 2" xfId="41429" xr:uid="{8A37C97C-72E4-491A-B37C-8A094399E02A}"/>
    <cellStyle name="40% - Accent3 13 2 4" xfId="41426" xr:uid="{D5C0ACFE-7F72-44C0-9FB0-337AF75B338B}"/>
    <cellStyle name="40% - Accent3 13 3" xfId="11174" xr:uid="{4EF30F16-DD35-4822-ADAB-FD659E525858}"/>
    <cellStyle name="40% - Accent3 13 3 2" xfId="26587" xr:uid="{A9FABC2E-2331-464A-87A9-333E5DA871EA}"/>
    <cellStyle name="40% - Accent3 13 3 2 2" xfId="41431" xr:uid="{7960C97C-F5D6-4FDC-9BAE-C617CD8EFE8D}"/>
    <cellStyle name="40% - Accent3 13 3 3" xfId="41430" xr:uid="{7C61ED71-AB98-4FCB-994F-CA245B29D17F}"/>
    <cellStyle name="40% - Accent3 13 4" xfId="18882" xr:uid="{A3410F94-F7E5-4C5E-8DB1-FBEE0FAB27EE}"/>
    <cellStyle name="40% - Accent3 13 4 2" xfId="41432" xr:uid="{F1C0A1A6-9572-4EFE-87F1-280600F96050}"/>
    <cellStyle name="40% - Accent3 13 5" xfId="41425" xr:uid="{BDFD97F0-3EF8-4C31-BD89-647A1D742F46}"/>
    <cellStyle name="40% - Accent3 14" xfId="3483" xr:uid="{A8B35D7F-6325-46AB-BD3F-06C37A5C3876}"/>
    <cellStyle name="40% - Accent3 14 2" xfId="7215" xr:uid="{706B3F1C-E895-47D2-9B24-7F27591769DD}"/>
    <cellStyle name="40% - Accent3 14 2 2" xfId="14923" xr:uid="{A725C4EB-D8B8-434F-9AC7-F1DE0B8CE4FD}"/>
    <cellStyle name="40% - Accent3 14 2 2 2" xfId="30335" xr:uid="{100C0B9E-77B8-4708-A71C-0A36FE5A6481}"/>
    <cellStyle name="40% - Accent3 14 2 2 2 2" xfId="41436" xr:uid="{FD4802FF-F035-4E58-BBC4-592152803574}"/>
    <cellStyle name="40% - Accent3 14 2 2 3" xfId="41435" xr:uid="{1D97B90D-99CA-411C-988B-1577F3413322}"/>
    <cellStyle name="40% - Accent3 14 2 3" xfId="22630" xr:uid="{B1440156-952A-4EE2-BFAC-7BA81A9F3559}"/>
    <cellStyle name="40% - Accent3 14 2 3 2" xfId="41437" xr:uid="{69AC34DF-23D4-4516-A237-F55B76714427}"/>
    <cellStyle name="40% - Accent3 14 2 4" xfId="41434" xr:uid="{8E3E4BF3-AC4F-4769-97FA-0229E460979C}"/>
    <cellStyle name="40% - Accent3 14 3" xfId="11194" xr:uid="{09D1EB3D-0E14-4701-AF54-F4826786F2C4}"/>
    <cellStyle name="40% - Accent3 14 3 2" xfId="26607" xr:uid="{CD25DDA1-DA04-48B4-9C92-3F9089EC7FD5}"/>
    <cellStyle name="40% - Accent3 14 3 2 2" xfId="41439" xr:uid="{1FEFE6FE-0CCE-4B02-A5C9-0C1FB3DF5198}"/>
    <cellStyle name="40% - Accent3 14 3 3" xfId="41438" xr:uid="{DE919DAF-E53D-4758-A7D9-955F5F788E45}"/>
    <cellStyle name="40% - Accent3 14 4" xfId="18902" xr:uid="{943B7202-E594-4F80-B925-ADB78D747974}"/>
    <cellStyle name="40% - Accent3 14 4 2" xfId="41440" xr:uid="{9F816A06-764B-422C-81C9-3CB52EBC49F7}"/>
    <cellStyle name="40% - Accent3 14 5" xfId="41433" xr:uid="{87FFB1D2-A3FC-4774-936B-CAEA671BB7B4}"/>
    <cellStyle name="40% - Accent3 15" xfId="3503" xr:uid="{2061A6CB-6CBE-431B-9359-C6D258116A1D}"/>
    <cellStyle name="40% - Accent3 15 2" xfId="7235" xr:uid="{ADBC29F9-7602-46FB-A4CD-2C9B3A698608}"/>
    <cellStyle name="40% - Accent3 15 2 2" xfId="14943" xr:uid="{ED32BCD5-7596-4E66-AF8F-1C5B6D72302E}"/>
    <cellStyle name="40% - Accent3 15 2 2 2" xfId="30355" xr:uid="{B66B1A4A-98FB-4527-9F1C-44AF411F90E4}"/>
    <cellStyle name="40% - Accent3 15 2 2 2 2" xfId="41444" xr:uid="{5AC29C46-2125-43F5-9B42-00A1C4A2FA89}"/>
    <cellStyle name="40% - Accent3 15 2 2 3" xfId="41443" xr:uid="{528F5E93-9363-4B05-A889-46E94EC33C01}"/>
    <cellStyle name="40% - Accent3 15 2 3" xfId="22650" xr:uid="{E929DAF7-059C-4AE3-B44E-C3836036768A}"/>
    <cellStyle name="40% - Accent3 15 2 3 2" xfId="41445" xr:uid="{9FFC189C-A5D1-4120-A10C-928B0AF4A596}"/>
    <cellStyle name="40% - Accent3 15 2 4" xfId="41442" xr:uid="{3735EBA6-2EAC-4BC8-968F-0DEF8CA5FCCD}"/>
    <cellStyle name="40% - Accent3 15 3" xfId="11214" xr:uid="{FC29DD13-9605-4535-A3BD-7FC1E10E4E6D}"/>
    <cellStyle name="40% - Accent3 15 3 2" xfId="26627" xr:uid="{0157E752-3516-448B-99F4-DFBC1B33131B}"/>
    <cellStyle name="40% - Accent3 15 3 2 2" xfId="41447" xr:uid="{F84E5778-35F4-4BE3-9850-CF97C2BFE56D}"/>
    <cellStyle name="40% - Accent3 15 3 3" xfId="41446" xr:uid="{45478AD9-C37A-449E-A719-41E78B7D81EC}"/>
    <cellStyle name="40% - Accent3 15 4" xfId="18922" xr:uid="{42988985-1E91-4B42-9751-631F9EF3C941}"/>
    <cellStyle name="40% - Accent3 15 4 2" xfId="41448" xr:uid="{96A3834E-1F02-4D74-8C4E-17B79313F016}"/>
    <cellStyle name="40% - Accent3 15 5" xfId="41441" xr:uid="{4FEAFF17-6740-4CC1-ADA8-C95E06A6BAFA}"/>
    <cellStyle name="40% - Accent3 16" xfId="3523" xr:uid="{5D82B815-1EC4-483F-8C61-1C3685B0DA6E}"/>
    <cellStyle name="40% - Accent3 16 2" xfId="7255" xr:uid="{EF57D556-689F-4B19-9E5F-FD263C08ACFC}"/>
    <cellStyle name="40% - Accent3 16 2 2" xfId="14963" xr:uid="{842C26A2-BDF1-44D0-80CB-9B82DDBAD362}"/>
    <cellStyle name="40% - Accent3 16 2 2 2" xfId="30375" xr:uid="{EB8DC51E-219C-4152-A3E7-A0355D9DF4F0}"/>
    <cellStyle name="40% - Accent3 16 2 2 2 2" xfId="41452" xr:uid="{1B414567-767F-4ED3-B485-ACC349BA922A}"/>
    <cellStyle name="40% - Accent3 16 2 2 3" xfId="41451" xr:uid="{1EBA1E32-63D8-4358-80C6-DF9784F68569}"/>
    <cellStyle name="40% - Accent3 16 2 3" xfId="22670" xr:uid="{FF728B77-E6A8-418B-AE29-F3514939BC10}"/>
    <cellStyle name="40% - Accent3 16 2 3 2" xfId="41453" xr:uid="{EAB67433-EA20-44A7-AE01-3FA24DEB2B15}"/>
    <cellStyle name="40% - Accent3 16 2 4" xfId="41450" xr:uid="{77C216A0-E1E8-4D46-984D-AFD662ED7CFD}"/>
    <cellStyle name="40% - Accent3 16 3" xfId="11234" xr:uid="{6F5B9E39-5DEC-43D3-9192-0BEBE635500C}"/>
    <cellStyle name="40% - Accent3 16 3 2" xfId="26647" xr:uid="{4AD6DDCE-FF7E-41A1-BA8A-3053321825D9}"/>
    <cellStyle name="40% - Accent3 16 3 2 2" xfId="41455" xr:uid="{EB0C7BF8-FE8E-4AB8-945C-B7ACF74BBCC2}"/>
    <cellStyle name="40% - Accent3 16 3 3" xfId="41454" xr:uid="{02AB5853-BE43-4C48-8837-1BCFB5CE505A}"/>
    <cellStyle name="40% - Accent3 16 4" xfId="18942" xr:uid="{38A129B7-5BAD-4B17-B890-E29163D8BDF6}"/>
    <cellStyle name="40% - Accent3 16 4 2" xfId="41456" xr:uid="{A97C080F-92DD-4120-A2E5-16369BE8E00C}"/>
    <cellStyle name="40% - Accent3 16 5" xfId="41449" xr:uid="{7B920114-4BF3-4A94-B5BF-C7C41D01E264}"/>
    <cellStyle name="40% - Accent3 17" xfId="3543" xr:uid="{7DAF5C07-C8F0-4814-910C-E59EEAA37967}"/>
    <cellStyle name="40% - Accent3 17 2" xfId="7275" xr:uid="{A0B2D07C-7FE2-4343-971E-948087426A45}"/>
    <cellStyle name="40% - Accent3 17 2 2" xfId="14983" xr:uid="{C71D21C9-6ED7-476A-B080-BA531A56E965}"/>
    <cellStyle name="40% - Accent3 17 2 2 2" xfId="30395" xr:uid="{9D3B10DC-3437-4F23-9481-49693F3BA2E3}"/>
    <cellStyle name="40% - Accent3 17 2 2 2 2" xfId="41460" xr:uid="{CD6F60A2-8CD9-46DC-AC86-368FFDFF18AC}"/>
    <cellStyle name="40% - Accent3 17 2 2 3" xfId="41459" xr:uid="{4D8ED1EF-80A4-42A2-A15C-BC6C3E4E26BF}"/>
    <cellStyle name="40% - Accent3 17 2 3" xfId="22690" xr:uid="{EF336E59-41A9-453F-AAD9-D9A3BE7CDEB4}"/>
    <cellStyle name="40% - Accent3 17 2 3 2" xfId="41461" xr:uid="{73251B67-4F1E-4ABB-91E1-B22F075E56ED}"/>
    <cellStyle name="40% - Accent3 17 2 4" xfId="41458" xr:uid="{F2AAA1AE-0430-49CE-BE90-1FB192EE79F0}"/>
    <cellStyle name="40% - Accent3 17 3" xfId="11254" xr:uid="{08386305-869E-4144-9AD0-4C09F53ECBBD}"/>
    <cellStyle name="40% - Accent3 17 3 2" xfId="26667" xr:uid="{C8C3801D-E2CC-4DCF-B67D-8B4B7D1ABF2A}"/>
    <cellStyle name="40% - Accent3 17 3 2 2" xfId="41463" xr:uid="{C011CF1A-31D8-4CE5-8B74-E3307C75A556}"/>
    <cellStyle name="40% - Accent3 17 3 3" xfId="41462" xr:uid="{CF44EE96-D491-4963-8DE9-A7B3EB0B0A63}"/>
    <cellStyle name="40% - Accent3 17 4" xfId="18962" xr:uid="{E34C6811-E9D7-41E3-A977-81C164645387}"/>
    <cellStyle name="40% - Accent3 17 4 2" xfId="41464" xr:uid="{6BB20328-4C9D-4472-BE53-1064281D5180}"/>
    <cellStyle name="40% - Accent3 17 5" xfId="41457" xr:uid="{8770B591-5B36-40EA-ACD6-B71C3E87C626}"/>
    <cellStyle name="40% - Accent3 18" xfId="3563" xr:uid="{5626A9B2-D87A-4838-973D-3B0D4C1C64A4}"/>
    <cellStyle name="40% - Accent3 18 2" xfId="7295" xr:uid="{BAAFDE06-1106-4DC2-BCB6-90DC77D80A2A}"/>
    <cellStyle name="40% - Accent3 18 2 2" xfId="15003" xr:uid="{F7645A7A-9C25-43B4-8791-2CD124793D2A}"/>
    <cellStyle name="40% - Accent3 18 2 2 2" xfId="30415" xr:uid="{8487533F-EDEC-4932-9ABD-2398B84AFFE7}"/>
    <cellStyle name="40% - Accent3 18 2 2 2 2" xfId="41468" xr:uid="{9FF27DBC-0734-4458-940D-06B7F414901D}"/>
    <cellStyle name="40% - Accent3 18 2 2 3" xfId="41467" xr:uid="{5BE0F0A1-7701-44AB-872C-35C28958C0C6}"/>
    <cellStyle name="40% - Accent3 18 2 3" xfId="22710" xr:uid="{53271D2A-A9DB-4F73-9FE8-4AC3D9E70CEA}"/>
    <cellStyle name="40% - Accent3 18 2 3 2" xfId="41469" xr:uid="{9566CFA9-D1F8-4C4F-980E-08A378405F4D}"/>
    <cellStyle name="40% - Accent3 18 2 4" xfId="41466" xr:uid="{5A83553B-0C90-4E5D-96C7-0517D0969EE9}"/>
    <cellStyle name="40% - Accent3 18 3" xfId="11274" xr:uid="{AC82E799-7FA2-45C1-941E-A402D1A29CEF}"/>
    <cellStyle name="40% - Accent3 18 3 2" xfId="26687" xr:uid="{E22D55FF-75D2-44DB-BC58-B9A4BDE3AE52}"/>
    <cellStyle name="40% - Accent3 18 3 2 2" xfId="41471" xr:uid="{9EC706F3-32E2-43CF-B7E8-CCB027BA707E}"/>
    <cellStyle name="40% - Accent3 18 3 3" xfId="41470" xr:uid="{0E9D3F4A-9CC5-4FDF-90C8-E8FC0A6AD970}"/>
    <cellStyle name="40% - Accent3 18 4" xfId="18982" xr:uid="{A53F2AA8-8F40-4333-816D-81F031F6D53F}"/>
    <cellStyle name="40% - Accent3 18 4 2" xfId="41472" xr:uid="{CABC6DF3-445F-4B93-ADF5-58283C9DAEB0}"/>
    <cellStyle name="40% - Accent3 18 5" xfId="41465" xr:uid="{AB838B37-0D2A-48EA-8CF7-FA6EB2E5E146}"/>
    <cellStyle name="40% - Accent3 19" xfId="3584" xr:uid="{AF4E98E2-64C1-4BD9-9D85-B284BC2F8FC5}"/>
    <cellStyle name="40% - Accent3 19 2" xfId="7315" xr:uid="{B5C34E62-D24F-4059-89E0-BA43F29DC32C}"/>
    <cellStyle name="40% - Accent3 19 2 2" xfId="15023" xr:uid="{1047904E-6266-4827-BBE0-85E01A943CE9}"/>
    <cellStyle name="40% - Accent3 19 2 2 2" xfId="30435" xr:uid="{1B4E90E7-17FD-4C92-8A3D-FAFE7B82197E}"/>
    <cellStyle name="40% - Accent3 19 2 2 2 2" xfId="41476" xr:uid="{273814B8-795C-4CEE-9CBA-64D95A23A5EE}"/>
    <cellStyle name="40% - Accent3 19 2 2 3" xfId="41475" xr:uid="{69F190E6-7548-4468-818C-F6DCF8714C97}"/>
    <cellStyle name="40% - Accent3 19 2 3" xfId="22730" xr:uid="{8C115FF8-72BC-4CAC-B2EC-5F15BC36D28D}"/>
    <cellStyle name="40% - Accent3 19 2 3 2" xfId="41477" xr:uid="{A05F8B7B-A4D9-41BD-8A5D-188917945335}"/>
    <cellStyle name="40% - Accent3 19 2 4" xfId="41474" xr:uid="{ABEABB73-5D29-474C-9226-D831E4A858E0}"/>
    <cellStyle name="40% - Accent3 19 3" xfId="11294" xr:uid="{54115715-8D23-46F6-8A4E-4CC8CE804410}"/>
    <cellStyle name="40% - Accent3 19 3 2" xfId="26707" xr:uid="{965C6A98-38E4-40AF-B48C-B54CEC240DCD}"/>
    <cellStyle name="40% - Accent3 19 3 2 2" xfId="41479" xr:uid="{8C4ECC7B-EAE2-424E-BD4D-402F8BFECE84}"/>
    <cellStyle name="40% - Accent3 19 3 3" xfId="41478" xr:uid="{CB73F94E-B5E1-4CDC-A276-DB85B6C8F96B}"/>
    <cellStyle name="40% - Accent3 19 4" xfId="19002" xr:uid="{32AC0530-BE74-407E-8CA8-93AE05E3B84B}"/>
    <cellStyle name="40% - Accent3 19 4 2" xfId="41480" xr:uid="{7F962073-AE44-4EF2-A2DB-7A621FBE700E}"/>
    <cellStyle name="40% - Accent3 19 5" xfId="41473" xr:uid="{3F6D1D52-161B-45DC-8D15-0B49AD19BE0C}"/>
    <cellStyle name="40% - Accent3 2" xfId="83" xr:uid="{9D390409-FF34-4C9D-87EC-832FEAC6E8C2}"/>
    <cellStyle name="40% - Accent3 2 10" xfId="41481" xr:uid="{BBB9D4CF-4B67-41E1-9F9E-3D9EACEDD1CC}"/>
    <cellStyle name="40% - Accent3 2 2" xfId="147" xr:uid="{D8C58380-AACF-452E-80C5-E5BED0E205E2}"/>
    <cellStyle name="40% - Accent3 2 2 2" xfId="210" xr:uid="{1C73DE5B-8F40-4834-8E66-72583D376010}"/>
    <cellStyle name="40% - Accent3 2 2 2 2" xfId="415" xr:uid="{ADE6B7CF-8BDA-4586-85B0-0F41919D0029}"/>
    <cellStyle name="40% - Accent3 2 2 2 2 2" xfId="1077" xr:uid="{AE168EF3-FB67-4B83-8167-AF8CDD272008}"/>
    <cellStyle name="40% - Accent3 2 2 2 2 2 2" xfId="2545" xr:uid="{294A2307-46C0-4802-8123-4234F375058D}"/>
    <cellStyle name="40% - Accent3 2 2 2 2 2 2 2" xfId="6277" xr:uid="{64094ACE-D6F4-4C0B-882D-37288B11636E}"/>
    <cellStyle name="40% - Accent3 2 2 2 2 2 2 2 2" xfId="13985" xr:uid="{A3608663-6EDB-4B01-9459-16C38ABAA6C6}"/>
    <cellStyle name="40% - Accent3 2 2 2 2 2 2 2 2 2" xfId="29397" xr:uid="{994B88EF-995A-431B-877D-6159AD128173}"/>
    <cellStyle name="40% - Accent3 2 2 2 2 2 2 2 2 2 2" xfId="41489" xr:uid="{44FBC985-3C8C-414F-8D8C-DF7F5B243E63}"/>
    <cellStyle name="40% - Accent3 2 2 2 2 2 2 2 2 3" xfId="41488" xr:uid="{407072BB-7D78-47EB-89A2-1C63F6ED1BC1}"/>
    <cellStyle name="40% - Accent3 2 2 2 2 2 2 2 3" xfId="21692" xr:uid="{70F5C6BD-3289-4B2D-97F6-4612EDF8D42D}"/>
    <cellStyle name="40% - Accent3 2 2 2 2 2 2 2 3 2" xfId="41490" xr:uid="{61B198E5-3E15-458F-95DB-9AE4DC3F7E8D}"/>
    <cellStyle name="40% - Accent3 2 2 2 2 2 2 2 4" xfId="41487" xr:uid="{3CB53A20-F88E-4885-9575-A00B8B7A02F8}"/>
    <cellStyle name="40% - Accent3 2 2 2 2 2 2 3" xfId="10256" xr:uid="{40E1F11C-5891-44AF-AA05-0603730AB106}"/>
    <cellStyle name="40% - Accent3 2 2 2 2 2 2 3 2" xfId="25669" xr:uid="{B8C40B3A-26DB-4EDC-B749-45308CBA165F}"/>
    <cellStyle name="40% - Accent3 2 2 2 2 2 2 3 2 2" xfId="41492" xr:uid="{7876CE0D-E222-4A6E-80FD-E1C29703AEC5}"/>
    <cellStyle name="40% - Accent3 2 2 2 2 2 2 3 3" xfId="41491" xr:uid="{6DD1F9D8-287B-4B70-B375-F9B6710514AB}"/>
    <cellStyle name="40% - Accent3 2 2 2 2 2 2 4" xfId="17964" xr:uid="{0EED860A-8EDF-4377-AB77-379F9F414265}"/>
    <cellStyle name="40% - Accent3 2 2 2 2 2 2 4 2" xfId="41493" xr:uid="{A4B35F7A-A326-4036-81F9-EF994051A1F9}"/>
    <cellStyle name="40% - Accent3 2 2 2 2 2 2 5" xfId="41486" xr:uid="{02419162-F981-4178-A4CF-DD67C5DC696F}"/>
    <cellStyle name="40% - Accent3 2 2 2 2 2 3" xfId="4814" xr:uid="{2319C6FC-9B84-4365-A32A-D4C947CD46B7}"/>
    <cellStyle name="40% - Accent3 2 2 2 2 2 3 2" xfId="12522" xr:uid="{981B9457-0ABC-497F-AE74-23C0DE284610}"/>
    <cellStyle name="40% - Accent3 2 2 2 2 2 3 2 2" xfId="27934" xr:uid="{49E8BA3C-ECC5-4B90-BB44-748210E90E09}"/>
    <cellStyle name="40% - Accent3 2 2 2 2 2 3 2 2 2" xfId="41496" xr:uid="{8EFAFAF7-AE94-48E8-972E-7381FE1DF65F}"/>
    <cellStyle name="40% - Accent3 2 2 2 2 2 3 2 3" xfId="41495" xr:uid="{3D4631A0-01CC-4F21-8529-FC0AC9DC97E1}"/>
    <cellStyle name="40% - Accent3 2 2 2 2 2 3 3" xfId="20229" xr:uid="{540DAC57-FC41-4A97-BFB7-B1A220E7D7CF}"/>
    <cellStyle name="40% - Accent3 2 2 2 2 2 3 3 2" xfId="41497" xr:uid="{F6D5CFCB-7A71-4B1C-BE51-7458D3CF59DC}"/>
    <cellStyle name="40% - Accent3 2 2 2 2 2 3 4" xfId="41494" xr:uid="{C6F7D3CF-359B-4973-908A-CD99211073E1}"/>
    <cellStyle name="40% - Accent3 2 2 2 2 2 4" xfId="8797" xr:uid="{E965C03E-76D3-4CBF-AB1E-A1756BE7C11D}"/>
    <cellStyle name="40% - Accent3 2 2 2 2 2 4 2" xfId="24210" xr:uid="{3DD51A8F-FB55-401F-A5C4-7778D03A2DFF}"/>
    <cellStyle name="40% - Accent3 2 2 2 2 2 4 2 2" xfId="41499" xr:uid="{C2B1F9D8-20ED-4E76-8896-84A1401DB4B1}"/>
    <cellStyle name="40% - Accent3 2 2 2 2 2 4 3" xfId="41498" xr:uid="{AF00B987-0A1C-45C1-8190-7999B349D39C}"/>
    <cellStyle name="40% - Accent3 2 2 2 2 2 5" xfId="16505" xr:uid="{F34D37C1-1677-485E-AA26-87E5BCBFF075}"/>
    <cellStyle name="40% - Accent3 2 2 2 2 2 5 2" xfId="41500" xr:uid="{00A87406-F718-46A6-89AE-E9775A4FFD37}"/>
    <cellStyle name="40% - Accent3 2 2 2 2 2 6" xfId="41485" xr:uid="{5EE84CA2-73CD-4A73-B452-EA7C05CD7565}"/>
    <cellStyle name="40% - Accent3 2 2 2 2 3" xfId="1907" xr:uid="{9961A7D9-09BC-4F2F-896E-06B562551058}"/>
    <cellStyle name="40% - Accent3 2 2 2 2 3 2" xfId="5639" xr:uid="{C7E5D6AA-2502-43A2-A575-A48BF34BE8D0}"/>
    <cellStyle name="40% - Accent3 2 2 2 2 3 2 2" xfId="13347" xr:uid="{75E60D64-FB31-41D0-A517-D1E016A7DBCA}"/>
    <cellStyle name="40% - Accent3 2 2 2 2 3 2 2 2" xfId="28759" xr:uid="{C75381AE-F4A8-4244-A513-0808EA442F12}"/>
    <cellStyle name="40% - Accent3 2 2 2 2 3 2 2 2 2" xfId="41504" xr:uid="{05581596-74D1-449A-9CFC-8C187BEE1434}"/>
    <cellStyle name="40% - Accent3 2 2 2 2 3 2 2 3" xfId="41503" xr:uid="{F75A33BB-EEF3-4142-AEB0-2B854AD7832F}"/>
    <cellStyle name="40% - Accent3 2 2 2 2 3 2 3" xfId="21054" xr:uid="{6855D8B2-A3FE-4F41-B855-7A8B1D6D099B}"/>
    <cellStyle name="40% - Accent3 2 2 2 2 3 2 3 2" xfId="41505" xr:uid="{CA139FCC-C54F-4A27-BD28-5C9D4510D812}"/>
    <cellStyle name="40% - Accent3 2 2 2 2 3 2 4" xfId="41502" xr:uid="{31BC493E-217F-4B9D-998A-BE82EC02AE00}"/>
    <cellStyle name="40% - Accent3 2 2 2 2 3 3" xfId="9618" xr:uid="{6D1ACB11-8B2D-4666-8807-70AEBCAD1292}"/>
    <cellStyle name="40% - Accent3 2 2 2 2 3 3 2" xfId="25031" xr:uid="{150C7EB9-48C5-4F6B-AAE5-5B7D76880FE5}"/>
    <cellStyle name="40% - Accent3 2 2 2 2 3 3 2 2" xfId="41507" xr:uid="{27B63EEC-8B88-42AA-AC18-265AD6F67F14}"/>
    <cellStyle name="40% - Accent3 2 2 2 2 3 3 3" xfId="41506" xr:uid="{EA8BFA8D-2733-4757-B635-5D16FB747EB3}"/>
    <cellStyle name="40% - Accent3 2 2 2 2 3 4" xfId="17326" xr:uid="{F45E21CD-9BBE-4D30-8E45-1A7766CCC4D8}"/>
    <cellStyle name="40% - Accent3 2 2 2 2 3 4 2" xfId="41508" xr:uid="{ACDCFA4D-8C66-4B80-B06C-AF63D66CFE9E}"/>
    <cellStyle name="40% - Accent3 2 2 2 2 3 5" xfId="41501" xr:uid="{DD7024EB-A880-4EAF-8DB8-E054F35FFE0B}"/>
    <cellStyle name="40% - Accent3 2 2 2 2 4" xfId="4162" xr:uid="{B24AE35C-2986-44E7-9C4F-D4471EF994B4}"/>
    <cellStyle name="40% - Accent3 2 2 2 2 4 2" xfId="11870" xr:uid="{96F2DA0E-0040-469C-8949-AC8F1FF9992D}"/>
    <cellStyle name="40% - Accent3 2 2 2 2 4 2 2" xfId="27282" xr:uid="{3B7BD4C7-CA55-4DA0-8EDA-5F1ABC802834}"/>
    <cellStyle name="40% - Accent3 2 2 2 2 4 2 2 2" xfId="41511" xr:uid="{2377C1F4-D629-4A67-88BD-9CBFB543322E}"/>
    <cellStyle name="40% - Accent3 2 2 2 2 4 2 3" xfId="41510" xr:uid="{5E099D9E-63E3-4DC6-81AE-5FF9A1DEFE0C}"/>
    <cellStyle name="40% - Accent3 2 2 2 2 4 3" xfId="19577" xr:uid="{2EDD27D0-AAE4-41E7-96BC-BA865BA99DDC}"/>
    <cellStyle name="40% - Accent3 2 2 2 2 4 3 2" xfId="41512" xr:uid="{9153500A-4338-4A60-B4B5-C665FBD2083B}"/>
    <cellStyle name="40% - Accent3 2 2 2 2 4 4" xfId="41509" xr:uid="{704049BE-8472-45FC-A2BC-11A91FD0F649}"/>
    <cellStyle name="40% - Accent3 2 2 2 2 5" xfId="8159" xr:uid="{4E20381D-2E2C-471D-8B1B-A52F9307A34D}"/>
    <cellStyle name="40% - Accent3 2 2 2 2 5 2" xfId="23572" xr:uid="{A355AD30-8003-4588-A2FE-128D1691FDEB}"/>
    <cellStyle name="40% - Accent3 2 2 2 2 5 2 2" xfId="41514" xr:uid="{B6220113-B500-47A3-BF0A-E3AC99810A4C}"/>
    <cellStyle name="40% - Accent3 2 2 2 2 5 3" xfId="41513" xr:uid="{C3C0FABE-05DC-4823-A83B-E29725AF81CA}"/>
    <cellStyle name="40% - Accent3 2 2 2 2 6" xfId="15867" xr:uid="{20AC2D9B-24E1-48A5-9A5B-9132C12E07B6}"/>
    <cellStyle name="40% - Accent3 2 2 2 2 6 2" xfId="41515" xr:uid="{1EFFD5DF-5BAF-4561-B08C-050E78EA4BBD}"/>
    <cellStyle name="40% - Accent3 2 2 2 2 7" xfId="41484" xr:uid="{8F8E5B37-F2F8-41D0-895A-AE19A20843BC}"/>
    <cellStyle name="40% - Accent3 2 2 2 3" xfId="876" xr:uid="{395BF90A-EAF3-4C01-BE6F-F20ADF0A2F7D}"/>
    <cellStyle name="40% - Accent3 2 2 2 3 2" xfId="2347" xr:uid="{21B2BC4F-5BE8-4C26-AB33-98C054FDA0FD}"/>
    <cellStyle name="40% - Accent3 2 2 2 3 2 2" xfId="6079" xr:uid="{7B4B7787-CD8B-4497-9CD0-1A7AD768B3EF}"/>
    <cellStyle name="40% - Accent3 2 2 2 3 2 2 2" xfId="13787" xr:uid="{6073666A-E397-47BD-B23B-8BEAB9AF4049}"/>
    <cellStyle name="40% - Accent3 2 2 2 3 2 2 2 2" xfId="29199" xr:uid="{2C8D67DB-38AD-4D94-B564-21E271643153}"/>
    <cellStyle name="40% - Accent3 2 2 2 3 2 2 2 2 2" xfId="41520" xr:uid="{348546B6-62C6-43E5-968D-0038B07E38C4}"/>
    <cellStyle name="40% - Accent3 2 2 2 3 2 2 2 3" xfId="41519" xr:uid="{507461D4-7976-49C1-BD9C-624417E8626F}"/>
    <cellStyle name="40% - Accent3 2 2 2 3 2 2 3" xfId="21494" xr:uid="{73498621-1139-4E5B-BC83-3D2888FBD3D9}"/>
    <cellStyle name="40% - Accent3 2 2 2 3 2 2 3 2" xfId="41521" xr:uid="{37DF6F30-688B-4A98-98CD-CEE1ED73221E}"/>
    <cellStyle name="40% - Accent3 2 2 2 3 2 2 4" xfId="41518" xr:uid="{DC5ED25E-0927-4B65-9CDF-F7B26746D81C}"/>
    <cellStyle name="40% - Accent3 2 2 2 3 2 3" xfId="10058" xr:uid="{9165D82D-ABDF-4581-9CDC-106A705B0209}"/>
    <cellStyle name="40% - Accent3 2 2 2 3 2 3 2" xfId="25471" xr:uid="{98755AC8-6B0F-4E00-901E-16EB7D3B4E17}"/>
    <cellStyle name="40% - Accent3 2 2 2 3 2 3 2 2" xfId="41523" xr:uid="{4C9DA8A7-8CA5-43E3-93FE-814ACE4BFAA7}"/>
    <cellStyle name="40% - Accent3 2 2 2 3 2 3 3" xfId="41522" xr:uid="{1D48D9EA-9413-4857-83E0-8AA4666E3F9F}"/>
    <cellStyle name="40% - Accent3 2 2 2 3 2 4" xfId="17766" xr:uid="{D74BBB4C-B217-464F-9306-E4ABC6D57E4D}"/>
    <cellStyle name="40% - Accent3 2 2 2 3 2 4 2" xfId="41524" xr:uid="{C3B443C1-53C6-4312-BD37-671E33BA2F78}"/>
    <cellStyle name="40% - Accent3 2 2 2 3 2 5" xfId="41517" xr:uid="{AA3F9C4D-E0DA-4B8A-A6FF-47E3DDF272AA}"/>
    <cellStyle name="40% - Accent3 2 2 2 3 3" xfId="4613" xr:uid="{9AE211C6-DCBE-47F9-8A08-D6901F915549}"/>
    <cellStyle name="40% - Accent3 2 2 2 3 3 2" xfId="12321" xr:uid="{E5AFC063-B68C-406E-B0E2-D8E4B9D75170}"/>
    <cellStyle name="40% - Accent3 2 2 2 3 3 2 2" xfId="27733" xr:uid="{31674E33-C38A-46B4-B5D1-45CAE1053A9F}"/>
    <cellStyle name="40% - Accent3 2 2 2 3 3 2 2 2" xfId="41527" xr:uid="{040F219B-0148-44B9-A4CA-87AA79B4CE6B}"/>
    <cellStyle name="40% - Accent3 2 2 2 3 3 2 3" xfId="41526" xr:uid="{7B963F0E-431F-414D-9950-3AD83ED25A51}"/>
    <cellStyle name="40% - Accent3 2 2 2 3 3 3" xfId="20028" xr:uid="{38F8D3D7-C423-4938-81A8-90F08C2DB514}"/>
    <cellStyle name="40% - Accent3 2 2 2 3 3 3 2" xfId="41528" xr:uid="{B134C506-808B-45A9-86D2-80755D66C9A5}"/>
    <cellStyle name="40% - Accent3 2 2 2 3 3 4" xfId="41525" xr:uid="{99B30174-8611-4B59-995A-D8C68F1D949C}"/>
    <cellStyle name="40% - Accent3 2 2 2 3 4" xfId="8599" xr:uid="{F8E72119-AF50-4A5B-ADB2-3F59EA53562D}"/>
    <cellStyle name="40% - Accent3 2 2 2 3 4 2" xfId="24012" xr:uid="{6D498CD5-6D82-46B3-A34B-CD385A4E209D}"/>
    <cellStyle name="40% - Accent3 2 2 2 3 4 2 2" xfId="41530" xr:uid="{60740713-43C5-4B35-A46C-A324E90E7D23}"/>
    <cellStyle name="40% - Accent3 2 2 2 3 4 3" xfId="41529" xr:uid="{4D2CF537-211E-4714-A104-14D2E2984620}"/>
    <cellStyle name="40% - Accent3 2 2 2 3 5" xfId="16307" xr:uid="{CB6FAC62-E8C9-44A9-A7E8-0307CC9F021E}"/>
    <cellStyle name="40% - Accent3 2 2 2 3 5 2" xfId="41531" xr:uid="{2B348030-7F68-4825-9394-9A9FC9E6C634}"/>
    <cellStyle name="40% - Accent3 2 2 2 3 6" xfId="41516" xr:uid="{73E64A64-C5AD-4E0C-9B1D-6EF89F781982}"/>
    <cellStyle name="40% - Accent3 2 2 2 4" xfId="1709" xr:uid="{9129D11F-5BD1-49AA-AE5A-D1B054B6A984}"/>
    <cellStyle name="40% - Accent3 2 2 2 4 2" xfId="5441" xr:uid="{B3F9B119-FF35-45A7-AF2B-CBCDD1CAAA29}"/>
    <cellStyle name="40% - Accent3 2 2 2 4 2 2" xfId="13149" xr:uid="{4662B056-98C0-477F-B487-1DF4C82DD627}"/>
    <cellStyle name="40% - Accent3 2 2 2 4 2 2 2" xfId="28561" xr:uid="{0E22DC1B-5352-4111-B876-D0AC1FBA5E52}"/>
    <cellStyle name="40% - Accent3 2 2 2 4 2 2 2 2" xfId="41535" xr:uid="{E4EB8019-9920-4A41-AE65-B9C8FE18028B}"/>
    <cellStyle name="40% - Accent3 2 2 2 4 2 2 3" xfId="41534" xr:uid="{8DEFED0A-0A0A-4C40-90F0-0476C3E2B4E8}"/>
    <cellStyle name="40% - Accent3 2 2 2 4 2 3" xfId="20856" xr:uid="{A15DA917-36A4-4E6D-8955-1C33E695DF48}"/>
    <cellStyle name="40% - Accent3 2 2 2 4 2 3 2" xfId="41536" xr:uid="{E901E821-DCAE-4A45-8761-98B908B56140}"/>
    <cellStyle name="40% - Accent3 2 2 2 4 2 4" xfId="41533" xr:uid="{9ADA90E5-A3AA-4B27-9F7C-84F5303F8E5C}"/>
    <cellStyle name="40% - Accent3 2 2 2 4 3" xfId="9420" xr:uid="{5DABA25D-A935-47F4-AF0B-3A5D745E6C38}"/>
    <cellStyle name="40% - Accent3 2 2 2 4 3 2" xfId="24833" xr:uid="{4B39758A-BCCC-43F1-9F5D-44E9BB9F324D}"/>
    <cellStyle name="40% - Accent3 2 2 2 4 3 2 2" xfId="41538" xr:uid="{E11EB1EC-7424-4C43-94FA-12725142A207}"/>
    <cellStyle name="40% - Accent3 2 2 2 4 3 3" xfId="41537" xr:uid="{AFF0798D-BC08-47B1-9FCC-1F20993D0D6E}"/>
    <cellStyle name="40% - Accent3 2 2 2 4 4" xfId="17128" xr:uid="{9A6792F5-04EB-45BA-85F3-818B1313DAD7}"/>
    <cellStyle name="40% - Accent3 2 2 2 4 4 2" xfId="41539" xr:uid="{A75B896D-EC58-4C6F-8E00-C2AB690E71EF}"/>
    <cellStyle name="40% - Accent3 2 2 2 4 5" xfId="41532" xr:uid="{8F6D23BF-E328-4C16-BC47-BD58DDDB1789}"/>
    <cellStyle name="40% - Accent3 2 2 2 5" xfId="3961" xr:uid="{36B5A742-51D3-42DB-AA8D-B6F06C0C5CE3}"/>
    <cellStyle name="40% - Accent3 2 2 2 5 2" xfId="11669" xr:uid="{C542C571-2A13-4E72-9EE4-676BF7BB7D21}"/>
    <cellStyle name="40% - Accent3 2 2 2 5 2 2" xfId="27081" xr:uid="{8CF9224D-0BAB-4162-A172-51C914510C0F}"/>
    <cellStyle name="40% - Accent3 2 2 2 5 2 2 2" xfId="41542" xr:uid="{0F7498E8-AD14-4016-9F49-5CB9076B9432}"/>
    <cellStyle name="40% - Accent3 2 2 2 5 2 3" xfId="41541" xr:uid="{5B045437-EAF4-482D-B954-411A7D24D265}"/>
    <cellStyle name="40% - Accent3 2 2 2 5 3" xfId="19376" xr:uid="{D4AC5887-9547-4E20-AF49-64D5EE525D89}"/>
    <cellStyle name="40% - Accent3 2 2 2 5 3 2" xfId="41543" xr:uid="{846E4F7F-CBA5-4656-985B-69434DFEE416}"/>
    <cellStyle name="40% - Accent3 2 2 2 5 4" xfId="41540" xr:uid="{F35FCD28-9011-4D43-9F44-8A856BF17341}"/>
    <cellStyle name="40% - Accent3 2 2 2 6" xfId="7961" xr:uid="{3FFF28E2-06F4-49F3-B66A-370993CC34C3}"/>
    <cellStyle name="40% - Accent3 2 2 2 6 2" xfId="23374" xr:uid="{0A3C426C-9499-434B-A3B3-50686E3423FB}"/>
    <cellStyle name="40% - Accent3 2 2 2 6 2 2" xfId="41545" xr:uid="{B07050D0-A76B-463F-8747-A787BBBF6315}"/>
    <cellStyle name="40% - Accent3 2 2 2 6 3" xfId="41544" xr:uid="{6BE1F8A7-E937-49E9-99D6-602CDDD0DDA5}"/>
    <cellStyle name="40% - Accent3 2 2 2 7" xfId="15669" xr:uid="{50850D32-DC49-4BB7-92F0-3A9350471A1E}"/>
    <cellStyle name="40% - Accent3 2 2 2 7 2" xfId="41546" xr:uid="{FEA58A86-4CB3-45D9-BB23-A5DB1C2A284A}"/>
    <cellStyle name="40% - Accent3 2 2 2 8" xfId="41483" xr:uid="{42A001D2-5A29-41E1-B1B2-EC99C2DA229C}"/>
    <cellStyle name="40% - Accent3 2 2 3" xfId="364" xr:uid="{9A260E21-9045-4F85-A5A3-5BEE213F0590}"/>
    <cellStyle name="40% - Accent3 2 2 3 2" xfId="1026" xr:uid="{EA4EC876-027D-405A-A534-6437D72E165E}"/>
    <cellStyle name="40% - Accent3 2 2 3 2 2" xfId="2495" xr:uid="{76831AA1-C093-4DA7-B199-659E56A9585B}"/>
    <cellStyle name="40% - Accent3 2 2 3 2 2 2" xfId="6227" xr:uid="{39D28136-75A8-4E25-99BD-77E19068A714}"/>
    <cellStyle name="40% - Accent3 2 2 3 2 2 2 2" xfId="13935" xr:uid="{DE827BE3-F93D-45F2-97D9-1C6FEC553158}"/>
    <cellStyle name="40% - Accent3 2 2 3 2 2 2 2 2" xfId="29347" xr:uid="{A23E5CEA-0191-4076-90F5-A41E8DC11C95}"/>
    <cellStyle name="40% - Accent3 2 2 3 2 2 2 2 2 2" xfId="41552" xr:uid="{45582DDD-8CB7-4736-855A-5FA8A3022FC7}"/>
    <cellStyle name="40% - Accent3 2 2 3 2 2 2 2 3" xfId="41551" xr:uid="{75A8D167-274D-48D0-B253-61BD743FD000}"/>
    <cellStyle name="40% - Accent3 2 2 3 2 2 2 3" xfId="21642" xr:uid="{336F27EC-CE25-469F-BCAE-8903B260E249}"/>
    <cellStyle name="40% - Accent3 2 2 3 2 2 2 3 2" xfId="41553" xr:uid="{AE336507-6C97-43FA-A8E3-697E49ED2C46}"/>
    <cellStyle name="40% - Accent3 2 2 3 2 2 2 4" xfId="41550" xr:uid="{F03F9482-C8E5-40A3-AAEE-2DD94B3E645B}"/>
    <cellStyle name="40% - Accent3 2 2 3 2 2 3" xfId="10206" xr:uid="{9423ADA2-685B-42EC-A5CD-482A62EF1909}"/>
    <cellStyle name="40% - Accent3 2 2 3 2 2 3 2" xfId="25619" xr:uid="{40DBD791-97AB-4809-B9F7-17C2F4BD6881}"/>
    <cellStyle name="40% - Accent3 2 2 3 2 2 3 2 2" xfId="41555" xr:uid="{31E48307-480C-4426-947F-1C71B8517564}"/>
    <cellStyle name="40% - Accent3 2 2 3 2 2 3 3" xfId="41554" xr:uid="{305C6618-21AF-4513-8142-D69B5DA709A4}"/>
    <cellStyle name="40% - Accent3 2 2 3 2 2 4" xfId="17914" xr:uid="{89619F9E-50C5-4E54-A891-0071820D4C28}"/>
    <cellStyle name="40% - Accent3 2 2 3 2 2 4 2" xfId="41556" xr:uid="{66BF4514-FBF6-4EFA-B053-FFF020CCCB0C}"/>
    <cellStyle name="40% - Accent3 2 2 3 2 2 5" xfId="41549" xr:uid="{A1D49908-0A2B-4D90-A0FD-332F2F8ABE53}"/>
    <cellStyle name="40% - Accent3 2 2 3 2 3" xfId="4763" xr:uid="{445726EC-DC26-42E0-BCEF-24944E3267D1}"/>
    <cellStyle name="40% - Accent3 2 2 3 2 3 2" xfId="12471" xr:uid="{6AD44D4C-DCC0-46AF-ABAF-01EDA47E531B}"/>
    <cellStyle name="40% - Accent3 2 2 3 2 3 2 2" xfId="27883" xr:uid="{97256570-A674-40E1-AAF2-BC70CD90477C}"/>
    <cellStyle name="40% - Accent3 2 2 3 2 3 2 2 2" xfId="41559" xr:uid="{F6E4F993-6BF1-46A3-B7C8-61F539344659}"/>
    <cellStyle name="40% - Accent3 2 2 3 2 3 2 3" xfId="41558" xr:uid="{38DC2C43-055B-4D64-9F42-BD4EE713180A}"/>
    <cellStyle name="40% - Accent3 2 2 3 2 3 3" xfId="20178" xr:uid="{46C2E49A-BD9C-4606-B940-61A29B5646F3}"/>
    <cellStyle name="40% - Accent3 2 2 3 2 3 3 2" xfId="41560" xr:uid="{82872D67-0DAD-42BE-86F2-737E8D2DD929}"/>
    <cellStyle name="40% - Accent3 2 2 3 2 3 4" xfId="41557" xr:uid="{6627C4EE-3646-47FA-A421-47E5832FF3F7}"/>
    <cellStyle name="40% - Accent3 2 2 3 2 4" xfId="8747" xr:uid="{CE585516-9830-45DA-8A6D-155F89E167FD}"/>
    <cellStyle name="40% - Accent3 2 2 3 2 4 2" xfId="24160" xr:uid="{3A1CD748-026E-4BD9-90E8-739A9E788AE9}"/>
    <cellStyle name="40% - Accent3 2 2 3 2 4 2 2" xfId="41562" xr:uid="{670B29AA-4CBD-494B-8085-76D2DCB707B0}"/>
    <cellStyle name="40% - Accent3 2 2 3 2 4 3" xfId="41561" xr:uid="{6754994D-B639-4CD8-8F8D-91772C3BDFC0}"/>
    <cellStyle name="40% - Accent3 2 2 3 2 5" xfId="16455" xr:uid="{0E84FA37-5B94-4A99-BF9C-1F4461D58896}"/>
    <cellStyle name="40% - Accent3 2 2 3 2 5 2" xfId="41563" xr:uid="{3D0B7B0C-97F3-4112-9A23-A4A3B68CFDBD}"/>
    <cellStyle name="40% - Accent3 2 2 3 2 6" xfId="41548" xr:uid="{99B39D41-56DF-437F-9829-24C28AA6F2A8}"/>
    <cellStyle name="40% - Accent3 2 2 3 3" xfId="1857" xr:uid="{B26886E3-CD24-4DE6-A928-69CB075F0D0A}"/>
    <cellStyle name="40% - Accent3 2 2 3 3 2" xfId="5589" xr:uid="{60EE4EDB-268E-424F-B973-7AE556215CBD}"/>
    <cellStyle name="40% - Accent3 2 2 3 3 2 2" xfId="13297" xr:uid="{14F0399E-2FC9-40D7-A2EC-D6B430B1B3F6}"/>
    <cellStyle name="40% - Accent3 2 2 3 3 2 2 2" xfId="28709" xr:uid="{31865895-944F-46A7-9EBD-6BF7D5CBDD53}"/>
    <cellStyle name="40% - Accent3 2 2 3 3 2 2 2 2" xfId="41567" xr:uid="{BA45BA34-F358-4078-9722-C42938CA2F19}"/>
    <cellStyle name="40% - Accent3 2 2 3 3 2 2 3" xfId="41566" xr:uid="{65C3326F-B111-43CA-94E7-E61F141C24CC}"/>
    <cellStyle name="40% - Accent3 2 2 3 3 2 3" xfId="21004" xr:uid="{FD455E35-465D-4E9E-B739-CC7CFFB7DAD0}"/>
    <cellStyle name="40% - Accent3 2 2 3 3 2 3 2" xfId="41568" xr:uid="{2144A076-0B49-4D94-A006-E3A9F504CD17}"/>
    <cellStyle name="40% - Accent3 2 2 3 3 2 4" xfId="41565" xr:uid="{F50DE578-11AC-44AF-98CB-CB0E4A868D68}"/>
    <cellStyle name="40% - Accent3 2 2 3 3 3" xfId="9568" xr:uid="{F268DDF2-4F29-4AA6-92E6-EEA145FCCD3A}"/>
    <cellStyle name="40% - Accent3 2 2 3 3 3 2" xfId="24981" xr:uid="{6AB4AC97-F2B3-435C-B2AA-DB6771E921E8}"/>
    <cellStyle name="40% - Accent3 2 2 3 3 3 2 2" xfId="41570" xr:uid="{B452D065-8A99-4E45-B1E3-20E1B69D3334}"/>
    <cellStyle name="40% - Accent3 2 2 3 3 3 3" xfId="41569" xr:uid="{92BEE3A2-4C49-42DD-B59F-59544BF5EE03}"/>
    <cellStyle name="40% - Accent3 2 2 3 3 4" xfId="17276" xr:uid="{B0D3CCB7-6E84-47E2-B6B2-050E0572AED8}"/>
    <cellStyle name="40% - Accent3 2 2 3 3 4 2" xfId="41571" xr:uid="{2C8C4FB8-6D31-462C-A76D-76BBCC5EBDC4}"/>
    <cellStyle name="40% - Accent3 2 2 3 3 5" xfId="41564" xr:uid="{6729EC7A-0CF8-4D6D-997E-069A2B7B7EDA}"/>
    <cellStyle name="40% - Accent3 2 2 3 4" xfId="4111" xr:uid="{D865D7E6-57E0-4003-85EC-8E1CA9A496DD}"/>
    <cellStyle name="40% - Accent3 2 2 3 4 2" xfId="11819" xr:uid="{04945AF0-6787-489E-8346-A2065924E354}"/>
    <cellStyle name="40% - Accent3 2 2 3 4 2 2" xfId="27231" xr:uid="{E54C9717-56F3-4A69-B50A-6A67B0F74CC9}"/>
    <cellStyle name="40% - Accent3 2 2 3 4 2 2 2" xfId="41574" xr:uid="{4760B728-C3EC-4289-8FCE-ADB000E5D6F1}"/>
    <cellStyle name="40% - Accent3 2 2 3 4 2 3" xfId="41573" xr:uid="{F239AD63-7E1D-49ED-A35C-89610056FFD7}"/>
    <cellStyle name="40% - Accent3 2 2 3 4 3" xfId="19526" xr:uid="{9CA5E39F-872B-43F6-AEFD-56F65837519F}"/>
    <cellStyle name="40% - Accent3 2 2 3 4 3 2" xfId="41575" xr:uid="{CB729C4A-6156-4E86-A7B3-FADF94692BBB}"/>
    <cellStyle name="40% - Accent3 2 2 3 4 4" xfId="41572" xr:uid="{D0630D0C-D0E9-43F1-B523-F2D4189469F0}"/>
    <cellStyle name="40% - Accent3 2 2 3 5" xfId="8109" xr:uid="{D9572750-4849-4252-95F7-FF25276B177A}"/>
    <cellStyle name="40% - Accent3 2 2 3 5 2" xfId="23522" xr:uid="{FBB2B919-F5E3-43A0-B41E-6B7F61E221CD}"/>
    <cellStyle name="40% - Accent3 2 2 3 5 2 2" xfId="41577" xr:uid="{68AF4755-5C36-4C5E-A4A6-9D69E75657DA}"/>
    <cellStyle name="40% - Accent3 2 2 3 5 3" xfId="41576" xr:uid="{8B9CFAFF-16E6-4687-90EE-2533DFA34487}"/>
    <cellStyle name="40% - Accent3 2 2 3 6" xfId="15817" xr:uid="{20218A48-F119-497E-99DE-2A49DD9D88ED}"/>
    <cellStyle name="40% - Accent3 2 2 3 6 2" xfId="41578" xr:uid="{D5D152FA-83F0-4F90-B531-D7181043EAC1}"/>
    <cellStyle name="40% - Accent3 2 2 3 7" xfId="41547" xr:uid="{8544CA0B-DAE7-4D0B-9C9A-2EA7E8DCF578}"/>
    <cellStyle name="40% - Accent3 2 2 4" xfId="820" xr:uid="{BF4FB2DA-714C-487F-8D20-9676FD88CCCF}"/>
    <cellStyle name="40% - Accent3 2 2 4 2" xfId="2297" xr:uid="{BBDF1C8F-FEBC-4568-A625-4F44451A2DE1}"/>
    <cellStyle name="40% - Accent3 2 2 4 2 2" xfId="6029" xr:uid="{BA11D02E-19D5-4DC8-AD77-5CB7602DC72C}"/>
    <cellStyle name="40% - Accent3 2 2 4 2 2 2" xfId="13737" xr:uid="{5FAD4BCC-1D0D-4B11-8472-A4DBDB27A19C}"/>
    <cellStyle name="40% - Accent3 2 2 4 2 2 2 2" xfId="29149" xr:uid="{C01E4F1D-2A48-4B72-A851-5F9E53E930B2}"/>
    <cellStyle name="40% - Accent3 2 2 4 2 2 2 2 2" xfId="41583" xr:uid="{0737C2B7-3ED7-4BD9-9627-CDDA90C207B8}"/>
    <cellStyle name="40% - Accent3 2 2 4 2 2 2 3" xfId="41582" xr:uid="{AEDB8A0B-EB17-4204-AD0A-FE9C10D8C61C}"/>
    <cellStyle name="40% - Accent3 2 2 4 2 2 3" xfId="21444" xr:uid="{148B3ECC-703E-43B6-A42D-52D0DD06A0D1}"/>
    <cellStyle name="40% - Accent3 2 2 4 2 2 3 2" xfId="41584" xr:uid="{DD18C213-1DB1-4D55-B8C0-E3C93BE9D24D}"/>
    <cellStyle name="40% - Accent3 2 2 4 2 2 4" xfId="41581" xr:uid="{A66F941E-C074-4B17-8414-30AEC21247C6}"/>
    <cellStyle name="40% - Accent3 2 2 4 2 3" xfId="10008" xr:uid="{B45F3821-22D5-4D8A-8CBF-3D3E30163442}"/>
    <cellStyle name="40% - Accent3 2 2 4 2 3 2" xfId="25421" xr:uid="{E54C3923-33FD-42E0-98CE-C2206C3D4A39}"/>
    <cellStyle name="40% - Accent3 2 2 4 2 3 2 2" xfId="41586" xr:uid="{82DEB3E7-ABE6-4A21-84CD-E064658FF773}"/>
    <cellStyle name="40% - Accent3 2 2 4 2 3 3" xfId="41585" xr:uid="{6F9F951C-71F5-4038-BD88-0DA6DE2A5A48}"/>
    <cellStyle name="40% - Accent3 2 2 4 2 4" xfId="17716" xr:uid="{C259A42E-B2A1-47DC-BC38-591DCD16C8AF}"/>
    <cellStyle name="40% - Accent3 2 2 4 2 4 2" xfId="41587" xr:uid="{885CF808-EB4C-4D2F-8F0D-EC94E156F636}"/>
    <cellStyle name="40% - Accent3 2 2 4 2 5" xfId="41580" xr:uid="{35523E74-60C2-4426-8BD1-E01743DCE640}"/>
    <cellStyle name="40% - Accent3 2 2 4 3" xfId="4557" xr:uid="{ACF4D749-07FB-426C-946B-B3EC629D9992}"/>
    <cellStyle name="40% - Accent3 2 2 4 3 2" xfId="12265" xr:uid="{8F49556B-F34A-41CC-9ED0-AC0D1E217C03}"/>
    <cellStyle name="40% - Accent3 2 2 4 3 2 2" xfId="27677" xr:uid="{1811D9D2-6244-494F-A9DD-6F8E6218749C}"/>
    <cellStyle name="40% - Accent3 2 2 4 3 2 2 2" xfId="41590" xr:uid="{1B399768-ABAF-4299-9320-B28369DD0172}"/>
    <cellStyle name="40% - Accent3 2 2 4 3 2 3" xfId="41589" xr:uid="{92011980-3E28-4983-931A-0C37A6549913}"/>
    <cellStyle name="40% - Accent3 2 2 4 3 3" xfId="19972" xr:uid="{F6F0DA01-6E50-4B3A-BE78-5975BB379E96}"/>
    <cellStyle name="40% - Accent3 2 2 4 3 3 2" xfId="41591" xr:uid="{A9730756-8D9A-4FAF-AD04-D8385B958ACB}"/>
    <cellStyle name="40% - Accent3 2 2 4 3 4" xfId="41588" xr:uid="{E26581BF-A118-4960-9D1C-224926CC39CE}"/>
    <cellStyle name="40% - Accent3 2 2 4 4" xfId="8549" xr:uid="{D9A5A444-C023-4F73-A93C-002B970A1B4D}"/>
    <cellStyle name="40% - Accent3 2 2 4 4 2" xfId="23962" xr:uid="{70A155ED-EA54-4023-8C1B-BBAD33A29CD2}"/>
    <cellStyle name="40% - Accent3 2 2 4 4 2 2" xfId="41593" xr:uid="{CC5634B2-4BBF-4908-A98C-245BE34D9F90}"/>
    <cellStyle name="40% - Accent3 2 2 4 4 3" xfId="41592" xr:uid="{630FB6CA-2A90-435B-BB14-8FDFA56B2A7A}"/>
    <cellStyle name="40% - Accent3 2 2 4 5" xfId="16257" xr:uid="{B815C94B-3A84-4EDD-B518-A8A6DBD43992}"/>
    <cellStyle name="40% - Accent3 2 2 4 5 2" xfId="41594" xr:uid="{0908FF22-2434-4478-AFA2-C1B55F35DED1}"/>
    <cellStyle name="40% - Accent3 2 2 4 6" xfId="41579" xr:uid="{E760181F-876B-461C-82A5-C63843EEC58E}"/>
    <cellStyle name="40% - Accent3 2 2 5" xfId="1658" xr:uid="{4F61D6C8-F2F3-478D-AA9A-CBED17C9B91F}"/>
    <cellStyle name="40% - Accent3 2 2 5 2" xfId="5390" xr:uid="{E9CEA44A-1974-478C-82E4-8018AE4F5BE2}"/>
    <cellStyle name="40% - Accent3 2 2 5 2 2" xfId="13098" xr:uid="{2EBEB6B9-C0DF-4E18-9BEF-C432419FFFC3}"/>
    <cellStyle name="40% - Accent3 2 2 5 2 2 2" xfId="28510" xr:uid="{416B92F9-0D53-45BB-BD69-C34141B4CE16}"/>
    <cellStyle name="40% - Accent3 2 2 5 2 2 2 2" xfId="41598" xr:uid="{37AE3B0F-B547-4578-AD85-20783899B288}"/>
    <cellStyle name="40% - Accent3 2 2 5 2 2 3" xfId="41597" xr:uid="{A59382BF-5DC8-4970-9081-9DF531AC56A7}"/>
    <cellStyle name="40% - Accent3 2 2 5 2 3" xfId="20805" xr:uid="{488CC233-B2FB-472D-94BA-A382ECAF735A}"/>
    <cellStyle name="40% - Accent3 2 2 5 2 3 2" xfId="41599" xr:uid="{4A1AA860-E70F-4BD8-A4DE-78EBD042F40A}"/>
    <cellStyle name="40% - Accent3 2 2 5 2 4" xfId="41596" xr:uid="{8F7A45C5-8454-4376-9F86-A5AA69A32FCD}"/>
    <cellStyle name="40% - Accent3 2 2 5 3" xfId="9370" xr:uid="{F68645C9-A2B9-46D0-930D-A26153991618}"/>
    <cellStyle name="40% - Accent3 2 2 5 3 2" xfId="24783" xr:uid="{07C727A7-7442-4EE1-80E5-E093362807EF}"/>
    <cellStyle name="40% - Accent3 2 2 5 3 2 2" xfId="41601" xr:uid="{CADD516B-2762-44B4-A5BE-B1058E7F0AB4}"/>
    <cellStyle name="40% - Accent3 2 2 5 3 3" xfId="41600" xr:uid="{F2695088-335E-485E-8BE0-70C9D1253348}"/>
    <cellStyle name="40% - Accent3 2 2 5 4" xfId="17078" xr:uid="{DAF1E313-C6CA-4C83-8B59-1B95430E0E38}"/>
    <cellStyle name="40% - Accent3 2 2 5 4 2" xfId="41602" xr:uid="{2C0ACD37-C4F5-42D7-BF01-E045F076C97A}"/>
    <cellStyle name="40% - Accent3 2 2 5 5" xfId="41595" xr:uid="{9916F66A-1196-4AF1-B703-B967857122B5}"/>
    <cellStyle name="40% - Accent3 2 2 6" xfId="3905" xr:uid="{D3374ED6-BE87-4878-91A7-329ED36CC714}"/>
    <cellStyle name="40% - Accent3 2 2 6 2" xfId="11613" xr:uid="{AAEAD101-68B1-40AC-A06E-AE346FFD3A9E}"/>
    <cellStyle name="40% - Accent3 2 2 6 2 2" xfId="27025" xr:uid="{09186986-0A63-480D-A815-F431F21C45AC}"/>
    <cellStyle name="40% - Accent3 2 2 6 2 2 2" xfId="41605" xr:uid="{9CDDCE5B-12A7-49B1-ACF9-9555BF35C8BF}"/>
    <cellStyle name="40% - Accent3 2 2 6 2 3" xfId="41604" xr:uid="{5F1330A5-9B30-467F-B279-1FAE5144F99C}"/>
    <cellStyle name="40% - Accent3 2 2 6 3" xfId="19320" xr:uid="{81CA9605-DBEF-484B-A073-718203B14919}"/>
    <cellStyle name="40% - Accent3 2 2 6 3 2" xfId="41606" xr:uid="{260D4287-5450-4544-BEB1-E24C345738DB}"/>
    <cellStyle name="40% - Accent3 2 2 6 4" xfId="41603" xr:uid="{65213188-E0D8-42A8-B8A7-8AC5D7A4C635}"/>
    <cellStyle name="40% - Accent3 2 2 7" xfId="7893" xr:uid="{7EC90D01-885B-4C3A-9C32-2C45A8F9B7A2}"/>
    <cellStyle name="40% - Accent3 2 2 7 2" xfId="23306" xr:uid="{0562EB7E-4A63-4AC7-A25E-4108FCA410C7}"/>
    <cellStyle name="40% - Accent3 2 2 7 2 2" xfId="41608" xr:uid="{957A098D-6C30-4B0A-901B-53D22400E382}"/>
    <cellStyle name="40% - Accent3 2 2 7 3" xfId="41607" xr:uid="{7275D339-4232-4437-814F-72E4EEF570B2}"/>
    <cellStyle name="40% - Accent3 2 2 8" xfId="15601" xr:uid="{5216BB3D-648D-4C1B-AC1C-03763C27F561}"/>
    <cellStyle name="40% - Accent3 2 2 8 2" xfId="41609" xr:uid="{7CD52D96-F5AA-4F63-AD0C-1ADE8FCD722C}"/>
    <cellStyle name="40% - Accent3 2 2 9" xfId="41482" xr:uid="{411EF7AE-569F-4FAF-B37E-113E1927425A}"/>
    <cellStyle name="40% - Accent3 2 3" xfId="191" xr:uid="{B1B12D4D-7319-493B-A733-67EA808093CE}"/>
    <cellStyle name="40% - Accent3 2 3 2" xfId="400" xr:uid="{6ADB23D3-0D05-4E0B-9502-925715BAB8D6}"/>
    <cellStyle name="40% - Accent3 2 3 2 2" xfId="1062" xr:uid="{C8B1CAD6-FD11-46EC-8656-A0567AFCF84E}"/>
    <cellStyle name="40% - Accent3 2 3 2 2 2" xfId="2530" xr:uid="{7582848C-080F-457B-9A2F-28EEECE9CCC8}"/>
    <cellStyle name="40% - Accent3 2 3 2 2 2 2" xfId="6262" xr:uid="{5B50FDC5-F7EF-4F7B-9303-32C4C19405EA}"/>
    <cellStyle name="40% - Accent3 2 3 2 2 2 2 2" xfId="13970" xr:uid="{F4997DF6-A35F-46E3-9490-67BB0FF6C1B2}"/>
    <cellStyle name="40% - Accent3 2 3 2 2 2 2 2 2" xfId="29382" xr:uid="{3F881975-D88E-4E4B-9C09-1655EE3E0AE9}"/>
    <cellStyle name="40% - Accent3 2 3 2 2 2 2 2 2 2" xfId="41616" xr:uid="{33975414-3092-4C9A-815C-5284F25B83E4}"/>
    <cellStyle name="40% - Accent3 2 3 2 2 2 2 2 3" xfId="41615" xr:uid="{DDAD4E8B-9FCF-4A03-BAA1-66458701404E}"/>
    <cellStyle name="40% - Accent3 2 3 2 2 2 2 3" xfId="21677" xr:uid="{EC187E60-3F94-4E27-B87D-DE63662635DB}"/>
    <cellStyle name="40% - Accent3 2 3 2 2 2 2 3 2" xfId="41617" xr:uid="{1A77C255-3819-4F6E-8060-321F7A627039}"/>
    <cellStyle name="40% - Accent3 2 3 2 2 2 2 4" xfId="41614" xr:uid="{8069AADE-6762-498C-AA94-0B12D0F24F46}"/>
    <cellStyle name="40% - Accent3 2 3 2 2 2 3" xfId="10241" xr:uid="{0CFC8A61-0134-448C-8B89-EEEC47608089}"/>
    <cellStyle name="40% - Accent3 2 3 2 2 2 3 2" xfId="25654" xr:uid="{5B6EA70A-2538-45FE-B28B-2986F8FD1DA0}"/>
    <cellStyle name="40% - Accent3 2 3 2 2 2 3 2 2" xfId="41619" xr:uid="{15726C15-3ECC-4B06-A845-FB896AE8FFEF}"/>
    <cellStyle name="40% - Accent3 2 3 2 2 2 3 3" xfId="41618" xr:uid="{0005BE01-7C76-4C92-9A20-8A404994A88C}"/>
    <cellStyle name="40% - Accent3 2 3 2 2 2 4" xfId="17949" xr:uid="{25064304-3ACC-4791-A3AF-A4DC9EF800E6}"/>
    <cellStyle name="40% - Accent3 2 3 2 2 2 4 2" xfId="41620" xr:uid="{549C211D-434D-4C88-8BC1-92CFABB899CF}"/>
    <cellStyle name="40% - Accent3 2 3 2 2 2 5" xfId="41613" xr:uid="{387E8F35-A036-41D1-9822-EBB0C46D3D57}"/>
    <cellStyle name="40% - Accent3 2 3 2 2 3" xfId="4799" xr:uid="{0D52E3F8-353E-444D-9ABD-80B1DD8D3FF0}"/>
    <cellStyle name="40% - Accent3 2 3 2 2 3 2" xfId="12507" xr:uid="{58A85DFA-6801-4999-B8C7-C19BBF02FD27}"/>
    <cellStyle name="40% - Accent3 2 3 2 2 3 2 2" xfId="27919" xr:uid="{479CB637-E076-4827-86D4-CFEEF840BA93}"/>
    <cellStyle name="40% - Accent3 2 3 2 2 3 2 2 2" xfId="41623" xr:uid="{ECA14F87-E219-47E1-8900-CFE835E14F8E}"/>
    <cellStyle name="40% - Accent3 2 3 2 2 3 2 3" xfId="41622" xr:uid="{488F40FA-3655-43AF-8095-7A9027A870B8}"/>
    <cellStyle name="40% - Accent3 2 3 2 2 3 3" xfId="20214" xr:uid="{857A5F32-E350-4FEF-935C-B9BBED0B6E0F}"/>
    <cellStyle name="40% - Accent3 2 3 2 2 3 3 2" xfId="41624" xr:uid="{D2BE8DE1-C7B1-4C36-B2C3-72391271B501}"/>
    <cellStyle name="40% - Accent3 2 3 2 2 3 4" xfId="41621" xr:uid="{9AE1621D-D568-4B5A-8F7F-2F748E19A1C8}"/>
    <cellStyle name="40% - Accent3 2 3 2 2 4" xfId="8782" xr:uid="{D758361E-93AA-4431-A319-F7DD9BC82663}"/>
    <cellStyle name="40% - Accent3 2 3 2 2 4 2" xfId="24195" xr:uid="{A557E64B-77C5-4109-A713-AC9154D000F2}"/>
    <cellStyle name="40% - Accent3 2 3 2 2 4 2 2" xfId="41626" xr:uid="{0C9F99A2-7BAE-43F1-9EBD-FCDA1F65DE07}"/>
    <cellStyle name="40% - Accent3 2 3 2 2 4 3" xfId="41625" xr:uid="{0B7917A3-2780-401F-B6C0-2DBA9AAE290D}"/>
    <cellStyle name="40% - Accent3 2 3 2 2 5" xfId="16490" xr:uid="{ABDAC2ED-D784-4511-B865-96FCB7FBE51C}"/>
    <cellStyle name="40% - Accent3 2 3 2 2 5 2" xfId="41627" xr:uid="{A687357C-5C4E-4EA7-A2D3-22CE1894EB37}"/>
    <cellStyle name="40% - Accent3 2 3 2 2 6" xfId="41612" xr:uid="{4F46E9C0-0E7D-4BEA-9887-0206B233492E}"/>
    <cellStyle name="40% - Accent3 2 3 2 3" xfId="1892" xr:uid="{0429EA59-55F4-4EC3-90FD-3AA14C9026DD}"/>
    <cellStyle name="40% - Accent3 2 3 2 3 2" xfId="5624" xr:uid="{F4409F48-5959-4509-80EF-1FC8515ADA2D}"/>
    <cellStyle name="40% - Accent3 2 3 2 3 2 2" xfId="13332" xr:uid="{BB9FBF87-FB90-465E-BD9B-38D82A160705}"/>
    <cellStyle name="40% - Accent3 2 3 2 3 2 2 2" xfId="28744" xr:uid="{9F33FF89-9A34-42F0-A41C-BACC418659EC}"/>
    <cellStyle name="40% - Accent3 2 3 2 3 2 2 2 2" xfId="41631" xr:uid="{618A1307-2689-4168-A937-2EC78494E62F}"/>
    <cellStyle name="40% - Accent3 2 3 2 3 2 2 3" xfId="41630" xr:uid="{DFC788B2-3F27-4F18-B98F-44A291B5E8B7}"/>
    <cellStyle name="40% - Accent3 2 3 2 3 2 3" xfId="21039" xr:uid="{A0749257-45CB-41BB-9FB4-769C13C5A205}"/>
    <cellStyle name="40% - Accent3 2 3 2 3 2 3 2" xfId="41632" xr:uid="{D7A350A9-18DB-4651-AC87-AC2E292AF917}"/>
    <cellStyle name="40% - Accent3 2 3 2 3 2 4" xfId="41629" xr:uid="{59A58645-DE4F-4CB3-A6CB-798CB7C06A3D}"/>
    <cellStyle name="40% - Accent3 2 3 2 3 3" xfId="9603" xr:uid="{9F863ED7-6DF2-40FB-8EDF-82007EB4FE6D}"/>
    <cellStyle name="40% - Accent3 2 3 2 3 3 2" xfId="25016" xr:uid="{55FD9939-4B92-46EA-8A40-976B696AD08F}"/>
    <cellStyle name="40% - Accent3 2 3 2 3 3 2 2" xfId="41634" xr:uid="{33E9B27C-0CD5-4544-9E4C-B012304241A8}"/>
    <cellStyle name="40% - Accent3 2 3 2 3 3 3" xfId="41633" xr:uid="{B1BD2060-E240-4A9F-A0C8-ADCA4B88164D}"/>
    <cellStyle name="40% - Accent3 2 3 2 3 4" xfId="17311" xr:uid="{F7BA3A4D-4D1B-4F16-B79F-D51AAC4EBB85}"/>
    <cellStyle name="40% - Accent3 2 3 2 3 4 2" xfId="41635" xr:uid="{2D9F9E25-845E-4ADE-BC63-0E4812B672E7}"/>
    <cellStyle name="40% - Accent3 2 3 2 3 5" xfId="41628" xr:uid="{452EF496-994A-4B40-8F47-004ED7DFA332}"/>
    <cellStyle name="40% - Accent3 2 3 2 4" xfId="4147" xr:uid="{08F1A859-8CFE-4BD1-98E9-B981FB9A630C}"/>
    <cellStyle name="40% - Accent3 2 3 2 4 2" xfId="11855" xr:uid="{240FD964-FDF0-4CC5-8BD3-13F6A4744CF7}"/>
    <cellStyle name="40% - Accent3 2 3 2 4 2 2" xfId="27267" xr:uid="{D871F0AC-6C9E-4268-9ECD-E66A75C2F126}"/>
    <cellStyle name="40% - Accent3 2 3 2 4 2 2 2" xfId="41638" xr:uid="{0531DFAC-F663-4B1E-A230-EF5EDBE615C7}"/>
    <cellStyle name="40% - Accent3 2 3 2 4 2 3" xfId="41637" xr:uid="{6EAFFC9B-4F93-434A-A399-1754EFA955DE}"/>
    <cellStyle name="40% - Accent3 2 3 2 4 3" xfId="19562" xr:uid="{02C0AD1C-3592-4AD9-963B-5E73134EFDDE}"/>
    <cellStyle name="40% - Accent3 2 3 2 4 3 2" xfId="41639" xr:uid="{DBE45169-04CC-450C-8312-E03AE679A4E9}"/>
    <cellStyle name="40% - Accent3 2 3 2 4 4" xfId="41636" xr:uid="{8334E53F-BEB3-4D04-8297-56B622BE3DC6}"/>
    <cellStyle name="40% - Accent3 2 3 2 5" xfId="8144" xr:uid="{AAC3655E-9D79-4863-ADE1-CD8851524E31}"/>
    <cellStyle name="40% - Accent3 2 3 2 5 2" xfId="23557" xr:uid="{C4DA284B-5575-4E86-856A-28C47A269B18}"/>
    <cellStyle name="40% - Accent3 2 3 2 5 2 2" xfId="41641" xr:uid="{2705E091-A0AB-4CB2-8FA3-738EBE8C7C8E}"/>
    <cellStyle name="40% - Accent3 2 3 2 5 3" xfId="41640" xr:uid="{C76CC3D0-A1DD-4B91-8ED1-EB625617B9F1}"/>
    <cellStyle name="40% - Accent3 2 3 2 6" xfId="15852" xr:uid="{E7B543DE-1DE5-4EAB-9E53-A9378BC97CEB}"/>
    <cellStyle name="40% - Accent3 2 3 2 6 2" xfId="41642" xr:uid="{F3C98E3A-49DE-4FA7-9140-EBE4C68065FC}"/>
    <cellStyle name="40% - Accent3 2 3 2 7" xfId="41611" xr:uid="{1D750D07-2948-4025-A55C-8DADCAF44F2F}"/>
    <cellStyle name="40% - Accent3 2 3 3" xfId="857" xr:uid="{5C156377-0B56-41EA-A541-65C61D43F583}"/>
    <cellStyle name="40% - Accent3 2 3 3 2" xfId="2332" xr:uid="{C8310384-0A30-415D-BC07-D8A6A03A155E}"/>
    <cellStyle name="40% - Accent3 2 3 3 2 2" xfId="6064" xr:uid="{8E34BC7F-225A-48F0-B20F-E63A4E718E82}"/>
    <cellStyle name="40% - Accent3 2 3 3 2 2 2" xfId="13772" xr:uid="{30F10E51-EB0A-4C66-8113-7B6C11DF1F36}"/>
    <cellStyle name="40% - Accent3 2 3 3 2 2 2 2" xfId="29184" xr:uid="{056F34A3-5A92-4387-97AD-FF97767FC8BD}"/>
    <cellStyle name="40% - Accent3 2 3 3 2 2 2 2 2" xfId="41647" xr:uid="{9ADDCB70-3DF0-4FBE-8646-4474D768B8D7}"/>
    <cellStyle name="40% - Accent3 2 3 3 2 2 2 3" xfId="41646" xr:uid="{2CB3DDA1-33AC-417D-AB50-CAF2D6482587}"/>
    <cellStyle name="40% - Accent3 2 3 3 2 2 3" xfId="21479" xr:uid="{30CCEF36-6B3C-4E13-A25A-401B8A35E2D1}"/>
    <cellStyle name="40% - Accent3 2 3 3 2 2 3 2" xfId="41648" xr:uid="{D303DC04-043E-46DC-AEDC-3612F45128B6}"/>
    <cellStyle name="40% - Accent3 2 3 3 2 2 4" xfId="41645" xr:uid="{82383EC1-80CE-45D6-BAC6-D16DC59C2AE0}"/>
    <cellStyle name="40% - Accent3 2 3 3 2 3" xfId="10043" xr:uid="{7C2411C7-8867-461A-A787-FF9E7A6A415E}"/>
    <cellStyle name="40% - Accent3 2 3 3 2 3 2" xfId="25456" xr:uid="{37000917-5EC4-4256-8356-1C98CFD12E64}"/>
    <cellStyle name="40% - Accent3 2 3 3 2 3 2 2" xfId="41650" xr:uid="{C4853EDE-18A5-4E3B-9066-E9C827313469}"/>
    <cellStyle name="40% - Accent3 2 3 3 2 3 3" xfId="41649" xr:uid="{AD3F6763-8B84-4CC1-9B3F-C2318A66D450}"/>
    <cellStyle name="40% - Accent3 2 3 3 2 4" xfId="17751" xr:uid="{8D1033DB-6AD5-484A-AC3F-9E57E0CFD00C}"/>
    <cellStyle name="40% - Accent3 2 3 3 2 4 2" xfId="41651" xr:uid="{1D9C8AF7-9BF6-4F6E-8069-C4E6DD448EE8}"/>
    <cellStyle name="40% - Accent3 2 3 3 2 5" xfId="41644" xr:uid="{F66D3A58-AAD9-4EA5-ADBA-4392CBE25318}"/>
    <cellStyle name="40% - Accent3 2 3 3 3" xfId="4594" xr:uid="{6369B31A-7C7D-48EC-9B15-2534882A730E}"/>
    <cellStyle name="40% - Accent3 2 3 3 3 2" xfId="12302" xr:uid="{9F041B4A-9611-4228-A931-BDD96FDDFDCC}"/>
    <cellStyle name="40% - Accent3 2 3 3 3 2 2" xfId="27714" xr:uid="{CD58605D-2D60-40AB-8922-D91C09F6A062}"/>
    <cellStyle name="40% - Accent3 2 3 3 3 2 2 2" xfId="41654" xr:uid="{4125CF5F-C30D-4E40-9940-BFDAB49A4B62}"/>
    <cellStyle name="40% - Accent3 2 3 3 3 2 3" xfId="41653" xr:uid="{485D6183-175C-49AB-917D-5183BF59ADD2}"/>
    <cellStyle name="40% - Accent3 2 3 3 3 3" xfId="20009" xr:uid="{6FA37AF3-8C61-4C1B-AC7D-D56E69E9FC84}"/>
    <cellStyle name="40% - Accent3 2 3 3 3 3 2" xfId="41655" xr:uid="{9B32097F-F8DF-43C5-A010-7A6AD4E26B6F}"/>
    <cellStyle name="40% - Accent3 2 3 3 3 4" xfId="41652" xr:uid="{EE6526F9-42D6-418A-B7D0-4E31E7B85B8A}"/>
    <cellStyle name="40% - Accent3 2 3 3 4" xfId="8584" xr:uid="{46EB29F5-AAF5-4EF4-AA9A-F28B535C9BAE}"/>
    <cellStyle name="40% - Accent3 2 3 3 4 2" xfId="23997" xr:uid="{87E13F91-9907-4272-9339-9361BC7370D2}"/>
    <cellStyle name="40% - Accent3 2 3 3 4 2 2" xfId="41657" xr:uid="{6454371A-9975-45B1-9E40-F6D8C14B9519}"/>
    <cellStyle name="40% - Accent3 2 3 3 4 3" xfId="41656" xr:uid="{CD71E7E9-C947-4755-A0A2-F3F91637CA0F}"/>
    <cellStyle name="40% - Accent3 2 3 3 5" xfId="16292" xr:uid="{19487C0E-1535-4516-8EEA-C904243B882D}"/>
    <cellStyle name="40% - Accent3 2 3 3 5 2" xfId="41658" xr:uid="{E6E9096A-7CA6-42E6-BCC4-92AFE94C1B2B}"/>
    <cellStyle name="40% - Accent3 2 3 3 6" xfId="41643" xr:uid="{00DDE67E-77B4-4213-8716-86F52A0AD04A}"/>
    <cellStyle name="40% - Accent3 2 3 4" xfId="1694" xr:uid="{35DC3CE1-A52E-4367-B091-B73C524684FD}"/>
    <cellStyle name="40% - Accent3 2 3 4 2" xfId="5426" xr:uid="{E64C2CC4-D15D-4B9F-9AFA-9466677E1780}"/>
    <cellStyle name="40% - Accent3 2 3 4 2 2" xfId="13134" xr:uid="{86CB63B9-E4FD-422A-AB72-70ED2C47A010}"/>
    <cellStyle name="40% - Accent3 2 3 4 2 2 2" xfId="28546" xr:uid="{9C220E44-E15B-4E6E-A8F8-09F66A74CB4E}"/>
    <cellStyle name="40% - Accent3 2 3 4 2 2 2 2" xfId="41662" xr:uid="{CDB1683C-0611-4678-9ED1-748AB3FEC244}"/>
    <cellStyle name="40% - Accent3 2 3 4 2 2 3" xfId="41661" xr:uid="{DC75BF13-F0B8-49CC-82F4-B9A01445B902}"/>
    <cellStyle name="40% - Accent3 2 3 4 2 3" xfId="20841" xr:uid="{4FDBAF0B-4551-49F2-B21C-B0442A476365}"/>
    <cellStyle name="40% - Accent3 2 3 4 2 3 2" xfId="41663" xr:uid="{DFE66074-DB70-43B9-9014-97B55345D827}"/>
    <cellStyle name="40% - Accent3 2 3 4 2 4" xfId="41660" xr:uid="{98EC92F4-04EE-49BF-B1BA-F5A43884D38D}"/>
    <cellStyle name="40% - Accent3 2 3 4 3" xfId="9405" xr:uid="{4314F238-873C-4BB0-8877-F1F782874026}"/>
    <cellStyle name="40% - Accent3 2 3 4 3 2" xfId="24818" xr:uid="{DFFE9E57-3472-4D6B-B65E-F416617CF1B0}"/>
    <cellStyle name="40% - Accent3 2 3 4 3 2 2" xfId="41665" xr:uid="{9F56833F-0FC1-42E3-B887-4E802BD37FDE}"/>
    <cellStyle name="40% - Accent3 2 3 4 3 3" xfId="41664" xr:uid="{76712849-B17D-4A5A-90E8-E869B47500EF}"/>
    <cellStyle name="40% - Accent3 2 3 4 4" xfId="17113" xr:uid="{1CB931A6-C8C9-4BAA-B9BD-AACA0639C77D}"/>
    <cellStyle name="40% - Accent3 2 3 4 4 2" xfId="41666" xr:uid="{E7C249E4-E837-4FF1-AFFB-C00ED9A74B8B}"/>
    <cellStyle name="40% - Accent3 2 3 4 5" xfId="41659" xr:uid="{9576D0BB-FDA5-49D6-A40A-CE0299859316}"/>
    <cellStyle name="40% - Accent3 2 3 5" xfId="3942" xr:uid="{13A334B3-1020-4D49-A4BF-2FC0C98CAD74}"/>
    <cellStyle name="40% - Accent3 2 3 5 2" xfId="11650" xr:uid="{F43D1645-70D0-40AF-AADE-3EFE953DE6DA}"/>
    <cellStyle name="40% - Accent3 2 3 5 2 2" xfId="27062" xr:uid="{8DD0E0FE-FA5A-4D84-8D44-D1AE19673FC7}"/>
    <cellStyle name="40% - Accent3 2 3 5 2 2 2" xfId="41669" xr:uid="{59F7EA6A-B688-4209-B306-4744A413C28E}"/>
    <cellStyle name="40% - Accent3 2 3 5 2 3" xfId="41668" xr:uid="{0D8F04CF-BEEC-41CA-90DF-F347E3AB6695}"/>
    <cellStyle name="40% - Accent3 2 3 5 3" xfId="19357" xr:uid="{56769CB7-995D-40D3-A96B-45EBAA32D178}"/>
    <cellStyle name="40% - Accent3 2 3 5 3 2" xfId="41670" xr:uid="{C854A30C-DCB0-4907-820D-E171F471D2DA}"/>
    <cellStyle name="40% - Accent3 2 3 5 4" xfId="41667" xr:uid="{019C63D0-AF65-4A43-8EA1-A32B4FFEF281}"/>
    <cellStyle name="40% - Accent3 2 3 6" xfId="7946" xr:uid="{208D9E07-2498-4406-A1A3-3F6B70C5F489}"/>
    <cellStyle name="40% - Accent3 2 3 6 2" xfId="23359" xr:uid="{7A308578-8AFA-4975-AEF9-A31E22B8E9AD}"/>
    <cellStyle name="40% - Accent3 2 3 6 2 2" xfId="41672" xr:uid="{F2A2F22B-A520-40D3-BB42-E87878404ADB}"/>
    <cellStyle name="40% - Accent3 2 3 6 3" xfId="41671" xr:uid="{030C2120-DE58-429D-AAF5-FFD88E9B5585}"/>
    <cellStyle name="40% - Accent3 2 3 7" xfId="15654" xr:uid="{8684BCCB-D1CA-4FCA-A446-169CD618BD53}"/>
    <cellStyle name="40% - Accent3 2 3 7 2" xfId="41673" xr:uid="{AC871E4F-5B3B-41FB-8A00-CC61FD069EFF}"/>
    <cellStyle name="40% - Accent3 2 3 8" xfId="41610" xr:uid="{72218D6F-4B2D-4F6B-A444-38648FA675F2}"/>
    <cellStyle name="40% - Accent3 2 4" xfId="347" xr:uid="{11551C50-26FC-4023-8EED-306D97C35884}"/>
    <cellStyle name="40% - Accent3 2 4 2" xfId="1010" xr:uid="{61698755-8A8F-4F23-B344-4E5832EEBB33}"/>
    <cellStyle name="40% - Accent3 2 4 2 2" xfId="2480" xr:uid="{2BBE4658-F796-48A3-8CF6-4996ECEDF92D}"/>
    <cellStyle name="40% - Accent3 2 4 2 2 2" xfId="6212" xr:uid="{D4181E4F-DB40-4E05-ADC0-A841FC82939B}"/>
    <cellStyle name="40% - Accent3 2 4 2 2 2 2" xfId="13920" xr:uid="{66D8D99D-D48D-4269-857B-D6B0862FEC72}"/>
    <cellStyle name="40% - Accent3 2 4 2 2 2 2 2" xfId="29332" xr:uid="{BBE350A7-D359-488D-9E66-A0F035189E16}"/>
    <cellStyle name="40% - Accent3 2 4 2 2 2 2 2 2" xfId="41679" xr:uid="{547F5ED0-F3FC-4A2E-94AD-9156FCCCE78C}"/>
    <cellStyle name="40% - Accent3 2 4 2 2 2 2 3" xfId="41678" xr:uid="{46F97B3F-71F1-4BF7-B724-466C3BEDD8D8}"/>
    <cellStyle name="40% - Accent3 2 4 2 2 2 3" xfId="21627" xr:uid="{E053F445-727F-4F49-BAE2-EFA435D21DC6}"/>
    <cellStyle name="40% - Accent3 2 4 2 2 2 3 2" xfId="41680" xr:uid="{94E3D984-7CE7-401C-AD44-6855CF735580}"/>
    <cellStyle name="40% - Accent3 2 4 2 2 2 4" xfId="41677" xr:uid="{97537491-A8E0-462A-9923-6E7EA9DA43BE}"/>
    <cellStyle name="40% - Accent3 2 4 2 2 3" xfId="10191" xr:uid="{64086DFB-EE54-409A-BC9C-DCC7C48AB9CF}"/>
    <cellStyle name="40% - Accent3 2 4 2 2 3 2" xfId="25604" xr:uid="{DC275881-D0C6-4DF7-863A-1B7C885AB148}"/>
    <cellStyle name="40% - Accent3 2 4 2 2 3 2 2" xfId="41682" xr:uid="{9C23B97C-D884-4966-BCB1-488193586A5B}"/>
    <cellStyle name="40% - Accent3 2 4 2 2 3 3" xfId="41681" xr:uid="{EE2747AA-0B44-4829-A7C5-0CC3EF170B42}"/>
    <cellStyle name="40% - Accent3 2 4 2 2 4" xfId="17899" xr:uid="{B7D1B515-FF22-4A23-AEFC-CAD773D83B07}"/>
    <cellStyle name="40% - Accent3 2 4 2 2 4 2" xfId="41683" xr:uid="{8DF6DBF4-A69F-4DF9-8774-4FF7494C70C2}"/>
    <cellStyle name="40% - Accent3 2 4 2 2 5" xfId="41676" xr:uid="{ABC57D3A-DA8C-445F-AB7A-847470E8BAFA}"/>
    <cellStyle name="40% - Accent3 2 4 2 3" xfId="4747" xr:uid="{406DA9E5-D184-4512-9480-652B04DFD638}"/>
    <cellStyle name="40% - Accent3 2 4 2 3 2" xfId="12455" xr:uid="{BA148AB8-A763-40A7-BBFE-CE66B2918DB8}"/>
    <cellStyle name="40% - Accent3 2 4 2 3 2 2" xfId="27867" xr:uid="{0E3995FF-DD4C-4EC5-A427-6DFC4119887C}"/>
    <cellStyle name="40% - Accent3 2 4 2 3 2 2 2" xfId="41686" xr:uid="{F5A1C20F-64D1-40D5-B9E0-FA4FFFFE55D9}"/>
    <cellStyle name="40% - Accent3 2 4 2 3 2 3" xfId="41685" xr:uid="{45DB27B6-4C84-4920-B564-56E7B2A36077}"/>
    <cellStyle name="40% - Accent3 2 4 2 3 3" xfId="20162" xr:uid="{0C9FC227-F135-4C3A-BC0A-F65FCCFE9CCC}"/>
    <cellStyle name="40% - Accent3 2 4 2 3 3 2" xfId="41687" xr:uid="{1657D4FC-6178-49EB-AF1E-7E63EE302D18}"/>
    <cellStyle name="40% - Accent3 2 4 2 3 4" xfId="41684" xr:uid="{81DCA80D-154A-4500-9843-62323DA345E7}"/>
    <cellStyle name="40% - Accent3 2 4 2 4" xfId="8732" xr:uid="{E332B9AD-4F24-43D4-ADD3-C387ECB719FB}"/>
    <cellStyle name="40% - Accent3 2 4 2 4 2" xfId="24145" xr:uid="{2C06CBFD-DBB1-470B-9D27-DB826458DA69}"/>
    <cellStyle name="40% - Accent3 2 4 2 4 2 2" xfId="41689" xr:uid="{9855AC84-856F-4E2E-A1C6-17DBF8F1C60D}"/>
    <cellStyle name="40% - Accent3 2 4 2 4 3" xfId="41688" xr:uid="{511FC26E-2302-468B-9AC6-BB65A463F214}"/>
    <cellStyle name="40% - Accent3 2 4 2 5" xfId="16440" xr:uid="{711171A4-2C67-463B-8E78-86F3D312D244}"/>
    <cellStyle name="40% - Accent3 2 4 2 5 2" xfId="41690" xr:uid="{49BF67E4-F6C2-4152-8E4E-A67F445D486A}"/>
    <cellStyle name="40% - Accent3 2 4 2 6" xfId="41675" xr:uid="{B6BFC4B3-2E73-44B6-ACF5-00D4D4520704}"/>
    <cellStyle name="40% - Accent3 2 4 3" xfId="1842" xr:uid="{5BCA93E3-24BF-460C-B08E-AE7BD5BC290C}"/>
    <cellStyle name="40% - Accent3 2 4 3 2" xfId="5574" xr:uid="{D026EC4D-0B38-45F2-A97E-C3BB25005F5C}"/>
    <cellStyle name="40% - Accent3 2 4 3 2 2" xfId="13282" xr:uid="{A1801D1D-6220-420D-BFA4-C87EB2FEDA7A}"/>
    <cellStyle name="40% - Accent3 2 4 3 2 2 2" xfId="28694" xr:uid="{953EBE9A-84E5-4785-89E7-BFA9B3002A19}"/>
    <cellStyle name="40% - Accent3 2 4 3 2 2 2 2" xfId="41694" xr:uid="{69F27C2D-1F20-4666-B3A7-F097699DDAB9}"/>
    <cellStyle name="40% - Accent3 2 4 3 2 2 3" xfId="41693" xr:uid="{816EFE08-3277-43F7-8EED-E0D8CE7C692F}"/>
    <cellStyle name="40% - Accent3 2 4 3 2 3" xfId="20989" xr:uid="{DD07A137-4FD9-4779-8C72-48EF42731A61}"/>
    <cellStyle name="40% - Accent3 2 4 3 2 3 2" xfId="41695" xr:uid="{4126900D-751E-4D35-91FF-346F1F0D6270}"/>
    <cellStyle name="40% - Accent3 2 4 3 2 4" xfId="41692" xr:uid="{D4451EA0-73C3-4158-BE88-0ED5CE96AD54}"/>
    <cellStyle name="40% - Accent3 2 4 3 3" xfId="9553" xr:uid="{B65D4177-3725-40EF-83FA-737FE4244FD3}"/>
    <cellStyle name="40% - Accent3 2 4 3 3 2" xfId="24966" xr:uid="{6D012FFD-2B0F-4D2D-9659-B55393A7FF51}"/>
    <cellStyle name="40% - Accent3 2 4 3 3 2 2" xfId="41697" xr:uid="{4BB2B41E-C8B6-4013-947F-AB105D80BABA}"/>
    <cellStyle name="40% - Accent3 2 4 3 3 3" xfId="41696" xr:uid="{869B005D-F6D0-4BB5-AA2E-745ED1CBB04F}"/>
    <cellStyle name="40% - Accent3 2 4 3 4" xfId="17261" xr:uid="{0B1E9283-F134-40A0-A0CB-76155365BCDA}"/>
    <cellStyle name="40% - Accent3 2 4 3 4 2" xfId="41698" xr:uid="{FC624C4E-2061-4E27-8B5D-2F8B46A6B2DD}"/>
    <cellStyle name="40% - Accent3 2 4 3 5" xfId="41691" xr:uid="{AFF55F71-FA33-44FB-A724-7E77D2A4A1CC}"/>
    <cellStyle name="40% - Accent3 2 4 4" xfId="4095" xr:uid="{5DB067E3-C021-4110-8F8B-2E706F8ADDC2}"/>
    <cellStyle name="40% - Accent3 2 4 4 2" xfId="11803" xr:uid="{415B1C17-C20E-4418-B9BB-51164B4DE61E}"/>
    <cellStyle name="40% - Accent3 2 4 4 2 2" xfId="27215" xr:uid="{48E9BFE2-AD5F-48BB-BE0B-1D3C4917C18E}"/>
    <cellStyle name="40% - Accent3 2 4 4 2 2 2" xfId="41701" xr:uid="{6B6183FD-0FDF-419D-9926-BEAA81EC9EB7}"/>
    <cellStyle name="40% - Accent3 2 4 4 2 3" xfId="41700" xr:uid="{4B17DBCF-B53B-4CA0-B0C1-6A2FBB628438}"/>
    <cellStyle name="40% - Accent3 2 4 4 3" xfId="19510" xr:uid="{BB79C59B-E901-465D-9AC2-15B10D4FBCB7}"/>
    <cellStyle name="40% - Accent3 2 4 4 3 2" xfId="41702" xr:uid="{A91646B4-4FB0-447A-8434-DB0C55812FDD}"/>
    <cellStyle name="40% - Accent3 2 4 4 4" xfId="41699" xr:uid="{C40A36FD-FD19-4D80-AA97-028ECC98512E}"/>
    <cellStyle name="40% - Accent3 2 4 5" xfId="8094" xr:uid="{5AFBF57C-F466-4E0A-87FF-9EBD3AE9100A}"/>
    <cellStyle name="40% - Accent3 2 4 5 2" xfId="23507" xr:uid="{ABA5627A-100C-4DD4-A582-6F73B9894DA4}"/>
    <cellStyle name="40% - Accent3 2 4 5 2 2" xfId="41704" xr:uid="{BE58B106-62ED-431A-8FC9-128BB0FBC85C}"/>
    <cellStyle name="40% - Accent3 2 4 5 3" xfId="41703" xr:uid="{5783EB87-D79F-477B-A732-CF50F896BC4E}"/>
    <cellStyle name="40% - Accent3 2 4 6" xfId="15802" xr:uid="{3C394266-B1B5-48D2-83D1-B3F959314BA1}"/>
    <cellStyle name="40% - Accent3 2 4 6 2" xfId="41705" xr:uid="{FBE59621-6D03-491E-B552-5C1FD0AD8A97}"/>
    <cellStyle name="40% - Accent3 2 4 7" xfId="41674" xr:uid="{B4BC7FE5-4141-4366-A976-E922419226FC}"/>
    <cellStyle name="40% - Accent3 2 5" xfId="793" xr:uid="{4282D6CE-7A61-48BF-9454-B8D819C6F44E}"/>
    <cellStyle name="40% - Accent3 2 5 2" xfId="2282" xr:uid="{C1205DF2-49ED-4112-9280-BBA832C8CA6F}"/>
    <cellStyle name="40% - Accent3 2 5 2 2" xfId="6014" xr:uid="{460B3A09-DA15-47C4-BD79-6CE47C5F86A5}"/>
    <cellStyle name="40% - Accent3 2 5 2 2 2" xfId="13722" xr:uid="{DF0858D7-6386-46AC-B1CD-4E1368321CC5}"/>
    <cellStyle name="40% - Accent3 2 5 2 2 2 2" xfId="29134" xr:uid="{C4767969-F9A0-401D-A859-98427AAA137B}"/>
    <cellStyle name="40% - Accent3 2 5 2 2 2 2 2" xfId="41710" xr:uid="{6E7107E4-F724-405C-AFBF-91321515AE61}"/>
    <cellStyle name="40% - Accent3 2 5 2 2 2 3" xfId="41709" xr:uid="{987EA74F-4865-4A19-881C-243F7991C336}"/>
    <cellStyle name="40% - Accent3 2 5 2 2 3" xfId="21429" xr:uid="{C5AEECBC-8210-471B-8BFC-F85BD75C6C75}"/>
    <cellStyle name="40% - Accent3 2 5 2 2 3 2" xfId="41711" xr:uid="{D9BC8C5C-BF3F-4729-B885-77730FB79452}"/>
    <cellStyle name="40% - Accent3 2 5 2 2 4" xfId="41708" xr:uid="{220D5029-302C-462A-8DCD-01980E0D40C8}"/>
    <cellStyle name="40% - Accent3 2 5 2 3" xfId="9993" xr:uid="{D44F855E-05E6-4099-9729-1FFA5225957F}"/>
    <cellStyle name="40% - Accent3 2 5 2 3 2" xfId="25406" xr:uid="{1B77B809-8104-4E8F-A407-C5374DF25542}"/>
    <cellStyle name="40% - Accent3 2 5 2 3 2 2" xfId="41713" xr:uid="{994B1EF1-2FCE-4F59-A61C-3AC449EE243E}"/>
    <cellStyle name="40% - Accent3 2 5 2 3 3" xfId="41712" xr:uid="{452E9F5C-B42C-4A0F-A860-441B3169F7CE}"/>
    <cellStyle name="40% - Accent3 2 5 2 4" xfId="17701" xr:uid="{BC9EF3CD-A197-42CA-8184-F87C01C1F362}"/>
    <cellStyle name="40% - Accent3 2 5 2 4 2" xfId="41714" xr:uid="{C426D61D-F668-471C-9B79-F377686F9CEC}"/>
    <cellStyle name="40% - Accent3 2 5 2 5" xfId="41707" xr:uid="{0787B9C4-942B-459E-B28B-A1ED2146171C}"/>
    <cellStyle name="40% - Accent3 2 5 3" xfId="4537" xr:uid="{595DB878-9C2E-4DA8-8EBE-EF03637DCA8E}"/>
    <cellStyle name="40% - Accent3 2 5 3 2" xfId="12245" xr:uid="{8D6DB312-CD19-443B-94C4-05370416D28B}"/>
    <cellStyle name="40% - Accent3 2 5 3 2 2" xfId="27657" xr:uid="{B5D25F47-1A9A-4701-8B23-6700B59B0190}"/>
    <cellStyle name="40% - Accent3 2 5 3 2 2 2" xfId="41717" xr:uid="{4CAD4AC9-5473-48FB-9D2F-C1CFB26D8127}"/>
    <cellStyle name="40% - Accent3 2 5 3 2 3" xfId="41716" xr:uid="{E58EC160-16D5-42C0-924B-93464FB70A1B}"/>
    <cellStyle name="40% - Accent3 2 5 3 3" xfId="19952" xr:uid="{6821BD39-B44E-41EB-ACF7-36FF234E145E}"/>
    <cellStyle name="40% - Accent3 2 5 3 3 2" xfId="41718" xr:uid="{9F2CA828-3B15-4856-B560-B68DC814BC49}"/>
    <cellStyle name="40% - Accent3 2 5 3 4" xfId="41715" xr:uid="{9F96E670-1575-4D12-B7A3-5D55D9575FA7}"/>
    <cellStyle name="40% - Accent3 2 5 4" xfId="8534" xr:uid="{7EF48440-7D7B-4363-AF85-C0F4B10396FE}"/>
    <cellStyle name="40% - Accent3 2 5 4 2" xfId="23947" xr:uid="{23A2BC52-5F8B-4C17-896D-CE686F2F153C}"/>
    <cellStyle name="40% - Accent3 2 5 4 2 2" xfId="41720" xr:uid="{BDE69B3B-A9C4-4A09-A8CB-5BB0AB746D39}"/>
    <cellStyle name="40% - Accent3 2 5 4 3" xfId="41719" xr:uid="{F50E4368-39BA-4016-9191-2AFA590449BD}"/>
    <cellStyle name="40% - Accent3 2 5 5" xfId="16242" xr:uid="{EE423653-1C5B-4D3A-A555-A8462F7B26A8}"/>
    <cellStyle name="40% - Accent3 2 5 5 2" xfId="41721" xr:uid="{32520E6B-E6A4-4FCD-93CD-3F5BBACA2DD4}"/>
    <cellStyle name="40% - Accent3 2 5 6" xfId="41706" xr:uid="{9E412214-9254-4FDB-A098-CE33D70A8B5A}"/>
    <cellStyle name="40% - Accent3 2 6" xfId="1640" xr:uid="{2BE05AD5-F190-4BB2-92D0-115A4233B1D6}"/>
    <cellStyle name="40% - Accent3 2 6 2" xfId="5374" xr:uid="{33AE639A-9871-4E36-969E-E69C6181FC98}"/>
    <cellStyle name="40% - Accent3 2 6 2 2" xfId="13082" xr:uid="{63A2D512-5214-4FF4-BD06-B37DF70AA9F5}"/>
    <cellStyle name="40% - Accent3 2 6 2 2 2" xfId="28494" xr:uid="{8B376A0A-A946-466D-AB24-D639417EB4ED}"/>
    <cellStyle name="40% - Accent3 2 6 2 2 2 2" xfId="41725" xr:uid="{8031DE6E-1ABE-4DDD-9D9E-77521CDE7222}"/>
    <cellStyle name="40% - Accent3 2 6 2 2 3" xfId="41724" xr:uid="{DBB69923-F772-470E-B309-4458CDA5B14A}"/>
    <cellStyle name="40% - Accent3 2 6 2 3" xfId="20789" xr:uid="{51559166-E8DB-4D19-86CE-7CEFD2D41C2D}"/>
    <cellStyle name="40% - Accent3 2 6 2 3 2" xfId="41726" xr:uid="{2836599C-9498-456D-B669-0618C948F84C}"/>
    <cellStyle name="40% - Accent3 2 6 2 4" xfId="41723" xr:uid="{8145CBB8-764E-4A58-AB51-70A13751DEB4}"/>
    <cellStyle name="40% - Accent3 2 6 3" xfId="9355" xr:uid="{F9823644-8FE6-4571-8560-859AE32D0835}"/>
    <cellStyle name="40% - Accent3 2 6 3 2" xfId="24768" xr:uid="{0581474E-1904-43BE-9059-061CC6AF9E18}"/>
    <cellStyle name="40% - Accent3 2 6 3 2 2" xfId="41728" xr:uid="{A613A90C-7A91-4D09-9EEB-1B114B9A9E63}"/>
    <cellStyle name="40% - Accent3 2 6 3 3" xfId="41727" xr:uid="{6A688425-6427-4AB5-81F5-8D5AA5050A19}"/>
    <cellStyle name="40% - Accent3 2 6 4" xfId="17063" xr:uid="{DC5DDF9A-5C19-4F12-BB67-345567A0EBF4}"/>
    <cellStyle name="40% - Accent3 2 6 4 2" xfId="41729" xr:uid="{ECE5B467-AF13-4F04-B0EE-A6BDC5879729}"/>
    <cellStyle name="40% - Accent3 2 6 5" xfId="41722" xr:uid="{FAFF4280-7599-4C15-ABC8-A61B33467ABE}"/>
    <cellStyle name="40% - Accent3 2 7" xfId="3884" xr:uid="{CC5DE1B6-B15E-4C38-B08F-E00F6482C2D7}"/>
    <cellStyle name="40% - Accent3 2 7 2" xfId="11593" xr:uid="{11D00CAD-A3C1-440C-AEC6-0F1D093D1B05}"/>
    <cellStyle name="40% - Accent3 2 7 2 2" xfId="27005" xr:uid="{7C1D1D02-3FC6-4D1C-9655-A6F4DDF894BB}"/>
    <cellStyle name="40% - Accent3 2 7 2 2 2" xfId="41732" xr:uid="{F4F8708C-272D-40B9-BDFB-621BB09138CA}"/>
    <cellStyle name="40% - Accent3 2 7 2 3" xfId="41731" xr:uid="{DBB5E26A-3FD8-4C35-882C-E8EE21DB4C5E}"/>
    <cellStyle name="40% - Accent3 2 7 3" xfId="19300" xr:uid="{766EF3BC-EE3A-43AC-B224-EBAE1B795289}"/>
    <cellStyle name="40% - Accent3 2 7 3 2" xfId="41733" xr:uid="{0D5EE21E-26E2-4443-98F6-CDC3E26666E9}"/>
    <cellStyle name="40% - Accent3 2 7 4" xfId="41730" xr:uid="{349C70AF-DE84-4E18-A96A-92B7F4B081CB}"/>
    <cellStyle name="40% - Accent3 2 8" xfId="7878" xr:uid="{9F43AC0C-D621-4999-A73D-BA9EC33792F2}"/>
    <cellStyle name="40% - Accent3 2 8 2" xfId="23291" xr:uid="{52E1B237-224B-4967-9412-94808CD2107C}"/>
    <cellStyle name="40% - Accent3 2 8 2 2" xfId="41735" xr:uid="{07D0E619-E747-45D5-B9BB-737F8F3037B2}"/>
    <cellStyle name="40% - Accent3 2 8 3" xfId="41734" xr:uid="{C8E1AFA8-D91F-4268-B254-5E6ADF64A28E}"/>
    <cellStyle name="40% - Accent3 2 9" xfId="15586" xr:uid="{A5CF3BE3-0911-4DBF-A079-155680FCC59D}"/>
    <cellStyle name="40% - Accent3 2 9 2" xfId="41736" xr:uid="{9B6FB2B4-7727-4685-AF4E-D47A48AE833E}"/>
    <cellStyle name="40% - Accent3 20" xfId="3604" xr:uid="{63453682-993E-452A-BB1C-59C0800C31CB}"/>
    <cellStyle name="40% - Accent3 20 2" xfId="7335" xr:uid="{BE1F192E-57AB-4E06-83E3-943549B453EE}"/>
    <cellStyle name="40% - Accent3 20 2 2" xfId="15043" xr:uid="{EFDA1D54-CE1B-4EA3-A623-CAE021C99773}"/>
    <cellStyle name="40% - Accent3 20 2 2 2" xfId="30455" xr:uid="{25B6B58F-94DD-4FA4-949C-7A239FD1EDB3}"/>
    <cellStyle name="40% - Accent3 20 2 2 2 2" xfId="41740" xr:uid="{CCEB0389-F6A9-40CE-80B8-1FBB62B58965}"/>
    <cellStyle name="40% - Accent3 20 2 2 3" xfId="41739" xr:uid="{B2C8EF05-727A-4948-B29C-5C55F0B88C8C}"/>
    <cellStyle name="40% - Accent3 20 2 3" xfId="22750" xr:uid="{8399FB34-2B7F-4A1E-8BB0-806735DCDB50}"/>
    <cellStyle name="40% - Accent3 20 2 3 2" xfId="41741" xr:uid="{2DA39D9F-0AB7-454A-A670-4A135D1C1FEC}"/>
    <cellStyle name="40% - Accent3 20 2 4" xfId="41738" xr:uid="{38CC99E3-E30D-400A-A196-E2E7CA68C2B3}"/>
    <cellStyle name="40% - Accent3 20 3" xfId="11314" xr:uid="{425DD58E-C6E3-4CDD-8FA8-C882E06AACE3}"/>
    <cellStyle name="40% - Accent3 20 3 2" xfId="26727" xr:uid="{EFD96776-9875-4972-9F40-804B87D3A7EE}"/>
    <cellStyle name="40% - Accent3 20 3 2 2" xfId="41743" xr:uid="{75DD5922-F14B-4C7F-BAC5-1ED53DAC5FDC}"/>
    <cellStyle name="40% - Accent3 20 3 3" xfId="41742" xr:uid="{3472C3AD-DDA1-4331-877A-626EBF1C829A}"/>
    <cellStyle name="40% - Accent3 20 4" xfId="19022" xr:uid="{DBBE47B8-E4DD-43F9-9D7B-B782B7696759}"/>
    <cellStyle name="40% - Accent3 20 4 2" xfId="41744" xr:uid="{C8871D9C-3182-4878-89DB-4754958C5423}"/>
    <cellStyle name="40% - Accent3 20 5" xfId="41737" xr:uid="{7EF02D3E-FC37-4310-A20E-281D03C14D33}"/>
    <cellStyle name="40% - Accent3 21" xfId="3624" xr:uid="{2FF0D9A8-A63C-48A1-8132-5EB72E584F6D}"/>
    <cellStyle name="40% - Accent3 21 2" xfId="7355" xr:uid="{C8F07EC0-84E4-471D-A5F7-42F6CD80C52B}"/>
    <cellStyle name="40% - Accent3 21 2 2" xfId="15063" xr:uid="{8F0D43DD-1BD5-4AA8-A5E6-1111EE2DBC7C}"/>
    <cellStyle name="40% - Accent3 21 2 2 2" xfId="30475" xr:uid="{E5229BB7-74F2-40BF-880F-F648A3797066}"/>
    <cellStyle name="40% - Accent3 21 2 2 2 2" xfId="41748" xr:uid="{06D65BE0-7E64-46C9-AA50-2CEB2A82CED5}"/>
    <cellStyle name="40% - Accent3 21 2 2 3" xfId="41747" xr:uid="{74BC722E-DACC-4D14-B663-F695DABF859E}"/>
    <cellStyle name="40% - Accent3 21 2 3" xfId="22770" xr:uid="{B26211C2-366B-40AA-B275-1A66A843BCC8}"/>
    <cellStyle name="40% - Accent3 21 2 3 2" xfId="41749" xr:uid="{E9C587AA-91A1-4CBD-8373-29697D789B6C}"/>
    <cellStyle name="40% - Accent3 21 2 4" xfId="41746" xr:uid="{926A034C-D93A-4618-9067-1E30EC5427BA}"/>
    <cellStyle name="40% - Accent3 21 3" xfId="11334" xr:uid="{3D626A94-C77D-4177-AF77-593F0694C0AB}"/>
    <cellStyle name="40% - Accent3 21 3 2" xfId="26747" xr:uid="{654E7EB3-657C-4CE1-854C-45837316D399}"/>
    <cellStyle name="40% - Accent3 21 3 2 2" xfId="41751" xr:uid="{522C0E93-E734-42D1-8B56-43DF58B71921}"/>
    <cellStyle name="40% - Accent3 21 3 3" xfId="41750" xr:uid="{B3843D49-2747-420C-97AF-70E95EFB57B8}"/>
    <cellStyle name="40% - Accent3 21 4" xfId="19042" xr:uid="{096677A4-8B3C-438D-AF48-84530043BE92}"/>
    <cellStyle name="40% - Accent3 21 4 2" xfId="41752" xr:uid="{22DB33FD-76B3-4F85-BACC-71A222662119}"/>
    <cellStyle name="40% - Accent3 21 5" xfId="41745" xr:uid="{D407966D-A027-4506-A625-B5B8693BDF8A}"/>
    <cellStyle name="40% - Accent3 22" xfId="3644" xr:uid="{5AC9727A-A916-4F9A-AC8B-36C47233A843}"/>
    <cellStyle name="40% - Accent3 22 2" xfId="7375" xr:uid="{FF95C0B3-DA61-4A28-A2D6-669068ABA86C}"/>
    <cellStyle name="40% - Accent3 22 2 2" xfId="15083" xr:uid="{910D3FCF-68B4-426C-9D10-0E317B65DCDE}"/>
    <cellStyle name="40% - Accent3 22 2 2 2" xfId="30495" xr:uid="{85653C1F-DA4E-4AA4-80D2-EC34D8BDA523}"/>
    <cellStyle name="40% - Accent3 22 2 2 2 2" xfId="41756" xr:uid="{34679858-7F6A-4D47-8D43-AB9D5AB1A301}"/>
    <cellStyle name="40% - Accent3 22 2 2 3" xfId="41755" xr:uid="{9DE959E9-64F5-478A-BF5C-80078FE3BA87}"/>
    <cellStyle name="40% - Accent3 22 2 3" xfId="22790" xr:uid="{57073D70-AB63-4E33-B9D4-4C1E098BDB63}"/>
    <cellStyle name="40% - Accent3 22 2 3 2" xfId="41757" xr:uid="{665F4346-6542-4582-94C3-0605FB1BCDE8}"/>
    <cellStyle name="40% - Accent3 22 2 4" xfId="41754" xr:uid="{ED93FDEB-4108-4FB7-A748-8437153F03AA}"/>
    <cellStyle name="40% - Accent3 22 3" xfId="11354" xr:uid="{5E12BDF1-73E1-4961-ABB3-9D312777C9ED}"/>
    <cellStyle name="40% - Accent3 22 3 2" xfId="26767" xr:uid="{AC25A48E-B1F6-468D-80A3-25A453D268B1}"/>
    <cellStyle name="40% - Accent3 22 3 2 2" xfId="41759" xr:uid="{A2AE4414-B579-4D95-AD70-E298D912E605}"/>
    <cellStyle name="40% - Accent3 22 3 3" xfId="41758" xr:uid="{437B508A-B0D8-4C97-8B17-FBB475778C26}"/>
    <cellStyle name="40% - Accent3 22 4" xfId="19062" xr:uid="{4CD9D439-CB14-4755-BC01-D892920504DA}"/>
    <cellStyle name="40% - Accent3 22 4 2" xfId="41760" xr:uid="{5F1A76F1-75A9-47C7-8310-2903A773B361}"/>
    <cellStyle name="40% - Accent3 22 5" xfId="41753" xr:uid="{F2D7FE43-4602-4193-AAD3-72763A3E1A6E}"/>
    <cellStyle name="40% - Accent3 23" xfId="3664" xr:uid="{CB25BD68-2107-4A44-B3A4-441DAEDB8991}"/>
    <cellStyle name="40% - Accent3 23 2" xfId="7395" xr:uid="{F026F18C-375F-4534-AFB9-ECEAFBE56DF6}"/>
    <cellStyle name="40% - Accent3 23 2 2" xfId="15103" xr:uid="{38DF8276-E21B-4D23-AFD9-452718B6B6C8}"/>
    <cellStyle name="40% - Accent3 23 2 2 2" xfId="30515" xr:uid="{2FC70AA0-1C94-48F7-BF95-D988E34C7A05}"/>
    <cellStyle name="40% - Accent3 23 2 2 2 2" xfId="41764" xr:uid="{D627F04E-DB21-4853-9C30-752E0B5FAB81}"/>
    <cellStyle name="40% - Accent3 23 2 2 3" xfId="41763" xr:uid="{BED6317F-E6C0-4BE8-89B2-447D6F4AEEF1}"/>
    <cellStyle name="40% - Accent3 23 2 3" xfId="22810" xr:uid="{CEB60E5A-E6C2-4684-9C76-3BF43918F638}"/>
    <cellStyle name="40% - Accent3 23 2 3 2" xfId="41765" xr:uid="{D8135F0B-FBB1-4909-9A5E-13FD371187D3}"/>
    <cellStyle name="40% - Accent3 23 2 4" xfId="41762" xr:uid="{20CD3462-5309-42A6-BAF2-78E29680C27D}"/>
    <cellStyle name="40% - Accent3 23 3" xfId="11374" xr:uid="{B4DBF58E-0E62-476B-84FB-40F08B0A00AE}"/>
    <cellStyle name="40% - Accent3 23 3 2" xfId="26787" xr:uid="{BE73ED5F-093C-4969-9BE5-209CE2DCDCCF}"/>
    <cellStyle name="40% - Accent3 23 3 2 2" xfId="41767" xr:uid="{D9E9680E-78AC-42D5-996E-89122B63F37B}"/>
    <cellStyle name="40% - Accent3 23 3 3" xfId="41766" xr:uid="{33E9E619-7410-4331-8A2A-B922FD12825A}"/>
    <cellStyle name="40% - Accent3 23 4" xfId="19082" xr:uid="{2156810F-3627-4101-B787-BB2FEB7C959E}"/>
    <cellStyle name="40% - Accent3 23 4 2" xfId="41768" xr:uid="{3A6312F7-71F8-461D-9F1A-142E82C7E056}"/>
    <cellStyle name="40% - Accent3 23 5" xfId="41761" xr:uid="{9B7B6BEA-9376-4856-AF64-7F84EACED6D1}"/>
    <cellStyle name="40% - Accent3 24" xfId="3684" xr:uid="{E1C6B872-0836-47C9-9BF9-0BE36C7584D9}"/>
    <cellStyle name="40% - Accent3 24 2" xfId="7415" xr:uid="{1B4C46D6-7267-47D3-B376-538D8BC8BB93}"/>
    <cellStyle name="40% - Accent3 24 2 2" xfId="15123" xr:uid="{FDB531F0-0A69-4782-82FE-D9CB15FFC8CB}"/>
    <cellStyle name="40% - Accent3 24 2 2 2" xfId="30535" xr:uid="{5C1816A7-432F-46DC-902B-CCC21BB09ECA}"/>
    <cellStyle name="40% - Accent3 24 2 2 2 2" xfId="41772" xr:uid="{5C272D12-80D2-4FBB-820D-29375536E300}"/>
    <cellStyle name="40% - Accent3 24 2 2 3" xfId="41771" xr:uid="{A6319F26-1BC8-4839-BA54-782AF15BB9F0}"/>
    <cellStyle name="40% - Accent3 24 2 3" xfId="22830" xr:uid="{C1C58BCA-138D-4DC8-BB6C-C9877F91ED0C}"/>
    <cellStyle name="40% - Accent3 24 2 3 2" xfId="41773" xr:uid="{D2D1DC54-8161-47EF-B9EA-8C06250CE05E}"/>
    <cellStyle name="40% - Accent3 24 2 4" xfId="41770" xr:uid="{402DB905-5761-4E65-B970-DC82F8DC3715}"/>
    <cellStyle name="40% - Accent3 24 3" xfId="11394" xr:uid="{0D259FAD-B904-403A-9921-7F989C39C977}"/>
    <cellStyle name="40% - Accent3 24 3 2" xfId="26807" xr:uid="{4AC81D0D-B0E2-4B29-9A58-ADA59BEDD3A0}"/>
    <cellStyle name="40% - Accent3 24 3 2 2" xfId="41775" xr:uid="{D5380C6E-C42A-4EF7-ADE9-A08E6A9A4517}"/>
    <cellStyle name="40% - Accent3 24 3 3" xfId="41774" xr:uid="{59285E90-5DF9-40C5-A9AB-08B2DD4578C6}"/>
    <cellStyle name="40% - Accent3 24 4" xfId="19102" xr:uid="{95B717CD-D207-4213-B120-70DEF715A6EE}"/>
    <cellStyle name="40% - Accent3 24 4 2" xfId="41776" xr:uid="{0EC3BC38-1EE1-47D0-A956-9042318E82C2}"/>
    <cellStyle name="40% - Accent3 24 5" xfId="41769" xr:uid="{2E324CC1-AB2E-4099-BEAD-E6BBCD240CDA}"/>
    <cellStyle name="40% - Accent3 25" xfId="3704" xr:uid="{496BBDA5-F95B-4072-9B17-3538A2E61A1E}"/>
    <cellStyle name="40% - Accent3 25 2" xfId="7435" xr:uid="{9BF99761-8277-4D49-B4FD-55D2FE8F87CB}"/>
    <cellStyle name="40% - Accent3 25 2 2" xfId="15143" xr:uid="{80B41E21-C778-4F91-A728-7C9D28922142}"/>
    <cellStyle name="40% - Accent3 25 2 2 2" xfId="30555" xr:uid="{D3DB475F-8FDE-4399-A4D1-BE3349726B51}"/>
    <cellStyle name="40% - Accent3 25 2 2 2 2" xfId="41780" xr:uid="{DE74A0C1-4047-4229-AC0C-A3EE4FA7F946}"/>
    <cellStyle name="40% - Accent3 25 2 2 3" xfId="41779" xr:uid="{2D55041A-1278-483E-AA80-ECBD45BB0301}"/>
    <cellStyle name="40% - Accent3 25 2 3" xfId="22850" xr:uid="{27B1E3F0-336F-4942-AA59-C510AB7BCA65}"/>
    <cellStyle name="40% - Accent3 25 2 3 2" xfId="41781" xr:uid="{8708CE6B-67EA-468F-A2C3-611F32039F6C}"/>
    <cellStyle name="40% - Accent3 25 2 4" xfId="41778" xr:uid="{C940BC47-EB7D-40E8-8810-3FB8FD8FB99C}"/>
    <cellStyle name="40% - Accent3 25 3" xfId="11414" xr:uid="{052B0144-5427-4AB2-98A1-CC2E8164E207}"/>
    <cellStyle name="40% - Accent3 25 3 2" xfId="26827" xr:uid="{C13F1F0C-0204-4483-B84E-AAC602632532}"/>
    <cellStyle name="40% - Accent3 25 3 2 2" xfId="41783" xr:uid="{33E229D2-1291-4156-A491-870BCD96277C}"/>
    <cellStyle name="40% - Accent3 25 3 3" xfId="41782" xr:uid="{19FAA699-D481-4FDC-9D0E-D7C4520ACBF9}"/>
    <cellStyle name="40% - Accent3 25 4" xfId="19122" xr:uid="{9A8AB82C-5FE7-45B7-B40B-C2BC6F3E73FB}"/>
    <cellStyle name="40% - Accent3 25 4 2" xfId="41784" xr:uid="{97ADEFC1-E78F-403C-8274-54779E1BC187}"/>
    <cellStyle name="40% - Accent3 25 5" xfId="41777" xr:uid="{A024363B-056E-424D-BB3A-96BC9A693EC9}"/>
    <cellStyle name="40% - Accent3 26" xfId="3724" xr:uid="{DE87D0FF-F095-4CBA-9C2B-F55F634CC30E}"/>
    <cellStyle name="40% - Accent3 26 2" xfId="7455" xr:uid="{753BE48E-B083-4316-AA6A-808DC2B0221A}"/>
    <cellStyle name="40% - Accent3 26 2 2" xfId="15163" xr:uid="{22D8CAE3-357B-4A17-BD9A-3909F0C2D9F1}"/>
    <cellStyle name="40% - Accent3 26 2 2 2" xfId="30575" xr:uid="{ACEDAAE2-82F5-4E95-B6E9-DD863FBD7F31}"/>
    <cellStyle name="40% - Accent3 26 2 2 2 2" xfId="41788" xr:uid="{FF806699-4A77-4729-847A-4019476C648A}"/>
    <cellStyle name="40% - Accent3 26 2 2 3" xfId="41787" xr:uid="{6FC3D89D-0516-401D-BE55-054819282010}"/>
    <cellStyle name="40% - Accent3 26 2 3" xfId="22870" xr:uid="{A8E18127-B453-4A50-B55C-B0E4CBC90E64}"/>
    <cellStyle name="40% - Accent3 26 2 3 2" xfId="41789" xr:uid="{D3C48F05-43BC-490D-93A0-0D482BAA8913}"/>
    <cellStyle name="40% - Accent3 26 2 4" xfId="41786" xr:uid="{6B6FB254-F70C-41A1-92FD-FBD70532735A}"/>
    <cellStyle name="40% - Accent3 26 3" xfId="11434" xr:uid="{4AEE8CFA-B3D8-45A2-8E99-055F4853C795}"/>
    <cellStyle name="40% - Accent3 26 3 2" xfId="26847" xr:uid="{A03C97CC-87B6-4D53-B019-3FDB562BC68D}"/>
    <cellStyle name="40% - Accent3 26 3 2 2" xfId="41791" xr:uid="{E8582C0D-4664-4259-9C6E-14C85E3E279D}"/>
    <cellStyle name="40% - Accent3 26 3 3" xfId="41790" xr:uid="{91391E8D-5F8C-4950-8F89-67B24E085D2C}"/>
    <cellStyle name="40% - Accent3 26 4" xfId="19142" xr:uid="{2677BC06-0DD3-4141-8230-8C6F56C1E2F3}"/>
    <cellStyle name="40% - Accent3 26 4 2" xfId="41792" xr:uid="{BAB77682-54C3-433B-BEC3-527D24D4D8D8}"/>
    <cellStyle name="40% - Accent3 26 5" xfId="41785" xr:uid="{1A53546B-C04E-43EA-96C0-8FA9AEC70028}"/>
    <cellStyle name="40% - Accent3 27" xfId="3744" xr:uid="{335D27B4-9563-4210-A823-079E3A55FF58}"/>
    <cellStyle name="40% - Accent3 27 2" xfId="7475" xr:uid="{1FC55525-A0B3-419A-A542-08C139A8C0C2}"/>
    <cellStyle name="40% - Accent3 27 2 2" xfId="15183" xr:uid="{28ABDD99-7884-4407-8787-544F10B2828A}"/>
    <cellStyle name="40% - Accent3 27 2 2 2" xfId="30595" xr:uid="{FCC97E0A-2849-45C7-B35B-A2264A3CAEFD}"/>
    <cellStyle name="40% - Accent3 27 2 2 2 2" xfId="41796" xr:uid="{E9B69BEF-F621-45C7-B072-5A20F13F31A5}"/>
    <cellStyle name="40% - Accent3 27 2 2 3" xfId="41795" xr:uid="{F0714DED-3AD0-4BA9-A5B0-2CA96DA64882}"/>
    <cellStyle name="40% - Accent3 27 2 3" xfId="22890" xr:uid="{B804FF18-0E44-4C0C-A5F9-16668F2D9900}"/>
    <cellStyle name="40% - Accent3 27 2 3 2" xfId="41797" xr:uid="{C59601F4-E281-4B66-A23D-2D955C868A40}"/>
    <cellStyle name="40% - Accent3 27 2 4" xfId="41794" xr:uid="{95BB6A0B-1249-4219-8058-5B965751DEA5}"/>
    <cellStyle name="40% - Accent3 27 3" xfId="11454" xr:uid="{6C50F4EE-2F4B-4247-A9BF-FBF763E6466B}"/>
    <cellStyle name="40% - Accent3 27 3 2" xfId="26867" xr:uid="{AEC0B162-AF6F-4AE4-A1FE-9F58784F7CB2}"/>
    <cellStyle name="40% - Accent3 27 3 2 2" xfId="41799" xr:uid="{28EF5A47-A73F-4B67-A7D7-33957B6934B6}"/>
    <cellStyle name="40% - Accent3 27 3 3" xfId="41798" xr:uid="{AE8C6515-0672-45D5-9E5C-8BA722FE75D4}"/>
    <cellStyle name="40% - Accent3 27 4" xfId="19162" xr:uid="{74845D2A-AC70-49B0-9916-E13E0161C0FE}"/>
    <cellStyle name="40% - Accent3 27 4 2" xfId="41800" xr:uid="{C4C91C53-4724-43C5-8E68-3BD4B7A331A4}"/>
    <cellStyle name="40% - Accent3 27 5" xfId="41793" xr:uid="{2BC8EDBB-1BEE-4975-AEC5-98F1DB2C16E7}"/>
    <cellStyle name="40% - Accent3 28" xfId="3764" xr:uid="{1D89EF7B-0641-493A-85AF-A1C1455C7CF4}"/>
    <cellStyle name="40% - Accent3 28 2" xfId="7495" xr:uid="{6274A124-43A3-493B-AE00-8CAEDFF2F9FE}"/>
    <cellStyle name="40% - Accent3 28 2 2" xfId="15203" xr:uid="{E34116D1-0948-46B9-B212-AAC38CD8505E}"/>
    <cellStyle name="40% - Accent3 28 2 2 2" xfId="30615" xr:uid="{B193E2EF-BFBA-4770-82D5-7689E77B837F}"/>
    <cellStyle name="40% - Accent3 28 2 2 2 2" xfId="41804" xr:uid="{C63E74C4-2271-4391-B09D-D8BF0AA53626}"/>
    <cellStyle name="40% - Accent3 28 2 2 3" xfId="41803" xr:uid="{6301DD08-AD12-40C0-9924-C4F1F001D39A}"/>
    <cellStyle name="40% - Accent3 28 2 3" xfId="22910" xr:uid="{ADBE27CB-DC78-4A9F-BCC3-93F278DA49CB}"/>
    <cellStyle name="40% - Accent3 28 2 3 2" xfId="41805" xr:uid="{06107381-BB3B-492F-8280-59902DDF199B}"/>
    <cellStyle name="40% - Accent3 28 2 4" xfId="41802" xr:uid="{586E3FDE-7A8D-4BA9-B64D-EF08AC66F018}"/>
    <cellStyle name="40% - Accent3 28 3" xfId="11474" xr:uid="{155EAA00-1571-4BF1-8FF8-A0BB3CF73F85}"/>
    <cellStyle name="40% - Accent3 28 3 2" xfId="26887" xr:uid="{E10310A7-4F94-4046-8EEA-69B2295ADA67}"/>
    <cellStyle name="40% - Accent3 28 3 2 2" xfId="41807" xr:uid="{55D77D92-6703-4703-86DB-A2D6ECCCE809}"/>
    <cellStyle name="40% - Accent3 28 3 3" xfId="41806" xr:uid="{05D5458A-7C49-4FD9-821E-00CA4B86B27F}"/>
    <cellStyle name="40% - Accent3 28 4" xfId="19182" xr:uid="{738D36C3-A080-47A7-AD6E-345EA00BF13D}"/>
    <cellStyle name="40% - Accent3 28 4 2" xfId="41808" xr:uid="{7DAD5C98-E5DD-4649-87BC-7751CFC6714C}"/>
    <cellStyle name="40% - Accent3 28 5" xfId="41801" xr:uid="{6DCE7CFB-B4D5-4205-9A54-535F2BD3D7E9}"/>
    <cellStyle name="40% - Accent3 29" xfId="3784" xr:uid="{5562FE0C-ABA1-4A29-9293-570447A83AD8}"/>
    <cellStyle name="40% - Accent3 29 2" xfId="7515" xr:uid="{85F0FB21-2189-4275-AE5F-FE2C3301776F}"/>
    <cellStyle name="40% - Accent3 29 2 2" xfId="15223" xr:uid="{60EBD254-5B1B-422A-9FB1-920EE2CC5A5C}"/>
    <cellStyle name="40% - Accent3 29 2 2 2" xfId="30635" xr:uid="{5D2F63FC-A1DD-48CA-B726-DF36A13348E0}"/>
    <cellStyle name="40% - Accent3 29 2 2 2 2" xfId="41812" xr:uid="{B3D7B564-EA48-4B06-BFD0-87C98B302798}"/>
    <cellStyle name="40% - Accent3 29 2 2 3" xfId="41811" xr:uid="{DF1BB6EA-F2C8-426E-ABD5-8D3046E5A410}"/>
    <cellStyle name="40% - Accent3 29 2 3" xfId="22930" xr:uid="{0A05363E-D972-41E4-A799-02911A659B7B}"/>
    <cellStyle name="40% - Accent3 29 2 3 2" xfId="41813" xr:uid="{E30C7B09-0BDB-41FB-B8D6-D64A9B505782}"/>
    <cellStyle name="40% - Accent3 29 2 4" xfId="41810" xr:uid="{100CD56D-E6DE-4686-94B8-9442D7650264}"/>
    <cellStyle name="40% - Accent3 29 3" xfId="11494" xr:uid="{36204486-DCFA-412C-ACBF-3F8A6A0D14B9}"/>
    <cellStyle name="40% - Accent3 29 3 2" xfId="26907" xr:uid="{7792047B-67D8-40DF-8612-DB5140C183AC}"/>
    <cellStyle name="40% - Accent3 29 3 2 2" xfId="41815" xr:uid="{45F9A607-1249-4C31-8472-C7E55935E55B}"/>
    <cellStyle name="40% - Accent3 29 3 3" xfId="41814" xr:uid="{E952E548-E818-4600-84F6-C4116C16C0D2}"/>
    <cellStyle name="40% - Accent3 29 4" xfId="19202" xr:uid="{9FB71F23-E8ED-455B-AD46-C5AAB8BB0020}"/>
    <cellStyle name="40% - Accent3 29 4 2" xfId="41816" xr:uid="{842E057C-3874-4674-A230-9FD322CC2189}"/>
    <cellStyle name="40% - Accent3 29 5" xfId="41809" xr:uid="{09130288-A9EE-4CFF-8584-205C0DDC339D}"/>
    <cellStyle name="40% - Accent3 3" xfId="327" xr:uid="{B312F8EA-116F-45FF-AF6C-798895E31E04}"/>
    <cellStyle name="40% - Accent3 3 2" xfId="991" xr:uid="{E7156722-77C3-4413-BFA6-81328615801E}"/>
    <cellStyle name="40% - Accent3 3 2 2" xfId="2461" xr:uid="{B75B437B-E300-4F9D-8DA1-E3D0446D44AE}"/>
    <cellStyle name="40% - Accent3 3 2 2 2" xfId="6193" xr:uid="{8DF41C99-98A1-49D9-A7C4-5134014861E9}"/>
    <cellStyle name="40% - Accent3 3 2 2 2 2" xfId="13901" xr:uid="{9FFA54B9-B84C-4E60-8497-C2DB4932365D}"/>
    <cellStyle name="40% - Accent3 3 2 2 2 2 2" xfId="29313" xr:uid="{03400C16-0DE9-4B46-AB4B-A5F50079184B}"/>
    <cellStyle name="40% - Accent3 3 2 2 2 2 2 2" xfId="41822" xr:uid="{A8F8C256-2B66-443A-824D-EAF627F84603}"/>
    <cellStyle name="40% - Accent3 3 2 2 2 2 3" xfId="41821" xr:uid="{0C1B8E8F-B373-4109-BAF9-1ADCA71799FB}"/>
    <cellStyle name="40% - Accent3 3 2 2 2 3" xfId="21608" xr:uid="{18B531C5-F364-4AF4-A522-8AA79A6545D8}"/>
    <cellStyle name="40% - Accent3 3 2 2 2 3 2" xfId="41823" xr:uid="{13591331-327D-4330-BE73-3214CB8F70EF}"/>
    <cellStyle name="40% - Accent3 3 2 2 2 4" xfId="41820" xr:uid="{162185D2-4AEC-4D0E-9D4A-524A0C78DEE2}"/>
    <cellStyle name="40% - Accent3 3 2 2 3" xfId="10172" xr:uid="{003FB89C-39E9-41E1-B6D4-27AC7ED3CA27}"/>
    <cellStyle name="40% - Accent3 3 2 2 3 2" xfId="25585" xr:uid="{FBCC9B19-2B61-4053-B647-6357AB4EB2ED}"/>
    <cellStyle name="40% - Accent3 3 2 2 3 2 2" xfId="41825" xr:uid="{99D37A0B-F94C-4310-871D-E261CAD11307}"/>
    <cellStyle name="40% - Accent3 3 2 2 3 3" xfId="41824" xr:uid="{4A5BDFBF-CF0A-47E0-98A8-B164BE54F56D}"/>
    <cellStyle name="40% - Accent3 3 2 2 4" xfId="17880" xr:uid="{B9336337-33ED-402D-991B-A8C7878B5B02}"/>
    <cellStyle name="40% - Accent3 3 2 2 4 2" xfId="41826" xr:uid="{313B2988-57DA-43AF-A0CE-CBE1D0F3314C}"/>
    <cellStyle name="40% - Accent3 3 2 2 5" xfId="41819" xr:uid="{2D138C7D-A94A-4790-9955-5657DC232688}"/>
    <cellStyle name="40% - Accent3 3 2 3" xfId="4728" xr:uid="{45F20D59-0D90-4290-B445-E878E65699AD}"/>
    <cellStyle name="40% - Accent3 3 2 3 2" xfId="12436" xr:uid="{106CDD3A-5A02-4AA7-883B-B95717497036}"/>
    <cellStyle name="40% - Accent3 3 2 3 2 2" xfId="27848" xr:uid="{1966207D-2553-454A-B6F9-D57D2FE6D02A}"/>
    <cellStyle name="40% - Accent3 3 2 3 2 2 2" xfId="41829" xr:uid="{D04C7718-2C09-4FD6-ABD7-1F1C09198792}"/>
    <cellStyle name="40% - Accent3 3 2 3 2 3" xfId="41828" xr:uid="{4C75598D-795E-499A-8C13-B7CE631AF815}"/>
    <cellStyle name="40% - Accent3 3 2 3 3" xfId="20143" xr:uid="{EECA9D9F-DE58-4551-ADD5-B93709206871}"/>
    <cellStyle name="40% - Accent3 3 2 3 3 2" xfId="41830" xr:uid="{9D658C01-D6D2-4F94-B6E2-B61B58CD34C4}"/>
    <cellStyle name="40% - Accent3 3 2 3 4" xfId="41827" xr:uid="{E1ABF899-0A1C-4EDB-B7A8-E99D2FF0ED13}"/>
    <cellStyle name="40% - Accent3 3 2 4" xfId="8713" xr:uid="{D4FE8E25-1557-4DB1-83BF-B247B383172A}"/>
    <cellStyle name="40% - Accent3 3 2 4 2" xfId="24126" xr:uid="{C49B93A3-5810-4011-8E79-F3D0E8899BF2}"/>
    <cellStyle name="40% - Accent3 3 2 4 2 2" xfId="41832" xr:uid="{105D412F-CD18-4D8B-908A-ABC028EEA9A3}"/>
    <cellStyle name="40% - Accent3 3 2 4 3" xfId="41831" xr:uid="{DE37BCFA-8F6D-44F9-AAF4-75EFB20402D9}"/>
    <cellStyle name="40% - Accent3 3 2 5" xfId="16421" xr:uid="{988E7ABE-C74D-4455-B414-4E1E07DAEE57}"/>
    <cellStyle name="40% - Accent3 3 2 5 2" xfId="41833" xr:uid="{8C8E5AB8-7AF7-4A2D-9F24-416B250DA35B}"/>
    <cellStyle name="40% - Accent3 3 2 6" xfId="41818" xr:uid="{7ED75C26-8CCE-4F73-B1C8-A78E186E643A}"/>
    <cellStyle name="40% - Accent3 3 3" xfId="1823" xr:uid="{4DE8FEEC-39CB-452E-9D24-8971162F6297}"/>
    <cellStyle name="40% - Accent3 3 3 2" xfId="5555" xr:uid="{E33F6112-7F6E-44C2-AE91-C1E6B5FB8E84}"/>
    <cellStyle name="40% - Accent3 3 3 2 2" xfId="13263" xr:uid="{868DCEE4-0521-4A07-9E0F-57C07AF38F25}"/>
    <cellStyle name="40% - Accent3 3 3 2 2 2" xfId="28675" xr:uid="{E684AF04-364B-4AC2-9AF6-F0087B58C86B}"/>
    <cellStyle name="40% - Accent3 3 3 2 2 2 2" xfId="41837" xr:uid="{1CBA4801-DB74-4A49-8D80-75AAFB27EF96}"/>
    <cellStyle name="40% - Accent3 3 3 2 2 3" xfId="41836" xr:uid="{CBFC6678-9222-4013-A852-8EC8EEE2A9EE}"/>
    <cellStyle name="40% - Accent3 3 3 2 3" xfId="20970" xr:uid="{884D6332-0A40-4B76-A450-43D60F8AA30B}"/>
    <cellStyle name="40% - Accent3 3 3 2 3 2" xfId="41838" xr:uid="{06F93EA2-9F7E-439F-8787-692F474638F8}"/>
    <cellStyle name="40% - Accent3 3 3 2 4" xfId="41835" xr:uid="{FF8F67C9-0A6D-4A75-8671-ED63A03F7B2D}"/>
    <cellStyle name="40% - Accent3 3 3 3" xfId="9534" xr:uid="{9C223FA5-1692-490F-9CDF-F8807ED7C5EE}"/>
    <cellStyle name="40% - Accent3 3 3 3 2" xfId="24947" xr:uid="{55B255B5-0910-47A8-82BF-6104B24E7E51}"/>
    <cellStyle name="40% - Accent3 3 3 3 2 2" xfId="41840" xr:uid="{A070A8F4-5BCB-4997-8B97-D3E005E604C2}"/>
    <cellStyle name="40% - Accent3 3 3 3 3" xfId="41839" xr:uid="{9B26DC5E-D947-4466-8FBA-9D41108029E7}"/>
    <cellStyle name="40% - Accent3 3 3 4" xfId="17242" xr:uid="{7E45B807-A048-4ED7-9BB9-DC190407C982}"/>
    <cellStyle name="40% - Accent3 3 3 4 2" xfId="41841" xr:uid="{C358B57B-9FE3-45D2-ADC3-FC1EAE5E1F79}"/>
    <cellStyle name="40% - Accent3 3 3 5" xfId="41834" xr:uid="{E2170734-BB87-4888-AE31-E15FC6A09BE3}"/>
    <cellStyle name="40% - Accent3 3 4" xfId="4076" xr:uid="{48A08482-672F-4AAD-B6AB-651D7CAA606D}"/>
    <cellStyle name="40% - Accent3 3 4 2" xfId="11784" xr:uid="{5068969E-A2BF-40B6-AECB-F65DB4BC893C}"/>
    <cellStyle name="40% - Accent3 3 4 2 2" xfId="27196" xr:uid="{66FF09D7-BBE5-417D-A179-B112A17F598C}"/>
    <cellStyle name="40% - Accent3 3 4 2 2 2" xfId="41844" xr:uid="{07481E76-11C8-4A5E-AA74-32E78B7D441B}"/>
    <cellStyle name="40% - Accent3 3 4 2 3" xfId="41843" xr:uid="{B43C860E-6F59-4A39-9B28-EF93B37C399E}"/>
    <cellStyle name="40% - Accent3 3 4 3" xfId="19491" xr:uid="{07C3F859-A4EF-4C84-826B-1FECB5C49646}"/>
    <cellStyle name="40% - Accent3 3 4 3 2" xfId="41845" xr:uid="{C3C1AC72-089A-4419-B819-EC80653B43E2}"/>
    <cellStyle name="40% - Accent3 3 4 4" xfId="41842" xr:uid="{E2B09E0F-FE1E-4FAE-90E3-34E5C93B2A47}"/>
    <cellStyle name="40% - Accent3 3 5" xfId="8075" xr:uid="{1AA9FE34-02C5-449A-9557-DF5DD0949009}"/>
    <cellStyle name="40% - Accent3 3 5 2" xfId="23488" xr:uid="{3162075A-FCFA-4583-9159-CAAC604CB71A}"/>
    <cellStyle name="40% - Accent3 3 5 2 2" xfId="41847" xr:uid="{0717B0C9-802F-45DB-9E7C-FDE36EFDE142}"/>
    <cellStyle name="40% - Accent3 3 5 3" xfId="41846" xr:uid="{47CD84FC-26EC-4985-99AD-C76F0755E71B}"/>
    <cellStyle name="40% - Accent3 3 6" xfId="15783" xr:uid="{4D24261A-95A0-4C94-9B52-C9FA815894F3}"/>
    <cellStyle name="40% - Accent3 3 6 2" xfId="41848" xr:uid="{C8BE6F52-D3F2-4A51-81E6-1A124EE95208}"/>
    <cellStyle name="40% - Accent3 3 7" xfId="41817" xr:uid="{FB038249-D770-44D0-90B6-0835074F326E}"/>
    <cellStyle name="40% - Accent3 30" xfId="3804" xr:uid="{0E4F86AF-03AD-4B54-B3F6-8C84801C7B1A}"/>
    <cellStyle name="40% - Accent3 30 2" xfId="7535" xr:uid="{61ADA6FA-D1BA-4473-BAB5-0083B54B557B}"/>
    <cellStyle name="40% - Accent3 30 2 2" xfId="15243" xr:uid="{4FC3218E-B256-41EB-BF68-70BA5E49C407}"/>
    <cellStyle name="40% - Accent3 30 2 2 2" xfId="30655" xr:uid="{1BC9BF36-60C5-4B89-B51A-47BC9BC5CA7C}"/>
    <cellStyle name="40% - Accent3 30 2 2 2 2" xfId="41852" xr:uid="{A4E6877C-E02F-47B8-8676-DAFB0E21B741}"/>
    <cellStyle name="40% - Accent3 30 2 2 3" xfId="41851" xr:uid="{AD8378A1-38A9-4F34-B27F-BE03712CEBDF}"/>
    <cellStyle name="40% - Accent3 30 2 3" xfId="22950" xr:uid="{837F2C93-D147-4982-89DD-C48D84D8749E}"/>
    <cellStyle name="40% - Accent3 30 2 3 2" xfId="41853" xr:uid="{67DBDC88-93D4-4BBB-A45C-1024F6162641}"/>
    <cellStyle name="40% - Accent3 30 2 4" xfId="41850" xr:uid="{67063C19-2CDE-402B-990D-EE0FBC8334FD}"/>
    <cellStyle name="40% - Accent3 30 3" xfId="11514" xr:uid="{A2A7236E-40D1-45FF-8185-33167049A7B7}"/>
    <cellStyle name="40% - Accent3 30 3 2" xfId="26927" xr:uid="{35E83C34-41F3-4C32-9550-D8C503CA7657}"/>
    <cellStyle name="40% - Accent3 30 3 2 2" xfId="41855" xr:uid="{37D4861B-9E47-4DD2-8F5D-3554C210A9EA}"/>
    <cellStyle name="40% - Accent3 30 3 3" xfId="41854" xr:uid="{49E32B4E-8072-43B8-A248-59AAC1CF32D8}"/>
    <cellStyle name="40% - Accent3 30 4" xfId="19222" xr:uid="{28962232-B7CF-4C41-83DB-7BAC45C3FCA5}"/>
    <cellStyle name="40% - Accent3 30 4 2" xfId="41856" xr:uid="{C3961E6A-7DD1-42A4-9B49-4D48883BAE4B}"/>
    <cellStyle name="40% - Accent3 30 5" xfId="41849" xr:uid="{611D2FDD-9601-4033-A06F-7DA8CD96A82A}"/>
    <cellStyle name="40% - Accent3 31" xfId="3824" xr:uid="{D5D62168-3360-4C6F-A5EA-B731E210A4BF}"/>
    <cellStyle name="40% - Accent3 31 2" xfId="7555" xr:uid="{746CB6E5-91B4-4104-B65A-31E30B808328}"/>
    <cellStyle name="40% - Accent3 31 2 2" xfId="15263" xr:uid="{6157C69A-6C73-4568-9165-6275DE795FF7}"/>
    <cellStyle name="40% - Accent3 31 2 2 2" xfId="30675" xr:uid="{6370AFA2-AF54-4D73-AAE7-082D70D73054}"/>
    <cellStyle name="40% - Accent3 31 2 2 2 2" xfId="41860" xr:uid="{45263047-9B22-4C0B-A6AD-C12F4C0DFCB7}"/>
    <cellStyle name="40% - Accent3 31 2 2 3" xfId="41859" xr:uid="{C27F57CB-4442-48F6-ABCC-FDF6FEF1C8DF}"/>
    <cellStyle name="40% - Accent3 31 2 3" xfId="22970" xr:uid="{78F1C4D8-F58F-4A45-9454-5163C7ACF8C1}"/>
    <cellStyle name="40% - Accent3 31 2 3 2" xfId="41861" xr:uid="{51A6787A-1B42-45DB-89E1-366E6132306E}"/>
    <cellStyle name="40% - Accent3 31 2 4" xfId="41858" xr:uid="{91497C63-8C07-40D6-82C0-57BEA80E2449}"/>
    <cellStyle name="40% - Accent3 31 3" xfId="11534" xr:uid="{81150A5E-9645-4572-8630-E4D6C02440A9}"/>
    <cellStyle name="40% - Accent3 31 3 2" xfId="26947" xr:uid="{7EC8EC18-E45B-4164-A3F3-7AB0C5304179}"/>
    <cellStyle name="40% - Accent3 31 3 2 2" xfId="41863" xr:uid="{CABBD1EF-5246-4BF2-BD5F-017507213F0A}"/>
    <cellStyle name="40% - Accent3 31 3 3" xfId="41862" xr:uid="{10566C26-C612-4F48-A114-A591324B4CA8}"/>
    <cellStyle name="40% - Accent3 31 4" xfId="19242" xr:uid="{92E127FD-7D88-41BF-AEE5-E142A0FDBC26}"/>
    <cellStyle name="40% - Accent3 31 4 2" xfId="41864" xr:uid="{C2441C3E-155F-46F7-B1F4-17F5BEF58A7D}"/>
    <cellStyle name="40% - Accent3 31 5" xfId="41857" xr:uid="{97C391D5-3E2E-4852-BD94-8E5037573BDD}"/>
    <cellStyle name="40% - Accent3 32" xfId="3845" xr:uid="{E128F500-5642-49CC-8931-8C6B229FD23A}"/>
    <cellStyle name="40% - Accent3 32 2" xfId="7575" xr:uid="{502D0A2E-75C7-48FB-8A24-D9E1ABEAF602}"/>
    <cellStyle name="40% - Accent3 32 2 2" xfId="15283" xr:uid="{B5CA8013-66AB-49CD-9023-50295B45B55B}"/>
    <cellStyle name="40% - Accent3 32 2 2 2" xfId="30695" xr:uid="{C76ECD5B-7EEC-4E66-9B0E-685897CD847A}"/>
    <cellStyle name="40% - Accent3 32 2 2 2 2" xfId="41868" xr:uid="{543DD75E-BFA5-4B4B-801D-0A3854D57487}"/>
    <cellStyle name="40% - Accent3 32 2 2 3" xfId="41867" xr:uid="{EFD004A2-E4A1-4499-B84B-25AC29387DB4}"/>
    <cellStyle name="40% - Accent3 32 2 3" xfId="22990" xr:uid="{4D82A583-474D-4605-B395-32932C210C3B}"/>
    <cellStyle name="40% - Accent3 32 2 3 2" xfId="41869" xr:uid="{680E1920-77FC-4246-95EC-1091A83DB9E1}"/>
    <cellStyle name="40% - Accent3 32 2 4" xfId="41866" xr:uid="{C83FD18C-7D4D-4C8B-8502-A7A711099BB1}"/>
    <cellStyle name="40% - Accent3 32 3" xfId="11555" xr:uid="{73970F9D-467E-4602-8DA9-930570143CA6}"/>
    <cellStyle name="40% - Accent3 32 3 2" xfId="26967" xr:uid="{D6CDAAE5-CDB1-4D8A-A7F9-B6318D4FE6CA}"/>
    <cellStyle name="40% - Accent3 32 3 2 2" xfId="41871" xr:uid="{5693FF9F-2C88-472D-B7C4-DFBD5E3910AB}"/>
    <cellStyle name="40% - Accent3 32 3 3" xfId="41870" xr:uid="{3D283685-2637-4413-95E1-606510433577}"/>
    <cellStyle name="40% - Accent3 32 4" xfId="19262" xr:uid="{D45DC76A-0467-4D53-B797-06FDAECF76AF}"/>
    <cellStyle name="40% - Accent3 32 4 2" xfId="41872" xr:uid="{376B7EDB-A955-42CB-8998-D4E51838BB76}"/>
    <cellStyle name="40% - Accent3 32 5" xfId="41865" xr:uid="{ED70996F-02DF-46AB-A6E9-E44EAAC668AA}"/>
    <cellStyle name="40% - Accent3 33" xfId="3864" xr:uid="{ACAE5264-3F10-45BE-B1A3-B2F96C5490F6}"/>
    <cellStyle name="40% - Accent3 33 2" xfId="11574" xr:uid="{30A06C4E-45DB-49D0-BB23-54ECFA758F44}"/>
    <cellStyle name="40% - Accent3 33 2 2" xfId="26986" xr:uid="{B3205D23-E584-4EB8-8D38-BB89C7082CD8}"/>
    <cellStyle name="40% - Accent3 33 2 2 2" xfId="41875" xr:uid="{733B1F1E-D905-4BF8-8D0E-52FC3AD80F09}"/>
    <cellStyle name="40% - Accent3 33 2 3" xfId="41874" xr:uid="{D2922DA6-848F-49FF-8E7F-0426602B9AF0}"/>
    <cellStyle name="40% - Accent3 33 3" xfId="19281" xr:uid="{3DA60C09-C49A-4F66-AB68-07D6075B7572}"/>
    <cellStyle name="40% - Accent3 33 3 2" xfId="41876" xr:uid="{CC76F6B2-2D45-4683-8DC8-E8E2EAD3E00B}"/>
    <cellStyle name="40% - Accent3 33 4" xfId="41873" xr:uid="{78F633BE-4CA7-4D7F-9318-6AD079D71E2C}"/>
    <cellStyle name="40% - Accent3 34" xfId="7595" xr:uid="{6FC73002-DE7D-44E5-8E8B-98014E721953}"/>
    <cellStyle name="40% - Accent3 34 2" xfId="15303" xr:uid="{6C0178CD-2E70-4F11-96FA-ECE6AC2E793D}"/>
    <cellStyle name="40% - Accent3 34 2 2" xfId="30715" xr:uid="{3BADE204-BD6E-42C8-977A-C4652994118C}"/>
    <cellStyle name="40% - Accent3 34 2 2 2" xfId="41879" xr:uid="{979763BA-D39F-42A2-A002-27DE48D9A0F4}"/>
    <cellStyle name="40% - Accent3 34 2 3" xfId="41878" xr:uid="{8DCAE5C2-4EA4-4937-AED8-A1949D2A5381}"/>
    <cellStyle name="40% - Accent3 34 3" xfId="23010" xr:uid="{8E73077B-8A17-4432-832E-40776D548FB5}"/>
    <cellStyle name="40% - Accent3 34 3 2" xfId="41880" xr:uid="{ED989CBA-245B-425E-A2F0-E84BE0DDE0C0}"/>
    <cellStyle name="40% - Accent3 34 4" xfId="41877" xr:uid="{23E21C2C-57A5-4D7F-8D93-9A7111AD25E4}"/>
    <cellStyle name="40% - Accent3 35" xfId="7615" xr:uid="{6B6DAD63-DD8E-449B-95C9-285186ED62E5}"/>
    <cellStyle name="40% - Accent3 35 2" xfId="15323" xr:uid="{2F8414A3-7147-4377-9296-70398CF18275}"/>
    <cellStyle name="40% - Accent3 35 2 2" xfId="30735" xr:uid="{3836AAEF-C63D-4C62-A154-972E449E58E9}"/>
    <cellStyle name="40% - Accent3 35 2 2 2" xfId="41883" xr:uid="{4DAC4E82-52D1-40B9-91F2-167BD6215CF4}"/>
    <cellStyle name="40% - Accent3 35 2 3" xfId="41882" xr:uid="{57996051-6FEA-4A92-B9C1-B4D1DB85C458}"/>
    <cellStyle name="40% - Accent3 35 3" xfId="23030" xr:uid="{DA8E9B3E-AE8E-4E9F-8CB9-70CE61771F35}"/>
    <cellStyle name="40% - Accent3 35 3 2" xfId="41884" xr:uid="{7ADF4FE7-747B-40D4-A400-8B8A5DF00D01}"/>
    <cellStyle name="40% - Accent3 35 4" xfId="41881" xr:uid="{C25FFE87-2121-4DA2-9628-96DF60AA081F}"/>
    <cellStyle name="40% - Accent3 36" xfId="7635" xr:uid="{27A07402-26BA-478E-98DA-7F96CF7D1FA5}"/>
    <cellStyle name="40% - Accent3 36 2" xfId="15343" xr:uid="{FD2B6A8A-CE09-4B62-9C24-52C1DEF9E470}"/>
    <cellStyle name="40% - Accent3 36 2 2" xfId="30755" xr:uid="{8F8DA597-CEA0-46B8-8CCD-63B1A6385AD2}"/>
    <cellStyle name="40% - Accent3 36 2 2 2" xfId="41887" xr:uid="{F4ECE7DF-35C5-4B7F-892F-6A57FC3D2ED8}"/>
    <cellStyle name="40% - Accent3 36 2 3" xfId="41886" xr:uid="{7BAE130D-2A89-46E1-B937-62384C4066CC}"/>
    <cellStyle name="40% - Accent3 36 3" xfId="23050" xr:uid="{8C073416-ED56-4A72-8DDD-786673DE3B0C}"/>
    <cellStyle name="40% - Accent3 36 3 2" xfId="41888" xr:uid="{A69FD40F-2036-4A64-9093-1E6CA58D74A7}"/>
    <cellStyle name="40% - Accent3 36 4" xfId="41885" xr:uid="{8019E055-34D5-4DFC-8ED5-5A2D7330925D}"/>
    <cellStyle name="40% - Accent3 37" xfId="7655" xr:uid="{BA734421-96BE-4AAC-A673-CFDF635E66FF}"/>
    <cellStyle name="40% - Accent3 37 2" xfId="15363" xr:uid="{940943FA-7A8F-4F0C-AA15-1A6C3601D24E}"/>
    <cellStyle name="40% - Accent3 37 2 2" xfId="30775" xr:uid="{97A880C9-7147-4C38-8043-D31CF7925F72}"/>
    <cellStyle name="40% - Accent3 37 2 2 2" xfId="41891" xr:uid="{94A7CDB9-E4EC-4E3F-9A4E-AE172BEE8154}"/>
    <cellStyle name="40% - Accent3 37 2 3" xfId="41890" xr:uid="{E310CA8C-DFF1-4A5D-A1CC-4FF8F2C9A905}"/>
    <cellStyle name="40% - Accent3 37 3" xfId="23070" xr:uid="{86289451-BAA6-4EA8-B94F-6C7D3E64CCE0}"/>
    <cellStyle name="40% - Accent3 37 3 2" xfId="41892" xr:uid="{DC0763D6-60CF-4C98-A898-5DBAE2A452F5}"/>
    <cellStyle name="40% - Accent3 37 4" xfId="41889" xr:uid="{39984BA4-9D35-4683-A665-5966A76CA21D}"/>
    <cellStyle name="40% - Accent3 38" xfId="7675" xr:uid="{3A9B268C-A585-4BC0-9C3B-7AEA3BBDE074}"/>
    <cellStyle name="40% - Accent3 38 2" xfId="15383" xr:uid="{59349126-23C3-4610-BBAF-27DB146C4024}"/>
    <cellStyle name="40% - Accent3 38 2 2" xfId="30795" xr:uid="{3EE30F66-84D4-4754-87A9-3E156F966877}"/>
    <cellStyle name="40% - Accent3 38 2 2 2" xfId="41895" xr:uid="{A20410F8-F57C-4325-8011-DFB940890184}"/>
    <cellStyle name="40% - Accent3 38 2 3" xfId="41894" xr:uid="{6DE1062B-4081-48B1-AE5C-ACE5489E370A}"/>
    <cellStyle name="40% - Accent3 38 3" xfId="23090" xr:uid="{0621203B-63EF-4561-92FF-5A08F836E506}"/>
    <cellStyle name="40% - Accent3 38 3 2" xfId="41896" xr:uid="{CAB5725B-3E31-47D9-AD6A-89EF0964D2D0}"/>
    <cellStyle name="40% - Accent3 38 4" xfId="41893" xr:uid="{8A4134E4-284E-453A-A21C-4111682D1822}"/>
    <cellStyle name="40% - Accent3 39" xfId="7695" xr:uid="{6E77C27B-78BB-4B4B-96E3-A4E936D0319E}"/>
    <cellStyle name="40% - Accent3 39 2" xfId="15403" xr:uid="{4BFA93B6-F312-4C8D-8F5A-0533DE53756E}"/>
    <cellStyle name="40% - Accent3 39 2 2" xfId="30815" xr:uid="{7D02AB3E-D138-477A-99AD-E5E406B9A3B3}"/>
    <cellStyle name="40% - Accent3 39 2 2 2" xfId="41899" xr:uid="{9F87E742-3EFF-4F04-BF97-5DB83740CCBA}"/>
    <cellStyle name="40% - Accent3 39 2 3" xfId="41898" xr:uid="{3D101635-AB10-4D0C-A86F-06BDFAA4C64F}"/>
    <cellStyle name="40% - Accent3 39 3" xfId="23110" xr:uid="{7AF6B78D-FA31-41EF-A47E-2407A2390B1E}"/>
    <cellStyle name="40% - Accent3 39 3 2" xfId="41900" xr:uid="{E3EF41BB-9711-4E8C-BE10-A9D71D966EA1}"/>
    <cellStyle name="40% - Accent3 39 4" xfId="41897" xr:uid="{CC1F2FD3-D5E5-4A30-9D88-5948EC0CAA52}"/>
    <cellStyle name="40% - Accent3 4" xfId="1620" xr:uid="{56CB8DFD-BBD8-4D20-B9A0-DF8A6245FB3E}"/>
    <cellStyle name="40% - Accent3 4 2" xfId="5355" xr:uid="{A7144F33-BCD7-450B-B54F-9442C985CD4E}"/>
    <cellStyle name="40% - Accent3 4 2 2" xfId="13063" xr:uid="{A4EDB256-2C79-49F8-B882-515B0810B18C}"/>
    <cellStyle name="40% - Accent3 4 2 2 2" xfId="28475" xr:uid="{019E2CC5-539F-416B-B37C-7565B6CD38AF}"/>
    <cellStyle name="40% - Accent3 4 2 2 2 2" xfId="41904" xr:uid="{8B6137AD-5DD0-4259-AB80-363C7F10A830}"/>
    <cellStyle name="40% - Accent3 4 2 2 3" xfId="41903" xr:uid="{16B47E58-E449-408F-A904-C8DCE2C02F39}"/>
    <cellStyle name="40% - Accent3 4 2 3" xfId="20770" xr:uid="{10B67C3E-955A-4FC4-8BBE-9D39683B240D}"/>
    <cellStyle name="40% - Accent3 4 2 3 2" xfId="41905" xr:uid="{7DE44523-0190-4E95-9A7D-59DD42F0773F}"/>
    <cellStyle name="40% - Accent3 4 2 4" xfId="41902" xr:uid="{91198448-0259-4D3B-8EC4-1F78492AC370}"/>
    <cellStyle name="40% - Accent3 4 3" xfId="9336" xr:uid="{F87CCBC0-9793-4104-835D-73A22C4853DC}"/>
    <cellStyle name="40% - Accent3 4 3 2" xfId="24749" xr:uid="{12EF1E73-F818-4EC1-B0FF-9133611443A1}"/>
    <cellStyle name="40% - Accent3 4 3 2 2" xfId="41907" xr:uid="{AFF6937A-4C31-4593-9B4E-BD33F1D2D844}"/>
    <cellStyle name="40% - Accent3 4 3 3" xfId="41906" xr:uid="{DD629782-D576-4C1B-96A1-7E3AF70C57B7}"/>
    <cellStyle name="40% - Accent3 4 4" xfId="17044" xr:uid="{147728AF-B45F-4C90-9383-3BC8DF8C915A}"/>
    <cellStyle name="40% - Accent3 4 4 2" xfId="41908" xr:uid="{1A566D2F-3867-4CBC-B6FC-958AA044D226}"/>
    <cellStyle name="40% - Accent3 4 5" xfId="41901" xr:uid="{D86D299A-A6EC-4D6B-8E54-C78697637708}"/>
    <cellStyle name="40% - Accent3 40" xfId="7715" xr:uid="{B41D0C3F-9073-4819-AF00-E061C332269F}"/>
    <cellStyle name="40% - Accent3 40 2" xfId="15423" xr:uid="{CBEE21BF-5D66-44B2-9680-256AD77DABBA}"/>
    <cellStyle name="40% - Accent3 40 2 2" xfId="30835" xr:uid="{055358FB-FCD3-4F00-8CF5-673D6E914145}"/>
    <cellStyle name="40% - Accent3 40 2 2 2" xfId="41911" xr:uid="{BE685E21-D0CF-4F66-9701-7BA5FE8286C8}"/>
    <cellStyle name="40% - Accent3 40 2 3" xfId="41910" xr:uid="{7967A6BB-78E5-4865-A424-5B6C1BABCB11}"/>
    <cellStyle name="40% - Accent3 40 3" xfId="23130" xr:uid="{47953D38-8DEA-4B5B-A2B1-697AFE873B51}"/>
    <cellStyle name="40% - Accent3 40 3 2" xfId="41912" xr:uid="{2CE60DDF-51C5-46FD-B021-EA1413E71124}"/>
    <cellStyle name="40% - Accent3 40 4" xfId="41909" xr:uid="{B0D1AD00-DD05-4519-B520-6BF9F6702634}"/>
    <cellStyle name="40% - Accent3 41" xfId="7735" xr:uid="{659BC1AC-29CD-4C21-AF76-D3E69E1A660D}"/>
    <cellStyle name="40% - Accent3 41 2" xfId="15443" xr:uid="{6116108D-1309-446D-921F-D4733209EBC0}"/>
    <cellStyle name="40% - Accent3 41 2 2" xfId="30855" xr:uid="{C62F37FC-AA01-4E2B-924B-119265BD20D1}"/>
    <cellStyle name="40% - Accent3 41 2 2 2" xfId="41915" xr:uid="{C2498E1C-33A1-4B2D-AF88-C6F032FFB514}"/>
    <cellStyle name="40% - Accent3 41 2 3" xfId="41914" xr:uid="{92C32876-C418-48C3-B240-F479DE3302B5}"/>
    <cellStyle name="40% - Accent3 41 3" xfId="23150" xr:uid="{55E65AC5-B1F9-43A8-A3F2-5A959A70FF10}"/>
    <cellStyle name="40% - Accent3 41 3 2" xfId="41916" xr:uid="{3F2BC691-F12E-420C-8155-8D909A7B24DF}"/>
    <cellStyle name="40% - Accent3 41 4" xfId="41913" xr:uid="{C9F3563B-BC65-48A6-A199-61D3E5C58429}"/>
    <cellStyle name="40% - Accent3 42" xfId="7755" xr:uid="{FEEBFD00-4EEC-4B72-9288-F611DC1196CF}"/>
    <cellStyle name="40% - Accent3 42 2" xfId="15463" xr:uid="{7585DFD2-1AF8-4ED9-A4A2-7F3BB5FC1DAF}"/>
    <cellStyle name="40% - Accent3 42 2 2" xfId="30875" xr:uid="{F7072CF5-FFF5-458D-BD50-ACE215B68EE1}"/>
    <cellStyle name="40% - Accent3 42 2 2 2" xfId="41919" xr:uid="{A16FB52F-B381-4207-BCCB-DE5D5DD25DFE}"/>
    <cellStyle name="40% - Accent3 42 2 3" xfId="41918" xr:uid="{020E7E0C-7C01-486B-BDDA-DBEDD89CB517}"/>
    <cellStyle name="40% - Accent3 42 3" xfId="23170" xr:uid="{28F69B0A-ECA4-42EE-BBF9-F8002689A29A}"/>
    <cellStyle name="40% - Accent3 42 3 2" xfId="41920" xr:uid="{536180D0-40A2-4FFA-879B-0B38E3A0F0FB}"/>
    <cellStyle name="40% - Accent3 42 4" xfId="41917" xr:uid="{C338BD00-6314-4300-998C-B298E48C1711}"/>
    <cellStyle name="40% - Accent3 43" xfId="7775" xr:uid="{AEC4CFD8-B4CA-4942-8BC8-B06D1522C003}"/>
    <cellStyle name="40% - Accent3 43 2" xfId="15483" xr:uid="{21B35031-816E-41D5-A274-0C704A4B94A8}"/>
    <cellStyle name="40% - Accent3 43 2 2" xfId="30895" xr:uid="{4E3CE195-5AAC-4A31-B10A-6E192CAFFEE5}"/>
    <cellStyle name="40% - Accent3 43 2 2 2" xfId="41923" xr:uid="{1C8A6199-97D4-4763-8E35-3C29A072D510}"/>
    <cellStyle name="40% - Accent3 43 2 3" xfId="41922" xr:uid="{AB77536C-5CF5-4466-A5A4-AA7014E5D395}"/>
    <cellStyle name="40% - Accent3 43 3" xfId="23190" xr:uid="{52A88B52-9845-470A-871A-1FBC442F4CB5}"/>
    <cellStyle name="40% - Accent3 43 3 2" xfId="41924" xr:uid="{0F02DFA1-E6CE-48A3-BEA1-C90788F1DBC7}"/>
    <cellStyle name="40% - Accent3 43 4" xfId="41921" xr:uid="{619DF6DA-FB31-4914-A44D-5C5A625E40A1}"/>
    <cellStyle name="40% - Accent3 44" xfId="7795" xr:uid="{BBC5D692-2FD2-4FCE-8A2B-4AD8E4A5C851}"/>
    <cellStyle name="40% - Accent3 44 2" xfId="15503" xr:uid="{91560EF8-8BF6-4BE0-8E75-B512203EA692}"/>
    <cellStyle name="40% - Accent3 44 2 2" xfId="30915" xr:uid="{29BB2C8C-DC8E-447D-9CD3-A6E2735A3A2A}"/>
    <cellStyle name="40% - Accent3 44 2 2 2" xfId="41927" xr:uid="{8790866B-B5BA-4E2C-A953-1531F19EF34C}"/>
    <cellStyle name="40% - Accent3 44 2 3" xfId="41926" xr:uid="{07E16E3B-BF7C-4E31-8249-8358CDB42C48}"/>
    <cellStyle name="40% - Accent3 44 3" xfId="23210" xr:uid="{F7C750E4-83F4-4ABC-B0FF-E6C695DA8ADA}"/>
    <cellStyle name="40% - Accent3 44 3 2" xfId="41928" xr:uid="{EFD5964C-364C-4BB3-8ED2-27EFE92FDC73}"/>
    <cellStyle name="40% - Accent3 44 4" xfId="41925" xr:uid="{4999C280-B212-42C5-BFBA-2CEF405ACD06}"/>
    <cellStyle name="40% - Accent3 45" xfId="7817" xr:uid="{D93BD8C7-3367-43CB-A7B8-BF699FC359F3}"/>
    <cellStyle name="40% - Accent3 45 2" xfId="15525" xr:uid="{A73CA1D0-564B-4A72-AF76-BF86DF529387}"/>
    <cellStyle name="40% - Accent3 45 2 2" xfId="30937" xr:uid="{21576DAC-8405-46B2-A6B1-384C2E6439DF}"/>
    <cellStyle name="40% - Accent3 45 2 2 2" xfId="41931" xr:uid="{25550C53-4271-485E-9AD4-AA8E48E3B704}"/>
    <cellStyle name="40% - Accent3 45 2 3" xfId="41930" xr:uid="{BB4640BE-5CA7-40B2-B3DD-2C6BD45EC4E8}"/>
    <cellStyle name="40% - Accent3 45 3" xfId="23232" xr:uid="{480A4253-D1D6-4E02-912D-5325BBF6628B}"/>
    <cellStyle name="40% - Accent3 45 3 2" xfId="41932" xr:uid="{2186E563-518C-41E9-83E8-0AE6F6430700}"/>
    <cellStyle name="40% - Accent3 45 4" xfId="41929" xr:uid="{9D4E1F96-1D03-4982-A54F-B496CD498D4A}"/>
    <cellStyle name="40% - Accent3 46" xfId="7838" xr:uid="{A899F025-C313-4329-81D4-6F0F4961DED7}"/>
    <cellStyle name="40% - Accent3 46 2" xfId="15546" xr:uid="{2DD740C2-7539-4F64-9CF2-183044B0FE86}"/>
    <cellStyle name="40% - Accent3 46 2 2" xfId="30957" xr:uid="{B06F3E75-6FE0-4E7F-92DE-1C6BC9C40F06}"/>
    <cellStyle name="40% - Accent3 46 2 2 2" xfId="41935" xr:uid="{8F51C3C8-751C-4D08-A185-3A298F1D9A62}"/>
    <cellStyle name="40% - Accent3 46 2 3" xfId="41934" xr:uid="{39810510-0AE2-40A6-B66F-062896195EB9}"/>
    <cellStyle name="40% - Accent3 46 3" xfId="23252" xr:uid="{63E11ED5-8E12-4502-907D-947626688B8C}"/>
    <cellStyle name="40% - Accent3 46 3 2" xfId="41936" xr:uid="{81BAC491-3E2B-4DF9-8509-F1CD737AF237}"/>
    <cellStyle name="40% - Accent3 46 4" xfId="41933" xr:uid="{4B8D878E-C3DF-4FDA-89CE-32ABEE4EDBC1}"/>
    <cellStyle name="40% - Accent3 47" xfId="7858" xr:uid="{6AADDBFA-CE95-43FD-BE5E-D56E531ECDE2}"/>
    <cellStyle name="40% - Accent3 47 2" xfId="15566" xr:uid="{FA7257CA-F783-4F67-B5BB-3E59FC69EFA1}"/>
    <cellStyle name="40% - Accent3 47 2 2" xfId="30977" xr:uid="{C90C9E5B-2F45-46F5-A76B-21F1892E70DE}"/>
    <cellStyle name="40% - Accent3 47 2 2 2" xfId="41939" xr:uid="{77265DA0-9265-44C3-B347-56B5F2D42CE6}"/>
    <cellStyle name="40% - Accent3 47 2 3" xfId="41938" xr:uid="{A2DED36A-71EF-4C65-BA0F-0B30B9052C74}"/>
    <cellStyle name="40% - Accent3 47 3" xfId="23272" xr:uid="{8C5DB6C0-09C5-43C3-AF1A-376F0A061F1F}"/>
    <cellStyle name="40% - Accent3 47 3 2" xfId="41940" xr:uid="{56EF579D-1F19-4E06-B846-5E9494A5AE50}"/>
    <cellStyle name="40% - Accent3 47 4" xfId="41937" xr:uid="{D6FEE976-0202-4024-B6BF-D3134623464E}"/>
    <cellStyle name="40% - Accent3 48" xfId="7911" xr:uid="{FF7AC48B-B1C5-4A97-8D83-722A8830CBEE}"/>
    <cellStyle name="40% - Accent3 48 2" xfId="23324" xr:uid="{F4BD7683-EF43-4CC1-A7CB-260835C63D1D}"/>
    <cellStyle name="40% - Accent3 48 2 2" xfId="41942" xr:uid="{C04E42C2-0195-4CB1-B2FF-BF261C920A85}"/>
    <cellStyle name="40% - Accent3 48 3" xfId="41941" xr:uid="{DB8E7B4F-1ED1-4188-8BD0-439EAA6A178F}"/>
    <cellStyle name="40% - Accent3 49" xfId="15619" xr:uid="{B4450A45-C0A7-461D-8BEE-DDC5E5396777}"/>
    <cellStyle name="40% - Accent3 49 2" xfId="41943" xr:uid="{9DE09082-2955-468B-BA95-A4C277976B2F}"/>
    <cellStyle name="40% - Accent3 5" xfId="3303" xr:uid="{EEA7A827-658B-44D8-9D1D-B6F7E9BD9A98}"/>
    <cellStyle name="40% - Accent3 5 2" xfId="7035" xr:uid="{9691E025-D85E-4857-8235-81E94AFC16EE}"/>
    <cellStyle name="40% - Accent3 5 2 2" xfId="14743" xr:uid="{AA195BA6-9FB3-4BFE-8848-B5398F3CDA13}"/>
    <cellStyle name="40% - Accent3 5 2 2 2" xfId="30155" xr:uid="{F8BEAFC0-C98A-446D-AC92-FF3A98524025}"/>
    <cellStyle name="40% - Accent3 5 2 2 2 2" xfId="41947" xr:uid="{26E8E889-AD4C-4201-B5E1-07C3AAB6FB96}"/>
    <cellStyle name="40% - Accent3 5 2 2 3" xfId="41946" xr:uid="{469BB201-74D3-49B2-AED3-7189A8EDFEFC}"/>
    <cellStyle name="40% - Accent3 5 2 3" xfId="22450" xr:uid="{D9BFAAC8-6152-474E-8C4D-F03BE37D07C0}"/>
    <cellStyle name="40% - Accent3 5 2 3 2" xfId="41948" xr:uid="{B463EFC3-72C6-4753-8635-B0011BE4198C}"/>
    <cellStyle name="40% - Accent3 5 2 4" xfId="41945" xr:uid="{DA1458A1-B1F4-49EB-8D01-65641C46E778}"/>
    <cellStyle name="40% - Accent3 5 3" xfId="11014" xr:uid="{5B43138E-2BB8-43FE-B71F-E384DE93F8C6}"/>
    <cellStyle name="40% - Accent3 5 3 2" xfId="26427" xr:uid="{75123CCF-ED97-4477-9FBE-BCA6166E2477}"/>
    <cellStyle name="40% - Accent3 5 3 2 2" xfId="41950" xr:uid="{8832AE7F-DE19-4EDD-875A-4548FD1D3935}"/>
    <cellStyle name="40% - Accent3 5 3 3" xfId="41949" xr:uid="{C241A537-9FFF-4BE9-AACE-0DF3EEC00E55}"/>
    <cellStyle name="40% - Accent3 5 4" xfId="18722" xr:uid="{F049400E-D3CB-4FD9-ABB4-6F931C5BD5E6}"/>
    <cellStyle name="40% - Accent3 5 4 2" xfId="41951" xr:uid="{38DCD08D-DDFF-4CF5-A3C4-29F859C54819}"/>
    <cellStyle name="40% - Accent3 5 5" xfId="41944" xr:uid="{E58AC2B4-9117-4C37-B604-1C387836B98A}"/>
    <cellStyle name="40% - Accent3 50" xfId="30997" xr:uid="{41E1F6E6-D1FD-4AA4-98F2-F7B652B96F7F}"/>
    <cellStyle name="40% - Accent3 50 2" xfId="41952" xr:uid="{6B8CD039-AE96-4338-83AD-219D54BB24A9}"/>
    <cellStyle name="40% - Accent3 51" xfId="41400" xr:uid="{29A031FC-5089-492A-BB7C-B9EC9EA02BCC}"/>
    <cellStyle name="40% - Accent3 52" xfId="61977" xr:uid="{8FC81F57-193F-4FDE-B2BA-6EEAD9B63D16}"/>
    <cellStyle name="40% - Accent3 53" xfId="61997" xr:uid="{19B18FDC-72D3-4519-B073-9CA6D5AC335F}"/>
    <cellStyle name="40% - Accent3 54" xfId="62017" xr:uid="{39263ACA-4D1F-438C-96B6-3AD55771B284}"/>
    <cellStyle name="40% - Accent3 55" xfId="62037" xr:uid="{4F86BC63-4A74-45A3-A57A-E121C361E6A7}"/>
    <cellStyle name="40% - Accent3 56" xfId="62060" xr:uid="{C1FDCAAA-3226-4C6C-AAD5-6906D71206AD}"/>
    <cellStyle name="40% - Accent3 57" xfId="62086" xr:uid="{AA201F16-0813-4828-B8D1-6C0B2F1DD29A}"/>
    <cellStyle name="40% - Accent3 6" xfId="3323" xr:uid="{180C3160-DE11-4604-B11A-4DF173A8E3A8}"/>
    <cellStyle name="40% - Accent3 6 2" xfId="7055" xr:uid="{7F3E9342-CD2D-4C22-93A1-7F34DFDE8691}"/>
    <cellStyle name="40% - Accent3 6 2 2" xfId="14763" xr:uid="{A8150856-44BD-4D51-ADC2-51566377A284}"/>
    <cellStyle name="40% - Accent3 6 2 2 2" xfId="30175" xr:uid="{CAE40E22-B86B-476D-9109-5DF120D973E8}"/>
    <cellStyle name="40% - Accent3 6 2 2 2 2" xfId="41956" xr:uid="{9D82453A-588D-4ACB-95DD-325D686664FE}"/>
    <cellStyle name="40% - Accent3 6 2 2 3" xfId="41955" xr:uid="{19B1E2F8-F269-44E3-8099-9F4B39994A93}"/>
    <cellStyle name="40% - Accent3 6 2 3" xfId="22470" xr:uid="{5A90F461-580C-4C15-8B50-1A88838E39E2}"/>
    <cellStyle name="40% - Accent3 6 2 3 2" xfId="41957" xr:uid="{0B19B3E1-CE80-4E5A-8449-D2F04F304C36}"/>
    <cellStyle name="40% - Accent3 6 2 4" xfId="41954" xr:uid="{871C80AD-F20B-44F9-8555-616FA4F1A41F}"/>
    <cellStyle name="40% - Accent3 6 3" xfId="11034" xr:uid="{919B1043-D8DC-4975-ADB5-E6ED14C8D4DC}"/>
    <cellStyle name="40% - Accent3 6 3 2" xfId="26447" xr:uid="{7A11EE93-F119-44A8-A8E2-09582E3EF538}"/>
    <cellStyle name="40% - Accent3 6 3 2 2" xfId="41959" xr:uid="{CF71F2AE-A393-4C97-8521-AD03C20FBEE9}"/>
    <cellStyle name="40% - Accent3 6 3 3" xfId="41958" xr:uid="{97EE4B16-7C0B-41FB-9599-5F51F6B13491}"/>
    <cellStyle name="40% - Accent3 6 4" xfId="18742" xr:uid="{B28E1EC1-2813-46BF-B659-1CF65BE96313}"/>
    <cellStyle name="40% - Accent3 6 4 2" xfId="41960" xr:uid="{A2A9181E-8118-4ED6-9221-EA6BA6C01FA5}"/>
    <cellStyle name="40% - Accent3 6 5" xfId="41953" xr:uid="{3A7AFD89-4B8F-499F-852C-5D5136351024}"/>
    <cellStyle name="40% - Accent3 7" xfId="3343" xr:uid="{FA8736B8-8026-4D12-90B6-D1292342617E}"/>
    <cellStyle name="40% - Accent3 7 2" xfId="7075" xr:uid="{744A21AC-E4FF-492E-A6DF-ABA5678027BC}"/>
    <cellStyle name="40% - Accent3 7 2 2" xfId="14783" xr:uid="{BAF9B3F6-F32C-4F9E-A637-53126EF62C9B}"/>
    <cellStyle name="40% - Accent3 7 2 2 2" xfId="30195" xr:uid="{85791AB4-DF3D-4036-ABEC-25A7370D5ECB}"/>
    <cellStyle name="40% - Accent3 7 2 2 2 2" xfId="41964" xr:uid="{82EA35B3-983A-4241-A3B6-62C1C4353086}"/>
    <cellStyle name="40% - Accent3 7 2 2 3" xfId="41963" xr:uid="{F23D6B5E-476A-4245-8334-8EBBFEADB9FA}"/>
    <cellStyle name="40% - Accent3 7 2 3" xfId="22490" xr:uid="{6631E90D-CF81-4305-8D96-FAB5F043744B}"/>
    <cellStyle name="40% - Accent3 7 2 3 2" xfId="41965" xr:uid="{A157FB37-9B30-4CC0-AB10-1DB6B02D48FC}"/>
    <cellStyle name="40% - Accent3 7 2 4" xfId="41962" xr:uid="{FE019418-1BB7-42F0-B1E2-E109C9186F34}"/>
    <cellStyle name="40% - Accent3 7 3" xfId="11054" xr:uid="{A66D84AC-62C3-4B63-806A-30A77A53E9B1}"/>
    <cellStyle name="40% - Accent3 7 3 2" xfId="26467" xr:uid="{BD6BB8F7-BC5D-4A9A-894C-038DBDC9BCB0}"/>
    <cellStyle name="40% - Accent3 7 3 2 2" xfId="41967" xr:uid="{2CD9FA5F-0CB5-4DA7-9FD5-CDEB4F3C0A9F}"/>
    <cellStyle name="40% - Accent3 7 3 3" xfId="41966" xr:uid="{238573CD-9C5F-4FA6-885B-704A5AACEB0A}"/>
    <cellStyle name="40% - Accent3 7 4" xfId="18762" xr:uid="{E5660ABD-BE91-468F-B367-DA5A4436A14D}"/>
    <cellStyle name="40% - Accent3 7 4 2" xfId="41968" xr:uid="{92298DC4-81D5-4710-9FD4-09DF6895ABA0}"/>
    <cellStyle name="40% - Accent3 7 5" xfId="41961" xr:uid="{6B3ADDA9-A17C-4A6A-BB60-79DA93329FF5}"/>
    <cellStyle name="40% - Accent3 8" xfId="3363" xr:uid="{A266FC9E-9121-46BD-9775-303CA5E5BF74}"/>
    <cellStyle name="40% - Accent3 8 2" xfId="7095" xr:uid="{01B9B2B7-056D-4174-8771-E615182C34B3}"/>
    <cellStyle name="40% - Accent3 8 2 2" xfId="14803" xr:uid="{6ACBE7B9-F958-4AEA-B5B7-94661CD627F8}"/>
    <cellStyle name="40% - Accent3 8 2 2 2" xfId="30215" xr:uid="{B9E6EA21-39EE-4795-ACB6-4221218359E5}"/>
    <cellStyle name="40% - Accent3 8 2 2 2 2" xfId="41972" xr:uid="{B844D3DA-9479-40E2-A75A-61A7A8828135}"/>
    <cellStyle name="40% - Accent3 8 2 2 3" xfId="41971" xr:uid="{2BFBB082-7C63-4066-BE37-1AEE7C32BBD3}"/>
    <cellStyle name="40% - Accent3 8 2 3" xfId="22510" xr:uid="{F1E211DF-B29F-4DA0-AAAA-3D98DF7DFE85}"/>
    <cellStyle name="40% - Accent3 8 2 3 2" xfId="41973" xr:uid="{11E9901F-E266-48C2-988F-F1393AF2AD02}"/>
    <cellStyle name="40% - Accent3 8 2 4" xfId="41970" xr:uid="{E6F1E3EF-28B9-43A8-974F-0F5727336FB3}"/>
    <cellStyle name="40% - Accent3 8 3" xfId="11074" xr:uid="{158FF19D-F919-4D31-8A8F-ADF71A0138CC}"/>
    <cellStyle name="40% - Accent3 8 3 2" xfId="26487" xr:uid="{8581053C-DFFE-4B39-8819-73D0A62D061C}"/>
    <cellStyle name="40% - Accent3 8 3 2 2" xfId="41975" xr:uid="{11876633-CC2E-458C-A96D-DB4B8F07A5E7}"/>
    <cellStyle name="40% - Accent3 8 3 3" xfId="41974" xr:uid="{996E3A3F-F261-469D-AC55-F3702A80051A}"/>
    <cellStyle name="40% - Accent3 8 4" xfId="18782" xr:uid="{A0B45DD1-EC49-4F09-9955-E3309D7A099F}"/>
    <cellStyle name="40% - Accent3 8 4 2" xfId="41976" xr:uid="{444DC4D2-1758-4D79-9B9F-0B90FEA26305}"/>
    <cellStyle name="40% - Accent3 8 5" xfId="41969" xr:uid="{5DADEC59-C25C-4DA9-AA38-7C1D5A4EF8CD}"/>
    <cellStyle name="40% - Accent3 9" xfId="3383" xr:uid="{3ED29735-C5BE-4977-9246-3A9BF0C6BB0F}"/>
    <cellStyle name="40% - Accent3 9 2" xfId="7115" xr:uid="{7E123A7C-6025-4B94-AB07-17131F9E58B4}"/>
    <cellStyle name="40% - Accent3 9 2 2" xfId="14823" xr:uid="{BF15C532-5204-4F55-846F-89C26C96CC8F}"/>
    <cellStyle name="40% - Accent3 9 2 2 2" xfId="30235" xr:uid="{E8961B5A-9629-4F06-A15A-634318C4D564}"/>
    <cellStyle name="40% - Accent3 9 2 2 2 2" xfId="41980" xr:uid="{CB2D028D-48C4-4831-9407-D80850E992AC}"/>
    <cellStyle name="40% - Accent3 9 2 2 3" xfId="41979" xr:uid="{E2057808-B9E1-4653-A897-14D213D924D9}"/>
    <cellStyle name="40% - Accent3 9 2 3" xfId="22530" xr:uid="{760F27F7-D254-412A-9B7A-29D8EB7B974B}"/>
    <cellStyle name="40% - Accent3 9 2 3 2" xfId="41981" xr:uid="{587A3836-8E6A-4926-A389-EDD44B13023C}"/>
    <cellStyle name="40% - Accent3 9 2 4" xfId="41978" xr:uid="{B16FF932-EB47-434B-98CD-E5BDA2BBC178}"/>
    <cellStyle name="40% - Accent3 9 3" xfId="11094" xr:uid="{7FA905D8-8051-49B1-A300-F6C31D6A9DDD}"/>
    <cellStyle name="40% - Accent3 9 3 2" xfId="26507" xr:uid="{EA64C9BF-9A4B-4357-BF9A-FDFEB428AB33}"/>
    <cellStyle name="40% - Accent3 9 3 2 2" xfId="41983" xr:uid="{6ACCBA73-B3CD-44DA-978C-BF806B2BBCE8}"/>
    <cellStyle name="40% - Accent3 9 3 3" xfId="41982" xr:uid="{7102AD34-B22E-416D-BB9A-C786F8908F70}"/>
    <cellStyle name="40% - Accent3 9 4" xfId="18802" xr:uid="{26AFAD6E-7E9E-462B-9221-826B94B71D96}"/>
    <cellStyle name="40% - Accent3 9 4 2" xfId="41984" xr:uid="{C52AB058-9962-4282-BAF4-6FC856B87A46}"/>
    <cellStyle name="40% - Accent3 9 5" xfId="41977" xr:uid="{043D239E-A076-49A6-9629-49791CA84B7D}"/>
    <cellStyle name="40% - Accent4 10" xfId="3406" xr:uid="{3430732F-E9BA-4D4C-BFAE-4103F8238CA3}"/>
    <cellStyle name="40% - Accent4 10 2" xfId="7138" xr:uid="{0ECC62D1-F4EA-4F25-830C-8918F3FEA991}"/>
    <cellStyle name="40% - Accent4 10 2 2" xfId="14846" xr:uid="{8EFCA18F-3C1E-4B20-8BA1-09439E8ABDC2}"/>
    <cellStyle name="40% - Accent4 10 2 2 2" xfId="30258" xr:uid="{57278C9A-B5DD-42B2-8444-6A0A7CDF13DD}"/>
    <cellStyle name="40% - Accent4 10 2 2 2 2" xfId="41989" xr:uid="{A09FE952-BF63-4935-93EB-FDDDAC4DDAF9}"/>
    <cellStyle name="40% - Accent4 10 2 2 3" xfId="41988" xr:uid="{27B164BB-7E3C-4E94-BAFA-EFF8B398DA63}"/>
    <cellStyle name="40% - Accent4 10 2 3" xfId="22553" xr:uid="{BC4B437A-DA1E-4E78-9700-864EDACA176F}"/>
    <cellStyle name="40% - Accent4 10 2 3 2" xfId="41990" xr:uid="{EB830138-058D-48A4-92E8-FB35269C1B5F}"/>
    <cellStyle name="40% - Accent4 10 2 4" xfId="41987" xr:uid="{B1A81FBA-8F24-492D-92AA-60668700D7F4}"/>
    <cellStyle name="40% - Accent4 10 3" xfId="11117" xr:uid="{6EB3278E-6338-4D3C-BD08-514EFB020494}"/>
    <cellStyle name="40% - Accent4 10 3 2" xfId="26530" xr:uid="{62ACB64E-AC73-41A9-A146-8EF43532EF4E}"/>
    <cellStyle name="40% - Accent4 10 3 2 2" xfId="41992" xr:uid="{98D7D132-E06E-4049-A3C0-0EA92ADB9B51}"/>
    <cellStyle name="40% - Accent4 10 3 3" xfId="41991" xr:uid="{EB6B34B6-8E69-44A3-87C5-3CBF2E91813D}"/>
    <cellStyle name="40% - Accent4 10 4" xfId="18825" xr:uid="{EEB41C6E-06E0-4B3B-9E9B-DDC7D59750EA}"/>
    <cellStyle name="40% - Accent4 10 4 2" xfId="41993" xr:uid="{209C707D-87B3-4A0F-9264-0245B603A28E}"/>
    <cellStyle name="40% - Accent4 10 5" xfId="41986" xr:uid="{823E3073-752D-47D0-A0A1-32D17C0714BD}"/>
    <cellStyle name="40% - Accent4 11" xfId="3426" xr:uid="{E82015F1-22A3-4143-8279-0ED90DED6551}"/>
    <cellStyle name="40% - Accent4 11 2" xfId="7158" xr:uid="{EE7CA93C-E888-43AB-B4D0-4EFED0B7C5F2}"/>
    <cellStyle name="40% - Accent4 11 2 2" xfId="14866" xr:uid="{A1E0873C-503C-409E-9663-79FFFCBCB055}"/>
    <cellStyle name="40% - Accent4 11 2 2 2" xfId="30278" xr:uid="{409C40A7-CE26-44A4-9E12-D79184E6C4D9}"/>
    <cellStyle name="40% - Accent4 11 2 2 2 2" xfId="41997" xr:uid="{6D1483FC-A7EA-46C8-86D9-FE91CE29A019}"/>
    <cellStyle name="40% - Accent4 11 2 2 3" xfId="41996" xr:uid="{0F582C98-CA85-4DC2-ADB0-83E33EBB2A7D}"/>
    <cellStyle name="40% - Accent4 11 2 3" xfId="22573" xr:uid="{C15AFCF7-2049-42E9-9716-6A3392364417}"/>
    <cellStyle name="40% - Accent4 11 2 3 2" xfId="41998" xr:uid="{E5E67F60-F501-4A77-AA67-4B881DD9D55B}"/>
    <cellStyle name="40% - Accent4 11 2 4" xfId="41995" xr:uid="{50BD95B0-A1E0-495D-A7C7-482ECBCDDF96}"/>
    <cellStyle name="40% - Accent4 11 3" xfId="11137" xr:uid="{B64A9D26-492F-4BB0-B409-7D0E3A304151}"/>
    <cellStyle name="40% - Accent4 11 3 2" xfId="26550" xr:uid="{5C9D9953-2BBB-46FB-A20E-A2F24AA91DFE}"/>
    <cellStyle name="40% - Accent4 11 3 2 2" xfId="42000" xr:uid="{1BC078B8-131F-4CC1-B485-40C1DCE07497}"/>
    <cellStyle name="40% - Accent4 11 3 3" xfId="41999" xr:uid="{80223379-D93F-4261-9CA4-1C9D6630DF32}"/>
    <cellStyle name="40% - Accent4 11 4" xfId="18845" xr:uid="{35F07DA4-9EF6-458E-9E06-CF7180AE47E5}"/>
    <cellStyle name="40% - Accent4 11 4 2" xfId="42001" xr:uid="{1980247A-7A0A-43C0-9086-36FE577AADFE}"/>
    <cellStyle name="40% - Accent4 11 5" xfId="41994" xr:uid="{7B7B5EFB-B637-438C-A609-798EB91F8C71}"/>
    <cellStyle name="40% - Accent4 12" xfId="3446" xr:uid="{ECBC5EBC-720C-4A62-B8FC-6DF96F119559}"/>
    <cellStyle name="40% - Accent4 12 2" xfId="7178" xr:uid="{2EA52210-DE93-4DE7-A455-9D107358D402}"/>
    <cellStyle name="40% - Accent4 12 2 2" xfId="14886" xr:uid="{D2048F36-333E-42F9-99D4-DF88FF22CEC8}"/>
    <cellStyle name="40% - Accent4 12 2 2 2" xfId="30298" xr:uid="{FAF603B3-698E-4205-94CF-35064D42CE05}"/>
    <cellStyle name="40% - Accent4 12 2 2 2 2" xfId="42005" xr:uid="{9873CB63-ED90-4018-94AF-1056A313C17A}"/>
    <cellStyle name="40% - Accent4 12 2 2 3" xfId="42004" xr:uid="{57930540-F905-47DC-8809-245927B7982C}"/>
    <cellStyle name="40% - Accent4 12 2 3" xfId="22593" xr:uid="{1DB832FB-0694-4197-A64D-3A675DDF05A5}"/>
    <cellStyle name="40% - Accent4 12 2 3 2" xfId="42006" xr:uid="{157B5660-783B-485E-8E09-7413B4EC74B5}"/>
    <cellStyle name="40% - Accent4 12 2 4" xfId="42003" xr:uid="{8E69BE13-32A3-4D0D-B8F4-1D6BADBB4762}"/>
    <cellStyle name="40% - Accent4 12 3" xfId="11157" xr:uid="{75D82438-3C3F-45CE-A71D-AD1299A41E05}"/>
    <cellStyle name="40% - Accent4 12 3 2" xfId="26570" xr:uid="{55A113E7-D493-4BF0-BDC3-9AF95928DB51}"/>
    <cellStyle name="40% - Accent4 12 3 2 2" xfId="42008" xr:uid="{322C04AF-462C-443A-9B65-0A62D9DBB718}"/>
    <cellStyle name="40% - Accent4 12 3 3" xfId="42007" xr:uid="{6F8068BB-366D-421F-9D78-28D6F8CDA45E}"/>
    <cellStyle name="40% - Accent4 12 4" xfId="18865" xr:uid="{FF3F3A46-1C33-4B53-8AB8-1C47BAE7176F}"/>
    <cellStyle name="40% - Accent4 12 4 2" xfId="42009" xr:uid="{2D8B8647-9975-4CF2-9C24-810873312EA6}"/>
    <cellStyle name="40% - Accent4 12 5" xfId="42002" xr:uid="{4479D6EC-CA27-4B83-9EA5-929416875B73}"/>
    <cellStyle name="40% - Accent4 13" xfId="3466" xr:uid="{76218D15-01EE-4249-99D6-806D5F982132}"/>
    <cellStyle name="40% - Accent4 13 2" xfId="7198" xr:uid="{39D8FD58-D62C-4BB4-85A5-8F4104B2BFBC}"/>
    <cellStyle name="40% - Accent4 13 2 2" xfId="14906" xr:uid="{2B614ABC-EB5C-4011-9796-12E8DC81A1EB}"/>
    <cellStyle name="40% - Accent4 13 2 2 2" xfId="30318" xr:uid="{F669F488-328C-4266-A7F4-23BA5B93436C}"/>
    <cellStyle name="40% - Accent4 13 2 2 2 2" xfId="42013" xr:uid="{1C7CC9C4-22D1-4AC0-87AD-CF8A67A20977}"/>
    <cellStyle name="40% - Accent4 13 2 2 3" xfId="42012" xr:uid="{5D93A5D6-BD56-40FC-8DDE-B9DAB740CFDF}"/>
    <cellStyle name="40% - Accent4 13 2 3" xfId="22613" xr:uid="{A5DADA2F-4919-40EF-A0E5-19CE1F9A899F}"/>
    <cellStyle name="40% - Accent4 13 2 3 2" xfId="42014" xr:uid="{027F6B26-709D-4B4D-AE3A-4BD31C259805}"/>
    <cellStyle name="40% - Accent4 13 2 4" xfId="42011" xr:uid="{8E2EC4A7-F9F0-4357-9CB3-B2B3552684BC}"/>
    <cellStyle name="40% - Accent4 13 3" xfId="11177" xr:uid="{E9CE09D2-C85D-48BF-B0EA-7E7F0503D299}"/>
    <cellStyle name="40% - Accent4 13 3 2" xfId="26590" xr:uid="{15D870FA-37A1-48C1-922A-DCE2F87D37EB}"/>
    <cellStyle name="40% - Accent4 13 3 2 2" xfId="42016" xr:uid="{77C6D9B0-D508-454D-8453-692623D07D6F}"/>
    <cellStyle name="40% - Accent4 13 3 3" xfId="42015" xr:uid="{010C10D0-C369-4628-8B5A-236BB8AB603E}"/>
    <cellStyle name="40% - Accent4 13 4" xfId="18885" xr:uid="{A9C88C07-039D-486A-B8B0-DEDE4AF31715}"/>
    <cellStyle name="40% - Accent4 13 4 2" xfId="42017" xr:uid="{FF1FBCA2-8692-4AA0-88C5-0224F87410ED}"/>
    <cellStyle name="40% - Accent4 13 5" xfId="42010" xr:uid="{2DC8F20E-C125-4931-8A76-ED66FF519D15}"/>
    <cellStyle name="40% - Accent4 14" xfId="3486" xr:uid="{CB623905-B1A7-44CF-8B6C-89ED8B779A54}"/>
    <cellStyle name="40% - Accent4 14 2" xfId="7218" xr:uid="{E7D3BB10-0084-4906-804B-29E70F32F632}"/>
    <cellStyle name="40% - Accent4 14 2 2" xfId="14926" xr:uid="{C63DC5C7-A183-4BD4-858E-94CA0EAABACF}"/>
    <cellStyle name="40% - Accent4 14 2 2 2" xfId="30338" xr:uid="{B3487331-14A2-43A5-872A-2D7A986AA6D8}"/>
    <cellStyle name="40% - Accent4 14 2 2 2 2" xfId="42021" xr:uid="{46535391-19C1-420D-9010-020CAF39AA78}"/>
    <cellStyle name="40% - Accent4 14 2 2 3" xfId="42020" xr:uid="{70AAD81E-947F-4CFD-A518-6C8B734C58DB}"/>
    <cellStyle name="40% - Accent4 14 2 3" xfId="22633" xr:uid="{E945A039-5D38-4BA4-A20F-E6EC91D48800}"/>
    <cellStyle name="40% - Accent4 14 2 3 2" xfId="42022" xr:uid="{C3047A4F-5D43-4102-8D3F-748032219089}"/>
    <cellStyle name="40% - Accent4 14 2 4" xfId="42019" xr:uid="{271D5172-ED35-4A51-B38E-0CC91434B6D8}"/>
    <cellStyle name="40% - Accent4 14 3" xfId="11197" xr:uid="{D677C150-4D1B-465A-8C02-193508BF3879}"/>
    <cellStyle name="40% - Accent4 14 3 2" xfId="26610" xr:uid="{26398592-C284-4CDD-BF4E-D2D71C7940FF}"/>
    <cellStyle name="40% - Accent4 14 3 2 2" xfId="42024" xr:uid="{CC40F33C-EA7B-4CDD-BD13-E3FE0A7C0212}"/>
    <cellStyle name="40% - Accent4 14 3 3" xfId="42023" xr:uid="{97A32951-DDAB-450E-BD02-DD4A2706D2D3}"/>
    <cellStyle name="40% - Accent4 14 4" xfId="18905" xr:uid="{95C31B7E-EF0E-48F3-9551-733079B84789}"/>
    <cellStyle name="40% - Accent4 14 4 2" xfId="42025" xr:uid="{CE2B4A34-B368-46A2-8ADF-C61C293DA642}"/>
    <cellStyle name="40% - Accent4 14 5" xfId="42018" xr:uid="{45393176-B7BB-45D1-B6F2-5AAC21534331}"/>
    <cellStyle name="40% - Accent4 15" xfId="3506" xr:uid="{0CC865CB-F01F-4A9E-8508-A1DAAAF669B4}"/>
    <cellStyle name="40% - Accent4 15 2" xfId="7238" xr:uid="{8CD1FF07-D0ED-47FA-BD6E-14E53C9E26A5}"/>
    <cellStyle name="40% - Accent4 15 2 2" xfId="14946" xr:uid="{24DCE2D0-FE95-4F05-8220-4D9322EB278B}"/>
    <cellStyle name="40% - Accent4 15 2 2 2" xfId="30358" xr:uid="{3B8E5674-6B12-412A-8237-48B5FF0BA684}"/>
    <cellStyle name="40% - Accent4 15 2 2 2 2" xfId="42029" xr:uid="{527B942C-0B1F-4E43-87E0-FE6F5D44B048}"/>
    <cellStyle name="40% - Accent4 15 2 2 3" xfId="42028" xr:uid="{F2803C49-05BF-4257-8C44-76D5A71054B6}"/>
    <cellStyle name="40% - Accent4 15 2 3" xfId="22653" xr:uid="{F90EDE02-BE6D-4420-8883-CF32934D0EF6}"/>
    <cellStyle name="40% - Accent4 15 2 3 2" xfId="42030" xr:uid="{C76A6E89-648E-4A0D-9006-1D8F52FDBB0B}"/>
    <cellStyle name="40% - Accent4 15 2 4" xfId="42027" xr:uid="{9407B445-F0D3-456F-A9CF-6FA4A5982496}"/>
    <cellStyle name="40% - Accent4 15 3" xfId="11217" xr:uid="{157573EC-4B9D-4C3F-8F77-59ADD3C3DB66}"/>
    <cellStyle name="40% - Accent4 15 3 2" xfId="26630" xr:uid="{3799E225-733F-4319-923B-6E1C0794C614}"/>
    <cellStyle name="40% - Accent4 15 3 2 2" xfId="42032" xr:uid="{746626B7-6782-4E2D-B0A7-979309C69250}"/>
    <cellStyle name="40% - Accent4 15 3 3" xfId="42031" xr:uid="{D333039C-02B2-49C8-AE66-F80054951ADB}"/>
    <cellStyle name="40% - Accent4 15 4" xfId="18925" xr:uid="{640E192D-A669-43E5-BE8F-89097813B0F7}"/>
    <cellStyle name="40% - Accent4 15 4 2" xfId="42033" xr:uid="{8C0CE29D-B09B-48E5-AD29-AFCE0AA83EBB}"/>
    <cellStyle name="40% - Accent4 15 5" xfId="42026" xr:uid="{3A183188-02DD-4C15-A66F-9D35DB5C8D5D}"/>
    <cellStyle name="40% - Accent4 16" xfId="3526" xr:uid="{9A4D1981-2E93-440C-ABB1-086B4B3C3F32}"/>
    <cellStyle name="40% - Accent4 16 2" xfId="7258" xr:uid="{23C72683-94AA-43FB-AA58-ACFF1719C340}"/>
    <cellStyle name="40% - Accent4 16 2 2" xfId="14966" xr:uid="{3383391C-C2A5-4B98-BDEA-20FFE16BC127}"/>
    <cellStyle name="40% - Accent4 16 2 2 2" xfId="30378" xr:uid="{15672A4D-6B34-4D92-B980-845D86E9A78B}"/>
    <cellStyle name="40% - Accent4 16 2 2 2 2" xfId="42037" xr:uid="{7E7EFB57-DBB1-474A-943B-42A8E2955437}"/>
    <cellStyle name="40% - Accent4 16 2 2 3" xfId="42036" xr:uid="{2A80B8F6-7DCB-42BA-8DE3-E8B1836EEB2F}"/>
    <cellStyle name="40% - Accent4 16 2 3" xfId="22673" xr:uid="{BC884C51-F35D-47ED-A08D-19045C41DC85}"/>
    <cellStyle name="40% - Accent4 16 2 3 2" xfId="42038" xr:uid="{299D46CB-B396-4737-9346-BD92797C0DF2}"/>
    <cellStyle name="40% - Accent4 16 2 4" xfId="42035" xr:uid="{445C1C20-5F5A-4CF4-AD9D-7307F704C3AB}"/>
    <cellStyle name="40% - Accent4 16 3" xfId="11237" xr:uid="{F3EB6742-DB96-456E-8DDB-4D89232FD06D}"/>
    <cellStyle name="40% - Accent4 16 3 2" xfId="26650" xr:uid="{934605E9-66CE-46E6-85C2-DFBDD7F8A204}"/>
    <cellStyle name="40% - Accent4 16 3 2 2" xfId="42040" xr:uid="{DB4A0F49-2751-4BDA-A4BD-D437BC932BBE}"/>
    <cellStyle name="40% - Accent4 16 3 3" xfId="42039" xr:uid="{08BC480C-7F7B-4547-9E55-C276BF56FD89}"/>
    <cellStyle name="40% - Accent4 16 4" xfId="18945" xr:uid="{A0497693-A9E7-450C-812C-B332B284C0C3}"/>
    <cellStyle name="40% - Accent4 16 4 2" xfId="42041" xr:uid="{3E35E87D-E3C9-43A9-97CD-7C3971580EA2}"/>
    <cellStyle name="40% - Accent4 16 5" xfId="42034" xr:uid="{042334F4-9933-4EBA-9BE4-86F8086E4F1F}"/>
    <cellStyle name="40% - Accent4 17" xfId="3546" xr:uid="{812ED84D-C8D3-4459-88DF-CD6F7074FF19}"/>
    <cellStyle name="40% - Accent4 17 2" xfId="7278" xr:uid="{858C265C-29E9-4704-8D8F-E4B7A6462A3D}"/>
    <cellStyle name="40% - Accent4 17 2 2" xfId="14986" xr:uid="{59E89BE9-7A29-4D02-B98E-2956A6A795B5}"/>
    <cellStyle name="40% - Accent4 17 2 2 2" xfId="30398" xr:uid="{C41761CC-E52B-48D7-A74F-9D6712E23EC7}"/>
    <cellStyle name="40% - Accent4 17 2 2 2 2" xfId="42045" xr:uid="{98D1AA2F-BFBF-4BDC-AFD5-E511E06632BE}"/>
    <cellStyle name="40% - Accent4 17 2 2 3" xfId="42044" xr:uid="{FC45BD25-399A-4785-B932-EF29D57D6349}"/>
    <cellStyle name="40% - Accent4 17 2 3" xfId="22693" xr:uid="{5F46F8EB-1CEA-45E4-84F6-180D16CC9727}"/>
    <cellStyle name="40% - Accent4 17 2 3 2" xfId="42046" xr:uid="{1042D2E9-5AD2-4CCE-AA4C-573954B1275D}"/>
    <cellStyle name="40% - Accent4 17 2 4" xfId="42043" xr:uid="{91CEE8DC-70CD-4FF9-8F2F-2447ED8A581D}"/>
    <cellStyle name="40% - Accent4 17 3" xfId="11257" xr:uid="{8DEB1A8C-605E-4D3C-A4AC-E6DB0CEDC4E1}"/>
    <cellStyle name="40% - Accent4 17 3 2" xfId="26670" xr:uid="{9B9568D9-EB0A-407E-91CC-6A5238711C03}"/>
    <cellStyle name="40% - Accent4 17 3 2 2" xfId="42048" xr:uid="{BFDC0DFA-79D6-452D-A5CF-6DC0F16B3661}"/>
    <cellStyle name="40% - Accent4 17 3 3" xfId="42047" xr:uid="{EF1EE07E-5DBD-48B6-B008-827484F4A5F3}"/>
    <cellStyle name="40% - Accent4 17 4" xfId="18965" xr:uid="{AF9BD9A7-8046-4777-B80D-E73F21DA7647}"/>
    <cellStyle name="40% - Accent4 17 4 2" xfId="42049" xr:uid="{ABDBB641-33BA-4B47-92E1-4BA938F12656}"/>
    <cellStyle name="40% - Accent4 17 5" xfId="42042" xr:uid="{D94E116A-C22E-4D73-B439-066F24DD5231}"/>
    <cellStyle name="40% - Accent4 18" xfId="3566" xr:uid="{CAB4B85D-1137-4C5F-B93F-138783AE8354}"/>
    <cellStyle name="40% - Accent4 18 2" xfId="7298" xr:uid="{659AC983-2B7F-4097-AE46-53A5ED2E50D5}"/>
    <cellStyle name="40% - Accent4 18 2 2" xfId="15006" xr:uid="{43FBB8B6-402D-4F59-8D23-78C2DD141A18}"/>
    <cellStyle name="40% - Accent4 18 2 2 2" xfId="30418" xr:uid="{8D37459C-A593-4FAF-9743-3F1516189CAB}"/>
    <cellStyle name="40% - Accent4 18 2 2 2 2" xfId="42053" xr:uid="{C5777A66-79DB-4203-96CC-62C42C7A087F}"/>
    <cellStyle name="40% - Accent4 18 2 2 3" xfId="42052" xr:uid="{C582175A-B168-485D-84F3-FED90AE299CA}"/>
    <cellStyle name="40% - Accent4 18 2 3" xfId="22713" xr:uid="{749561DE-978F-45F5-84EA-B2E6288C09FE}"/>
    <cellStyle name="40% - Accent4 18 2 3 2" xfId="42054" xr:uid="{E6DD8D5A-1D29-4258-950F-956F2ECC03BF}"/>
    <cellStyle name="40% - Accent4 18 2 4" xfId="42051" xr:uid="{58753714-546B-4722-85A3-1C4FACB37F95}"/>
    <cellStyle name="40% - Accent4 18 3" xfId="11277" xr:uid="{4606ECCC-0BC9-40FF-80A3-F80A5941C114}"/>
    <cellStyle name="40% - Accent4 18 3 2" xfId="26690" xr:uid="{1396D8FD-0C11-4BE6-A72A-99DC97DC55E0}"/>
    <cellStyle name="40% - Accent4 18 3 2 2" xfId="42056" xr:uid="{450E5672-1A72-4E09-A055-57DF7E736A70}"/>
    <cellStyle name="40% - Accent4 18 3 3" xfId="42055" xr:uid="{814CF2F1-4977-4969-A1DC-FA8D7CA89588}"/>
    <cellStyle name="40% - Accent4 18 4" xfId="18985" xr:uid="{AB645E0D-E682-4C22-BF49-D3D39B11F7A2}"/>
    <cellStyle name="40% - Accent4 18 4 2" xfId="42057" xr:uid="{C1A5DC38-8CC8-4EB6-B37C-B69568D0A2E2}"/>
    <cellStyle name="40% - Accent4 18 5" xfId="42050" xr:uid="{FC9ED4E1-F13A-46BE-852B-5839BCA3E7B4}"/>
    <cellStyle name="40% - Accent4 19" xfId="3587" xr:uid="{802BA548-3E8C-45C3-8FEC-023B430A9BF5}"/>
    <cellStyle name="40% - Accent4 19 2" xfId="7318" xr:uid="{01E56702-0465-4CFF-92F5-4807AD47806C}"/>
    <cellStyle name="40% - Accent4 19 2 2" xfId="15026" xr:uid="{1F03D98B-071E-420F-9355-379225BB542F}"/>
    <cellStyle name="40% - Accent4 19 2 2 2" xfId="30438" xr:uid="{2A0575DB-0779-41D8-8BC5-45B478FEA584}"/>
    <cellStyle name="40% - Accent4 19 2 2 2 2" xfId="42061" xr:uid="{80E1201C-4EB3-445C-A8D4-2585CB40CDFC}"/>
    <cellStyle name="40% - Accent4 19 2 2 3" xfId="42060" xr:uid="{262DC07C-0770-4436-A606-E07592A0753A}"/>
    <cellStyle name="40% - Accent4 19 2 3" xfId="22733" xr:uid="{81C147DF-DE2A-4635-BF27-4C8B792429DB}"/>
    <cellStyle name="40% - Accent4 19 2 3 2" xfId="42062" xr:uid="{E70FD3BA-972C-41D4-9A25-5A4174C1C4ED}"/>
    <cellStyle name="40% - Accent4 19 2 4" xfId="42059" xr:uid="{987F5257-E301-4949-8948-DFCBED4EDFA0}"/>
    <cellStyle name="40% - Accent4 19 3" xfId="11297" xr:uid="{DA669746-66A7-43B1-B48C-2CFDBC3FEB04}"/>
    <cellStyle name="40% - Accent4 19 3 2" xfId="26710" xr:uid="{4D951C38-9428-427D-ADC5-ED7926300965}"/>
    <cellStyle name="40% - Accent4 19 3 2 2" xfId="42064" xr:uid="{64E6B787-5F75-4258-9A43-E33F7E03120B}"/>
    <cellStyle name="40% - Accent4 19 3 3" xfId="42063" xr:uid="{9AB01248-8F6B-45AF-B152-10FE1F78D703}"/>
    <cellStyle name="40% - Accent4 19 4" xfId="19005" xr:uid="{90D48836-70BA-43D3-9E65-584FE5CCEC01}"/>
    <cellStyle name="40% - Accent4 19 4 2" xfId="42065" xr:uid="{DE38CFED-2936-4A0D-99E8-0DC17E08B76B}"/>
    <cellStyle name="40% - Accent4 19 5" xfId="42058" xr:uid="{D050D479-06A1-4117-A818-69F83AD75C89}"/>
    <cellStyle name="40% - Accent4 2" xfId="84" xr:uid="{D802C7D5-59FB-4711-AA81-922B5CC62D25}"/>
    <cellStyle name="40% - Accent4 2 10" xfId="42066" xr:uid="{F11B4C86-BFF2-4082-B214-4213D7B076F2}"/>
    <cellStyle name="40% - Accent4 2 2" xfId="148" xr:uid="{16AFC942-982B-47DF-AF47-BAC95A937B2C}"/>
    <cellStyle name="40% - Accent4 2 2 2" xfId="211" xr:uid="{EEC972EC-E50E-4987-8D6A-7341E2A03636}"/>
    <cellStyle name="40% - Accent4 2 2 2 2" xfId="416" xr:uid="{2B9F5E22-E296-4456-A0CC-0200497EE78E}"/>
    <cellStyle name="40% - Accent4 2 2 2 2 2" xfId="1078" xr:uid="{DF89B6B7-33A7-4011-8545-1473115F2310}"/>
    <cellStyle name="40% - Accent4 2 2 2 2 2 2" xfId="2546" xr:uid="{9D88F3BA-EFBC-496E-B09B-9954BDAD402B}"/>
    <cellStyle name="40% - Accent4 2 2 2 2 2 2 2" xfId="6278" xr:uid="{4459DEA0-5993-4951-85DD-AE42AFACC379}"/>
    <cellStyle name="40% - Accent4 2 2 2 2 2 2 2 2" xfId="13986" xr:uid="{FBFCABA2-79F2-45DF-A9CE-F171D539575C}"/>
    <cellStyle name="40% - Accent4 2 2 2 2 2 2 2 2 2" xfId="29398" xr:uid="{D4BB581C-C03B-4197-9AB5-BDF698E6FC1B}"/>
    <cellStyle name="40% - Accent4 2 2 2 2 2 2 2 2 2 2" xfId="42074" xr:uid="{6E0AD8C9-C54F-4EDD-A5F7-6DA84F92EFBF}"/>
    <cellStyle name="40% - Accent4 2 2 2 2 2 2 2 2 3" xfId="42073" xr:uid="{43D11B74-4F2C-4E3A-8F28-5746D2737643}"/>
    <cellStyle name="40% - Accent4 2 2 2 2 2 2 2 3" xfId="21693" xr:uid="{1A6174AF-4BC8-4A16-A73D-628054995744}"/>
    <cellStyle name="40% - Accent4 2 2 2 2 2 2 2 3 2" xfId="42075" xr:uid="{CF5A91F5-881C-4296-8810-5164267A58FC}"/>
    <cellStyle name="40% - Accent4 2 2 2 2 2 2 2 4" xfId="42072" xr:uid="{EA3B4773-8BA0-4B2B-9829-1F3928A3B15E}"/>
    <cellStyle name="40% - Accent4 2 2 2 2 2 2 3" xfId="10257" xr:uid="{5A55C9A3-B46A-4763-A3BA-CCD422A1C1FE}"/>
    <cellStyle name="40% - Accent4 2 2 2 2 2 2 3 2" xfId="25670" xr:uid="{C8213291-ACA9-482C-BBAB-393E5D51094A}"/>
    <cellStyle name="40% - Accent4 2 2 2 2 2 2 3 2 2" xfId="42077" xr:uid="{A44F891C-6064-4C62-B772-076530306D3D}"/>
    <cellStyle name="40% - Accent4 2 2 2 2 2 2 3 3" xfId="42076" xr:uid="{ECCCC889-DB5C-4225-9822-65F07E6CE913}"/>
    <cellStyle name="40% - Accent4 2 2 2 2 2 2 4" xfId="17965" xr:uid="{B3BD8EBB-8ABD-4001-965D-136FE80BF1D8}"/>
    <cellStyle name="40% - Accent4 2 2 2 2 2 2 4 2" xfId="42078" xr:uid="{BCEE72B1-D463-4D91-914A-C954498BBA60}"/>
    <cellStyle name="40% - Accent4 2 2 2 2 2 2 5" xfId="42071" xr:uid="{802C7685-E1F5-4567-8790-B5995B44C976}"/>
    <cellStyle name="40% - Accent4 2 2 2 2 2 3" xfId="4815" xr:uid="{356046FF-B991-4363-AF03-FEC4D0A88413}"/>
    <cellStyle name="40% - Accent4 2 2 2 2 2 3 2" xfId="12523" xr:uid="{347EA0E6-0A32-4931-BB71-AF2E47EC9CE1}"/>
    <cellStyle name="40% - Accent4 2 2 2 2 2 3 2 2" xfId="27935" xr:uid="{6524A89C-1A27-450C-82E9-761C15F7B7D0}"/>
    <cellStyle name="40% - Accent4 2 2 2 2 2 3 2 2 2" xfId="42081" xr:uid="{8CE09C48-08E1-4FE6-96DF-15B7B7E7ABD0}"/>
    <cellStyle name="40% - Accent4 2 2 2 2 2 3 2 3" xfId="42080" xr:uid="{0892C6D3-471A-49A6-A68F-461ED865E00F}"/>
    <cellStyle name="40% - Accent4 2 2 2 2 2 3 3" xfId="20230" xr:uid="{F25386A5-B243-44D3-96FE-FF4C00D51F79}"/>
    <cellStyle name="40% - Accent4 2 2 2 2 2 3 3 2" xfId="42082" xr:uid="{73EFC0D8-40F2-402D-B469-E87FD46F7EA0}"/>
    <cellStyle name="40% - Accent4 2 2 2 2 2 3 4" xfId="42079" xr:uid="{88868360-8286-47E2-9EC6-419A0682053E}"/>
    <cellStyle name="40% - Accent4 2 2 2 2 2 4" xfId="8798" xr:uid="{EAB15054-D6CE-4E99-BE2A-F6CDCC3A5420}"/>
    <cellStyle name="40% - Accent4 2 2 2 2 2 4 2" xfId="24211" xr:uid="{2278CF72-19BD-4AC8-84C1-FEDA2F2932F6}"/>
    <cellStyle name="40% - Accent4 2 2 2 2 2 4 2 2" xfId="42084" xr:uid="{60999F5C-94DC-4753-AFE1-4BE9F99E0CCB}"/>
    <cellStyle name="40% - Accent4 2 2 2 2 2 4 3" xfId="42083" xr:uid="{203ED5FF-2F11-402E-8C81-AD68E30EFF5A}"/>
    <cellStyle name="40% - Accent4 2 2 2 2 2 5" xfId="16506" xr:uid="{48243BB3-367F-462A-973E-F862DC218B16}"/>
    <cellStyle name="40% - Accent4 2 2 2 2 2 5 2" xfId="42085" xr:uid="{C5079A6B-4765-4986-B73D-AB685A648B3C}"/>
    <cellStyle name="40% - Accent4 2 2 2 2 2 6" xfId="42070" xr:uid="{FF335893-EAD9-44CD-8363-0488BA741E00}"/>
    <cellStyle name="40% - Accent4 2 2 2 2 3" xfId="1908" xr:uid="{4FE01A2A-89FD-47E4-84C0-F263B1A14675}"/>
    <cellStyle name="40% - Accent4 2 2 2 2 3 2" xfId="5640" xr:uid="{A5835D1F-F8D1-4D78-9606-39DA6D536E13}"/>
    <cellStyle name="40% - Accent4 2 2 2 2 3 2 2" xfId="13348" xr:uid="{CC6B2782-261D-4CDE-A541-7A54AE9293BA}"/>
    <cellStyle name="40% - Accent4 2 2 2 2 3 2 2 2" xfId="28760" xr:uid="{49EA8447-1755-4216-A210-F922EF2A5C12}"/>
    <cellStyle name="40% - Accent4 2 2 2 2 3 2 2 2 2" xfId="42089" xr:uid="{E61C17E9-6593-49B2-92D8-DF708076E74A}"/>
    <cellStyle name="40% - Accent4 2 2 2 2 3 2 2 3" xfId="42088" xr:uid="{B1B59EC1-B0DB-40EF-9917-466A6B3B856A}"/>
    <cellStyle name="40% - Accent4 2 2 2 2 3 2 3" xfId="21055" xr:uid="{1F0438D6-CCA9-4525-96E5-6B8F846A5276}"/>
    <cellStyle name="40% - Accent4 2 2 2 2 3 2 3 2" xfId="42090" xr:uid="{62DCDB56-E3CA-4BD3-8409-EC46E1E2BA77}"/>
    <cellStyle name="40% - Accent4 2 2 2 2 3 2 4" xfId="42087" xr:uid="{6E8B2B85-E3D8-4F55-A1B1-4F2F43DE429F}"/>
    <cellStyle name="40% - Accent4 2 2 2 2 3 3" xfId="9619" xr:uid="{01053C65-1F62-4E84-AD57-F0E4E14414BC}"/>
    <cellStyle name="40% - Accent4 2 2 2 2 3 3 2" xfId="25032" xr:uid="{8784F348-B0CC-44A4-B408-AC1C43BF735F}"/>
    <cellStyle name="40% - Accent4 2 2 2 2 3 3 2 2" xfId="42092" xr:uid="{CEB5A13E-7D76-4982-A8F4-C85DCC3F65D7}"/>
    <cellStyle name="40% - Accent4 2 2 2 2 3 3 3" xfId="42091" xr:uid="{B00D09A8-201B-445A-B861-304DB9AC98D1}"/>
    <cellStyle name="40% - Accent4 2 2 2 2 3 4" xfId="17327" xr:uid="{253E32DC-8E7E-4F9E-B215-68979C3DDB5B}"/>
    <cellStyle name="40% - Accent4 2 2 2 2 3 4 2" xfId="42093" xr:uid="{7B521E86-4FDE-4B68-AF0E-14F0ACCA4616}"/>
    <cellStyle name="40% - Accent4 2 2 2 2 3 5" xfId="42086" xr:uid="{911D6B1B-8492-4943-BBEA-3A0E15AFC646}"/>
    <cellStyle name="40% - Accent4 2 2 2 2 4" xfId="4163" xr:uid="{35DA02F7-A705-4902-A75E-C17A5828E787}"/>
    <cellStyle name="40% - Accent4 2 2 2 2 4 2" xfId="11871" xr:uid="{FFD10ACA-375B-420A-873F-BCD54049099C}"/>
    <cellStyle name="40% - Accent4 2 2 2 2 4 2 2" xfId="27283" xr:uid="{FE4974F7-9F82-4FC1-9019-D573F0D4914F}"/>
    <cellStyle name="40% - Accent4 2 2 2 2 4 2 2 2" xfId="42096" xr:uid="{CF27597D-2401-4780-A41D-988ADB58CA0D}"/>
    <cellStyle name="40% - Accent4 2 2 2 2 4 2 3" xfId="42095" xr:uid="{DECCB847-3938-457D-83EF-4B6CDCD97483}"/>
    <cellStyle name="40% - Accent4 2 2 2 2 4 3" xfId="19578" xr:uid="{E6452D91-1F7A-4794-A37E-8A656FB6EFBF}"/>
    <cellStyle name="40% - Accent4 2 2 2 2 4 3 2" xfId="42097" xr:uid="{51E79370-9781-476F-B064-5CBC2CA8D943}"/>
    <cellStyle name="40% - Accent4 2 2 2 2 4 4" xfId="42094" xr:uid="{801AE58A-A0E1-4025-8DC2-8DA95E344DF7}"/>
    <cellStyle name="40% - Accent4 2 2 2 2 5" xfId="8160" xr:uid="{0CAB4A57-CD53-4CDB-87C2-F070243F4A12}"/>
    <cellStyle name="40% - Accent4 2 2 2 2 5 2" xfId="23573" xr:uid="{645D9025-F646-4823-B23E-BC13DE691AFF}"/>
    <cellStyle name="40% - Accent4 2 2 2 2 5 2 2" xfId="42099" xr:uid="{0D212320-CFFD-4D25-A9DA-99B1C2667F96}"/>
    <cellStyle name="40% - Accent4 2 2 2 2 5 3" xfId="42098" xr:uid="{883DDEA3-D499-41B5-B7CA-382023C7DFD5}"/>
    <cellStyle name="40% - Accent4 2 2 2 2 6" xfId="15868" xr:uid="{E2606A27-7E49-4617-AD69-37535EDBFEAF}"/>
    <cellStyle name="40% - Accent4 2 2 2 2 6 2" xfId="42100" xr:uid="{770F7E09-9BA0-4DBA-BAA1-0F113D1B02B4}"/>
    <cellStyle name="40% - Accent4 2 2 2 2 7" xfId="42069" xr:uid="{EBC27BDB-C3FE-4B93-B225-5534D2526BB7}"/>
    <cellStyle name="40% - Accent4 2 2 2 3" xfId="877" xr:uid="{F61D20D4-0D22-4778-B1CB-C3C138258237}"/>
    <cellStyle name="40% - Accent4 2 2 2 3 2" xfId="2348" xr:uid="{77F27EB3-54E7-4C74-BAE1-7BDAA04CEF47}"/>
    <cellStyle name="40% - Accent4 2 2 2 3 2 2" xfId="6080" xr:uid="{BB6ADDF1-5DCC-46CE-ABC3-CA0DBABB7FD8}"/>
    <cellStyle name="40% - Accent4 2 2 2 3 2 2 2" xfId="13788" xr:uid="{367E698A-45E5-4DB0-AF8F-A7272E0DEC47}"/>
    <cellStyle name="40% - Accent4 2 2 2 3 2 2 2 2" xfId="29200" xr:uid="{44936688-B35E-41F5-8C90-18CEFCFED6BA}"/>
    <cellStyle name="40% - Accent4 2 2 2 3 2 2 2 2 2" xfId="42105" xr:uid="{48010BE7-3CB5-4914-A3AF-6688299B3872}"/>
    <cellStyle name="40% - Accent4 2 2 2 3 2 2 2 3" xfId="42104" xr:uid="{FD126D51-33BD-4FE9-83A3-130C9B710FFA}"/>
    <cellStyle name="40% - Accent4 2 2 2 3 2 2 3" xfId="21495" xr:uid="{1FA18C1A-E8B6-4BAB-9197-5402D0C37E51}"/>
    <cellStyle name="40% - Accent4 2 2 2 3 2 2 3 2" xfId="42106" xr:uid="{FDD0E907-7CAD-4A39-BE9F-D7CA89C46120}"/>
    <cellStyle name="40% - Accent4 2 2 2 3 2 2 4" xfId="42103" xr:uid="{31BDBCBD-DE82-4F19-9E98-590FC55909AC}"/>
    <cellStyle name="40% - Accent4 2 2 2 3 2 3" xfId="10059" xr:uid="{B352D621-8527-41FB-A5E6-07C5CB1417D0}"/>
    <cellStyle name="40% - Accent4 2 2 2 3 2 3 2" xfId="25472" xr:uid="{311B0AF9-6780-4546-B744-E697245D5B91}"/>
    <cellStyle name="40% - Accent4 2 2 2 3 2 3 2 2" xfId="42108" xr:uid="{EBB5F174-C417-456F-9438-79EE91DCF5C5}"/>
    <cellStyle name="40% - Accent4 2 2 2 3 2 3 3" xfId="42107" xr:uid="{7BF8F845-86CC-4911-94A0-4AD4D93DE674}"/>
    <cellStyle name="40% - Accent4 2 2 2 3 2 4" xfId="17767" xr:uid="{1056B5BE-6195-4A6E-951D-D1710B5D24B9}"/>
    <cellStyle name="40% - Accent4 2 2 2 3 2 4 2" xfId="42109" xr:uid="{C30C5AEF-A897-4F2D-B365-15AC559F368E}"/>
    <cellStyle name="40% - Accent4 2 2 2 3 2 5" xfId="42102" xr:uid="{81721DC1-A310-497F-9E9F-590D31014699}"/>
    <cellStyle name="40% - Accent4 2 2 2 3 3" xfId="4614" xr:uid="{4B928E77-C21D-4E9B-9F29-F4933BDF3B24}"/>
    <cellStyle name="40% - Accent4 2 2 2 3 3 2" xfId="12322" xr:uid="{06916A02-0C3A-4D1B-8DB9-651620508002}"/>
    <cellStyle name="40% - Accent4 2 2 2 3 3 2 2" xfId="27734" xr:uid="{3A19F0CA-9593-456D-99B6-C7AADB7CDA66}"/>
    <cellStyle name="40% - Accent4 2 2 2 3 3 2 2 2" xfId="42112" xr:uid="{D0573FEC-4C52-472B-8782-7BB53AF40779}"/>
    <cellStyle name="40% - Accent4 2 2 2 3 3 2 3" xfId="42111" xr:uid="{D8EA3AC3-D6A1-48BA-92E6-8C73E16940D8}"/>
    <cellStyle name="40% - Accent4 2 2 2 3 3 3" xfId="20029" xr:uid="{49EF021F-523E-4D90-9966-9CC2CDA44DD9}"/>
    <cellStyle name="40% - Accent4 2 2 2 3 3 3 2" xfId="42113" xr:uid="{AEF7F094-3797-4C76-8E40-7F0F623FE598}"/>
    <cellStyle name="40% - Accent4 2 2 2 3 3 4" xfId="42110" xr:uid="{9EF0F9F5-BC5F-4B9D-A463-06449E7F41E5}"/>
    <cellStyle name="40% - Accent4 2 2 2 3 4" xfId="8600" xr:uid="{F8AD4FE9-00B1-4D71-A5D4-BDB5A987DEAA}"/>
    <cellStyle name="40% - Accent4 2 2 2 3 4 2" xfId="24013" xr:uid="{E3AFB806-A4F0-4CED-A528-7C1BB4D5A39A}"/>
    <cellStyle name="40% - Accent4 2 2 2 3 4 2 2" xfId="42115" xr:uid="{84F878C8-3DDE-4EE0-80C5-5E975618D7BE}"/>
    <cellStyle name="40% - Accent4 2 2 2 3 4 3" xfId="42114" xr:uid="{26D375EE-2FD6-4742-B457-9F0DBCD88C22}"/>
    <cellStyle name="40% - Accent4 2 2 2 3 5" xfId="16308" xr:uid="{9CECE4E3-A9D6-4A41-B75E-9082584ECE19}"/>
    <cellStyle name="40% - Accent4 2 2 2 3 5 2" xfId="42116" xr:uid="{E1A59BD8-1BBB-4DF6-BE73-19D141F86DFB}"/>
    <cellStyle name="40% - Accent4 2 2 2 3 6" xfId="42101" xr:uid="{2B802A86-FF45-430D-BBFA-AFAB876974DE}"/>
    <cellStyle name="40% - Accent4 2 2 2 4" xfId="1710" xr:uid="{1CC16856-C7A5-4E76-A9C2-B46EE1C019EC}"/>
    <cellStyle name="40% - Accent4 2 2 2 4 2" xfId="5442" xr:uid="{734A9282-CD77-49BA-BBD4-9DC28901CC4E}"/>
    <cellStyle name="40% - Accent4 2 2 2 4 2 2" xfId="13150" xr:uid="{03E50E64-8A99-4926-9FC6-2C0A0CFDB595}"/>
    <cellStyle name="40% - Accent4 2 2 2 4 2 2 2" xfId="28562" xr:uid="{45E4077A-BD8C-474C-911B-8855C350778B}"/>
    <cellStyle name="40% - Accent4 2 2 2 4 2 2 2 2" xfId="42120" xr:uid="{60EED647-DB0D-41D2-B4CD-32B1882CEF12}"/>
    <cellStyle name="40% - Accent4 2 2 2 4 2 2 3" xfId="42119" xr:uid="{64971BFA-AF93-4D13-8930-E62038A30EF9}"/>
    <cellStyle name="40% - Accent4 2 2 2 4 2 3" xfId="20857" xr:uid="{FFD299BC-9E56-4992-9AC4-656AA622A743}"/>
    <cellStyle name="40% - Accent4 2 2 2 4 2 3 2" xfId="42121" xr:uid="{858BCFA3-199F-4C2E-B1AF-ED684468E9DD}"/>
    <cellStyle name="40% - Accent4 2 2 2 4 2 4" xfId="42118" xr:uid="{CF3CC810-BEBF-456D-9853-350D574FEBB2}"/>
    <cellStyle name="40% - Accent4 2 2 2 4 3" xfId="9421" xr:uid="{4C86CF06-5BC8-4DF1-8CAC-54BFCF6BA3A8}"/>
    <cellStyle name="40% - Accent4 2 2 2 4 3 2" xfId="24834" xr:uid="{32D109E8-C846-404F-BA55-25093FF1E541}"/>
    <cellStyle name="40% - Accent4 2 2 2 4 3 2 2" xfId="42123" xr:uid="{82AA6D3A-9E2A-4807-A987-53D17EE3FD87}"/>
    <cellStyle name="40% - Accent4 2 2 2 4 3 3" xfId="42122" xr:uid="{5AA95C23-DE8C-483E-99F2-3BE416BB8864}"/>
    <cellStyle name="40% - Accent4 2 2 2 4 4" xfId="17129" xr:uid="{8D5A991A-F1DD-4525-B610-58806E96E2BA}"/>
    <cellStyle name="40% - Accent4 2 2 2 4 4 2" xfId="42124" xr:uid="{2CD88B2E-79E6-4C6D-AD88-15FBA58D7D3C}"/>
    <cellStyle name="40% - Accent4 2 2 2 4 5" xfId="42117" xr:uid="{77FA6335-FCE6-4FE3-B2AC-F1EB729137E2}"/>
    <cellStyle name="40% - Accent4 2 2 2 5" xfId="3962" xr:uid="{EB8F006D-EADA-460E-93C4-3821D9B3F7AB}"/>
    <cellStyle name="40% - Accent4 2 2 2 5 2" xfId="11670" xr:uid="{AC8A9AFD-8AF7-47E1-A628-2F00EAEAFD7E}"/>
    <cellStyle name="40% - Accent4 2 2 2 5 2 2" xfId="27082" xr:uid="{8A6A7213-E742-4D64-BCAF-46B62AB613C0}"/>
    <cellStyle name="40% - Accent4 2 2 2 5 2 2 2" xfId="42127" xr:uid="{92845DAE-D86E-409C-BD17-AF2EB37F6FDC}"/>
    <cellStyle name="40% - Accent4 2 2 2 5 2 3" xfId="42126" xr:uid="{452E3AC9-ECAC-407E-B6D2-C1AB3E0ADE14}"/>
    <cellStyle name="40% - Accent4 2 2 2 5 3" xfId="19377" xr:uid="{695EBC42-77F8-46B7-B05A-4F2DCA991CB1}"/>
    <cellStyle name="40% - Accent4 2 2 2 5 3 2" xfId="42128" xr:uid="{886B2B38-829F-4682-BFD3-206C7EF8DDA7}"/>
    <cellStyle name="40% - Accent4 2 2 2 5 4" xfId="42125" xr:uid="{5EEEA437-A635-40C3-A5D2-2AD13BFD6C2E}"/>
    <cellStyle name="40% - Accent4 2 2 2 6" xfId="7962" xr:uid="{0E260DF6-9DA4-4A47-9ACA-CEBA6D72F5E1}"/>
    <cellStyle name="40% - Accent4 2 2 2 6 2" xfId="23375" xr:uid="{297BF0D5-7572-4F16-9527-38DB91524316}"/>
    <cellStyle name="40% - Accent4 2 2 2 6 2 2" xfId="42130" xr:uid="{5F192E90-5B6D-4643-A686-69153E217758}"/>
    <cellStyle name="40% - Accent4 2 2 2 6 3" xfId="42129" xr:uid="{442B915F-E003-4010-8E11-B7D72612694C}"/>
    <cellStyle name="40% - Accent4 2 2 2 7" xfId="15670" xr:uid="{F8EACE94-570D-443D-87B6-6C9A5217207E}"/>
    <cellStyle name="40% - Accent4 2 2 2 7 2" xfId="42131" xr:uid="{2BA66569-1EA6-4BF0-BD86-DA7CD54F549C}"/>
    <cellStyle name="40% - Accent4 2 2 2 8" xfId="42068" xr:uid="{8F2B0D4F-9A8D-4BD6-AE99-D789CC97A310}"/>
    <cellStyle name="40% - Accent4 2 2 3" xfId="365" xr:uid="{644C8AAD-DF19-40B8-A37E-8F978DA32819}"/>
    <cellStyle name="40% - Accent4 2 2 3 2" xfId="1027" xr:uid="{041AA2CE-A1F8-4943-9D92-3DBA634B09B2}"/>
    <cellStyle name="40% - Accent4 2 2 3 2 2" xfId="2496" xr:uid="{39EB3FB0-296A-4FE2-8D46-4B07A6E88461}"/>
    <cellStyle name="40% - Accent4 2 2 3 2 2 2" xfId="6228" xr:uid="{CF226C94-BE3F-43CD-A2A7-6E11680177D1}"/>
    <cellStyle name="40% - Accent4 2 2 3 2 2 2 2" xfId="13936" xr:uid="{94BDB190-44BF-446F-8BF5-96C32D95A78D}"/>
    <cellStyle name="40% - Accent4 2 2 3 2 2 2 2 2" xfId="29348" xr:uid="{7F1E21DD-0D2D-49E5-9FA0-552483CB31EB}"/>
    <cellStyle name="40% - Accent4 2 2 3 2 2 2 2 2 2" xfId="42137" xr:uid="{CCA8EBB2-59A1-4321-AE39-D3554921F1EB}"/>
    <cellStyle name="40% - Accent4 2 2 3 2 2 2 2 3" xfId="42136" xr:uid="{8DEEAA7E-E865-40CF-8837-CD3E110552DB}"/>
    <cellStyle name="40% - Accent4 2 2 3 2 2 2 3" xfId="21643" xr:uid="{7330C55E-5A99-4B5E-AE79-A579E037BC15}"/>
    <cellStyle name="40% - Accent4 2 2 3 2 2 2 3 2" xfId="42138" xr:uid="{B79C6EBF-9BF9-4E6D-966C-2EE353D70D7D}"/>
    <cellStyle name="40% - Accent4 2 2 3 2 2 2 4" xfId="42135" xr:uid="{5A74F989-510B-4880-BBAE-4B3ECD673D93}"/>
    <cellStyle name="40% - Accent4 2 2 3 2 2 3" xfId="10207" xr:uid="{065D704C-5F97-458D-B092-221179572514}"/>
    <cellStyle name="40% - Accent4 2 2 3 2 2 3 2" xfId="25620" xr:uid="{4960EC31-1302-4860-A9F0-5ADFB51644ED}"/>
    <cellStyle name="40% - Accent4 2 2 3 2 2 3 2 2" xfId="42140" xr:uid="{188291E1-F241-40B7-8688-005E9CF69ECA}"/>
    <cellStyle name="40% - Accent4 2 2 3 2 2 3 3" xfId="42139" xr:uid="{B3428B54-D147-4F72-B11E-770811085D17}"/>
    <cellStyle name="40% - Accent4 2 2 3 2 2 4" xfId="17915" xr:uid="{EFD1B49D-919C-46CF-9D05-1A4AD9E2942C}"/>
    <cellStyle name="40% - Accent4 2 2 3 2 2 4 2" xfId="42141" xr:uid="{172CC234-2D0E-48B6-824F-07380A0A233E}"/>
    <cellStyle name="40% - Accent4 2 2 3 2 2 5" xfId="42134" xr:uid="{B705653D-4F2A-44DE-AD16-7F3C8DD6C0C0}"/>
    <cellStyle name="40% - Accent4 2 2 3 2 3" xfId="4764" xr:uid="{0CA81CDD-96D5-4B27-9B6B-0C044EBA2341}"/>
    <cellStyle name="40% - Accent4 2 2 3 2 3 2" xfId="12472" xr:uid="{7B4A3D71-40BA-4B74-B263-D11B400F47D0}"/>
    <cellStyle name="40% - Accent4 2 2 3 2 3 2 2" xfId="27884" xr:uid="{4DECFB3C-5623-4FDE-BD40-3F3E2EA05C73}"/>
    <cellStyle name="40% - Accent4 2 2 3 2 3 2 2 2" xfId="42144" xr:uid="{55EEB4B1-BEE7-45FF-9CD9-1739E4A1E50B}"/>
    <cellStyle name="40% - Accent4 2 2 3 2 3 2 3" xfId="42143" xr:uid="{25DAC163-0BA4-4015-8706-B9A946975648}"/>
    <cellStyle name="40% - Accent4 2 2 3 2 3 3" xfId="20179" xr:uid="{C30CD08C-CC36-4BCD-8B6D-4E5C8FB5992C}"/>
    <cellStyle name="40% - Accent4 2 2 3 2 3 3 2" xfId="42145" xr:uid="{2DF96A3D-AAF9-4D06-A226-E7CB1C4659CD}"/>
    <cellStyle name="40% - Accent4 2 2 3 2 3 4" xfId="42142" xr:uid="{E188234A-8254-4395-AE5C-53EBDD8F0A7D}"/>
    <cellStyle name="40% - Accent4 2 2 3 2 4" xfId="8748" xr:uid="{0F4DF081-E2E9-4267-A095-672D767B1B75}"/>
    <cellStyle name="40% - Accent4 2 2 3 2 4 2" xfId="24161" xr:uid="{6D895681-313C-473A-9A7C-80F2B5FA1218}"/>
    <cellStyle name="40% - Accent4 2 2 3 2 4 2 2" xfId="42147" xr:uid="{CE59F263-3B69-4C4E-985C-2D864C919CBE}"/>
    <cellStyle name="40% - Accent4 2 2 3 2 4 3" xfId="42146" xr:uid="{F8D7E343-FED3-4A93-94CD-2DCF3DCE7A45}"/>
    <cellStyle name="40% - Accent4 2 2 3 2 5" xfId="16456" xr:uid="{07A922DA-1747-4B92-A197-C2B3D77B5BB5}"/>
    <cellStyle name="40% - Accent4 2 2 3 2 5 2" xfId="42148" xr:uid="{A5650935-5D12-460D-8542-3A45FAF7303D}"/>
    <cellStyle name="40% - Accent4 2 2 3 2 6" xfId="42133" xr:uid="{AF44C013-0BDD-4AF5-B089-AE6DC97A1134}"/>
    <cellStyle name="40% - Accent4 2 2 3 3" xfId="1858" xr:uid="{E1882715-FB49-43A4-ADEA-ADFC6771E415}"/>
    <cellStyle name="40% - Accent4 2 2 3 3 2" xfId="5590" xr:uid="{E1504DA8-DEE5-4261-8871-7384BEBB01E5}"/>
    <cellStyle name="40% - Accent4 2 2 3 3 2 2" xfId="13298" xr:uid="{78D6C816-57F6-4DD4-BC17-25EC8F2CAD0D}"/>
    <cellStyle name="40% - Accent4 2 2 3 3 2 2 2" xfId="28710" xr:uid="{38633019-7AB8-4658-B90B-6B5BBCF0BD79}"/>
    <cellStyle name="40% - Accent4 2 2 3 3 2 2 2 2" xfId="42152" xr:uid="{60A41A55-15AD-47B0-9316-D8F9EBDFA106}"/>
    <cellStyle name="40% - Accent4 2 2 3 3 2 2 3" xfId="42151" xr:uid="{03BE2DBD-9A29-4F78-B42C-FBC9F566C6B1}"/>
    <cellStyle name="40% - Accent4 2 2 3 3 2 3" xfId="21005" xr:uid="{A6C61869-CC2F-47F5-8EF1-3F4D4726242A}"/>
    <cellStyle name="40% - Accent4 2 2 3 3 2 3 2" xfId="42153" xr:uid="{8A88BF45-8FA9-40AC-A604-7F36EBCB371E}"/>
    <cellStyle name="40% - Accent4 2 2 3 3 2 4" xfId="42150" xr:uid="{D2549E2B-D5F5-4352-8806-ABD4FF01913E}"/>
    <cellStyle name="40% - Accent4 2 2 3 3 3" xfId="9569" xr:uid="{B4325FB2-D436-447D-B62B-387AE4BDDA99}"/>
    <cellStyle name="40% - Accent4 2 2 3 3 3 2" xfId="24982" xr:uid="{1304D0A9-3F6E-4BB6-A335-0D1DBB3525C5}"/>
    <cellStyle name="40% - Accent4 2 2 3 3 3 2 2" xfId="42155" xr:uid="{7BFDF12E-B7CF-4753-8BD2-79C8EB2D5520}"/>
    <cellStyle name="40% - Accent4 2 2 3 3 3 3" xfId="42154" xr:uid="{7C83FE0C-4A8C-4CB4-92EC-982A5E98EF8D}"/>
    <cellStyle name="40% - Accent4 2 2 3 3 4" xfId="17277" xr:uid="{7F50DD47-85E9-4CF2-AD18-9A6053CF42C5}"/>
    <cellStyle name="40% - Accent4 2 2 3 3 4 2" xfId="42156" xr:uid="{F1DA207A-6180-45AD-B713-FE926DEF27F7}"/>
    <cellStyle name="40% - Accent4 2 2 3 3 5" xfId="42149" xr:uid="{913CEEF8-8231-4AC7-9498-053FF7A24C78}"/>
    <cellStyle name="40% - Accent4 2 2 3 4" xfId="4112" xr:uid="{B01DDC12-F7F9-4C34-8792-62DE59F2E483}"/>
    <cellStyle name="40% - Accent4 2 2 3 4 2" xfId="11820" xr:uid="{D57B0E04-9BD2-424A-BF2D-8394644F982B}"/>
    <cellStyle name="40% - Accent4 2 2 3 4 2 2" xfId="27232" xr:uid="{1BB22239-DD03-4F66-AD0F-D8E0BBD75192}"/>
    <cellStyle name="40% - Accent4 2 2 3 4 2 2 2" xfId="42159" xr:uid="{4B8B01C7-3706-42F4-8B23-361B7427D0DB}"/>
    <cellStyle name="40% - Accent4 2 2 3 4 2 3" xfId="42158" xr:uid="{9839214F-81DA-40F5-B11B-1C5C9CC8F326}"/>
    <cellStyle name="40% - Accent4 2 2 3 4 3" xfId="19527" xr:uid="{501904B6-C3DB-4BA5-8D90-A47A813ABB15}"/>
    <cellStyle name="40% - Accent4 2 2 3 4 3 2" xfId="42160" xr:uid="{B90C63C7-EFA7-4ABF-A0E0-58CD23814590}"/>
    <cellStyle name="40% - Accent4 2 2 3 4 4" xfId="42157" xr:uid="{DD80BF4B-B902-423D-8CA1-AB0C5F261701}"/>
    <cellStyle name="40% - Accent4 2 2 3 5" xfId="8110" xr:uid="{EF062269-94A3-479B-9419-2E4DCC7EAC7C}"/>
    <cellStyle name="40% - Accent4 2 2 3 5 2" xfId="23523" xr:uid="{0E81E19B-F5B9-4443-9085-835F6ADB8B67}"/>
    <cellStyle name="40% - Accent4 2 2 3 5 2 2" xfId="42162" xr:uid="{3F175F3D-6463-4271-8ACC-58DAB7D69F75}"/>
    <cellStyle name="40% - Accent4 2 2 3 5 3" xfId="42161" xr:uid="{33A435A8-913B-4706-851F-5A2D63800B26}"/>
    <cellStyle name="40% - Accent4 2 2 3 6" xfId="15818" xr:uid="{C922F8D3-F2E6-4D37-9A5C-C8F2689B8D5F}"/>
    <cellStyle name="40% - Accent4 2 2 3 6 2" xfId="42163" xr:uid="{1BDFC5F2-39C1-4B70-B56A-9EFE8AA89293}"/>
    <cellStyle name="40% - Accent4 2 2 3 7" xfId="42132" xr:uid="{56A50DB9-044D-4DA8-941D-24FB0EDB7892}"/>
    <cellStyle name="40% - Accent4 2 2 4" xfId="821" xr:uid="{BD72454C-2B6C-470D-AACC-7AE1EDBA5A90}"/>
    <cellStyle name="40% - Accent4 2 2 4 2" xfId="2298" xr:uid="{5C2FE1F7-A62E-420F-B9A5-D9ECF55559C9}"/>
    <cellStyle name="40% - Accent4 2 2 4 2 2" xfId="6030" xr:uid="{8449D33C-CE28-44B2-A0F1-998618861C13}"/>
    <cellStyle name="40% - Accent4 2 2 4 2 2 2" xfId="13738" xr:uid="{2EBC90EC-353E-478D-99EE-458AD358C8BF}"/>
    <cellStyle name="40% - Accent4 2 2 4 2 2 2 2" xfId="29150" xr:uid="{7E69C29F-1474-43A4-B591-39D4F1F6FF9B}"/>
    <cellStyle name="40% - Accent4 2 2 4 2 2 2 2 2" xfId="42168" xr:uid="{6F0B72F8-1A70-4940-8D74-389234B27E96}"/>
    <cellStyle name="40% - Accent4 2 2 4 2 2 2 3" xfId="42167" xr:uid="{8D50389A-DD40-4C8F-8B38-60DB16044DE8}"/>
    <cellStyle name="40% - Accent4 2 2 4 2 2 3" xfId="21445" xr:uid="{27A2EEDD-256F-4583-A804-8E3B58CF55A8}"/>
    <cellStyle name="40% - Accent4 2 2 4 2 2 3 2" xfId="42169" xr:uid="{6EEE8996-30B5-4CFD-BA4A-E1A496CAA727}"/>
    <cellStyle name="40% - Accent4 2 2 4 2 2 4" xfId="42166" xr:uid="{C25166B5-0B32-4B33-9372-E2942DF964F1}"/>
    <cellStyle name="40% - Accent4 2 2 4 2 3" xfId="10009" xr:uid="{6982742D-5837-425F-B025-1F8F2156A13C}"/>
    <cellStyle name="40% - Accent4 2 2 4 2 3 2" xfId="25422" xr:uid="{25D1E455-79CF-4255-B539-75853F39DC18}"/>
    <cellStyle name="40% - Accent4 2 2 4 2 3 2 2" xfId="42171" xr:uid="{149A619D-B238-496D-929C-CBAA0965E9BC}"/>
    <cellStyle name="40% - Accent4 2 2 4 2 3 3" xfId="42170" xr:uid="{B06F1DAA-9B87-48AA-AD79-1BD3581DF978}"/>
    <cellStyle name="40% - Accent4 2 2 4 2 4" xfId="17717" xr:uid="{66CA446C-845E-48B8-A1BB-FF49BA0567D4}"/>
    <cellStyle name="40% - Accent4 2 2 4 2 4 2" xfId="42172" xr:uid="{5CBE5959-2FEE-4CFD-9041-C8EADD5117F3}"/>
    <cellStyle name="40% - Accent4 2 2 4 2 5" xfId="42165" xr:uid="{74440407-3D19-43E5-9393-EF3753C3DE48}"/>
    <cellStyle name="40% - Accent4 2 2 4 3" xfId="4558" xr:uid="{A0920830-D655-4F65-BA75-AC4FE2D3724F}"/>
    <cellStyle name="40% - Accent4 2 2 4 3 2" xfId="12266" xr:uid="{5221A553-B9B5-441D-8499-9234D6A79142}"/>
    <cellStyle name="40% - Accent4 2 2 4 3 2 2" xfId="27678" xr:uid="{109A0140-7E2A-42A3-8A50-D36EFED4EFD2}"/>
    <cellStyle name="40% - Accent4 2 2 4 3 2 2 2" xfId="42175" xr:uid="{CCE1ED80-68F7-41D1-9A00-AF86DE895846}"/>
    <cellStyle name="40% - Accent4 2 2 4 3 2 3" xfId="42174" xr:uid="{F2C1E9F6-C990-41C7-9084-FB1ED89DF94C}"/>
    <cellStyle name="40% - Accent4 2 2 4 3 3" xfId="19973" xr:uid="{9DF34B58-F1A5-4CDC-9F28-5C17B7F48B72}"/>
    <cellStyle name="40% - Accent4 2 2 4 3 3 2" xfId="42176" xr:uid="{FF4777C2-D112-4978-9885-F7E58EF2AAD0}"/>
    <cellStyle name="40% - Accent4 2 2 4 3 4" xfId="42173" xr:uid="{E30963A0-E73A-4BA5-89DD-184C8F6B17D6}"/>
    <cellStyle name="40% - Accent4 2 2 4 4" xfId="8550" xr:uid="{99D68243-D51B-438D-9004-87DAA42F4EC8}"/>
    <cellStyle name="40% - Accent4 2 2 4 4 2" xfId="23963" xr:uid="{1E16DE7C-CC3F-4B71-8734-C086C45BE5DD}"/>
    <cellStyle name="40% - Accent4 2 2 4 4 2 2" xfId="42178" xr:uid="{DE9E9488-FDD6-4A16-A8E8-50AC2CA63BC3}"/>
    <cellStyle name="40% - Accent4 2 2 4 4 3" xfId="42177" xr:uid="{2FF92E98-7DD1-4EC4-B31E-7AF80AC27A2C}"/>
    <cellStyle name="40% - Accent4 2 2 4 5" xfId="16258" xr:uid="{92DC0475-A9E4-4BCE-ADC9-492968B850E9}"/>
    <cellStyle name="40% - Accent4 2 2 4 5 2" xfId="42179" xr:uid="{2F53DB50-6802-48A2-A52B-BC8376CE08F3}"/>
    <cellStyle name="40% - Accent4 2 2 4 6" xfId="42164" xr:uid="{0FDB4E97-0751-4DC5-A017-090D723517A9}"/>
    <cellStyle name="40% - Accent4 2 2 5" xfId="1659" xr:uid="{EF059DD2-E24C-4673-A213-654921D7CBDC}"/>
    <cellStyle name="40% - Accent4 2 2 5 2" xfId="5391" xr:uid="{89D51BE0-E8F2-4895-8659-96F6CDBC9EC6}"/>
    <cellStyle name="40% - Accent4 2 2 5 2 2" xfId="13099" xr:uid="{C944D920-353C-40F2-903A-BC68534116DA}"/>
    <cellStyle name="40% - Accent4 2 2 5 2 2 2" xfId="28511" xr:uid="{0E3B2029-B68D-4280-A046-B0C2A0C48340}"/>
    <cellStyle name="40% - Accent4 2 2 5 2 2 2 2" xfId="42183" xr:uid="{FD4DBB11-2589-4B30-97F0-19D25C4DAF5A}"/>
    <cellStyle name="40% - Accent4 2 2 5 2 2 3" xfId="42182" xr:uid="{036421A1-73B5-4324-913C-AFF79BABBB1C}"/>
    <cellStyle name="40% - Accent4 2 2 5 2 3" xfId="20806" xr:uid="{1CDCF35F-FFC1-43A1-869D-5C02B0DC6A22}"/>
    <cellStyle name="40% - Accent4 2 2 5 2 3 2" xfId="42184" xr:uid="{15C928F0-2E40-49C7-BB1C-91E92104906B}"/>
    <cellStyle name="40% - Accent4 2 2 5 2 4" xfId="42181" xr:uid="{C6C04E70-4B7D-42C8-B994-FB0DE2B95645}"/>
    <cellStyle name="40% - Accent4 2 2 5 3" xfId="9371" xr:uid="{533566B8-D0E9-4A98-889E-B70DDC3ABEDB}"/>
    <cellStyle name="40% - Accent4 2 2 5 3 2" xfId="24784" xr:uid="{F4425139-62C3-4B16-A66B-73CBFE635BAF}"/>
    <cellStyle name="40% - Accent4 2 2 5 3 2 2" xfId="42186" xr:uid="{B1BB35CA-12E1-4211-95D0-0AA24D3D5825}"/>
    <cellStyle name="40% - Accent4 2 2 5 3 3" xfId="42185" xr:uid="{50016F0D-3D10-408F-852A-5FA753F6D42F}"/>
    <cellStyle name="40% - Accent4 2 2 5 4" xfId="17079" xr:uid="{CF1846C9-1E4D-48F7-BAD8-10F66E4B57B0}"/>
    <cellStyle name="40% - Accent4 2 2 5 4 2" xfId="42187" xr:uid="{0665B393-BBD3-4CE8-B627-10055E9FB229}"/>
    <cellStyle name="40% - Accent4 2 2 5 5" xfId="42180" xr:uid="{2FF51F93-284A-42BA-94CD-A046CDCB0584}"/>
    <cellStyle name="40% - Accent4 2 2 6" xfId="3906" xr:uid="{9098136F-5438-43B3-AAD1-B767588972A7}"/>
    <cellStyle name="40% - Accent4 2 2 6 2" xfId="11614" xr:uid="{9A1C4CD6-BAD5-4544-9B0E-C7454A3761E0}"/>
    <cellStyle name="40% - Accent4 2 2 6 2 2" xfId="27026" xr:uid="{4987B1AE-7429-440C-8D4D-BD1AC2409CED}"/>
    <cellStyle name="40% - Accent4 2 2 6 2 2 2" xfId="42190" xr:uid="{C0AFF47C-7740-48D4-A272-33CB5E6B4B45}"/>
    <cellStyle name="40% - Accent4 2 2 6 2 3" xfId="42189" xr:uid="{0B557BF4-B003-4206-9D6A-7F2B57736F64}"/>
    <cellStyle name="40% - Accent4 2 2 6 3" xfId="19321" xr:uid="{F5CEECD2-536C-40AC-8053-6B6F4B968B0F}"/>
    <cellStyle name="40% - Accent4 2 2 6 3 2" xfId="42191" xr:uid="{8BE0D688-071C-4671-B48B-05AD04BF5698}"/>
    <cellStyle name="40% - Accent4 2 2 6 4" xfId="42188" xr:uid="{5F0A3705-461E-4AF2-BD7A-296184B753F4}"/>
    <cellStyle name="40% - Accent4 2 2 7" xfId="7894" xr:uid="{4CF8DDAF-E479-4F17-A750-5AB4A9A2023A}"/>
    <cellStyle name="40% - Accent4 2 2 7 2" xfId="23307" xr:uid="{31EAEABA-C38C-430C-9623-BE3B95AF00E6}"/>
    <cellStyle name="40% - Accent4 2 2 7 2 2" xfId="42193" xr:uid="{977FE884-7504-46F2-AFBE-9EDE04C3B538}"/>
    <cellStyle name="40% - Accent4 2 2 7 3" xfId="42192" xr:uid="{D76150FB-0608-47CD-A4F2-A93E161EBB44}"/>
    <cellStyle name="40% - Accent4 2 2 8" xfId="15602" xr:uid="{0A95069D-838B-403A-A40E-31C7B9A33B7A}"/>
    <cellStyle name="40% - Accent4 2 2 8 2" xfId="42194" xr:uid="{6A3503C4-A779-4F90-AE7C-19F66A7C4BFA}"/>
    <cellStyle name="40% - Accent4 2 2 9" xfId="42067" xr:uid="{3807CF35-9A3C-4407-AA0F-A1CC7803AB5A}"/>
    <cellStyle name="40% - Accent4 2 3" xfId="192" xr:uid="{AA8DE90A-A37C-4142-A4FB-C37236CB7EC9}"/>
    <cellStyle name="40% - Accent4 2 3 2" xfId="401" xr:uid="{3414041F-B0D5-4197-B99B-B823D8F122D8}"/>
    <cellStyle name="40% - Accent4 2 3 2 2" xfId="1063" xr:uid="{3BF1EFCA-6765-461B-A75B-0C139524E138}"/>
    <cellStyle name="40% - Accent4 2 3 2 2 2" xfId="2531" xr:uid="{2C3F80A2-2485-45E6-B0A9-04BD0A8A05CD}"/>
    <cellStyle name="40% - Accent4 2 3 2 2 2 2" xfId="6263" xr:uid="{1D0E42A4-A744-4566-9A8E-DAF2F804B3C1}"/>
    <cellStyle name="40% - Accent4 2 3 2 2 2 2 2" xfId="13971" xr:uid="{03723EE1-A318-4145-B752-ED1204942CE8}"/>
    <cellStyle name="40% - Accent4 2 3 2 2 2 2 2 2" xfId="29383" xr:uid="{98E7DD54-2A6B-4F14-B999-32E88115E72F}"/>
    <cellStyle name="40% - Accent4 2 3 2 2 2 2 2 2 2" xfId="42201" xr:uid="{1A38AD11-3F6C-4047-A6FC-71149C23BFB8}"/>
    <cellStyle name="40% - Accent4 2 3 2 2 2 2 2 3" xfId="42200" xr:uid="{345B035F-7BD9-4F07-8EE9-5A0083A76799}"/>
    <cellStyle name="40% - Accent4 2 3 2 2 2 2 3" xfId="21678" xr:uid="{948BB50A-0CE9-47F4-BAF2-7B750D53CF3C}"/>
    <cellStyle name="40% - Accent4 2 3 2 2 2 2 3 2" xfId="42202" xr:uid="{102BB6F1-895E-4A61-BA67-F35A6E00A6C7}"/>
    <cellStyle name="40% - Accent4 2 3 2 2 2 2 4" xfId="42199" xr:uid="{20DEB3BB-7A48-4579-9BF8-5F844D9CA128}"/>
    <cellStyle name="40% - Accent4 2 3 2 2 2 3" xfId="10242" xr:uid="{19CFA6D6-F44A-493A-AFDC-D35EA9AFEA5D}"/>
    <cellStyle name="40% - Accent4 2 3 2 2 2 3 2" xfId="25655" xr:uid="{9C0AC024-59AA-408D-94EB-CCDB901155E4}"/>
    <cellStyle name="40% - Accent4 2 3 2 2 2 3 2 2" xfId="42204" xr:uid="{57A0B976-B72A-4164-892E-A8D26718EAC6}"/>
    <cellStyle name="40% - Accent4 2 3 2 2 2 3 3" xfId="42203" xr:uid="{971AED88-8D50-4528-A4D3-58B03A07DE66}"/>
    <cellStyle name="40% - Accent4 2 3 2 2 2 4" xfId="17950" xr:uid="{58254D4C-ADBF-4747-9909-C407742D2336}"/>
    <cellStyle name="40% - Accent4 2 3 2 2 2 4 2" xfId="42205" xr:uid="{DC5DBBB9-D98E-4B62-B438-A437425AC423}"/>
    <cellStyle name="40% - Accent4 2 3 2 2 2 5" xfId="42198" xr:uid="{365E7877-5B4A-4CDD-885B-7B7579C048A4}"/>
    <cellStyle name="40% - Accent4 2 3 2 2 3" xfId="4800" xr:uid="{72F77EA5-583A-45B3-A8A6-B297DE8D1BB1}"/>
    <cellStyle name="40% - Accent4 2 3 2 2 3 2" xfId="12508" xr:uid="{4A2A3978-BF57-46DB-8D63-A94228B23876}"/>
    <cellStyle name="40% - Accent4 2 3 2 2 3 2 2" xfId="27920" xr:uid="{5E915AEF-959C-4E66-BD3B-03C54013C8A9}"/>
    <cellStyle name="40% - Accent4 2 3 2 2 3 2 2 2" xfId="42208" xr:uid="{0D5219FB-A22B-4467-AA9F-BA31721501D1}"/>
    <cellStyle name="40% - Accent4 2 3 2 2 3 2 3" xfId="42207" xr:uid="{C33C2221-718F-4093-B64C-22C8514C038A}"/>
    <cellStyle name="40% - Accent4 2 3 2 2 3 3" xfId="20215" xr:uid="{6D2377D1-FC25-4F3A-9C15-2235B0A871CB}"/>
    <cellStyle name="40% - Accent4 2 3 2 2 3 3 2" xfId="42209" xr:uid="{D8EAC99C-94CF-48AA-BFE7-51DF2FAFE6F8}"/>
    <cellStyle name="40% - Accent4 2 3 2 2 3 4" xfId="42206" xr:uid="{EEBA1690-F4AC-487E-BA13-D9FAAEE39BF4}"/>
    <cellStyle name="40% - Accent4 2 3 2 2 4" xfId="8783" xr:uid="{BA0991EA-BAFE-40FB-A00D-07AE2C02B0DA}"/>
    <cellStyle name="40% - Accent4 2 3 2 2 4 2" xfId="24196" xr:uid="{BE7D51CD-94D2-46F1-977C-EA998C972478}"/>
    <cellStyle name="40% - Accent4 2 3 2 2 4 2 2" xfId="42211" xr:uid="{82F1B9A7-DDB8-4333-B84C-AF8E747F06CF}"/>
    <cellStyle name="40% - Accent4 2 3 2 2 4 3" xfId="42210" xr:uid="{9924022B-A4FC-45C6-92B2-46B54EB440CD}"/>
    <cellStyle name="40% - Accent4 2 3 2 2 5" xfId="16491" xr:uid="{610205D8-2DFB-4399-9827-788641DBB115}"/>
    <cellStyle name="40% - Accent4 2 3 2 2 5 2" xfId="42212" xr:uid="{59572015-95E8-4F57-86C6-A00995D34CEC}"/>
    <cellStyle name="40% - Accent4 2 3 2 2 6" xfId="42197" xr:uid="{D393364E-9F95-42D3-A773-236380ED85EE}"/>
    <cellStyle name="40% - Accent4 2 3 2 3" xfId="1893" xr:uid="{1C3A5DEF-0EA0-40F2-8D28-D6E123D62194}"/>
    <cellStyle name="40% - Accent4 2 3 2 3 2" xfId="5625" xr:uid="{0A1F3A8C-72D6-4F68-90D2-F5E117ED1352}"/>
    <cellStyle name="40% - Accent4 2 3 2 3 2 2" xfId="13333" xr:uid="{0F53F318-308E-4D11-92BE-5E91E59075B2}"/>
    <cellStyle name="40% - Accent4 2 3 2 3 2 2 2" xfId="28745" xr:uid="{ABC38B8B-18F6-4543-8C82-4CCAD23AA508}"/>
    <cellStyle name="40% - Accent4 2 3 2 3 2 2 2 2" xfId="42216" xr:uid="{A3975CA8-82E6-47F6-B7AA-A0E89FBDCE20}"/>
    <cellStyle name="40% - Accent4 2 3 2 3 2 2 3" xfId="42215" xr:uid="{044D3071-F349-4D86-AA8B-41360DF966C7}"/>
    <cellStyle name="40% - Accent4 2 3 2 3 2 3" xfId="21040" xr:uid="{E76E22E7-0254-4E10-BAE3-A934D5ECDE45}"/>
    <cellStyle name="40% - Accent4 2 3 2 3 2 3 2" xfId="42217" xr:uid="{E2F047D5-ED68-4931-89EE-5E437886DA18}"/>
    <cellStyle name="40% - Accent4 2 3 2 3 2 4" xfId="42214" xr:uid="{F6A81B2E-2A6B-4D4B-A50C-4E72C6082513}"/>
    <cellStyle name="40% - Accent4 2 3 2 3 3" xfId="9604" xr:uid="{664D4A90-9417-4EC1-BD3B-02B5CCC96325}"/>
    <cellStyle name="40% - Accent4 2 3 2 3 3 2" xfId="25017" xr:uid="{05DFAC1B-ECDC-4B82-9829-5142287E15B4}"/>
    <cellStyle name="40% - Accent4 2 3 2 3 3 2 2" xfId="42219" xr:uid="{1DE94A80-0970-4DBF-894B-9AC3DF4B07FC}"/>
    <cellStyle name="40% - Accent4 2 3 2 3 3 3" xfId="42218" xr:uid="{C3629725-CB49-4FA4-A784-0A885FCC6713}"/>
    <cellStyle name="40% - Accent4 2 3 2 3 4" xfId="17312" xr:uid="{C28610C5-7830-4E32-80C0-6DC2C26FC80C}"/>
    <cellStyle name="40% - Accent4 2 3 2 3 4 2" xfId="42220" xr:uid="{6F78EE90-1003-486D-9AD4-442807D74493}"/>
    <cellStyle name="40% - Accent4 2 3 2 3 5" xfId="42213" xr:uid="{F6737218-465C-407F-8847-1E7FE2DB3B00}"/>
    <cellStyle name="40% - Accent4 2 3 2 4" xfId="4148" xr:uid="{4BD43214-689F-42F0-A2E5-584480C8188F}"/>
    <cellStyle name="40% - Accent4 2 3 2 4 2" xfId="11856" xr:uid="{A07B7A15-965A-42D9-9CAD-4C35D48CFC30}"/>
    <cellStyle name="40% - Accent4 2 3 2 4 2 2" xfId="27268" xr:uid="{7D0D0301-2BDA-4F48-8914-4B7CA73EDB17}"/>
    <cellStyle name="40% - Accent4 2 3 2 4 2 2 2" xfId="42223" xr:uid="{2A59D7AA-9645-4BC2-9D98-4F38EE80877C}"/>
    <cellStyle name="40% - Accent4 2 3 2 4 2 3" xfId="42222" xr:uid="{2934944E-1797-486D-97AE-F0653ABDC3BB}"/>
    <cellStyle name="40% - Accent4 2 3 2 4 3" xfId="19563" xr:uid="{7E022A6E-2B67-4AFA-A989-DAC53E45958E}"/>
    <cellStyle name="40% - Accent4 2 3 2 4 3 2" xfId="42224" xr:uid="{E484329F-04BF-48FB-AD94-1B175DC4F1B9}"/>
    <cellStyle name="40% - Accent4 2 3 2 4 4" xfId="42221" xr:uid="{F0DF2E57-BEB0-4142-912E-73683E907A4A}"/>
    <cellStyle name="40% - Accent4 2 3 2 5" xfId="8145" xr:uid="{E52CA883-D446-4D55-8DA2-E80D807DD525}"/>
    <cellStyle name="40% - Accent4 2 3 2 5 2" xfId="23558" xr:uid="{7A0CE193-52BE-48F0-BA25-94121CD1C807}"/>
    <cellStyle name="40% - Accent4 2 3 2 5 2 2" xfId="42226" xr:uid="{8785FF5E-D84C-4CA7-94CF-4F9D9515780F}"/>
    <cellStyle name="40% - Accent4 2 3 2 5 3" xfId="42225" xr:uid="{E141A4D4-ED41-4251-8AC7-A975B195355C}"/>
    <cellStyle name="40% - Accent4 2 3 2 6" xfId="15853" xr:uid="{11D28EF3-B62F-4AF3-AD5C-49DA3017024D}"/>
    <cellStyle name="40% - Accent4 2 3 2 6 2" xfId="42227" xr:uid="{3D3D479D-25BB-45FA-B925-904F8CF070F5}"/>
    <cellStyle name="40% - Accent4 2 3 2 7" xfId="42196" xr:uid="{8249682A-FCAE-46BA-96C1-79E95FEDED4C}"/>
    <cellStyle name="40% - Accent4 2 3 3" xfId="858" xr:uid="{C8339BFA-BAA3-4624-AACC-DC42466F734F}"/>
    <cellStyle name="40% - Accent4 2 3 3 2" xfId="2333" xr:uid="{CB029FE0-E0A0-42C5-A60E-3263B2E23735}"/>
    <cellStyle name="40% - Accent4 2 3 3 2 2" xfId="6065" xr:uid="{5F37E5D9-AAC5-4BB9-90FF-031FF19AB72D}"/>
    <cellStyle name="40% - Accent4 2 3 3 2 2 2" xfId="13773" xr:uid="{85B1299F-EEBF-446E-8D7F-A0AF93A629F0}"/>
    <cellStyle name="40% - Accent4 2 3 3 2 2 2 2" xfId="29185" xr:uid="{EFF46B0F-E769-4917-A640-75C583AEB35F}"/>
    <cellStyle name="40% - Accent4 2 3 3 2 2 2 2 2" xfId="42232" xr:uid="{E63B4E0A-7B62-42E5-9FD0-EBD95E39975B}"/>
    <cellStyle name="40% - Accent4 2 3 3 2 2 2 3" xfId="42231" xr:uid="{7DEB7D62-EFF7-47CD-BA31-10EC0A81916B}"/>
    <cellStyle name="40% - Accent4 2 3 3 2 2 3" xfId="21480" xr:uid="{33B605D1-C618-4D00-9FFA-28313817D423}"/>
    <cellStyle name="40% - Accent4 2 3 3 2 2 3 2" xfId="42233" xr:uid="{8CEF9065-75B0-477C-B839-17392D3BB63A}"/>
    <cellStyle name="40% - Accent4 2 3 3 2 2 4" xfId="42230" xr:uid="{51EB1A23-14E9-45F4-97BB-7BC5E8FB1411}"/>
    <cellStyle name="40% - Accent4 2 3 3 2 3" xfId="10044" xr:uid="{3DDC9AAA-555A-4F32-938D-FC93788C4415}"/>
    <cellStyle name="40% - Accent4 2 3 3 2 3 2" xfId="25457" xr:uid="{D955D31B-6D64-422D-9E0C-8D8FB7E9F0E2}"/>
    <cellStyle name="40% - Accent4 2 3 3 2 3 2 2" xfId="42235" xr:uid="{DC82FAFA-59F3-4AB2-AA09-54025CC86BA0}"/>
    <cellStyle name="40% - Accent4 2 3 3 2 3 3" xfId="42234" xr:uid="{06E33D52-3509-4ECB-980E-0599DF72E607}"/>
    <cellStyle name="40% - Accent4 2 3 3 2 4" xfId="17752" xr:uid="{2527438B-2768-4457-A0B5-DE20A2CA574C}"/>
    <cellStyle name="40% - Accent4 2 3 3 2 4 2" xfId="42236" xr:uid="{3EC9B1A2-62F6-47AD-879D-56B70DF1D12B}"/>
    <cellStyle name="40% - Accent4 2 3 3 2 5" xfId="42229" xr:uid="{93E77C01-27B7-4766-A5C1-903C6964835C}"/>
    <cellStyle name="40% - Accent4 2 3 3 3" xfId="4595" xr:uid="{0AF5E60C-3EDC-4AE4-B1A7-C629ED410EEB}"/>
    <cellStyle name="40% - Accent4 2 3 3 3 2" xfId="12303" xr:uid="{B000589E-5C02-41DD-95D3-89A343E59E9B}"/>
    <cellStyle name="40% - Accent4 2 3 3 3 2 2" xfId="27715" xr:uid="{504DA121-0DA8-4897-B27A-CA73050D4BC2}"/>
    <cellStyle name="40% - Accent4 2 3 3 3 2 2 2" xfId="42239" xr:uid="{1240C578-DE0F-4DEC-A10B-130AC0AC6E9A}"/>
    <cellStyle name="40% - Accent4 2 3 3 3 2 3" xfId="42238" xr:uid="{60C368FA-41FF-4DD6-A6AA-EE6FE80B9008}"/>
    <cellStyle name="40% - Accent4 2 3 3 3 3" xfId="20010" xr:uid="{1A89E5D4-03B6-40FD-8F62-757D40897E46}"/>
    <cellStyle name="40% - Accent4 2 3 3 3 3 2" xfId="42240" xr:uid="{AA2C3008-1B60-41E8-A4AB-1F65B339B6BA}"/>
    <cellStyle name="40% - Accent4 2 3 3 3 4" xfId="42237" xr:uid="{01966152-4FEF-4FEF-8FD8-55FE3CF3F8D9}"/>
    <cellStyle name="40% - Accent4 2 3 3 4" xfId="8585" xr:uid="{CD35B302-19C0-459B-92C1-47EB9609AFD4}"/>
    <cellStyle name="40% - Accent4 2 3 3 4 2" xfId="23998" xr:uid="{E17F9609-EDBF-41DB-964B-9C2ABD4EA2B4}"/>
    <cellStyle name="40% - Accent4 2 3 3 4 2 2" xfId="42242" xr:uid="{D3701440-C264-4265-8073-4C800A54A59F}"/>
    <cellStyle name="40% - Accent4 2 3 3 4 3" xfId="42241" xr:uid="{B87E4B96-7125-4C40-ABB6-27753E942B68}"/>
    <cellStyle name="40% - Accent4 2 3 3 5" xfId="16293" xr:uid="{F732C16C-0646-4E4D-A4B1-CE05579C6FD6}"/>
    <cellStyle name="40% - Accent4 2 3 3 5 2" xfId="42243" xr:uid="{27E78E1E-B2A8-4A0D-8991-32D570931ADE}"/>
    <cellStyle name="40% - Accent4 2 3 3 6" xfId="42228" xr:uid="{BB4091F3-DC46-4746-BBE9-0CD25732FF9A}"/>
    <cellStyle name="40% - Accent4 2 3 4" xfId="1695" xr:uid="{AF385996-F602-4CD2-BC69-37B35B48D029}"/>
    <cellStyle name="40% - Accent4 2 3 4 2" xfId="5427" xr:uid="{C2F74F95-61DA-4CCF-844A-33B186C8D31E}"/>
    <cellStyle name="40% - Accent4 2 3 4 2 2" xfId="13135" xr:uid="{7B999C80-1F8F-434F-BD5D-10D453C6D952}"/>
    <cellStyle name="40% - Accent4 2 3 4 2 2 2" xfId="28547" xr:uid="{80CE67A3-1817-405B-A9C9-5180CA5F4846}"/>
    <cellStyle name="40% - Accent4 2 3 4 2 2 2 2" xfId="42247" xr:uid="{3126E611-59BE-4C15-B3B0-38D3777E65E0}"/>
    <cellStyle name="40% - Accent4 2 3 4 2 2 3" xfId="42246" xr:uid="{4A886CF3-338B-4B29-B3EF-57A4B12AD504}"/>
    <cellStyle name="40% - Accent4 2 3 4 2 3" xfId="20842" xr:uid="{41943ECB-04EF-4601-A32D-DDC848CCB6B9}"/>
    <cellStyle name="40% - Accent4 2 3 4 2 3 2" xfId="42248" xr:uid="{BB5B04CB-44C1-4AE7-952D-D014757717D3}"/>
    <cellStyle name="40% - Accent4 2 3 4 2 4" xfId="42245" xr:uid="{3B4DD4CD-B1BF-4979-9505-8271F1417341}"/>
    <cellStyle name="40% - Accent4 2 3 4 3" xfId="9406" xr:uid="{1919063E-C72C-415C-BF10-7B0AE5BF84CA}"/>
    <cellStyle name="40% - Accent4 2 3 4 3 2" xfId="24819" xr:uid="{35177454-8F95-443E-8194-8DCED6C73A77}"/>
    <cellStyle name="40% - Accent4 2 3 4 3 2 2" xfId="42250" xr:uid="{9211B999-E955-4F72-B75F-E51320E23974}"/>
    <cellStyle name="40% - Accent4 2 3 4 3 3" xfId="42249" xr:uid="{35CAA94F-B159-4176-9929-E3688543A640}"/>
    <cellStyle name="40% - Accent4 2 3 4 4" xfId="17114" xr:uid="{3658DD9F-7D34-4F37-89DE-6EDFC3D3C2E0}"/>
    <cellStyle name="40% - Accent4 2 3 4 4 2" xfId="42251" xr:uid="{4E1A4F1A-F451-4779-A8E1-F57803B48E8D}"/>
    <cellStyle name="40% - Accent4 2 3 4 5" xfId="42244" xr:uid="{056023CE-208A-47A9-ACD4-0F94F8E84AF8}"/>
    <cellStyle name="40% - Accent4 2 3 5" xfId="3943" xr:uid="{67D61D3D-EDEA-4820-8CB3-07FDF0EC90C9}"/>
    <cellStyle name="40% - Accent4 2 3 5 2" xfId="11651" xr:uid="{81949932-6960-4A33-A84B-B6C00906B635}"/>
    <cellStyle name="40% - Accent4 2 3 5 2 2" xfId="27063" xr:uid="{8359C1D3-FCF0-4676-9CCF-EEB32825AE3A}"/>
    <cellStyle name="40% - Accent4 2 3 5 2 2 2" xfId="42254" xr:uid="{C143E39D-C44F-43A5-A2E9-EF851AE109FD}"/>
    <cellStyle name="40% - Accent4 2 3 5 2 3" xfId="42253" xr:uid="{A4999888-980E-4EDF-809F-0C8D538B2DA0}"/>
    <cellStyle name="40% - Accent4 2 3 5 3" xfId="19358" xr:uid="{1FADFF03-5D3C-4CFA-BF86-33BD1D70A191}"/>
    <cellStyle name="40% - Accent4 2 3 5 3 2" xfId="42255" xr:uid="{56BC6B86-0026-48EB-BB7D-89F01327CFE0}"/>
    <cellStyle name="40% - Accent4 2 3 5 4" xfId="42252" xr:uid="{94A760EB-0598-4881-93FC-BF88F4069732}"/>
    <cellStyle name="40% - Accent4 2 3 6" xfId="7947" xr:uid="{24ED282A-CC27-4A8A-A7F9-6BCD7ADA78C3}"/>
    <cellStyle name="40% - Accent4 2 3 6 2" xfId="23360" xr:uid="{CFFD45E2-725B-4E4A-9EF9-513FF1694211}"/>
    <cellStyle name="40% - Accent4 2 3 6 2 2" xfId="42257" xr:uid="{E1EEFDE5-F457-4449-96C6-AC903013B257}"/>
    <cellStyle name="40% - Accent4 2 3 6 3" xfId="42256" xr:uid="{EFEF2373-6131-4C20-82F5-31FB7D71DD78}"/>
    <cellStyle name="40% - Accent4 2 3 7" xfId="15655" xr:uid="{58D872B1-B61E-4EB7-BCCC-9626F46E9779}"/>
    <cellStyle name="40% - Accent4 2 3 7 2" xfId="42258" xr:uid="{C8EE94ED-4F35-4E3E-B8CC-AE309175B7CA}"/>
    <cellStyle name="40% - Accent4 2 3 8" xfId="42195" xr:uid="{BA2E77A3-4737-4E82-9CDB-720590D99882}"/>
    <cellStyle name="40% - Accent4 2 4" xfId="348" xr:uid="{9D2F3183-FF57-4A4C-A290-F9112E98052D}"/>
    <cellStyle name="40% - Accent4 2 4 2" xfId="1011" xr:uid="{8C8BD1D2-B8C4-4362-825E-01DA4504E30E}"/>
    <cellStyle name="40% - Accent4 2 4 2 2" xfId="2481" xr:uid="{6E60E3A3-5B3C-4B4A-84B7-E081A577D914}"/>
    <cellStyle name="40% - Accent4 2 4 2 2 2" xfId="6213" xr:uid="{B8A7661E-E1D1-45BF-88BC-5DED9B2164C0}"/>
    <cellStyle name="40% - Accent4 2 4 2 2 2 2" xfId="13921" xr:uid="{DADCF28D-217F-4CF4-B41F-147BAB6BCAE2}"/>
    <cellStyle name="40% - Accent4 2 4 2 2 2 2 2" xfId="29333" xr:uid="{15A2AD31-495A-490B-9F57-0F7FF57E9A5B}"/>
    <cellStyle name="40% - Accent4 2 4 2 2 2 2 2 2" xfId="42264" xr:uid="{2DF76019-10ED-4B8D-B496-73DBB7B079C3}"/>
    <cellStyle name="40% - Accent4 2 4 2 2 2 2 3" xfId="42263" xr:uid="{109D3F73-EE85-43C0-B32C-8F9949F477E6}"/>
    <cellStyle name="40% - Accent4 2 4 2 2 2 3" xfId="21628" xr:uid="{3925E868-D611-4B0C-B0B1-86E1BC92C0E2}"/>
    <cellStyle name="40% - Accent4 2 4 2 2 2 3 2" xfId="42265" xr:uid="{4B865255-C205-4DC3-9FA0-2FDA460752C3}"/>
    <cellStyle name="40% - Accent4 2 4 2 2 2 4" xfId="42262" xr:uid="{79FCFE02-F9B2-46FB-8A73-B3296CBDB7FF}"/>
    <cellStyle name="40% - Accent4 2 4 2 2 3" xfId="10192" xr:uid="{700A6941-64B6-4B0E-81B2-906B8BFA5D11}"/>
    <cellStyle name="40% - Accent4 2 4 2 2 3 2" xfId="25605" xr:uid="{3A8CF1E6-B98F-4925-9EB0-5AD9263F85B3}"/>
    <cellStyle name="40% - Accent4 2 4 2 2 3 2 2" xfId="42267" xr:uid="{869CB51D-96FE-499D-997B-DB0AB3647380}"/>
    <cellStyle name="40% - Accent4 2 4 2 2 3 3" xfId="42266" xr:uid="{5A8BFB7F-DCC7-4A95-939D-9C12775287F0}"/>
    <cellStyle name="40% - Accent4 2 4 2 2 4" xfId="17900" xr:uid="{2444247B-A16A-4777-9F0F-370229E5E058}"/>
    <cellStyle name="40% - Accent4 2 4 2 2 4 2" xfId="42268" xr:uid="{D26792E5-BED6-40ED-8685-98284B6CD356}"/>
    <cellStyle name="40% - Accent4 2 4 2 2 5" xfId="42261" xr:uid="{6AE437A4-AABB-48E7-9AF2-2C30A77CA01E}"/>
    <cellStyle name="40% - Accent4 2 4 2 3" xfId="4748" xr:uid="{47309CAB-4E5A-4B3F-81DC-208D8F84E648}"/>
    <cellStyle name="40% - Accent4 2 4 2 3 2" xfId="12456" xr:uid="{AA9A3CD8-7B2A-4F7E-AF67-16430A0C7E23}"/>
    <cellStyle name="40% - Accent4 2 4 2 3 2 2" xfId="27868" xr:uid="{B1C0A8CB-91D9-40FE-86EE-44545752D23E}"/>
    <cellStyle name="40% - Accent4 2 4 2 3 2 2 2" xfId="42271" xr:uid="{2191A83E-EDB8-4184-BC73-C0C33BBDD1B5}"/>
    <cellStyle name="40% - Accent4 2 4 2 3 2 3" xfId="42270" xr:uid="{65926434-8202-421B-9B8C-79D038EEFDE2}"/>
    <cellStyle name="40% - Accent4 2 4 2 3 3" xfId="20163" xr:uid="{6B0670E1-8E60-4A7B-B1B0-03325708387F}"/>
    <cellStyle name="40% - Accent4 2 4 2 3 3 2" xfId="42272" xr:uid="{7E490924-DF40-4858-8AA1-CF9DB74FBEE6}"/>
    <cellStyle name="40% - Accent4 2 4 2 3 4" xfId="42269" xr:uid="{2AB2F0C5-424B-4289-9042-6F5CC5EE0A8C}"/>
    <cellStyle name="40% - Accent4 2 4 2 4" xfId="8733" xr:uid="{3A265576-E43D-4FAB-8EB6-213DD18557A2}"/>
    <cellStyle name="40% - Accent4 2 4 2 4 2" xfId="24146" xr:uid="{9DE439DB-FB1A-42E2-B1C6-080315678851}"/>
    <cellStyle name="40% - Accent4 2 4 2 4 2 2" xfId="42274" xr:uid="{82A0DC80-869D-4827-B2FB-EAB6E7E2532B}"/>
    <cellStyle name="40% - Accent4 2 4 2 4 3" xfId="42273" xr:uid="{E3FF5EBF-FEBA-407A-AC7E-41BDF1C955EE}"/>
    <cellStyle name="40% - Accent4 2 4 2 5" xfId="16441" xr:uid="{EA0A3811-77A2-4556-8788-7919E56572FB}"/>
    <cellStyle name="40% - Accent4 2 4 2 5 2" xfId="42275" xr:uid="{0752E3AE-4D5A-4B73-848A-07F57A0280B2}"/>
    <cellStyle name="40% - Accent4 2 4 2 6" xfId="42260" xr:uid="{4E65CBB2-E11F-4E97-8B92-34BECE6855A2}"/>
    <cellStyle name="40% - Accent4 2 4 3" xfId="1843" xr:uid="{DB598048-CE75-4036-91F6-91D5EE28BEA8}"/>
    <cellStyle name="40% - Accent4 2 4 3 2" xfId="5575" xr:uid="{1ACEBB59-ABA4-4EFB-9000-43D7B4F740B5}"/>
    <cellStyle name="40% - Accent4 2 4 3 2 2" xfId="13283" xr:uid="{DFC5FAB4-170A-415E-909F-1611C4C235B4}"/>
    <cellStyle name="40% - Accent4 2 4 3 2 2 2" xfId="28695" xr:uid="{667DC3A9-95FC-47F9-849B-FDA9A75F4326}"/>
    <cellStyle name="40% - Accent4 2 4 3 2 2 2 2" xfId="42279" xr:uid="{BFA52BF0-A3FE-418F-8F2B-AE6A560D911A}"/>
    <cellStyle name="40% - Accent4 2 4 3 2 2 3" xfId="42278" xr:uid="{296FAE08-88F5-42E0-9CCF-7E6C7FC081E9}"/>
    <cellStyle name="40% - Accent4 2 4 3 2 3" xfId="20990" xr:uid="{2CCEADE6-B271-4EE1-BC1F-7AEAAAC8B015}"/>
    <cellStyle name="40% - Accent4 2 4 3 2 3 2" xfId="42280" xr:uid="{49A589A2-791F-4614-B3C0-69BE237F6E0A}"/>
    <cellStyle name="40% - Accent4 2 4 3 2 4" xfId="42277" xr:uid="{45208D23-B55E-45BA-8FBE-D44F812AE42F}"/>
    <cellStyle name="40% - Accent4 2 4 3 3" xfId="9554" xr:uid="{2F813FC2-5DEE-4BE1-9A68-B6C3E4A153A9}"/>
    <cellStyle name="40% - Accent4 2 4 3 3 2" xfId="24967" xr:uid="{3EBBB0A4-5018-4C4C-94B2-9CA0A8A71BB8}"/>
    <cellStyle name="40% - Accent4 2 4 3 3 2 2" xfId="42282" xr:uid="{1ADE5068-B95A-4FB3-BE0E-E3AC9A726F0F}"/>
    <cellStyle name="40% - Accent4 2 4 3 3 3" xfId="42281" xr:uid="{F462EDC2-94BE-477C-8CBE-4460F547AD62}"/>
    <cellStyle name="40% - Accent4 2 4 3 4" xfId="17262" xr:uid="{E43A17FB-D36C-4196-8BED-00CC652E93A4}"/>
    <cellStyle name="40% - Accent4 2 4 3 4 2" xfId="42283" xr:uid="{0728460B-8C03-4105-BBEE-7868F34885CE}"/>
    <cellStyle name="40% - Accent4 2 4 3 5" xfId="42276" xr:uid="{0545FE11-934C-4916-AB83-87178EB500EC}"/>
    <cellStyle name="40% - Accent4 2 4 4" xfId="4096" xr:uid="{E866AAF4-9C71-48AE-931B-75ADCBDC07C9}"/>
    <cellStyle name="40% - Accent4 2 4 4 2" xfId="11804" xr:uid="{1CEEF70E-EF7F-4DD4-A69D-8429F4CD6B73}"/>
    <cellStyle name="40% - Accent4 2 4 4 2 2" xfId="27216" xr:uid="{03188676-B486-4F74-89E4-4CAFC4EADC39}"/>
    <cellStyle name="40% - Accent4 2 4 4 2 2 2" xfId="42286" xr:uid="{17D957C7-BC66-44BA-9AED-82E740CA05B8}"/>
    <cellStyle name="40% - Accent4 2 4 4 2 3" xfId="42285" xr:uid="{47A10C3A-5D4C-48DC-B0E6-6235E80B190F}"/>
    <cellStyle name="40% - Accent4 2 4 4 3" xfId="19511" xr:uid="{7771B688-563F-498E-9BE9-ADC034D75C03}"/>
    <cellStyle name="40% - Accent4 2 4 4 3 2" xfId="42287" xr:uid="{C788624E-B9D6-43AB-9548-FC9EF0A3F944}"/>
    <cellStyle name="40% - Accent4 2 4 4 4" xfId="42284" xr:uid="{05C620EF-167C-4B24-BD77-29E9BE82869E}"/>
    <cellStyle name="40% - Accent4 2 4 5" xfId="8095" xr:uid="{4CCCA39E-7BD9-42F3-9759-37287B4FAE6A}"/>
    <cellStyle name="40% - Accent4 2 4 5 2" xfId="23508" xr:uid="{0CB553CD-E23C-4018-9CA3-236A1E6135CD}"/>
    <cellStyle name="40% - Accent4 2 4 5 2 2" xfId="42289" xr:uid="{1E452046-0A5B-410E-AF99-5353FB05403F}"/>
    <cellStyle name="40% - Accent4 2 4 5 3" xfId="42288" xr:uid="{E45E623B-F6A5-4472-9A17-2E66BAB3A502}"/>
    <cellStyle name="40% - Accent4 2 4 6" xfId="15803" xr:uid="{81F89030-1822-443E-B3F2-F22D64EE7E0C}"/>
    <cellStyle name="40% - Accent4 2 4 6 2" xfId="42290" xr:uid="{AB181638-46C8-429D-BB5F-1BC78CC9EE6C}"/>
    <cellStyle name="40% - Accent4 2 4 7" xfId="42259" xr:uid="{06BA191C-8A87-4B3D-A4A7-79FA9C364B85}"/>
    <cellStyle name="40% - Accent4 2 5" xfId="794" xr:uid="{3FE9437F-5F66-41D7-AF28-750EE4B0E92E}"/>
    <cellStyle name="40% - Accent4 2 5 2" xfId="2283" xr:uid="{1BD7A55D-C765-4436-8186-0970A7A0CD5F}"/>
    <cellStyle name="40% - Accent4 2 5 2 2" xfId="6015" xr:uid="{89D76265-4578-4768-88A1-67A256E7E48B}"/>
    <cellStyle name="40% - Accent4 2 5 2 2 2" xfId="13723" xr:uid="{5A8AD1EC-0211-4618-844E-61850C719AE9}"/>
    <cellStyle name="40% - Accent4 2 5 2 2 2 2" xfId="29135" xr:uid="{4C17C504-85FC-4F06-A0A4-780EFC152D63}"/>
    <cellStyle name="40% - Accent4 2 5 2 2 2 2 2" xfId="42295" xr:uid="{0F387EE6-98F9-43D0-BFAB-86A30FFC54B2}"/>
    <cellStyle name="40% - Accent4 2 5 2 2 2 3" xfId="42294" xr:uid="{924C56E7-834D-4BDA-AA6C-4FFC3B074F97}"/>
    <cellStyle name="40% - Accent4 2 5 2 2 3" xfId="21430" xr:uid="{5019837C-BD0B-4E40-965F-0C685B84DBC9}"/>
    <cellStyle name="40% - Accent4 2 5 2 2 3 2" xfId="42296" xr:uid="{806D3B6B-DA39-4C6E-BB1F-DA0937F670FB}"/>
    <cellStyle name="40% - Accent4 2 5 2 2 4" xfId="42293" xr:uid="{6029570B-1636-4BC9-BAF6-2AB7414D9DB4}"/>
    <cellStyle name="40% - Accent4 2 5 2 3" xfId="9994" xr:uid="{FD932BAA-7EEF-40DD-9C46-550D955F6E65}"/>
    <cellStyle name="40% - Accent4 2 5 2 3 2" xfId="25407" xr:uid="{0B9DDD4F-E387-4651-A7C9-27E22FB9F33C}"/>
    <cellStyle name="40% - Accent4 2 5 2 3 2 2" xfId="42298" xr:uid="{AB3B631F-5E27-4DF1-A432-708A08A525A2}"/>
    <cellStyle name="40% - Accent4 2 5 2 3 3" xfId="42297" xr:uid="{C2842ECA-542D-45B6-AF9B-AB98D6687124}"/>
    <cellStyle name="40% - Accent4 2 5 2 4" xfId="17702" xr:uid="{A4FB5E6E-49AD-46F4-ADC1-558DBDD38E4C}"/>
    <cellStyle name="40% - Accent4 2 5 2 4 2" xfId="42299" xr:uid="{84E1F9CA-7B42-4DBF-AF84-712CF44DD0DA}"/>
    <cellStyle name="40% - Accent4 2 5 2 5" xfId="42292" xr:uid="{25BD8ED4-E8AD-4350-94F6-BCB713CBEB6A}"/>
    <cellStyle name="40% - Accent4 2 5 3" xfId="4538" xr:uid="{08876701-99AC-4C20-B6B3-B728F8FE8B85}"/>
    <cellStyle name="40% - Accent4 2 5 3 2" xfId="12246" xr:uid="{CA00518B-630F-4AD8-B617-2611B8510880}"/>
    <cellStyle name="40% - Accent4 2 5 3 2 2" xfId="27658" xr:uid="{40568B93-364A-4F7C-B908-C0B41034342A}"/>
    <cellStyle name="40% - Accent4 2 5 3 2 2 2" xfId="42302" xr:uid="{5005EDAA-32B4-40D6-B0DC-6F6F0FCA4B35}"/>
    <cellStyle name="40% - Accent4 2 5 3 2 3" xfId="42301" xr:uid="{C4FC0BAC-0545-4D52-AC46-E9EC41FDD1C0}"/>
    <cellStyle name="40% - Accent4 2 5 3 3" xfId="19953" xr:uid="{28A91DF6-2F91-46BA-B292-CBDCBD04C2D7}"/>
    <cellStyle name="40% - Accent4 2 5 3 3 2" xfId="42303" xr:uid="{6AB1CB6C-390A-4319-B046-6B4930859D3B}"/>
    <cellStyle name="40% - Accent4 2 5 3 4" xfId="42300" xr:uid="{C086F743-00D3-4D4E-9A3D-130D1DB3C7EF}"/>
    <cellStyle name="40% - Accent4 2 5 4" xfId="8535" xr:uid="{13F6CD15-907F-4EF7-8224-B2242F1181CD}"/>
    <cellStyle name="40% - Accent4 2 5 4 2" xfId="23948" xr:uid="{74D9C31D-EE9A-4D85-984D-76F1A26984A4}"/>
    <cellStyle name="40% - Accent4 2 5 4 2 2" xfId="42305" xr:uid="{96512925-F023-4B9F-810A-58B0D340A713}"/>
    <cellStyle name="40% - Accent4 2 5 4 3" xfId="42304" xr:uid="{B4C741ED-F71C-42B5-928B-8DA645D98329}"/>
    <cellStyle name="40% - Accent4 2 5 5" xfId="16243" xr:uid="{2E02C0A4-18E8-4294-A599-2A04E202A160}"/>
    <cellStyle name="40% - Accent4 2 5 5 2" xfId="42306" xr:uid="{B6568EBD-AC94-4DE4-85A5-50D7180C551D}"/>
    <cellStyle name="40% - Accent4 2 5 6" xfId="42291" xr:uid="{F1996676-19E0-4148-B7A3-1319E0553645}"/>
    <cellStyle name="40% - Accent4 2 6" xfId="1641" xr:uid="{804DDACA-A914-40CD-9D3A-88E09B707528}"/>
    <cellStyle name="40% - Accent4 2 6 2" xfId="5375" xr:uid="{7766C0C6-8F64-4DE6-B561-3FDA4FC57BA7}"/>
    <cellStyle name="40% - Accent4 2 6 2 2" xfId="13083" xr:uid="{1BE45DAE-EF9D-4E51-A382-7C45158B3745}"/>
    <cellStyle name="40% - Accent4 2 6 2 2 2" xfId="28495" xr:uid="{C6F74E15-2037-4403-84A9-B45904355B40}"/>
    <cellStyle name="40% - Accent4 2 6 2 2 2 2" xfId="42310" xr:uid="{70C2ED51-9956-4AFB-8297-6499D930D89C}"/>
    <cellStyle name="40% - Accent4 2 6 2 2 3" xfId="42309" xr:uid="{0BDE9CA8-C25E-4C72-A492-ECC079F78FF1}"/>
    <cellStyle name="40% - Accent4 2 6 2 3" xfId="20790" xr:uid="{255AC4EA-4E56-47E8-8ACC-B48911165B23}"/>
    <cellStyle name="40% - Accent4 2 6 2 3 2" xfId="42311" xr:uid="{7E4EE128-26B6-4089-9218-DD621AECD779}"/>
    <cellStyle name="40% - Accent4 2 6 2 4" xfId="42308" xr:uid="{F24AFE8B-AAFC-41CF-A59D-44BB7A19C2EE}"/>
    <cellStyle name="40% - Accent4 2 6 3" xfId="9356" xr:uid="{274DE6F5-01CD-462B-87C9-BD9C04BE8033}"/>
    <cellStyle name="40% - Accent4 2 6 3 2" xfId="24769" xr:uid="{5FF97CE4-2D62-4249-8C0D-BF433EAB64B5}"/>
    <cellStyle name="40% - Accent4 2 6 3 2 2" xfId="42313" xr:uid="{DA42A8EC-11E5-417B-8CA6-7D30F1BD0BD5}"/>
    <cellStyle name="40% - Accent4 2 6 3 3" xfId="42312" xr:uid="{5D7080E5-B72F-4D8B-9FE2-CB8B8AD08D69}"/>
    <cellStyle name="40% - Accent4 2 6 4" xfId="17064" xr:uid="{995E0531-47B8-4429-AB67-4EEFD5DFED1F}"/>
    <cellStyle name="40% - Accent4 2 6 4 2" xfId="42314" xr:uid="{2CC3CCBF-D9CB-4B22-A357-C4FE527C20C9}"/>
    <cellStyle name="40% - Accent4 2 6 5" xfId="42307" xr:uid="{B503D24A-52D3-4BE3-8C04-AFC0946E3D3E}"/>
    <cellStyle name="40% - Accent4 2 7" xfId="3885" xr:uid="{3A9B3BEA-B577-4016-A0D0-BF90A459DEC5}"/>
    <cellStyle name="40% - Accent4 2 7 2" xfId="11594" xr:uid="{1F2E0175-ED25-429E-9DD0-4F22B6FEE91F}"/>
    <cellStyle name="40% - Accent4 2 7 2 2" xfId="27006" xr:uid="{184B30CA-C234-43FB-BA72-CC692BC59CD0}"/>
    <cellStyle name="40% - Accent4 2 7 2 2 2" xfId="42317" xr:uid="{E4D1B749-A5AA-415C-BA83-B4ADAD526ADC}"/>
    <cellStyle name="40% - Accent4 2 7 2 3" xfId="42316" xr:uid="{04076CDE-6A79-4729-93CD-14F45E86F736}"/>
    <cellStyle name="40% - Accent4 2 7 3" xfId="19301" xr:uid="{B9AE5B41-4230-474A-B74B-04B573890184}"/>
    <cellStyle name="40% - Accent4 2 7 3 2" xfId="42318" xr:uid="{191D986D-E581-4FF2-BB6F-4BEF9DD6B7BA}"/>
    <cellStyle name="40% - Accent4 2 7 4" xfId="42315" xr:uid="{624FD3DE-D6E6-495F-8402-0CFB61BED565}"/>
    <cellStyle name="40% - Accent4 2 8" xfId="7879" xr:uid="{F590E855-7F68-4197-94DF-C023FCF98939}"/>
    <cellStyle name="40% - Accent4 2 8 2" xfId="23292" xr:uid="{4E1B23F9-9A59-4E84-920C-9D2183D402A4}"/>
    <cellStyle name="40% - Accent4 2 8 2 2" xfId="42320" xr:uid="{6A2BD737-D48E-4BD9-9F90-5E9EA48109E3}"/>
    <cellStyle name="40% - Accent4 2 8 3" xfId="42319" xr:uid="{BA215A38-8CE7-44EF-8A8C-B799E54550BA}"/>
    <cellStyle name="40% - Accent4 2 9" xfId="15587" xr:uid="{AE92C75A-8CB9-4335-9B9F-AAF0DD6752E9}"/>
    <cellStyle name="40% - Accent4 2 9 2" xfId="42321" xr:uid="{85F17E62-3BF7-4631-A393-6D4D9CBE8F49}"/>
    <cellStyle name="40% - Accent4 20" xfId="3607" xr:uid="{ACB87F98-5728-4118-BAAA-75717FACD89E}"/>
    <cellStyle name="40% - Accent4 20 2" xfId="7338" xr:uid="{68E151BC-8EE8-4B9A-B0CB-25097D0BF7AD}"/>
    <cellStyle name="40% - Accent4 20 2 2" xfId="15046" xr:uid="{664D5E93-5EEF-4183-B1DE-3A4528979756}"/>
    <cellStyle name="40% - Accent4 20 2 2 2" xfId="30458" xr:uid="{5638BBE2-5199-4568-B6F2-F731901631DC}"/>
    <cellStyle name="40% - Accent4 20 2 2 2 2" xfId="42325" xr:uid="{7E1841B9-2A17-4209-AF12-4660EC088C78}"/>
    <cellStyle name="40% - Accent4 20 2 2 3" xfId="42324" xr:uid="{77D55647-9E16-4BFA-8617-EB0C094D5D7F}"/>
    <cellStyle name="40% - Accent4 20 2 3" xfId="22753" xr:uid="{25A09478-9E60-4196-B958-CE479A0F680F}"/>
    <cellStyle name="40% - Accent4 20 2 3 2" xfId="42326" xr:uid="{6B2E36FF-D77B-450E-8CB3-D91E80B81F0C}"/>
    <cellStyle name="40% - Accent4 20 2 4" xfId="42323" xr:uid="{0B79FF3D-E3DE-484E-9F0D-C230E78AA806}"/>
    <cellStyle name="40% - Accent4 20 3" xfId="11317" xr:uid="{E7F16B2D-EEFC-4A54-BDAC-F138CBA0FA63}"/>
    <cellStyle name="40% - Accent4 20 3 2" xfId="26730" xr:uid="{B35D6C92-1CEA-4A3D-AEEA-96A46193955E}"/>
    <cellStyle name="40% - Accent4 20 3 2 2" xfId="42328" xr:uid="{07960EBD-A5B7-4CF0-BF42-2C88F226A839}"/>
    <cellStyle name="40% - Accent4 20 3 3" xfId="42327" xr:uid="{7B8E717D-7F61-4C74-B6CB-3193A194373A}"/>
    <cellStyle name="40% - Accent4 20 4" xfId="19025" xr:uid="{7D786ACA-CC10-435D-8F77-4683FC7BEF59}"/>
    <cellStyle name="40% - Accent4 20 4 2" xfId="42329" xr:uid="{11B13BD9-1EB1-4474-A1CD-682933B9FB87}"/>
    <cellStyle name="40% - Accent4 20 5" xfId="42322" xr:uid="{C7AC4DE4-FE51-4382-B175-D9C950EAC7D2}"/>
    <cellStyle name="40% - Accent4 21" xfId="3627" xr:uid="{1F6F5AE5-1022-4095-8422-E713AF0C9509}"/>
    <cellStyle name="40% - Accent4 21 2" xfId="7358" xr:uid="{3166C396-8CB5-4EBF-9A87-DA8F95CCC10A}"/>
    <cellStyle name="40% - Accent4 21 2 2" xfId="15066" xr:uid="{55D4E231-5F24-4D89-A417-866ABCC9A483}"/>
    <cellStyle name="40% - Accent4 21 2 2 2" xfId="30478" xr:uid="{D77231B3-3E5F-43B4-96BA-6DA7B2C31129}"/>
    <cellStyle name="40% - Accent4 21 2 2 2 2" xfId="42333" xr:uid="{0E3BF126-1DD7-4CCE-A3AE-DAD13D46916F}"/>
    <cellStyle name="40% - Accent4 21 2 2 3" xfId="42332" xr:uid="{1FE03F5B-6443-4B1C-880E-DB30F0E32F5E}"/>
    <cellStyle name="40% - Accent4 21 2 3" xfId="22773" xr:uid="{C30C5C6E-707D-4045-AEB1-29EFBD765A24}"/>
    <cellStyle name="40% - Accent4 21 2 3 2" xfId="42334" xr:uid="{B4F584BA-A4CE-467B-838D-1CB62F947FEA}"/>
    <cellStyle name="40% - Accent4 21 2 4" xfId="42331" xr:uid="{4432E2B3-FEB3-4EA7-8C8D-990FE9A064BA}"/>
    <cellStyle name="40% - Accent4 21 3" xfId="11337" xr:uid="{5BE57FE5-5B46-4043-A4A7-188DADB8F2E7}"/>
    <cellStyle name="40% - Accent4 21 3 2" xfId="26750" xr:uid="{44FA095F-25D6-45A5-A6B5-B24FB8C914FB}"/>
    <cellStyle name="40% - Accent4 21 3 2 2" xfId="42336" xr:uid="{B1E5F9E9-E804-4216-B5AE-EE77A4D4EFF5}"/>
    <cellStyle name="40% - Accent4 21 3 3" xfId="42335" xr:uid="{85623D17-B89F-43FF-82D7-DD9B4E0FA398}"/>
    <cellStyle name="40% - Accent4 21 4" xfId="19045" xr:uid="{6D869D99-C2BA-4E78-8238-0F3F72DA2142}"/>
    <cellStyle name="40% - Accent4 21 4 2" xfId="42337" xr:uid="{3FD45EAD-E9F6-4FE3-94CD-E3C010BF1ECB}"/>
    <cellStyle name="40% - Accent4 21 5" xfId="42330" xr:uid="{A86E7395-E49A-4D39-9E8B-CD5D516D489A}"/>
    <cellStyle name="40% - Accent4 22" xfId="3647" xr:uid="{A0E0B4E7-B5A0-4D10-B3B4-5004BE40EA7E}"/>
    <cellStyle name="40% - Accent4 22 2" xfId="7378" xr:uid="{8A9B8B18-DF0C-47EC-95EC-21448E730686}"/>
    <cellStyle name="40% - Accent4 22 2 2" xfId="15086" xr:uid="{9C069F16-B557-4A80-8EA7-A61C276F448D}"/>
    <cellStyle name="40% - Accent4 22 2 2 2" xfId="30498" xr:uid="{81828305-F94A-4AC2-9392-165A014FF2BF}"/>
    <cellStyle name="40% - Accent4 22 2 2 2 2" xfId="42341" xr:uid="{64F79220-548B-45D8-8F9F-BC5DBA66DE2B}"/>
    <cellStyle name="40% - Accent4 22 2 2 3" xfId="42340" xr:uid="{3BAE59F8-1C46-4874-BDF9-1CCE058D0862}"/>
    <cellStyle name="40% - Accent4 22 2 3" xfId="22793" xr:uid="{26BC8DC9-2B0D-4DFA-9664-27FDAFDE7DD4}"/>
    <cellStyle name="40% - Accent4 22 2 3 2" xfId="42342" xr:uid="{66EB0CB0-2F57-41C6-B88A-2627609729C9}"/>
    <cellStyle name="40% - Accent4 22 2 4" xfId="42339" xr:uid="{30A58505-F26F-4E40-8AA5-A5D5C905B42A}"/>
    <cellStyle name="40% - Accent4 22 3" xfId="11357" xr:uid="{5F2A25BD-C9E5-4F21-AE16-C4C9DBB47EE7}"/>
    <cellStyle name="40% - Accent4 22 3 2" xfId="26770" xr:uid="{4CB0FA1E-8B87-422F-9A2E-B25C339C422C}"/>
    <cellStyle name="40% - Accent4 22 3 2 2" xfId="42344" xr:uid="{1A5CB5B1-C780-4426-BF39-7BDB2E433E20}"/>
    <cellStyle name="40% - Accent4 22 3 3" xfId="42343" xr:uid="{AFA938D7-80DB-41EB-9C24-187C3FAF9098}"/>
    <cellStyle name="40% - Accent4 22 4" xfId="19065" xr:uid="{09BDF911-7EDC-4F15-9ADF-225C699D7624}"/>
    <cellStyle name="40% - Accent4 22 4 2" xfId="42345" xr:uid="{C691B9EC-7018-4094-9406-EC20078B4B86}"/>
    <cellStyle name="40% - Accent4 22 5" xfId="42338" xr:uid="{3A90592D-0B78-4387-8853-1110D06FFEBD}"/>
    <cellStyle name="40% - Accent4 23" xfId="3667" xr:uid="{048DBB54-7B12-4B07-9E24-3E23C0894D8C}"/>
    <cellStyle name="40% - Accent4 23 2" xfId="7398" xr:uid="{9123CE9D-A869-4B60-B3A1-86CEB2F9C082}"/>
    <cellStyle name="40% - Accent4 23 2 2" xfId="15106" xr:uid="{A10578E8-97B3-4AB7-BC9F-379B2DFA10F0}"/>
    <cellStyle name="40% - Accent4 23 2 2 2" xfId="30518" xr:uid="{CBB823FB-99B5-4E88-96C3-F2B7E3FDE6C9}"/>
    <cellStyle name="40% - Accent4 23 2 2 2 2" xfId="42349" xr:uid="{72FC5717-C7DA-4602-A9A6-8B09272608B8}"/>
    <cellStyle name="40% - Accent4 23 2 2 3" xfId="42348" xr:uid="{09992A1D-2E25-44B2-9D26-48623453FA95}"/>
    <cellStyle name="40% - Accent4 23 2 3" xfId="22813" xr:uid="{A3A0C03F-DCC0-460B-BD23-95F43A7BAFD4}"/>
    <cellStyle name="40% - Accent4 23 2 3 2" xfId="42350" xr:uid="{C34E97B5-345F-4388-9FDC-AB7CB4122A15}"/>
    <cellStyle name="40% - Accent4 23 2 4" xfId="42347" xr:uid="{9192B032-67EA-49DE-8B2B-F485A62419EC}"/>
    <cellStyle name="40% - Accent4 23 3" xfId="11377" xr:uid="{35C28E09-6638-467A-A5CE-AAEBDA706048}"/>
    <cellStyle name="40% - Accent4 23 3 2" xfId="26790" xr:uid="{DC7700C5-F4AA-4846-9F97-756B3C26203C}"/>
    <cellStyle name="40% - Accent4 23 3 2 2" xfId="42352" xr:uid="{1DB81C33-7005-427A-9B51-E77C6A569C36}"/>
    <cellStyle name="40% - Accent4 23 3 3" xfId="42351" xr:uid="{32094F64-5079-45B6-9CCA-C91F7A071C31}"/>
    <cellStyle name="40% - Accent4 23 4" xfId="19085" xr:uid="{2079DF17-322C-42F6-823C-288E9680E818}"/>
    <cellStyle name="40% - Accent4 23 4 2" xfId="42353" xr:uid="{8AAC1812-2539-4A94-91F8-BCE669411105}"/>
    <cellStyle name="40% - Accent4 23 5" xfId="42346" xr:uid="{540CADD3-AA02-42E3-9EA6-46518A771A63}"/>
    <cellStyle name="40% - Accent4 24" xfId="3687" xr:uid="{568B8F59-8326-4764-BC9B-86739B676906}"/>
    <cellStyle name="40% - Accent4 24 2" xfId="7418" xr:uid="{3D37F9E7-EBE7-4FCF-965E-EE85E5585712}"/>
    <cellStyle name="40% - Accent4 24 2 2" xfId="15126" xr:uid="{F46A7E47-8AD6-45C3-B630-E87FC1D8DE15}"/>
    <cellStyle name="40% - Accent4 24 2 2 2" xfId="30538" xr:uid="{CB2A166B-4940-4EB7-AABF-6D8D6D128F4F}"/>
    <cellStyle name="40% - Accent4 24 2 2 2 2" xfId="42357" xr:uid="{569F09D3-B2AE-456B-8721-560D4701B9FF}"/>
    <cellStyle name="40% - Accent4 24 2 2 3" xfId="42356" xr:uid="{C117F924-F471-4156-9F06-66BEAAE34AC9}"/>
    <cellStyle name="40% - Accent4 24 2 3" xfId="22833" xr:uid="{1A596603-16F3-4E38-B336-CAB98FCDB914}"/>
    <cellStyle name="40% - Accent4 24 2 3 2" xfId="42358" xr:uid="{F465C859-970E-4F28-BFE4-7AA9AC9EBD1E}"/>
    <cellStyle name="40% - Accent4 24 2 4" xfId="42355" xr:uid="{16C28ADE-254D-4A1D-9789-167646EA8E19}"/>
    <cellStyle name="40% - Accent4 24 3" xfId="11397" xr:uid="{EB575039-49DB-416C-BC03-74F00E77CBF8}"/>
    <cellStyle name="40% - Accent4 24 3 2" xfId="26810" xr:uid="{5A58EDFD-BCEC-4F5A-BA03-46ECEFA1C2B0}"/>
    <cellStyle name="40% - Accent4 24 3 2 2" xfId="42360" xr:uid="{4CA4988F-3557-4C18-8B3C-C65812EF5F17}"/>
    <cellStyle name="40% - Accent4 24 3 3" xfId="42359" xr:uid="{A32C0AAF-7FF7-42DC-AE66-5D09B078F164}"/>
    <cellStyle name="40% - Accent4 24 4" xfId="19105" xr:uid="{1B541B7F-24F5-4F2A-9C05-5AD7CA0ADC4C}"/>
    <cellStyle name="40% - Accent4 24 4 2" xfId="42361" xr:uid="{B35DC250-232B-4785-AEED-4FB9F6ADBC59}"/>
    <cellStyle name="40% - Accent4 24 5" xfId="42354" xr:uid="{DA54F5DA-9AE5-42C8-A411-0D331098041D}"/>
    <cellStyle name="40% - Accent4 25" xfId="3707" xr:uid="{39C6A559-9E96-4B5A-B60D-F1C5B87C9167}"/>
    <cellStyle name="40% - Accent4 25 2" xfId="7438" xr:uid="{15B1ACC2-2748-4CC5-88D1-1FC2504A3401}"/>
    <cellStyle name="40% - Accent4 25 2 2" xfId="15146" xr:uid="{F4C8B7EC-9367-49F3-AE00-00EF077DFD53}"/>
    <cellStyle name="40% - Accent4 25 2 2 2" xfId="30558" xr:uid="{D70C3487-A2A1-46E0-9AD8-305B958A6E40}"/>
    <cellStyle name="40% - Accent4 25 2 2 2 2" xfId="42365" xr:uid="{673CC68A-7392-423C-838A-84AF8A3728FD}"/>
    <cellStyle name="40% - Accent4 25 2 2 3" xfId="42364" xr:uid="{A6140CFB-7486-4F9E-9007-CD756CDF5ADA}"/>
    <cellStyle name="40% - Accent4 25 2 3" xfId="22853" xr:uid="{81664725-EA22-4EDF-B550-D5FDE0EEDE84}"/>
    <cellStyle name="40% - Accent4 25 2 3 2" xfId="42366" xr:uid="{F140D41D-FF4F-4630-BE34-5642A42B0F8E}"/>
    <cellStyle name="40% - Accent4 25 2 4" xfId="42363" xr:uid="{C233CA20-CE7A-4C4F-9C35-28529F90D3A7}"/>
    <cellStyle name="40% - Accent4 25 3" xfId="11417" xr:uid="{FA00D2B7-CAA8-496A-82FC-72C2D76B0B91}"/>
    <cellStyle name="40% - Accent4 25 3 2" xfId="26830" xr:uid="{0192FE4B-A87F-4D37-9B2C-FF6BB98FDF48}"/>
    <cellStyle name="40% - Accent4 25 3 2 2" xfId="42368" xr:uid="{4B32386C-7316-4A96-9A78-4644E972A155}"/>
    <cellStyle name="40% - Accent4 25 3 3" xfId="42367" xr:uid="{878BC0D9-D96B-4DDA-8832-615A9C556ABD}"/>
    <cellStyle name="40% - Accent4 25 4" xfId="19125" xr:uid="{7E942F62-90F5-43EC-9AF9-A3DD0604A0BE}"/>
    <cellStyle name="40% - Accent4 25 4 2" xfId="42369" xr:uid="{E8F90902-6497-409F-8C7F-B3AD12D359E9}"/>
    <cellStyle name="40% - Accent4 25 5" xfId="42362" xr:uid="{98082797-668A-4A09-BDB6-A21E6FE7616B}"/>
    <cellStyle name="40% - Accent4 26" xfId="3727" xr:uid="{E4DDAB94-A533-4459-B207-5565CA737119}"/>
    <cellStyle name="40% - Accent4 26 2" xfId="7458" xr:uid="{C16EA487-61C2-4677-A4BB-5A0440A384FF}"/>
    <cellStyle name="40% - Accent4 26 2 2" xfId="15166" xr:uid="{7576C997-53A7-487B-93FA-44C7E0B09085}"/>
    <cellStyle name="40% - Accent4 26 2 2 2" xfId="30578" xr:uid="{1C2BE6F3-28BE-4986-832C-3AA364A03B42}"/>
    <cellStyle name="40% - Accent4 26 2 2 2 2" xfId="42373" xr:uid="{1DE5AA5A-710E-47EB-87AC-649C1F3AC876}"/>
    <cellStyle name="40% - Accent4 26 2 2 3" xfId="42372" xr:uid="{7F8C1BF9-65B2-4451-A320-AE247CF506BE}"/>
    <cellStyle name="40% - Accent4 26 2 3" xfId="22873" xr:uid="{C7570F07-C7CE-450B-84B9-6A0078696068}"/>
    <cellStyle name="40% - Accent4 26 2 3 2" xfId="42374" xr:uid="{4166BC1C-7114-4D45-8530-DDDB4510EEC1}"/>
    <cellStyle name="40% - Accent4 26 2 4" xfId="42371" xr:uid="{D4886962-2901-4505-9ACE-210466B74040}"/>
    <cellStyle name="40% - Accent4 26 3" xfId="11437" xr:uid="{BA1C55BC-3D60-467C-8089-7775D9FD03E7}"/>
    <cellStyle name="40% - Accent4 26 3 2" xfId="26850" xr:uid="{DB7D5292-D2AB-4A9A-8CEB-FFD2DA91BEEA}"/>
    <cellStyle name="40% - Accent4 26 3 2 2" xfId="42376" xr:uid="{5637697E-FF6F-42EC-BEBB-911F07C40A47}"/>
    <cellStyle name="40% - Accent4 26 3 3" xfId="42375" xr:uid="{DB7D82CD-D58E-45A3-AAC6-0374FE54FB38}"/>
    <cellStyle name="40% - Accent4 26 4" xfId="19145" xr:uid="{D6582636-294C-4B40-BAD8-6FDE1A18E530}"/>
    <cellStyle name="40% - Accent4 26 4 2" xfId="42377" xr:uid="{83F0ACF5-B995-46E1-B432-3558AA984EB6}"/>
    <cellStyle name="40% - Accent4 26 5" xfId="42370" xr:uid="{6B857B55-D88E-40B7-8723-969E5841B064}"/>
    <cellStyle name="40% - Accent4 27" xfId="3747" xr:uid="{7FDD1693-2076-4E91-B20F-EF49287080BB}"/>
    <cellStyle name="40% - Accent4 27 2" xfId="7478" xr:uid="{C1A5FB4E-ED07-4C4B-9992-19503C510D28}"/>
    <cellStyle name="40% - Accent4 27 2 2" xfId="15186" xr:uid="{C403436E-AE51-45CA-8C5C-EE26F4FECE2B}"/>
    <cellStyle name="40% - Accent4 27 2 2 2" xfId="30598" xr:uid="{190F183B-FD22-42F5-9C81-F18EFDAAAF21}"/>
    <cellStyle name="40% - Accent4 27 2 2 2 2" xfId="42381" xr:uid="{D7E8FB4D-C618-46E4-8F03-5C4A587295BD}"/>
    <cellStyle name="40% - Accent4 27 2 2 3" xfId="42380" xr:uid="{F045C693-744E-4A73-BB9C-12B703E89B53}"/>
    <cellStyle name="40% - Accent4 27 2 3" xfId="22893" xr:uid="{3CD619C2-3616-4E42-B92B-D6A53D3924A8}"/>
    <cellStyle name="40% - Accent4 27 2 3 2" xfId="42382" xr:uid="{280D8362-BFA7-4F24-94A4-932D5ACDD81A}"/>
    <cellStyle name="40% - Accent4 27 2 4" xfId="42379" xr:uid="{0629ACAD-6695-4760-87DB-2F69F6276569}"/>
    <cellStyle name="40% - Accent4 27 3" xfId="11457" xr:uid="{13E9B42D-6726-4819-9387-62641FA3A64D}"/>
    <cellStyle name="40% - Accent4 27 3 2" xfId="26870" xr:uid="{E4E9267E-6BAD-4A40-B97C-6BF98ED0CBDD}"/>
    <cellStyle name="40% - Accent4 27 3 2 2" xfId="42384" xr:uid="{A121E424-BE8E-41A1-97FA-69501DAB32EA}"/>
    <cellStyle name="40% - Accent4 27 3 3" xfId="42383" xr:uid="{4A511BBB-4833-4142-88DA-4A13DED2973A}"/>
    <cellStyle name="40% - Accent4 27 4" xfId="19165" xr:uid="{C91FFABC-3C64-46E0-B78F-1ADD0E5BCBD4}"/>
    <cellStyle name="40% - Accent4 27 4 2" xfId="42385" xr:uid="{9980B123-B44B-45FB-B8DB-A6F25E7D787A}"/>
    <cellStyle name="40% - Accent4 27 5" xfId="42378" xr:uid="{82B08793-173D-4ABF-AF12-D205738ABEB0}"/>
    <cellStyle name="40% - Accent4 28" xfId="3767" xr:uid="{7F60ACEF-79F2-4858-A481-20A7B654C6DE}"/>
    <cellStyle name="40% - Accent4 28 2" xfId="7498" xr:uid="{6CC6C649-CA6C-4DD0-B541-8A7ABDEF2A8F}"/>
    <cellStyle name="40% - Accent4 28 2 2" xfId="15206" xr:uid="{480C6F15-42E5-450C-8775-DE5EA14BA434}"/>
    <cellStyle name="40% - Accent4 28 2 2 2" xfId="30618" xr:uid="{177450BE-539E-425D-83B0-497FBEA52EA4}"/>
    <cellStyle name="40% - Accent4 28 2 2 2 2" xfId="42389" xr:uid="{EF7332C5-5BAA-4F16-864A-96EF76EDAAC7}"/>
    <cellStyle name="40% - Accent4 28 2 2 3" xfId="42388" xr:uid="{F4BED5F5-9A9E-4715-AAF3-DBD32CB9329A}"/>
    <cellStyle name="40% - Accent4 28 2 3" xfId="22913" xr:uid="{1D14258C-37C0-479F-9850-089DB416C688}"/>
    <cellStyle name="40% - Accent4 28 2 3 2" xfId="42390" xr:uid="{0FB2E356-A196-45B5-841A-E0A45A7BD5A5}"/>
    <cellStyle name="40% - Accent4 28 2 4" xfId="42387" xr:uid="{D04D3AE6-FF33-4C02-9B22-FBE35A1109BA}"/>
    <cellStyle name="40% - Accent4 28 3" xfId="11477" xr:uid="{2E1E5F2D-F88F-4B9C-9785-E9093A411FB9}"/>
    <cellStyle name="40% - Accent4 28 3 2" xfId="26890" xr:uid="{DAC0C405-3632-419A-BF64-F46CAFEE4E57}"/>
    <cellStyle name="40% - Accent4 28 3 2 2" xfId="42392" xr:uid="{260B70FB-DF32-48A4-92E0-2F36A6EEDDD6}"/>
    <cellStyle name="40% - Accent4 28 3 3" xfId="42391" xr:uid="{EE15D891-5CE6-439F-AFEF-49E6B0A61CF4}"/>
    <cellStyle name="40% - Accent4 28 4" xfId="19185" xr:uid="{498D7B79-2F55-43E8-AC9F-00C1E08455A4}"/>
    <cellStyle name="40% - Accent4 28 4 2" xfId="42393" xr:uid="{28C2C831-C4C5-4597-827C-05B47668437B}"/>
    <cellStyle name="40% - Accent4 28 5" xfId="42386" xr:uid="{6C50716E-B61C-4A1F-B67A-7A734BE5AC12}"/>
    <cellStyle name="40% - Accent4 29" xfId="3787" xr:uid="{87CA4D68-A9DD-43E1-9008-EC174C1976D0}"/>
    <cellStyle name="40% - Accent4 29 2" xfId="7518" xr:uid="{67847E6D-316E-458F-A8E3-6521F0844112}"/>
    <cellStyle name="40% - Accent4 29 2 2" xfId="15226" xr:uid="{B159DDD3-B5B5-4B42-8201-47F656E14F45}"/>
    <cellStyle name="40% - Accent4 29 2 2 2" xfId="30638" xr:uid="{1139C550-90AC-4E95-8216-954079EBC20E}"/>
    <cellStyle name="40% - Accent4 29 2 2 2 2" xfId="42397" xr:uid="{362454C4-68A6-4ABF-8E09-EB27F3B3875F}"/>
    <cellStyle name="40% - Accent4 29 2 2 3" xfId="42396" xr:uid="{AA7545E7-B0DA-4612-84B5-3F917B2C2B9C}"/>
    <cellStyle name="40% - Accent4 29 2 3" xfId="22933" xr:uid="{B6CCD5E3-31C3-45C6-94A4-CC6BF797B616}"/>
    <cellStyle name="40% - Accent4 29 2 3 2" xfId="42398" xr:uid="{6F8A3CE7-F9EA-4ECE-97AF-D26BF37895F8}"/>
    <cellStyle name="40% - Accent4 29 2 4" xfId="42395" xr:uid="{361E4FC4-1037-47BD-AABF-7A37E23A94D3}"/>
    <cellStyle name="40% - Accent4 29 3" xfId="11497" xr:uid="{48261153-430D-45A3-9E85-6F7A700D3181}"/>
    <cellStyle name="40% - Accent4 29 3 2" xfId="26910" xr:uid="{E0C1F2BC-BAB3-4089-AAD7-DC59F0DCB449}"/>
    <cellStyle name="40% - Accent4 29 3 2 2" xfId="42400" xr:uid="{33A48A3C-6DEF-40CA-822A-B126D5D683DD}"/>
    <cellStyle name="40% - Accent4 29 3 3" xfId="42399" xr:uid="{787150D3-5A2B-4D59-A755-13D0690439DA}"/>
    <cellStyle name="40% - Accent4 29 4" xfId="19205" xr:uid="{DF647919-A654-480E-9380-A204FBD01F11}"/>
    <cellStyle name="40% - Accent4 29 4 2" xfId="42401" xr:uid="{A6F5DD49-7C6E-4F0E-81B7-2A4124BC0FCF}"/>
    <cellStyle name="40% - Accent4 29 5" xfId="42394" xr:uid="{CED16E60-A1E4-4AAE-ADD8-98D7A6A9D027}"/>
    <cellStyle name="40% - Accent4 3" xfId="330" xr:uid="{BD883ADA-E38C-4BEB-8B4C-9508F311739B}"/>
    <cellStyle name="40% - Accent4 3 2" xfId="994" xr:uid="{30AE3616-8CED-4787-8300-B9F5759EDEA6}"/>
    <cellStyle name="40% - Accent4 3 2 2" xfId="2464" xr:uid="{82CF681F-949D-43F3-92FD-2BCE58655B57}"/>
    <cellStyle name="40% - Accent4 3 2 2 2" xfId="6196" xr:uid="{1EBD83D1-A5B1-4F06-A6CA-791E952252CA}"/>
    <cellStyle name="40% - Accent4 3 2 2 2 2" xfId="13904" xr:uid="{C8CB50CB-7617-461D-ACD1-4BFFA10D6854}"/>
    <cellStyle name="40% - Accent4 3 2 2 2 2 2" xfId="29316" xr:uid="{743ACB3D-EB4D-4CA2-A889-153AE9360821}"/>
    <cellStyle name="40% - Accent4 3 2 2 2 2 2 2" xfId="42407" xr:uid="{66EC7F4F-27CE-45DE-8481-4B7719CF6C65}"/>
    <cellStyle name="40% - Accent4 3 2 2 2 2 3" xfId="42406" xr:uid="{DC0EB6F6-ACE7-4A09-AB34-432A2F634C19}"/>
    <cellStyle name="40% - Accent4 3 2 2 2 3" xfId="21611" xr:uid="{6D71AF44-209B-4DB6-9654-929FCD9363E8}"/>
    <cellStyle name="40% - Accent4 3 2 2 2 3 2" xfId="42408" xr:uid="{9EDB900B-8514-43BA-836B-477D8774FA9D}"/>
    <cellStyle name="40% - Accent4 3 2 2 2 4" xfId="42405" xr:uid="{8AF82149-7A06-4370-B4BD-124830BB4961}"/>
    <cellStyle name="40% - Accent4 3 2 2 3" xfId="10175" xr:uid="{4D709B22-1823-4F22-89C7-D96C3AA6B7DF}"/>
    <cellStyle name="40% - Accent4 3 2 2 3 2" xfId="25588" xr:uid="{D902E3E0-5303-4F02-940B-EF00B7E3E6FA}"/>
    <cellStyle name="40% - Accent4 3 2 2 3 2 2" xfId="42410" xr:uid="{F134D4A5-3BD3-41AF-9A0F-DA193849663D}"/>
    <cellStyle name="40% - Accent4 3 2 2 3 3" xfId="42409" xr:uid="{F17F8389-E8E1-4DB6-B6D4-A92983DA2FC2}"/>
    <cellStyle name="40% - Accent4 3 2 2 4" xfId="17883" xr:uid="{E6B57A6B-0DEF-4B2A-AF20-8A9E5CBDDB74}"/>
    <cellStyle name="40% - Accent4 3 2 2 4 2" xfId="42411" xr:uid="{B11A4076-FEA2-4B26-BDE2-73F1B27370CE}"/>
    <cellStyle name="40% - Accent4 3 2 2 5" xfId="42404" xr:uid="{D541B8AA-6B38-4E55-B726-07D1C1ABED76}"/>
    <cellStyle name="40% - Accent4 3 2 3" xfId="4731" xr:uid="{1A8083D7-C5CA-4E0D-87A4-23F363A74C94}"/>
    <cellStyle name="40% - Accent4 3 2 3 2" xfId="12439" xr:uid="{A875C194-A42A-4C4F-9D68-1C7E2E07131A}"/>
    <cellStyle name="40% - Accent4 3 2 3 2 2" xfId="27851" xr:uid="{92E7B840-C5B2-49D6-9833-5E9E0AB5E823}"/>
    <cellStyle name="40% - Accent4 3 2 3 2 2 2" xfId="42414" xr:uid="{F6DFAC72-DCB8-4040-88F5-7C7CA25CE6C1}"/>
    <cellStyle name="40% - Accent4 3 2 3 2 3" xfId="42413" xr:uid="{E7C58AC3-05AE-43BF-BD42-55B382E9E2FC}"/>
    <cellStyle name="40% - Accent4 3 2 3 3" xfId="20146" xr:uid="{7DB413D0-B303-4BD4-9102-B06BD76D31F0}"/>
    <cellStyle name="40% - Accent4 3 2 3 3 2" xfId="42415" xr:uid="{5465ACBA-DC38-4CB3-8AA4-056B4469F0D9}"/>
    <cellStyle name="40% - Accent4 3 2 3 4" xfId="42412" xr:uid="{A75EC9FB-19F1-42D8-9C20-3A2841643FF7}"/>
    <cellStyle name="40% - Accent4 3 2 4" xfId="8716" xr:uid="{665011CE-9906-4E5A-925A-7D2289C986CB}"/>
    <cellStyle name="40% - Accent4 3 2 4 2" xfId="24129" xr:uid="{49FE3A40-34F4-4616-BF3A-E233A6603A2D}"/>
    <cellStyle name="40% - Accent4 3 2 4 2 2" xfId="42417" xr:uid="{024F5B85-5C20-450B-93FB-467ED93C8456}"/>
    <cellStyle name="40% - Accent4 3 2 4 3" xfId="42416" xr:uid="{AE5A399C-77C6-4E86-87D5-498AC53CBC51}"/>
    <cellStyle name="40% - Accent4 3 2 5" xfId="16424" xr:uid="{29E966F1-9D11-4494-86D4-F1FCD828802C}"/>
    <cellStyle name="40% - Accent4 3 2 5 2" xfId="42418" xr:uid="{41A547BB-9E50-42FC-8AC7-87AB06459882}"/>
    <cellStyle name="40% - Accent4 3 2 6" xfId="42403" xr:uid="{C1E7BAF9-D329-4EE2-A909-2161D59BF559}"/>
    <cellStyle name="40% - Accent4 3 3" xfId="1826" xr:uid="{84B1EFDF-C48D-4B21-9D28-D05ECD98462C}"/>
    <cellStyle name="40% - Accent4 3 3 2" xfId="5558" xr:uid="{902CE54D-1736-4FAD-8EE1-2DB8B46DE357}"/>
    <cellStyle name="40% - Accent4 3 3 2 2" xfId="13266" xr:uid="{4980FA51-EE2D-4CA6-94D1-D4C600CBEE0B}"/>
    <cellStyle name="40% - Accent4 3 3 2 2 2" xfId="28678" xr:uid="{4ED3E385-2A90-4F6B-B49E-CAAD7460E639}"/>
    <cellStyle name="40% - Accent4 3 3 2 2 2 2" xfId="42422" xr:uid="{C48EAE50-8A92-4253-9A5E-CA6424650DF1}"/>
    <cellStyle name="40% - Accent4 3 3 2 2 3" xfId="42421" xr:uid="{21214D88-669D-4F03-A0DB-43C2DD013EFB}"/>
    <cellStyle name="40% - Accent4 3 3 2 3" xfId="20973" xr:uid="{19CBDF26-CF67-41D2-A3C4-9B11C62D695B}"/>
    <cellStyle name="40% - Accent4 3 3 2 3 2" xfId="42423" xr:uid="{E7077CED-CDEB-4DFC-8685-D4427476E360}"/>
    <cellStyle name="40% - Accent4 3 3 2 4" xfId="42420" xr:uid="{6DC6B415-A53D-4B57-9306-441D8B01B3BE}"/>
    <cellStyle name="40% - Accent4 3 3 3" xfId="9537" xr:uid="{E2EFFE92-4C14-4AE3-B4E4-97D149F1E713}"/>
    <cellStyle name="40% - Accent4 3 3 3 2" xfId="24950" xr:uid="{C8EFE9BD-EE59-413A-9C51-29A565E2FAA5}"/>
    <cellStyle name="40% - Accent4 3 3 3 2 2" xfId="42425" xr:uid="{2666FDAE-261E-42BB-BAED-527A6C255BA2}"/>
    <cellStyle name="40% - Accent4 3 3 3 3" xfId="42424" xr:uid="{DB17C949-1347-4A74-AF82-91F90471AC46}"/>
    <cellStyle name="40% - Accent4 3 3 4" xfId="17245" xr:uid="{BDB5FD83-79E6-4051-8BDD-46F1D8BC0F4F}"/>
    <cellStyle name="40% - Accent4 3 3 4 2" xfId="42426" xr:uid="{1BC25C7A-B342-434E-90E2-69E98191898A}"/>
    <cellStyle name="40% - Accent4 3 3 5" xfId="42419" xr:uid="{7A88BD3D-284D-45E4-AD2E-9DD56D64E135}"/>
    <cellStyle name="40% - Accent4 3 4" xfId="4079" xr:uid="{98713405-8E2D-497D-B1A1-2445BD37462B}"/>
    <cellStyle name="40% - Accent4 3 4 2" xfId="11787" xr:uid="{91E2795A-6EC3-4824-946D-260E247855B3}"/>
    <cellStyle name="40% - Accent4 3 4 2 2" xfId="27199" xr:uid="{1EFB07B8-9CA2-4671-9E37-B171659DD0CB}"/>
    <cellStyle name="40% - Accent4 3 4 2 2 2" xfId="42429" xr:uid="{E025AB2C-D843-413E-A5C3-5D22451EC568}"/>
    <cellStyle name="40% - Accent4 3 4 2 3" xfId="42428" xr:uid="{247ECA05-270F-4804-B868-ACEDDFF57EF3}"/>
    <cellStyle name="40% - Accent4 3 4 3" xfId="19494" xr:uid="{921ECEA1-C246-4A73-BBCD-E97151C4A429}"/>
    <cellStyle name="40% - Accent4 3 4 3 2" xfId="42430" xr:uid="{EA522B5E-940C-4332-BB68-460EB8ACD27C}"/>
    <cellStyle name="40% - Accent4 3 4 4" xfId="42427" xr:uid="{A86276E3-4DD2-4D13-A36C-D27F463B421F}"/>
    <cellStyle name="40% - Accent4 3 5" xfId="8078" xr:uid="{E21A970F-5B99-48DC-9563-FC7812260AE8}"/>
    <cellStyle name="40% - Accent4 3 5 2" xfId="23491" xr:uid="{6AE9EB9E-67EE-4D0E-B90A-46AEA71B2C63}"/>
    <cellStyle name="40% - Accent4 3 5 2 2" xfId="42432" xr:uid="{999B7E0D-54D6-4890-916B-1C889B774766}"/>
    <cellStyle name="40% - Accent4 3 5 3" xfId="42431" xr:uid="{8278A895-708F-42F6-AF46-8450C08C0B40}"/>
    <cellStyle name="40% - Accent4 3 6" xfId="15786" xr:uid="{F712ED26-2240-4B29-802A-9100D60FCA72}"/>
    <cellStyle name="40% - Accent4 3 6 2" xfId="42433" xr:uid="{D2C68372-D904-41B9-99CF-EDF6C6DEADF2}"/>
    <cellStyle name="40% - Accent4 3 7" xfId="42402" xr:uid="{FCB8660F-7A8A-4D8D-9FE7-411740DED48A}"/>
    <cellStyle name="40% - Accent4 30" xfId="3807" xr:uid="{7F7E9358-F838-4DE2-9102-4B32D0F9E68A}"/>
    <cellStyle name="40% - Accent4 30 2" xfId="7538" xr:uid="{7E9AD34B-E4C0-44D1-A22A-4943D7144E29}"/>
    <cellStyle name="40% - Accent4 30 2 2" xfId="15246" xr:uid="{F9C3839B-D80E-47B9-BFBC-893278C80CC0}"/>
    <cellStyle name="40% - Accent4 30 2 2 2" xfId="30658" xr:uid="{BFF067EE-94DB-450F-8478-BFE6D848A5A2}"/>
    <cellStyle name="40% - Accent4 30 2 2 2 2" xfId="42437" xr:uid="{53DC70B2-D08E-4333-93C7-5AC204D30DB2}"/>
    <cellStyle name="40% - Accent4 30 2 2 3" xfId="42436" xr:uid="{8B52100A-876E-459B-8FCE-97FB39E0A320}"/>
    <cellStyle name="40% - Accent4 30 2 3" xfId="22953" xr:uid="{117BF8B4-0659-40BF-BEF5-5982ACAABB2A}"/>
    <cellStyle name="40% - Accent4 30 2 3 2" xfId="42438" xr:uid="{9D6A0B4B-7820-4976-91CF-9F2D4CB76CA8}"/>
    <cellStyle name="40% - Accent4 30 2 4" xfId="42435" xr:uid="{43D430EC-7D5B-429E-8124-D64DD25BDB0E}"/>
    <cellStyle name="40% - Accent4 30 3" xfId="11517" xr:uid="{809B78EA-8E19-4826-8E11-9DC5EF97D124}"/>
    <cellStyle name="40% - Accent4 30 3 2" xfId="26930" xr:uid="{62F0FBDD-39A4-4D3B-8CBD-855CC72BEC93}"/>
    <cellStyle name="40% - Accent4 30 3 2 2" xfId="42440" xr:uid="{C7F8FE60-3F80-45EB-A855-9D222EC64345}"/>
    <cellStyle name="40% - Accent4 30 3 3" xfId="42439" xr:uid="{F54D1C95-4540-4D3A-8411-D0D7520440B0}"/>
    <cellStyle name="40% - Accent4 30 4" xfId="19225" xr:uid="{5347664B-6CEC-46C4-91A8-B35DE5830DFA}"/>
    <cellStyle name="40% - Accent4 30 4 2" xfId="42441" xr:uid="{1CAD6694-715F-4F37-841A-27E9CF8C4D89}"/>
    <cellStyle name="40% - Accent4 30 5" xfId="42434" xr:uid="{E8DF8334-D8F9-428A-8546-C88D292752A6}"/>
    <cellStyle name="40% - Accent4 31" xfId="3827" xr:uid="{161E31A7-059B-4094-8E52-A59112DBDBB5}"/>
    <cellStyle name="40% - Accent4 31 2" xfId="7558" xr:uid="{BED74C54-787D-4FB5-8B41-414AFD4F75EB}"/>
    <cellStyle name="40% - Accent4 31 2 2" xfId="15266" xr:uid="{3C788AF6-31D9-4F6E-8EA9-B1909696CA1B}"/>
    <cellStyle name="40% - Accent4 31 2 2 2" xfId="30678" xr:uid="{988971C5-A19D-4843-A744-573ED8CCE03D}"/>
    <cellStyle name="40% - Accent4 31 2 2 2 2" xfId="42445" xr:uid="{BDEAE913-CDD5-46AE-BBF9-8E4FCC5B957E}"/>
    <cellStyle name="40% - Accent4 31 2 2 3" xfId="42444" xr:uid="{68D015E0-96BF-4EAA-9B85-E02541A3D9FF}"/>
    <cellStyle name="40% - Accent4 31 2 3" xfId="22973" xr:uid="{6E8C1C31-CC59-4CB9-BBAF-0C17909E7ED7}"/>
    <cellStyle name="40% - Accent4 31 2 3 2" xfId="42446" xr:uid="{9B7619C8-EACA-420E-99D5-EBA2185CADD1}"/>
    <cellStyle name="40% - Accent4 31 2 4" xfId="42443" xr:uid="{E91D28C0-4804-406C-9422-927E7FA24485}"/>
    <cellStyle name="40% - Accent4 31 3" xfId="11537" xr:uid="{CD7862DD-F75C-4E49-92D5-ACADF29976D4}"/>
    <cellStyle name="40% - Accent4 31 3 2" xfId="26950" xr:uid="{3C9F4B34-F3D2-4971-AE90-1563AB4022DC}"/>
    <cellStyle name="40% - Accent4 31 3 2 2" xfId="42448" xr:uid="{BBA614BB-2720-438B-A673-E5FA40C2D6ED}"/>
    <cellStyle name="40% - Accent4 31 3 3" xfId="42447" xr:uid="{6D7604DD-25DC-48D3-BCFE-720B7F0B9FCC}"/>
    <cellStyle name="40% - Accent4 31 4" xfId="19245" xr:uid="{575EC885-1CAE-4AC1-B5A8-052DEE74317F}"/>
    <cellStyle name="40% - Accent4 31 4 2" xfId="42449" xr:uid="{BB8878BA-F027-47F8-9496-370681773B0C}"/>
    <cellStyle name="40% - Accent4 31 5" xfId="42442" xr:uid="{47259992-F434-47C0-9C86-143AF3F19568}"/>
    <cellStyle name="40% - Accent4 32" xfId="3848" xr:uid="{031FF340-8F93-474B-87A0-F3BB71E7BB50}"/>
    <cellStyle name="40% - Accent4 32 2" xfId="7578" xr:uid="{4DBF9E87-D222-413C-AE91-157827B0A1D2}"/>
    <cellStyle name="40% - Accent4 32 2 2" xfId="15286" xr:uid="{5A32A458-2BA3-4F8A-82D2-7BD8C6C080FD}"/>
    <cellStyle name="40% - Accent4 32 2 2 2" xfId="30698" xr:uid="{87212812-2ACF-4768-A86C-FA4F4332A04D}"/>
    <cellStyle name="40% - Accent4 32 2 2 2 2" xfId="42453" xr:uid="{EB4269F8-C172-4743-B3FD-3E89B43364CB}"/>
    <cellStyle name="40% - Accent4 32 2 2 3" xfId="42452" xr:uid="{76DEB525-8F63-4EC6-89CD-DC084FA03535}"/>
    <cellStyle name="40% - Accent4 32 2 3" xfId="22993" xr:uid="{1DD5B090-FCF3-4F98-8C53-F46EB929C068}"/>
    <cellStyle name="40% - Accent4 32 2 3 2" xfId="42454" xr:uid="{36A25E41-BE4B-4C61-AC7D-95314E0F57F7}"/>
    <cellStyle name="40% - Accent4 32 2 4" xfId="42451" xr:uid="{A35A0673-B76A-495C-B5D0-FB76E4FC894A}"/>
    <cellStyle name="40% - Accent4 32 3" xfId="11558" xr:uid="{9ED74B0A-A444-4FA6-B19F-88BCA322DF36}"/>
    <cellStyle name="40% - Accent4 32 3 2" xfId="26970" xr:uid="{05EF85C6-CBC3-4197-B1C2-CCC22C4DB24E}"/>
    <cellStyle name="40% - Accent4 32 3 2 2" xfId="42456" xr:uid="{1C31CB83-C4FF-4A19-9DA6-068DD296DD02}"/>
    <cellStyle name="40% - Accent4 32 3 3" xfId="42455" xr:uid="{8BBAC32B-C16C-494A-9468-35CE325642B9}"/>
    <cellStyle name="40% - Accent4 32 4" xfId="19265" xr:uid="{AF1AED0B-5762-47E5-9315-E20FD8032C3B}"/>
    <cellStyle name="40% - Accent4 32 4 2" xfId="42457" xr:uid="{B8CC2A53-E109-4558-B4CE-97C1BAFECB6E}"/>
    <cellStyle name="40% - Accent4 32 5" xfId="42450" xr:uid="{60898549-7234-42C7-BB86-BF8E8CBDDE7A}"/>
    <cellStyle name="40% - Accent4 33" xfId="3867" xr:uid="{762D460F-266F-4876-9C0F-D7F0FEA22EFA}"/>
    <cellStyle name="40% - Accent4 33 2" xfId="11577" xr:uid="{7D7BCF93-6433-44B6-9E6B-CB26C19828FD}"/>
    <cellStyle name="40% - Accent4 33 2 2" xfId="26989" xr:uid="{52FBE16C-2D7B-4327-A41E-4DDF3C7538E2}"/>
    <cellStyle name="40% - Accent4 33 2 2 2" xfId="42460" xr:uid="{C5C3FD1A-779C-466B-89D1-4ED0E8CAC911}"/>
    <cellStyle name="40% - Accent4 33 2 3" xfId="42459" xr:uid="{E275CB94-AF61-4FF7-B557-9F53566D7B7F}"/>
    <cellStyle name="40% - Accent4 33 3" xfId="19284" xr:uid="{150F3A6D-83C4-4C2F-A088-1734BA0AC50F}"/>
    <cellStyle name="40% - Accent4 33 3 2" xfId="42461" xr:uid="{3B19BDC5-E402-4671-9A1A-43F0362E3DB5}"/>
    <cellStyle name="40% - Accent4 33 4" xfId="42458" xr:uid="{A6F95A4F-A812-4028-BCE4-384F1571878B}"/>
    <cellStyle name="40% - Accent4 34" xfId="7598" xr:uid="{A1CD1B39-EE06-4F8E-AE80-D4505A2FD58C}"/>
    <cellStyle name="40% - Accent4 34 2" xfId="15306" xr:uid="{7729AE16-A867-4A01-9A62-F40346821A21}"/>
    <cellStyle name="40% - Accent4 34 2 2" xfId="30718" xr:uid="{28B75FDD-AB93-46A3-95A5-E75301F294E6}"/>
    <cellStyle name="40% - Accent4 34 2 2 2" xfId="42464" xr:uid="{383E61E9-C582-45BE-9C90-C096EE06C4B7}"/>
    <cellStyle name="40% - Accent4 34 2 3" xfId="42463" xr:uid="{BD0CA4EB-95CA-4485-947F-5CB770743848}"/>
    <cellStyle name="40% - Accent4 34 3" xfId="23013" xr:uid="{725559BB-3E5F-4D63-B819-31C8EB4B2ACD}"/>
    <cellStyle name="40% - Accent4 34 3 2" xfId="42465" xr:uid="{698E0713-4646-46D5-A061-0E7F0DAC661D}"/>
    <cellStyle name="40% - Accent4 34 4" xfId="42462" xr:uid="{BC932EDB-E720-4D39-BF1A-67D7AA2B1914}"/>
    <cellStyle name="40% - Accent4 35" xfId="7618" xr:uid="{81431A73-3032-4609-969F-65976B0E7628}"/>
    <cellStyle name="40% - Accent4 35 2" xfId="15326" xr:uid="{2E809963-46F4-49A7-8D46-7979EAFF5D9B}"/>
    <cellStyle name="40% - Accent4 35 2 2" xfId="30738" xr:uid="{7CC6E95C-D443-42A5-B0D1-5CDA47A1EB4C}"/>
    <cellStyle name="40% - Accent4 35 2 2 2" xfId="42468" xr:uid="{12B982E3-E0AE-4C4A-BFA1-EDFCF02612E9}"/>
    <cellStyle name="40% - Accent4 35 2 3" xfId="42467" xr:uid="{A4B21F25-E136-4704-985A-BBF1A72870ED}"/>
    <cellStyle name="40% - Accent4 35 3" xfId="23033" xr:uid="{54916A11-0865-46A2-8E95-15B0C673227F}"/>
    <cellStyle name="40% - Accent4 35 3 2" xfId="42469" xr:uid="{F44F2E73-ED98-47B8-B086-77CBB9A29FFC}"/>
    <cellStyle name="40% - Accent4 35 4" xfId="42466" xr:uid="{192DC629-DB41-4D78-A63F-1460A02460A2}"/>
    <cellStyle name="40% - Accent4 36" xfId="7638" xr:uid="{D0BCB99D-B23B-4F35-9DD6-DBAFCFDE61A8}"/>
    <cellStyle name="40% - Accent4 36 2" xfId="15346" xr:uid="{C4116BA0-B0E4-491B-A7F8-FB22F4D46AEB}"/>
    <cellStyle name="40% - Accent4 36 2 2" xfId="30758" xr:uid="{F28F7E81-6DB8-43D7-8CEF-8C15934FA409}"/>
    <cellStyle name="40% - Accent4 36 2 2 2" xfId="42472" xr:uid="{FA37D930-A2F6-4D7A-A381-4D17E4B5A6B7}"/>
    <cellStyle name="40% - Accent4 36 2 3" xfId="42471" xr:uid="{E68547CA-F59A-463B-91F0-53D2BB5F8BA6}"/>
    <cellStyle name="40% - Accent4 36 3" xfId="23053" xr:uid="{E2395C09-A61B-4593-8E23-9DCD8F13E2A6}"/>
    <cellStyle name="40% - Accent4 36 3 2" xfId="42473" xr:uid="{94F57BF6-D806-4274-AD2E-DFAC3BD31D08}"/>
    <cellStyle name="40% - Accent4 36 4" xfId="42470" xr:uid="{5C05D3C4-7F98-4534-BFB9-3EB4F5F07053}"/>
    <cellStyle name="40% - Accent4 37" xfId="7658" xr:uid="{6C4BBCE8-FA29-418E-9AC1-6ADD029231FC}"/>
    <cellStyle name="40% - Accent4 37 2" xfId="15366" xr:uid="{350F690D-F75D-4D26-90A7-429B09C36BA6}"/>
    <cellStyle name="40% - Accent4 37 2 2" xfId="30778" xr:uid="{D2A369ED-4F56-48B5-8AD6-DDA670614724}"/>
    <cellStyle name="40% - Accent4 37 2 2 2" xfId="42476" xr:uid="{8FEF0363-1068-41EF-993E-64F049E98F7D}"/>
    <cellStyle name="40% - Accent4 37 2 3" xfId="42475" xr:uid="{AA2ED2AC-F954-4C08-8646-AC58167AA493}"/>
    <cellStyle name="40% - Accent4 37 3" xfId="23073" xr:uid="{8D6F1B0F-441E-47A3-B8B8-5727377D1717}"/>
    <cellStyle name="40% - Accent4 37 3 2" xfId="42477" xr:uid="{E0C922DC-8D9E-4E72-98D4-00162B169F34}"/>
    <cellStyle name="40% - Accent4 37 4" xfId="42474" xr:uid="{17997341-3997-4E0A-84C8-144D5991E413}"/>
    <cellStyle name="40% - Accent4 38" xfId="7678" xr:uid="{8B29C3A9-88A0-414A-AFBA-CD151CF4E4E6}"/>
    <cellStyle name="40% - Accent4 38 2" xfId="15386" xr:uid="{82B38A49-F617-4194-9D97-3216ED1F84E3}"/>
    <cellStyle name="40% - Accent4 38 2 2" xfId="30798" xr:uid="{CB64DA73-17C3-4E29-AC33-F61CB33E6E29}"/>
    <cellStyle name="40% - Accent4 38 2 2 2" xfId="42480" xr:uid="{687BD604-3798-40D3-8393-622D4E9C5DCE}"/>
    <cellStyle name="40% - Accent4 38 2 3" xfId="42479" xr:uid="{27D6953D-E3C4-4B57-BEB0-3864FB93D0EA}"/>
    <cellStyle name="40% - Accent4 38 3" xfId="23093" xr:uid="{7AA72D5A-DB16-44F3-9588-DC99BB413422}"/>
    <cellStyle name="40% - Accent4 38 3 2" xfId="42481" xr:uid="{D9AA2FDD-AC4C-4069-B793-B585A4872604}"/>
    <cellStyle name="40% - Accent4 38 4" xfId="42478" xr:uid="{0AF12C81-ADC0-4055-9A21-0E5057F6F050}"/>
    <cellStyle name="40% - Accent4 39" xfId="7698" xr:uid="{2C1167BB-8A06-495F-91AD-BEBBE55C887D}"/>
    <cellStyle name="40% - Accent4 39 2" xfId="15406" xr:uid="{A271FF4E-5097-4439-AC41-58A6B3D142CA}"/>
    <cellStyle name="40% - Accent4 39 2 2" xfId="30818" xr:uid="{683AA199-D06F-4D85-A408-50B2DB610829}"/>
    <cellStyle name="40% - Accent4 39 2 2 2" xfId="42484" xr:uid="{12F2F8EB-BC9B-4604-9E7F-B6D8D256D403}"/>
    <cellStyle name="40% - Accent4 39 2 3" xfId="42483" xr:uid="{736DA658-EBA1-413C-93FA-CF945330D334}"/>
    <cellStyle name="40% - Accent4 39 3" xfId="23113" xr:uid="{AA2C66F1-53C9-4E31-8454-D0792780BC4A}"/>
    <cellStyle name="40% - Accent4 39 3 2" xfId="42485" xr:uid="{BA23590E-3B64-4FBE-84FA-AD4F6B793129}"/>
    <cellStyle name="40% - Accent4 39 4" xfId="42482" xr:uid="{63BBF2D2-3542-44C3-A6C9-3C2288D27AC1}"/>
    <cellStyle name="40% - Accent4 4" xfId="1623" xr:uid="{548C908D-EE57-443E-919D-28812AF7DB6C}"/>
    <cellStyle name="40% - Accent4 4 2" xfId="5358" xr:uid="{3E4B9CF3-A19D-49E1-972D-625E982A9EAF}"/>
    <cellStyle name="40% - Accent4 4 2 2" xfId="13066" xr:uid="{468CB799-68AB-42F0-B7EA-4CABEAD8B862}"/>
    <cellStyle name="40% - Accent4 4 2 2 2" xfId="28478" xr:uid="{D5238D29-A6B7-464A-941C-3EEA19F4F951}"/>
    <cellStyle name="40% - Accent4 4 2 2 2 2" xfId="42489" xr:uid="{ED951937-1DDB-4BEC-BAC3-A28779D5E82D}"/>
    <cellStyle name="40% - Accent4 4 2 2 3" xfId="42488" xr:uid="{9D020F0D-D53E-404A-B746-4251B1E034B0}"/>
    <cellStyle name="40% - Accent4 4 2 3" xfId="20773" xr:uid="{4E5CFDCB-115D-4F5B-B8E8-1BFE968E0894}"/>
    <cellStyle name="40% - Accent4 4 2 3 2" xfId="42490" xr:uid="{085D95EC-3720-413E-934F-15EA410826E4}"/>
    <cellStyle name="40% - Accent4 4 2 4" xfId="42487" xr:uid="{3D45479F-7152-41AA-B6BA-5F104EE22F56}"/>
    <cellStyle name="40% - Accent4 4 3" xfId="9339" xr:uid="{D2841C43-1035-4DF8-AED0-F4524BEE8496}"/>
    <cellStyle name="40% - Accent4 4 3 2" xfId="24752" xr:uid="{7D5733F1-EBA5-4CE4-8176-B21679415156}"/>
    <cellStyle name="40% - Accent4 4 3 2 2" xfId="42492" xr:uid="{E1035689-FF49-4A35-9E5A-828D02474AD2}"/>
    <cellStyle name="40% - Accent4 4 3 3" xfId="42491" xr:uid="{AFD2F2BA-533F-494A-841C-F34C6D29CA55}"/>
    <cellStyle name="40% - Accent4 4 4" xfId="17047" xr:uid="{2271DA99-D4BC-4188-844A-9D37A9E1D4A2}"/>
    <cellStyle name="40% - Accent4 4 4 2" xfId="42493" xr:uid="{57C2AF18-2F75-4E70-B3C6-5DCC991A5D94}"/>
    <cellStyle name="40% - Accent4 4 5" xfId="42486" xr:uid="{33BFA38B-ADFA-4558-9B5D-0CB6C119E2B7}"/>
    <cellStyle name="40% - Accent4 40" xfId="7718" xr:uid="{CB10843E-1843-4173-B5AB-7A8C170E5175}"/>
    <cellStyle name="40% - Accent4 40 2" xfId="15426" xr:uid="{F4FD6B9A-928A-41B6-8B30-C40E7AFECAB7}"/>
    <cellStyle name="40% - Accent4 40 2 2" xfId="30838" xr:uid="{6E599C2E-C875-46A6-A889-036A7889AD93}"/>
    <cellStyle name="40% - Accent4 40 2 2 2" xfId="42496" xr:uid="{C3FE3452-3BE9-4BF4-8960-1B0579F0CAB4}"/>
    <cellStyle name="40% - Accent4 40 2 3" xfId="42495" xr:uid="{C21FF6C5-F9F6-43A9-89F6-C6238A1DBC9C}"/>
    <cellStyle name="40% - Accent4 40 3" xfId="23133" xr:uid="{CF1540A0-77E7-4E09-BF1F-B565024817CB}"/>
    <cellStyle name="40% - Accent4 40 3 2" xfId="42497" xr:uid="{9235AC75-D91F-4A76-853E-1C4981877363}"/>
    <cellStyle name="40% - Accent4 40 4" xfId="42494" xr:uid="{00C9F8C9-A44C-4B62-9CE4-1C0D7F8CB977}"/>
    <cellStyle name="40% - Accent4 41" xfId="7738" xr:uid="{51A009CA-5859-4244-9251-F166D900580D}"/>
    <cellStyle name="40% - Accent4 41 2" xfId="15446" xr:uid="{1D69326E-9D33-4618-9C72-30581F8152E0}"/>
    <cellStyle name="40% - Accent4 41 2 2" xfId="30858" xr:uid="{DC37B793-4840-490F-9DEB-C146523A9D45}"/>
    <cellStyle name="40% - Accent4 41 2 2 2" xfId="42500" xr:uid="{38C24F8F-9DE7-4BB3-A5CC-3BD22F3B5D86}"/>
    <cellStyle name="40% - Accent4 41 2 3" xfId="42499" xr:uid="{DDD7D0A7-6832-4F1E-9C91-109DD9CDC40D}"/>
    <cellStyle name="40% - Accent4 41 3" xfId="23153" xr:uid="{9FA3A2D1-C719-4C23-B8BA-A283A550A72E}"/>
    <cellStyle name="40% - Accent4 41 3 2" xfId="42501" xr:uid="{A3BFC8EC-4106-47D2-B3EF-1648142E276C}"/>
    <cellStyle name="40% - Accent4 41 4" xfId="42498" xr:uid="{281B299A-20AD-413B-B7FE-D4DEBDA1BED0}"/>
    <cellStyle name="40% - Accent4 42" xfId="7758" xr:uid="{019E0BC1-8382-4A60-BBA5-1333B6BB4292}"/>
    <cellStyle name="40% - Accent4 42 2" xfId="15466" xr:uid="{094B3B2A-F4E8-4A3A-A998-BA8AA8123B8D}"/>
    <cellStyle name="40% - Accent4 42 2 2" xfId="30878" xr:uid="{E6516559-9CDF-4222-909C-B5070CA10726}"/>
    <cellStyle name="40% - Accent4 42 2 2 2" xfId="42504" xr:uid="{F135129D-D54B-4704-9D25-2EAEC32D32EB}"/>
    <cellStyle name="40% - Accent4 42 2 3" xfId="42503" xr:uid="{6907A95B-B0B2-4682-9DFF-BF737CB3D1DF}"/>
    <cellStyle name="40% - Accent4 42 3" xfId="23173" xr:uid="{90EB470B-261F-481C-B352-6F299D9CF3C1}"/>
    <cellStyle name="40% - Accent4 42 3 2" xfId="42505" xr:uid="{3267F268-FDF7-482A-A5A4-185929706540}"/>
    <cellStyle name="40% - Accent4 42 4" xfId="42502" xr:uid="{00E3E94A-D03F-4295-AAC9-E4C8CC269192}"/>
    <cellStyle name="40% - Accent4 43" xfId="7778" xr:uid="{3F5C4A4A-1023-4D04-A4DA-9E8DB89EB9F2}"/>
    <cellStyle name="40% - Accent4 43 2" xfId="15486" xr:uid="{80581AF0-1663-421F-81A9-707077BBD75A}"/>
    <cellStyle name="40% - Accent4 43 2 2" xfId="30898" xr:uid="{5A46AFE9-6AEB-4FF1-BFCF-4EB849BF2D28}"/>
    <cellStyle name="40% - Accent4 43 2 2 2" xfId="42508" xr:uid="{F4C92A53-092E-4583-87C1-DD7E7F843200}"/>
    <cellStyle name="40% - Accent4 43 2 3" xfId="42507" xr:uid="{38BCDAF0-EA02-41F4-8234-0A53FD66F4E3}"/>
    <cellStyle name="40% - Accent4 43 3" xfId="23193" xr:uid="{DDFEE8ED-B96C-4051-8A8B-7272E3636D91}"/>
    <cellStyle name="40% - Accent4 43 3 2" xfId="42509" xr:uid="{76482BD0-EE7D-4A4C-A96D-0F807EC75B9A}"/>
    <cellStyle name="40% - Accent4 43 4" xfId="42506" xr:uid="{87A51501-38AA-4B98-97DE-870D7638A4E5}"/>
    <cellStyle name="40% - Accent4 44" xfId="7798" xr:uid="{0A78BA53-F90E-4CE8-8F37-4BE4D72D1D83}"/>
    <cellStyle name="40% - Accent4 44 2" xfId="15506" xr:uid="{581C7EB3-B959-4D17-ADB7-CEA79F8FDDBD}"/>
    <cellStyle name="40% - Accent4 44 2 2" xfId="30918" xr:uid="{8FDB9673-9B3D-41B9-A0C6-27E4BB49476C}"/>
    <cellStyle name="40% - Accent4 44 2 2 2" xfId="42512" xr:uid="{76437E33-0D06-4626-A076-684991F0536A}"/>
    <cellStyle name="40% - Accent4 44 2 3" xfId="42511" xr:uid="{46058FD3-E878-400B-9054-92490B66B246}"/>
    <cellStyle name="40% - Accent4 44 3" xfId="23213" xr:uid="{9D4C32F4-55CA-45F8-B619-299F19D58029}"/>
    <cellStyle name="40% - Accent4 44 3 2" xfId="42513" xr:uid="{BCA90499-E0A8-418B-AF6C-678E1346C4AC}"/>
    <cellStyle name="40% - Accent4 44 4" xfId="42510" xr:uid="{6780F6CA-D2FA-41D1-BABB-8AB435CF21B0}"/>
    <cellStyle name="40% - Accent4 45" xfId="7820" xr:uid="{FEA41308-919D-41CA-85F9-7B1CA4F9869E}"/>
    <cellStyle name="40% - Accent4 45 2" xfId="15528" xr:uid="{6C1E9E84-5C6A-44D0-BD86-6DB66BC3F665}"/>
    <cellStyle name="40% - Accent4 45 2 2" xfId="30940" xr:uid="{AECA34A7-EF82-4FFD-9242-1A83FBBF21B5}"/>
    <cellStyle name="40% - Accent4 45 2 2 2" xfId="42516" xr:uid="{BB593391-C939-47EC-BC0E-4854432A6D23}"/>
    <cellStyle name="40% - Accent4 45 2 3" xfId="42515" xr:uid="{E0753D07-A074-43A2-AD59-4DF669765C32}"/>
    <cellStyle name="40% - Accent4 45 3" xfId="23235" xr:uid="{AC4359A6-1BD7-4E53-939D-900F0F7AD0CE}"/>
    <cellStyle name="40% - Accent4 45 3 2" xfId="42517" xr:uid="{0CD97B93-D7F4-41F9-9E6E-802010C470B7}"/>
    <cellStyle name="40% - Accent4 45 4" xfId="42514" xr:uid="{200272B7-CC21-4D2F-9DF3-D2EC8950731F}"/>
    <cellStyle name="40% - Accent4 46" xfId="7841" xr:uid="{CEF92800-F128-4C17-A390-18E0592C89F3}"/>
    <cellStyle name="40% - Accent4 46 2" xfId="15549" xr:uid="{1F7692ED-6461-4E97-AA6A-1CAA0422F72B}"/>
    <cellStyle name="40% - Accent4 46 2 2" xfId="30960" xr:uid="{A7DBB192-D4A5-4146-BA68-056811B272E4}"/>
    <cellStyle name="40% - Accent4 46 2 2 2" xfId="42520" xr:uid="{244BADDC-4A1B-4406-9297-8EEDE347DF21}"/>
    <cellStyle name="40% - Accent4 46 2 3" xfId="42519" xr:uid="{1E6263EE-AB74-4813-9F67-2D5E15A40232}"/>
    <cellStyle name="40% - Accent4 46 3" xfId="23255" xr:uid="{0BC727B7-2F09-45AD-8F83-E23F3EFF972C}"/>
    <cellStyle name="40% - Accent4 46 3 2" xfId="42521" xr:uid="{7B5647C5-12D3-4B47-B03F-2E09DA91247A}"/>
    <cellStyle name="40% - Accent4 46 4" xfId="42518" xr:uid="{85A1E93E-68AD-4448-843E-FD49BBC7B7F4}"/>
    <cellStyle name="40% - Accent4 47" xfId="7861" xr:uid="{F4439A38-D0C2-4028-B006-920D69FBE8E4}"/>
    <cellStyle name="40% - Accent4 47 2" xfId="15569" xr:uid="{EE84D53A-03DA-4B7C-B78D-8BA7FBDF60E7}"/>
    <cellStyle name="40% - Accent4 47 2 2" xfId="30980" xr:uid="{EF2B88C9-2D63-47DA-B613-FFCB8C31FC7C}"/>
    <cellStyle name="40% - Accent4 47 2 2 2" xfId="42524" xr:uid="{9C2F626C-C316-424F-B5D7-DFEFBB50F50C}"/>
    <cellStyle name="40% - Accent4 47 2 3" xfId="42523" xr:uid="{88124054-6C82-4782-A7B1-BDAECD1B37EB}"/>
    <cellStyle name="40% - Accent4 47 3" xfId="23275" xr:uid="{AF5C678A-9B5C-48D4-AAE2-E80C470093A2}"/>
    <cellStyle name="40% - Accent4 47 3 2" xfId="42525" xr:uid="{F48AD795-331F-41A7-B033-96884E323A6D}"/>
    <cellStyle name="40% - Accent4 47 4" xfId="42522" xr:uid="{9163ACA5-FA4E-45AA-AA43-082287F79901}"/>
    <cellStyle name="40% - Accent4 48" xfId="7914" xr:uid="{E7E9AB6E-4CC9-492A-9A12-45830C00133F}"/>
    <cellStyle name="40% - Accent4 48 2" xfId="23327" xr:uid="{EBFF0C9C-DFAF-4CEB-8A16-167D9A95494F}"/>
    <cellStyle name="40% - Accent4 48 2 2" xfId="42527" xr:uid="{D3E1604E-6986-4FF6-8E44-379772525900}"/>
    <cellStyle name="40% - Accent4 48 3" xfId="42526" xr:uid="{32CBF8A4-A74B-4454-9F31-EFA584BA6C2A}"/>
    <cellStyle name="40% - Accent4 49" xfId="15622" xr:uid="{28D8BD31-8A1A-4352-9516-28C4845FBC57}"/>
    <cellStyle name="40% - Accent4 49 2" xfId="42528" xr:uid="{1427F4E0-1DED-496F-BFCC-E09E4159AABA}"/>
    <cellStyle name="40% - Accent4 5" xfId="3306" xr:uid="{13A71484-32CA-4460-B017-39BB9E9709AF}"/>
    <cellStyle name="40% - Accent4 5 2" xfId="7038" xr:uid="{36515C15-5A91-4EEE-91F5-CD8948F21D20}"/>
    <cellStyle name="40% - Accent4 5 2 2" xfId="14746" xr:uid="{86657B41-0E13-4685-9D22-991198A4478D}"/>
    <cellStyle name="40% - Accent4 5 2 2 2" xfId="30158" xr:uid="{E077C7E2-FD8C-43C5-BEDC-DDC150A2321D}"/>
    <cellStyle name="40% - Accent4 5 2 2 2 2" xfId="42532" xr:uid="{1747E453-C11B-4E7A-81C6-46BAA0806DD4}"/>
    <cellStyle name="40% - Accent4 5 2 2 3" xfId="42531" xr:uid="{E7C30F11-954B-4BE6-97F5-527FEC82B408}"/>
    <cellStyle name="40% - Accent4 5 2 3" xfId="22453" xr:uid="{481917E6-CC44-4822-8ABE-3B3C8B837E94}"/>
    <cellStyle name="40% - Accent4 5 2 3 2" xfId="42533" xr:uid="{4EECA461-940A-4BC7-AFDE-4C912F442D18}"/>
    <cellStyle name="40% - Accent4 5 2 4" xfId="42530" xr:uid="{7E4B0796-FC2D-4093-83B8-54364AC7708D}"/>
    <cellStyle name="40% - Accent4 5 3" xfId="11017" xr:uid="{2EB47DF8-0906-4955-A369-040F11A2EEF3}"/>
    <cellStyle name="40% - Accent4 5 3 2" xfId="26430" xr:uid="{9416F580-65AA-40B6-958E-0918F590E083}"/>
    <cellStyle name="40% - Accent4 5 3 2 2" xfId="42535" xr:uid="{D8A02C5D-A103-42C2-AB74-4E1B8EC9A3CD}"/>
    <cellStyle name="40% - Accent4 5 3 3" xfId="42534" xr:uid="{52D3658F-12B2-48F7-94D8-EFFBB174CAD4}"/>
    <cellStyle name="40% - Accent4 5 4" xfId="18725" xr:uid="{CD7AD382-F0D1-4ADC-A95D-A78977378B41}"/>
    <cellStyle name="40% - Accent4 5 4 2" xfId="42536" xr:uid="{702B2701-0171-4087-9DC4-6BDCABB6806F}"/>
    <cellStyle name="40% - Accent4 5 5" xfId="42529" xr:uid="{6107017D-60A0-4927-81CA-3CDE540CD42C}"/>
    <cellStyle name="40% - Accent4 50" xfId="31000" xr:uid="{BC1DA411-B7EB-4E78-AD92-71DB62B8A940}"/>
    <cellStyle name="40% - Accent4 50 2" xfId="42537" xr:uid="{DC27F183-AF02-44EA-9AAF-35A286270527}"/>
    <cellStyle name="40% - Accent4 51" xfId="41985" xr:uid="{3BF61ED3-C8C7-4560-9091-D627F59AB44F}"/>
    <cellStyle name="40% - Accent4 52" xfId="61980" xr:uid="{9DFE32C5-7B0E-4F4A-83CC-7E0E93D794CC}"/>
    <cellStyle name="40% - Accent4 53" xfId="62000" xr:uid="{A464A41B-DDA0-48EC-A41F-6837F7652842}"/>
    <cellStyle name="40% - Accent4 54" xfId="62020" xr:uid="{EFBE0D45-697B-49BA-82D7-04D50B42D057}"/>
    <cellStyle name="40% - Accent4 55" xfId="62038" xr:uid="{AA3E0899-E9E3-45A2-A243-2FD29C47F7BB}"/>
    <cellStyle name="40% - Accent4 56" xfId="62061" xr:uid="{D87B0F8A-54A5-4018-BEB7-CDFD3E2CD8DB}"/>
    <cellStyle name="40% - Accent4 57" xfId="62089" xr:uid="{3AB8A007-4065-4E31-8F99-65A2B8536B74}"/>
    <cellStyle name="40% - Accent4 6" xfId="3326" xr:uid="{67C70DC9-3CC5-4780-93B9-5F9D0680E393}"/>
    <cellStyle name="40% - Accent4 6 2" xfId="7058" xr:uid="{3B1088D3-3A4B-4D9F-952D-23F1A9FB4C1A}"/>
    <cellStyle name="40% - Accent4 6 2 2" xfId="14766" xr:uid="{820E20D1-693A-450B-B3BC-874EB6CD717E}"/>
    <cellStyle name="40% - Accent4 6 2 2 2" xfId="30178" xr:uid="{49FC8611-17DB-40E5-8CA7-122700372A8C}"/>
    <cellStyle name="40% - Accent4 6 2 2 2 2" xfId="42541" xr:uid="{7A78439F-360D-4015-9D9B-072C03D3D823}"/>
    <cellStyle name="40% - Accent4 6 2 2 3" xfId="42540" xr:uid="{B45CF332-82A2-4E41-AA9A-4F17E89FE720}"/>
    <cellStyle name="40% - Accent4 6 2 3" xfId="22473" xr:uid="{39C0C0CE-95A1-45E4-8AA7-566156EF6E41}"/>
    <cellStyle name="40% - Accent4 6 2 3 2" xfId="42542" xr:uid="{F7E2A3EC-E4A9-478E-8852-5543B0C0B82C}"/>
    <cellStyle name="40% - Accent4 6 2 4" xfId="42539" xr:uid="{E8DE1BA5-8B6E-42E5-B662-54A2398F7079}"/>
    <cellStyle name="40% - Accent4 6 3" xfId="11037" xr:uid="{90DB5BDD-A761-451C-B4D1-A57243CF3FAA}"/>
    <cellStyle name="40% - Accent4 6 3 2" xfId="26450" xr:uid="{0BA2202A-564B-485F-B0E7-701D2397B69B}"/>
    <cellStyle name="40% - Accent4 6 3 2 2" xfId="42544" xr:uid="{9D6CA9B0-679A-41D6-AF48-6DA0B9B15811}"/>
    <cellStyle name="40% - Accent4 6 3 3" xfId="42543" xr:uid="{4B08DCE3-115F-4F40-9B65-9CF9FCDF7080}"/>
    <cellStyle name="40% - Accent4 6 4" xfId="18745" xr:uid="{31554F48-713E-4A08-B29C-3FE41FA07801}"/>
    <cellStyle name="40% - Accent4 6 4 2" xfId="42545" xr:uid="{07F8C3BD-2D49-464C-A7ED-ABA381027519}"/>
    <cellStyle name="40% - Accent4 6 5" xfId="42538" xr:uid="{D733AD23-5554-4F45-A9AE-FBB74B7A6ACC}"/>
    <cellStyle name="40% - Accent4 7" xfId="3346" xr:uid="{8D262ECF-0A41-4F64-9EF2-167C21869F57}"/>
    <cellStyle name="40% - Accent4 7 2" xfId="7078" xr:uid="{2EB2CF8C-6995-42C0-9CC3-F28419E31348}"/>
    <cellStyle name="40% - Accent4 7 2 2" xfId="14786" xr:uid="{49D77A93-D350-452A-9E5A-A9CD4A0F9456}"/>
    <cellStyle name="40% - Accent4 7 2 2 2" xfId="30198" xr:uid="{731FD14B-6348-4D9B-9FF0-A15F091D2585}"/>
    <cellStyle name="40% - Accent4 7 2 2 2 2" xfId="42549" xr:uid="{BFC47335-ADD7-40F6-A328-F718054EB32B}"/>
    <cellStyle name="40% - Accent4 7 2 2 3" xfId="42548" xr:uid="{956C3EFD-C5CF-4CC9-B4E9-BED51DCF7277}"/>
    <cellStyle name="40% - Accent4 7 2 3" xfId="22493" xr:uid="{2C49D40E-CD0C-4427-8CCE-C558AAB74D1B}"/>
    <cellStyle name="40% - Accent4 7 2 3 2" xfId="42550" xr:uid="{155822DA-69D1-4544-A54E-9A82C23C66F4}"/>
    <cellStyle name="40% - Accent4 7 2 4" xfId="42547" xr:uid="{218B6130-EB97-4A6C-BC6F-5C3A24C33583}"/>
    <cellStyle name="40% - Accent4 7 3" xfId="11057" xr:uid="{17705B9B-4511-4EAB-B2CC-0B3D7265A014}"/>
    <cellStyle name="40% - Accent4 7 3 2" xfId="26470" xr:uid="{6B7973F4-6DC9-4CCC-BE5A-6CD3C1E6CDF0}"/>
    <cellStyle name="40% - Accent4 7 3 2 2" xfId="42552" xr:uid="{4422ED3E-2DE0-4D3A-8147-873FAE106EB0}"/>
    <cellStyle name="40% - Accent4 7 3 3" xfId="42551" xr:uid="{95432CA0-7CE1-4DC2-B944-09C7DD354346}"/>
    <cellStyle name="40% - Accent4 7 4" xfId="18765" xr:uid="{0D3EB8FA-AF88-4DE7-9836-362134581224}"/>
    <cellStyle name="40% - Accent4 7 4 2" xfId="42553" xr:uid="{57A88669-23CB-456B-A391-C0D5B19DDEA2}"/>
    <cellStyle name="40% - Accent4 7 5" xfId="42546" xr:uid="{C3D22F8E-E816-4E52-A55A-4B218DD74B4A}"/>
    <cellStyle name="40% - Accent4 8" xfId="3366" xr:uid="{6C78A93B-F673-437B-BA2F-0B49EAC34912}"/>
    <cellStyle name="40% - Accent4 8 2" xfId="7098" xr:uid="{0F4C407A-3EE0-4EAB-97C7-749C615D669A}"/>
    <cellStyle name="40% - Accent4 8 2 2" xfId="14806" xr:uid="{8EA8B021-7AA5-4A22-AA09-3F0860D41213}"/>
    <cellStyle name="40% - Accent4 8 2 2 2" xfId="30218" xr:uid="{316E100B-D707-44D8-AD7D-9EBB00982C6B}"/>
    <cellStyle name="40% - Accent4 8 2 2 2 2" xfId="42557" xr:uid="{F69B5624-449C-469B-ABE0-1D271E735307}"/>
    <cellStyle name="40% - Accent4 8 2 2 3" xfId="42556" xr:uid="{F278215A-3239-4996-AECB-51952B180F5D}"/>
    <cellStyle name="40% - Accent4 8 2 3" xfId="22513" xr:uid="{27D602DC-0961-464C-9FD2-A897CF3BC792}"/>
    <cellStyle name="40% - Accent4 8 2 3 2" xfId="42558" xr:uid="{59983DEE-BE6F-4F70-86FB-2CFF16DD93A3}"/>
    <cellStyle name="40% - Accent4 8 2 4" xfId="42555" xr:uid="{C433117D-A57C-4EEB-9598-D73DCA659E4C}"/>
    <cellStyle name="40% - Accent4 8 3" xfId="11077" xr:uid="{926F8706-F9F8-477D-8D7F-2AAF100A1EE3}"/>
    <cellStyle name="40% - Accent4 8 3 2" xfId="26490" xr:uid="{3087D9BC-4BE9-4DB3-87D4-4C13407C44DA}"/>
    <cellStyle name="40% - Accent4 8 3 2 2" xfId="42560" xr:uid="{8F4DA724-A32C-4176-9C4F-4A00EBB3F596}"/>
    <cellStyle name="40% - Accent4 8 3 3" xfId="42559" xr:uid="{359E402F-9A45-4680-BA0C-A7750AE5FD22}"/>
    <cellStyle name="40% - Accent4 8 4" xfId="18785" xr:uid="{C49D689A-AC8F-44F6-8DE5-56097B7995EB}"/>
    <cellStyle name="40% - Accent4 8 4 2" xfId="42561" xr:uid="{0D393E7B-CEB3-4840-A9EC-D08410AEDC82}"/>
    <cellStyle name="40% - Accent4 8 5" xfId="42554" xr:uid="{CCCB7719-31E3-44F3-835B-4FD78E16745E}"/>
    <cellStyle name="40% - Accent4 9" xfId="3386" xr:uid="{9E22B81E-E908-40BC-BFC7-ABF50F6FD467}"/>
    <cellStyle name="40% - Accent4 9 2" xfId="7118" xr:uid="{67058BE9-72DB-4706-9894-C4247EA5722D}"/>
    <cellStyle name="40% - Accent4 9 2 2" xfId="14826" xr:uid="{61EAE5F0-9363-42A6-8174-5E45126612F8}"/>
    <cellStyle name="40% - Accent4 9 2 2 2" xfId="30238" xr:uid="{EB9CD68C-B694-4E8B-B877-CF05A9C8D033}"/>
    <cellStyle name="40% - Accent4 9 2 2 2 2" xfId="42565" xr:uid="{D50EC47E-7C29-4DD2-8523-6BD161D266CC}"/>
    <cellStyle name="40% - Accent4 9 2 2 3" xfId="42564" xr:uid="{F8E456B3-BFCE-4ACF-86A3-D59C1FEC643A}"/>
    <cellStyle name="40% - Accent4 9 2 3" xfId="22533" xr:uid="{32F3056C-A80C-4B49-8447-082A6E5114F4}"/>
    <cellStyle name="40% - Accent4 9 2 3 2" xfId="42566" xr:uid="{895EDDD1-A601-4435-82D1-0B04EE906FE5}"/>
    <cellStyle name="40% - Accent4 9 2 4" xfId="42563" xr:uid="{5B62904A-62F9-4760-A0C8-3027555ECA38}"/>
    <cellStyle name="40% - Accent4 9 3" xfId="11097" xr:uid="{4255C464-8EFD-4F1E-9669-7101130116DA}"/>
    <cellStyle name="40% - Accent4 9 3 2" xfId="26510" xr:uid="{632149E7-7EA2-4DFF-8816-1FE96888C6DC}"/>
    <cellStyle name="40% - Accent4 9 3 2 2" xfId="42568" xr:uid="{3D790E12-1B36-4FFC-A7E0-DE68C86EDDD2}"/>
    <cellStyle name="40% - Accent4 9 3 3" xfId="42567" xr:uid="{3619948F-D7E7-44BC-8133-28747893B063}"/>
    <cellStyle name="40% - Accent4 9 4" xfId="18805" xr:uid="{544550A8-29DB-4E16-8865-BA7DFC4C27BD}"/>
    <cellStyle name="40% - Accent4 9 4 2" xfId="42569" xr:uid="{7CD29295-2F22-4187-A2F3-10E5ECA26E7C}"/>
    <cellStyle name="40% - Accent4 9 5" xfId="42562" xr:uid="{FA37B3E0-881B-4127-8E3D-FDE4134A97D3}"/>
    <cellStyle name="40% - Accent5 10" xfId="3409" xr:uid="{EDD2CC5F-2F6A-4E2E-913F-0E71F23E0608}"/>
    <cellStyle name="40% - Accent5 10 2" xfId="7141" xr:uid="{A01FEADF-9AE0-4370-B356-937A1597D430}"/>
    <cellStyle name="40% - Accent5 10 2 2" xfId="14849" xr:uid="{0C48C6E1-4D1C-441E-AFB6-B557CFF875EA}"/>
    <cellStyle name="40% - Accent5 10 2 2 2" xfId="30261" xr:uid="{632CFF3B-D09B-4678-AA03-AC625F6A4AFD}"/>
    <cellStyle name="40% - Accent5 10 2 2 2 2" xfId="42574" xr:uid="{2CBC7932-9966-4341-AB95-80AADEEAF1EF}"/>
    <cellStyle name="40% - Accent5 10 2 2 3" xfId="42573" xr:uid="{62A979EF-7C5C-4BAF-80B7-F02A7F57127E}"/>
    <cellStyle name="40% - Accent5 10 2 3" xfId="22556" xr:uid="{F3C05F6F-3543-451B-A091-019C7243ECC9}"/>
    <cellStyle name="40% - Accent5 10 2 3 2" xfId="42575" xr:uid="{D8039F4D-9829-4432-92E3-B9DE48E72AF5}"/>
    <cellStyle name="40% - Accent5 10 2 4" xfId="42572" xr:uid="{B48F1E24-0DB1-4EC9-82D6-8AC0001F847C}"/>
    <cellStyle name="40% - Accent5 10 3" xfId="11120" xr:uid="{EFDD26E4-3D24-40AE-A7A0-E6CA976C7B57}"/>
    <cellStyle name="40% - Accent5 10 3 2" xfId="26533" xr:uid="{213CFBED-FA50-44B9-B140-3DF0FA2D6681}"/>
    <cellStyle name="40% - Accent5 10 3 2 2" xfId="42577" xr:uid="{29825014-BA17-4298-A86C-194AFB388DD2}"/>
    <cellStyle name="40% - Accent5 10 3 3" xfId="42576" xr:uid="{2F01F702-C243-43FF-8175-521F8292F16B}"/>
    <cellStyle name="40% - Accent5 10 4" xfId="18828" xr:uid="{827126D4-93E6-4D76-9156-8D016C28B9D0}"/>
    <cellStyle name="40% - Accent5 10 4 2" xfId="42578" xr:uid="{F0E9898F-6C9E-402B-A9CB-AE3211CBFC32}"/>
    <cellStyle name="40% - Accent5 10 5" xfId="42571" xr:uid="{7C1B0907-EF4E-4CCD-9DBD-79A6172D01F5}"/>
    <cellStyle name="40% - Accent5 11" xfId="3429" xr:uid="{2274F26E-9C07-4AE6-A0C0-22CEA1CD5D28}"/>
    <cellStyle name="40% - Accent5 11 2" xfId="7161" xr:uid="{0D94905A-DF67-4B8F-BBB0-A2F65A6671FF}"/>
    <cellStyle name="40% - Accent5 11 2 2" xfId="14869" xr:uid="{1FFDD3D8-6257-4F3A-BFA9-5E309BCE218F}"/>
    <cellStyle name="40% - Accent5 11 2 2 2" xfId="30281" xr:uid="{336A3810-8C44-407D-895C-3F9603B196E4}"/>
    <cellStyle name="40% - Accent5 11 2 2 2 2" xfId="42582" xr:uid="{83C5E231-6E20-44E8-A085-E1A1C5EF4938}"/>
    <cellStyle name="40% - Accent5 11 2 2 3" xfId="42581" xr:uid="{2678B512-74CD-41D0-816D-DB651C853924}"/>
    <cellStyle name="40% - Accent5 11 2 3" xfId="22576" xr:uid="{53B889BD-D439-4024-B61F-4B5F426AD7B8}"/>
    <cellStyle name="40% - Accent5 11 2 3 2" xfId="42583" xr:uid="{58BC61DC-7433-44F2-8355-C05F75BD7D3F}"/>
    <cellStyle name="40% - Accent5 11 2 4" xfId="42580" xr:uid="{D03086F0-62C8-4D8D-9A6A-02597AEE3A83}"/>
    <cellStyle name="40% - Accent5 11 3" xfId="11140" xr:uid="{C35520BE-5C55-4F8D-9B7C-75B65F54DBEB}"/>
    <cellStyle name="40% - Accent5 11 3 2" xfId="26553" xr:uid="{2B8FE74D-183E-41C4-8396-9C6AA9217C70}"/>
    <cellStyle name="40% - Accent5 11 3 2 2" xfId="42585" xr:uid="{9520346B-442E-46EC-A019-69E79A79FFDD}"/>
    <cellStyle name="40% - Accent5 11 3 3" xfId="42584" xr:uid="{E129F5BC-3B75-4835-87D9-E10A6984B0AC}"/>
    <cellStyle name="40% - Accent5 11 4" xfId="18848" xr:uid="{AB93F00A-3A7C-4573-95D9-E26920F9E17D}"/>
    <cellStyle name="40% - Accent5 11 4 2" xfId="42586" xr:uid="{E675B0D8-A746-4BBF-A18E-1F74B67661EB}"/>
    <cellStyle name="40% - Accent5 11 5" xfId="42579" xr:uid="{CFF9803D-7EBE-481F-990D-1F219394E731}"/>
    <cellStyle name="40% - Accent5 12" xfId="3449" xr:uid="{756F4432-0431-42EF-8831-6BA11A23260F}"/>
    <cellStyle name="40% - Accent5 12 2" xfId="7181" xr:uid="{C6FB3056-A9F0-4E34-9BB4-140164CEBD80}"/>
    <cellStyle name="40% - Accent5 12 2 2" xfId="14889" xr:uid="{03E366A0-B5A0-4AC2-AE40-83F29EC07C63}"/>
    <cellStyle name="40% - Accent5 12 2 2 2" xfId="30301" xr:uid="{5E039AB3-0198-4075-B4E6-2983AEFD6226}"/>
    <cellStyle name="40% - Accent5 12 2 2 2 2" xfId="42590" xr:uid="{434948AA-33CC-4C39-BD30-78EDB9C8096F}"/>
    <cellStyle name="40% - Accent5 12 2 2 3" xfId="42589" xr:uid="{58356AA8-01BA-4DB4-9C87-26E1F362210D}"/>
    <cellStyle name="40% - Accent5 12 2 3" xfId="22596" xr:uid="{5FF9FEA9-FD7F-4DA7-B9B7-25FEB02B079C}"/>
    <cellStyle name="40% - Accent5 12 2 3 2" xfId="42591" xr:uid="{EF845C57-605F-4264-8961-1618B83E3AD2}"/>
    <cellStyle name="40% - Accent5 12 2 4" xfId="42588" xr:uid="{81BF8359-2E23-453A-B6CD-84A691F5D57E}"/>
    <cellStyle name="40% - Accent5 12 3" xfId="11160" xr:uid="{027D88FF-7180-4665-9D72-99A75C58EFAB}"/>
    <cellStyle name="40% - Accent5 12 3 2" xfId="26573" xr:uid="{02E7EC91-4F59-408F-9FE1-BDEA10E566E0}"/>
    <cellStyle name="40% - Accent5 12 3 2 2" xfId="42593" xr:uid="{7FF8D8B8-21AE-451A-94BE-F3319B67E077}"/>
    <cellStyle name="40% - Accent5 12 3 3" xfId="42592" xr:uid="{565ED551-5902-438E-AB7B-2828F29D46FD}"/>
    <cellStyle name="40% - Accent5 12 4" xfId="18868" xr:uid="{AA8C2030-7AF2-4229-8A33-E9A8F4DC904F}"/>
    <cellStyle name="40% - Accent5 12 4 2" xfId="42594" xr:uid="{88CFD12B-5507-4074-B7E5-BEF0ECD27247}"/>
    <cellStyle name="40% - Accent5 12 5" xfId="42587" xr:uid="{D2997349-6B3A-4D72-84B0-C4CE0F82C4A8}"/>
    <cellStyle name="40% - Accent5 13" xfId="3469" xr:uid="{CDE53AB7-B176-429F-A9AF-CB8FA00827F9}"/>
    <cellStyle name="40% - Accent5 13 2" xfId="7201" xr:uid="{92636DAE-B99B-45FD-B2E4-FC1648840BB0}"/>
    <cellStyle name="40% - Accent5 13 2 2" xfId="14909" xr:uid="{23041797-97D8-430B-AC2C-2F298744F183}"/>
    <cellStyle name="40% - Accent5 13 2 2 2" xfId="30321" xr:uid="{662C4A29-2966-4B70-B5C6-E20066C38FC1}"/>
    <cellStyle name="40% - Accent5 13 2 2 2 2" xfId="42598" xr:uid="{F4A59855-FF2D-4441-BC9B-B41D7924370D}"/>
    <cellStyle name="40% - Accent5 13 2 2 3" xfId="42597" xr:uid="{8FE3FBB4-4E4E-473F-82CF-FE9028D3AB1D}"/>
    <cellStyle name="40% - Accent5 13 2 3" xfId="22616" xr:uid="{869166CF-B146-4C13-9B32-5A990680234F}"/>
    <cellStyle name="40% - Accent5 13 2 3 2" xfId="42599" xr:uid="{AA359C65-9871-46C5-BFAB-0DD91ACA3515}"/>
    <cellStyle name="40% - Accent5 13 2 4" xfId="42596" xr:uid="{02B0E059-9EC9-4084-8506-DE44377E7ACE}"/>
    <cellStyle name="40% - Accent5 13 3" xfId="11180" xr:uid="{5529BAF6-B094-4D15-ABDE-76F4534130F0}"/>
    <cellStyle name="40% - Accent5 13 3 2" xfId="26593" xr:uid="{E60D12EF-6439-4036-A011-E705CBA99E50}"/>
    <cellStyle name="40% - Accent5 13 3 2 2" xfId="42601" xr:uid="{959FB450-3082-42BF-AFE2-FE9F3B2B5F69}"/>
    <cellStyle name="40% - Accent5 13 3 3" xfId="42600" xr:uid="{1EA71021-E101-416C-911A-E3848917FC76}"/>
    <cellStyle name="40% - Accent5 13 4" xfId="18888" xr:uid="{B6836556-FC7C-4DD0-8FE7-68CD5B6BD937}"/>
    <cellStyle name="40% - Accent5 13 4 2" xfId="42602" xr:uid="{D529CF02-BA0E-4A67-BA5A-A4CDFA1B5749}"/>
    <cellStyle name="40% - Accent5 13 5" xfId="42595" xr:uid="{47D6A06F-17D2-4761-967E-8A3E24EACBEC}"/>
    <cellStyle name="40% - Accent5 14" xfId="3489" xr:uid="{0A8E1674-DEAB-484D-8F67-C8665B5BE4FA}"/>
    <cellStyle name="40% - Accent5 14 2" xfId="7221" xr:uid="{6643D945-A442-45FF-812A-632EDC77AE0A}"/>
    <cellStyle name="40% - Accent5 14 2 2" xfId="14929" xr:uid="{46A2A728-42E9-4B68-B2A5-13538980C0AB}"/>
    <cellStyle name="40% - Accent5 14 2 2 2" xfId="30341" xr:uid="{19138326-30FF-4EE0-AC89-CFDA57B06275}"/>
    <cellStyle name="40% - Accent5 14 2 2 2 2" xfId="42606" xr:uid="{F149A512-421A-453F-BD6D-5470D836FF26}"/>
    <cellStyle name="40% - Accent5 14 2 2 3" xfId="42605" xr:uid="{377C3E67-9E2A-4CAE-82C0-1556862BE850}"/>
    <cellStyle name="40% - Accent5 14 2 3" xfId="22636" xr:uid="{BEA117AF-22EE-4D78-B248-5D8ACE13C50F}"/>
    <cellStyle name="40% - Accent5 14 2 3 2" xfId="42607" xr:uid="{2852F0DA-E706-43CF-B509-DC04053D0A89}"/>
    <cellStyle name="40% - Accent5 14 2 4" xfId="42604" xr:uid="{F2B5DAF3-4E31-48F3-B131-E0705967CABC}"/>
    <cellStyle name="40% - Accent5 14 3" xfId="11200" xr:uid="{687E6A33-BE14-4E51-96BF-48DB61159D18}"/>
    <cellStyle name="40% - Accent5 14 3 2" xfId="26613" xr:uid="{20442343-ADDC-4D58-8ED6-50121C94CAA4}"/>
    <cellStyle name="40% - Accent5 14 3 2 2" xfId="42609" xr:uid="{3E0B46F8-73D7-4256-81C5-B3B17823298F}"/>
    <cellStyle name="40% - Accent5 14 3 3" xfId="42608" xr:uid="{75506950-EE42-485A-9DB9-FAD9FC3DF0C3}"/>
    <cellStyle name="40% - Accent5 14 4" xfId="18908" xr:uid="{F98E1140-8B19-41C0-BB88-67AB9D258BC9}"/>
    <cellStyle name="40% - Accent5 14 4 2" xfId="42610" xr:uid="{9BA5EEFE-602E-4321-AF61-E1D9029F17CC}"/>
    <cellStyle name="40% - Accent5 14 5" xfId="42603" xr:uid="{93CDD034-E437-45A9-8845-CAEB5138E449}"/>
    <cellStyle name="40% - Accent5 15" xfId="3509" xr:uid="{A8372B86-7259-4E86-A9BD-7A942ADEBA63}"/>
    <cellStyle name="40% - Accent5 15 2" xfId="7241" xr:uid="{74E4875D-B269-4DEF-BD29-73481BB2BBAD}"/>
    <cellStyle name="40% - Accent5 15 2 2" xfId="14949" xr:uid="{2EC9E475-373C-4883-B9C0-9DCF02BDBE60}"/>
    <cellStyle name="40% - Accent5 15 2 2 2" xfId="30361" xr:uid="{27ADCB44-1E0A-44D0-AC8C-EB3F26890B58}"/>
    <cellStyle name="40% - Accent5 15 2 2 2 2" xfId="42614" xr:uid="{61955BAA-235B-433F-809E-ACAA720A9881}"/>
    <cellStyle name="40% - Accent5 15 2 2 3" xfId="42613" xr:uid="{8A397D22-14C4-4E9E-8E03-85B50DDE8F8A}"/>
    <cellStyle name="40% - Accent5 15 2 3" xfId="22656" xr:uid="{FF07A8CA-72EE-421E-ACA9-9056872F60D6}"/>
    <cellStyle name="40% - Accent5 15 2 3 2" xfId="42615" xr:uid="{5235FC57-0CDB-4D95-8C34-F8CF6FCD0583}"/>
    <cellStyle name="40% - Accent5 15 2 4" xfId="42612" xr:uid="{6869E272-8715-48CC-9018-AAE86687EBBD}"/>
    <cellStyle name="40% - Accent5 15 3" xfId="11220" xr:uid="{C9732C96-37C5-43DA-94E8-7B5A4F42FF61}"/>
    <cellStyle name="40% - Accent5 15 3 2" xfId="26633" xr:uid="{60590FF5-6DAE-42A4-B69F-42F3AE6ED7B1}"/>
    <cellStyle name="40% - Accent5 15 3 2 2" xfId="42617" xr:uid="{3D6E7BA7-2E71-4107-BC12-AC2C8C3A24DB}"/>
    <cellStyle name="40% - Accent5 15 3 3" xfId="42616" xr:uid="{F8E0F648-79A9-49C1-AECA-53A978E51E2C}"/>
    <cellStyle name="40% - Accent5 15 4" xfId="18928" xr:uid="{E2B2C3EF-1FB3-45E3-BF73-54A3576018B2}"/>
    <cellStyle name="40% - Accent5 15 4 2" xfId="42618" xr:uid="{F3F8B597-41F0-415C-95A3-CAFC31E35B6E}"/>
    <cellStyle name="40% - Accent5 15 5" xfId="42611" xr:uid="{DAC069EF-E957-4F37-9EED-6C6E6E67A0EB}"/>
    <cellStyle name="40% - Accent5 16" xfId="3529" xr:uid="{66812E7C-1572-4C64-9AE0-F176C1943AB5}"/>
    <cellStyle name="40% - Accent5 16 2" xfId="7261" xr:uid="{0AB12503-8226-4D9E-B1E8-D69B34C65E1A}"/>
    <cellStyle name="40% - Accent5 16 2 2" xfId="14969" xr:uid="{A47C40CB-67B9-42EF-A018-DF6F66A486D7}"/>
    <cellStyle name="40% - Accent5 16 2 2 2" xfId="30381" xr:uid="{D29DE8FA-17DE-4974-A8B4-D360F5B638D5}"/>
    <cellStyle name="40% - Accent5 16 2 2 2 2" xfId="42622" xr:uid="{D8437565-6379-4D1C-B6B5-9CCB14030C52}"/>
    <cellStyle name="40% - Accent5 16 2 2 3" xfId="42621" xr:uid="{C499CFD9-E734-4FE3-A831-5DAEF5073AE3}"/>
    <cellStyle name="40% - Accent5 16 2 3" xfId="22676" xr:uid="{4EB7A850-092A-4AF4-B71E-52E1F6A9E719}"/>
    <cellStyle name="40% - Accent5 16 2 3 2" xfId="42623" xr:uid="{88B35BE9-51E7-423B-8FA6-9BB7C66F8B81}"/>
    <cellStyle name="40% - Accent5 16 2 4" xfId="42620" xr:uid="{EF85D85F-9FD7-4C21-8ED3-4F00D6B5A329}"/>
    <cellStyle name="40% - Accent5 16 3" xfId="11240" xr:uid="{92768F54-BF90-4BFF-9156-6207AC74B6E2}"/>
    <cellStyle name="40% - Accent5 16 3 2" xfId="26653" xr:uid="{BB2CB23A-E980-4711-9E11-23DC2DCC4699}"/>
    <cellStyle name="40% - Accent5 16 3 2 2" xfId="42625" xr:uid="{0394CB6B-7DC7-4401-88EA-67C6DBD58246}"/>
    <cellStyle name="40% - Accent5 16 3 3" xfId="42624" xr:uid="{E2AC7B8B-F05B-4938-A0BD-76BDBF2AFAE2}"/>
    <cellStyle name="40% - Accent5 16 4" xfId="18948" xr:uid="{9F6553E5-686D-4026-B977-49E1D41F656C}"/>
    <cellStyle name="40% - Accent5 16 4 2" xfId="42626" xr:uid="{CD6061DC-D244-4179-A9A3-DB34A359EC29}"/>
    <cellStyle name="40% - Accent5 16 5" xfId="42619" xr:uid="{83D0B054-61F6-4463-B6D9-77B1382BB55A}"/>
    <cellStyle name="40% - Accent5 17" xfId="3549" xr:uid="{7DB7E03F-2497-4BEE-AD4F-F7E78AA3EC8B}"/>
    <cellStyle name="40% - Accent5 17 2" xfId="7281" xr:uid="{15154570-305F-4541-ABEC-9EB34441B344}"/>
    <cellStyle name="40% - Accent5 17 2 2" xfId="14989" xr:uid="{DEBEC953-C414-44D2-9315-E1E248A5AE9D}"/>
    <cellStyle name="40% - Accent5 17 2 2 2" xfId="30401" xr:uid="{F2B1A117-2EB3-4629-A26A-D43DCBB7D14E}"/>
    <cellStyle name="40% - Accent5 17 2 2 2 2" xfId="42630" xr:uid="{58A85F00-E3E8-4F42-8DF3-FABEADAEC6E6}"/>
    <cellStyle name="40% - Accent5 17 2 2 3" xfId="42629" xr:uid="{3A6CDE19-62E8-45B3-B844-F4037DCCFAC1}"/>
    <cellStyle name="40% - Accent5 17 2 3" xfId="22696" xr:uid="{60BA4379-FEA1-402E-9DCE-AA85AE651246}"/>
    <cellStyle name="40% - Accent5 17 2 3 2" xfId="42631" xr:uid="{03EB52B8-2035-4D5B-BE31-7397F201A2AD}"/>
    <cellStyle name="40% - Accent5 17 2 4" xfId="42628" xr:uid="{A441DDB1-7E86-43B3-83C1-D5FE279DAFEB}"/>
    <cellStyle name="40% - Accent5 17 3" xfId="11260" xr:uid="{4918B8FC-3AFA-44A7-8B51-AFECE8CCD994}"/>
    <cellStyle name="40% - Accent5 17 3 2" xfId="26673" xr:uid="{D102B635-1BD6-492B-9B4D-1BC038DFD509}"/>
    <cellStyle name="40% - Accent5 17 3 2 2" xfId="42633" xr:uid="{5C8BD0AC-BF7F-4218-BBE7-1396CF9BC207}"/>
    <cellStyle name="40% - Accent5 17 3 3" xfId="42632" xr:uid="{672DEB1D-8FE6-4539-9D5D-0103B88DA621}"/>
    <cellStyle name="40% - Accent5 17 4" xfId="18968" xr:uid="{B7841A57-1E8D-4047-A5B8-3585FF1BA745}"/>
    <cellStyle name="40% - Accent5 17 4 2" xfId="42634" xr:uid="{1168E1D1-93FD-492B-B06E-EBF6A1328345}"/>
    <cellStyle name="40% - Accent5 17 5" xfId="42627" xr:uid="{BC4664B3-D3CA-4923-A2CD-BD74786526B4}"/>
    <cellStyle name="40% - Accent5 18" xfId="3569" xr:uid="{246F9D14-2691-4053-8EB1-63CEC55D4463}"/>
    <cellStyle name="40% - Accent5 18 2" xfId="7301" xr:uid="{36C073A1-586F-4E58-8FEC-C71093FFB80B}"/>
    <cellStyle name="40% - Accent5 18 2 2" xfId="15009" xr:uid="{998E7ECD-8FDD-4AE2-A01C-E55A395FCD65}"/>
    <cellStyle name="40% - Accent5 18 2 2 2" xfId="30421" xr:uid="{6DB5BEC7-44CE-459F-B4E3-B7AB3AA6D36C}"/>
    <cellStyle name="40% - Accent5 18 2 2 2 2" xfId="42638" xr:uid="{9F6611B5-0B74-4295-9091-4CE36A20C5C4}"/>
    <cellStyle name="40% - Accent5 18 2 2 3" xfId="42637" xr:uid="{D58B910E-B27A-4DFB-B03B-A9367BC02533}"/>
    <cellStyle name="40% - Accent5 18 2 3" xfId="22716" xr:uid="{BC1C0C79-6790-4C0B-A585-A997FEE3905D}"/>
    <cellStyle name="40% - Accent5 18 2 3 2" xfId="42639" xr:uid="{260857A0-B950-4444-A93E-9C02D0FC0F31}"/>
    <cellStyle name="40% - Accent5 18 2 4" xfId="42636" xr:uid="{F468C812-D76B-4869-A2EA-5DD1F7C5ADE0}"/>
    <cellStyle name="40% - Accent5 18 3" xfId="11280" xr:uid="{373EF372-B06C-47C6-964D-1E0142429858}"/>
    <cellStyle name="40% - Accent5 18 3 2" xfId="26693" xr:uid="{5E6FB8FD-0273-470B-B658-FAA2CF79E377}"/>
    <cellStyle name="40% - Accent5 18 3 2 2" xfId="42641" xr:uid="{F63BF2D8-D6BC-4C00-A5D6-5FB21514132B}"/>
    <cellStyle name="40% - Accent5 18 3 3" xfId="42640" xr:uid="{E618E41B-E6BD-4F28-A16E-53DE53B60CA8}"/>
    <cellStyle name="40% - Accent5 18 4" xfId="18988" xr:uid="{DB9A774E-7059-4581-9207-938AC9B7DEE4}"/>
    <cellStyle name="40% - Accent5 18 4 2" xfId="42642" xr:uid="{0429BECD-A9E8-43FA-AEDD-DC722B4CC9F2}"/>
    <cellStyle name="40% - Accent5 18 5" xfId="42635" xr:uid="{9531554E-C7C5-4A31-B15F-D4B130244AC7}"/>
    <cellStyle name="40% - Accent5 19" xfId="3590" xr:uid="{3A416774-A5AA-4DEB-B139-934AF3815560}"/>
    <cellStyle name="40% - Accent5 19 2" xfId="7321" xr:uid="{05B1A4F9-9184-4640-99E9-28183C213938}"/>
    <cellStyle name="40% - Accent5 19 2 2" xfId="15029" xr:uid="{BBB52E55-3C35-43C2-B92B-375AA9C38310}"/>
    <cellStyle name="40% - Accent5 19 2 2 2" xfId="30441" xr:uid="{68DB10D7-5D6B-4CBC-8BEE-37FC272B5302}"/>
    <cellStyle name="40% - Accent5 19 2 2 2 2" xfId="42646" xr:uid="{9211BFF8-3793-4FBC-9106-033AC9161DF5}"/>
    <cellStyle name="40% - Accent5 19 2 2 3" xfId="42645" xr:uid="{6C7085E4-8FA5-4509-8E85-8E7A1E5F4BE1}"/>
    <cellStyle name="40% - Accent5 19 2 3" xfId="22736" xr:uid="{241A9621-47B4-4F6C-AEE3-790371405B9C}"/>
    <cellStyle name="40% - Accent5 19 2 3 2" xfId="42647" xr:uid="{AA54B54E-0881-4F6D-A52B-30FE7A398F2D}"/>
    <cellStyle name="40% - Accent5 19 2 4" xfId="42644" xr:uid="{6E7F1022-5BB3-45BC-AE24-40EFC64CF125}"/>
    <cellStyle name="40% - Accent5 19 3" xfId="11300" xr:uid="{58089404-C939-4592-978D-EED2EED55A24}"/>
    <cellStyle name="40% - Accent5 19 3 2" xfId="26713" xr:uid="{156AA4EF-D921-4C32-8C0D-51AE4BADACDE}"/>
    <cellStyle name="40% - Accent5 19 3 2 2" xfId="42649" xr:uid="{4DCC37AF-8DE8-4DEE-B1BF-2B1635232DDD}"/>
    <cellStyle name="40% - Accent5 19 3 3" xfId="42648" xr:uid="{E7E95B71-ADAE-4B4E-A6DB-FD6F60FAC89B}"/>
    <cellStyle name="40% - Accent5 19 4" xfId="19008" xr:uid="{5850DAF6-E1A2-4B81-BE99-0665FE6FF83F}"/>
    <cellStyle name="40% - Accent5 19 4 2" xfId="42650" xr:uid="{DE62DF60-AF1B-42E1-8DF3-15255CDE6AFE}"/>
    <cellStyle name="40% - Accent5 19 5" xfId="42643" xr:uid="{9C0AF17E-55A1-4DB8-91B9-BB39B0A94405}"/>
    <cellStyle name="40% - Accent5 2" xfId="85" xr:uid="{9BB45D14-CCBC-47ED-BEDD-61FD3F0ED6A7}"/>
    <cellStyle name="40% - Accent5 2 10" xfId="42651" xr:uid="{5BCCA091-A001-4D71-B8C7-D66B705CCB20}"/>
    <cellStyle name="40% - Accent5 2 2" xfId="149" xr:uid="{E0F9FE97-12BB-4FAA-BC01-AE679A84CA2D}"/>
    <cellStyle name="40% - Accent5 2 2 2" xfId="212" xr:uid="{7B1F3F9A-48C2-4E56-B0FF-6188D34456C9}"/>
    <cellStyle name="40% - Accent5 2 2 2 2" xfId="417" xr:uid="{33B2EBD1-9A90-4F44-9842-3A6FBBF9BDA0}"/>
    <cellStyle name="40% - Accent5 2 2 2 2 2" xfId="1079" xr:uid="{EC370539-4FC9-4387-ABAA-08304B92787F}"/>
    <cellStyle name="40% - Accent5 2 2 2 2 2 2" xfId="2547" xr:uid="{C5073676-C156-4120-BB4F-A30691BB88F9}"/>
    <cellStyle name="40% - Accent5 2 2 2 2 2 2 2" xfId="6279" xr:uid="{CC913FBB-35EC-4489-9024-84D3F6674D32}"/>
    <cellStyle name="40% - Accent5 2 2 2 2 2 2 2 2" xfId="13987" xr:uid="{ACE9D2BB-650E-4DD8-AD15-EE5B396BD69E}"/>
    <cellStyle name="40% - Accent5 2 2 2 2 2 2 2 2 2" xfId="29399" xr:uid="{4791DE21-453B-4EAC-9373-DE7DC297FD5C}"/>
    <cellStyle name="40% - Accent5 2 2 2 2 2 2 2 2 2 2" xfId="42659" xr:uid="{48934DF3-F33D-455C-88F5-41D3D47DFED8}"/>
    <cellStyle name="40% - Accent5 2 2 2 2 2 2 2 2 3" xfId="42658" xr:uid="{73187C8B-FC00-4AD9-9491-C70B0EF4D628}"/>
    <cellStyle name="40% - Accent5 2 2 2 2 2 2 2 3" xfId="21694" xr:uid="{C9DC1233-6011-497A-8B7C-D58060ED7ABC}"/>
    <cellStyle name="40% - Accent5 2 2 2 2 2 2 2 3 2" xfId="42660" xr:uid="{2A125515-4AAC-4245-A463-52E48BD3CC78}"/>
    <cellStyle name="40% - Accent5 2 2 2 2 2 2 2 4" xfId="42657" xr:uid="{CB716B20-F74B-4039-A715-6893E28BD7B9}"/>
    <cellStyle name="40% - Accent5 2 2 2 2 2 2 3" xfId="10258" xr:uid="{58A6F547-39E2-45DE-8EEF-6116B2EE5DE3}"/>
    <cellStyle name="40% - Accent5 2 2 2 2 2 2 3 2" xfId="25671" xr:uid="{B5BDEEEF-87FF-4BC7-A30C-C12B157F260D}"/>
    <cellStyle name="40% - Accent5 2 2 2 2 2 2 3 2 2" xfId="42662" xr:uid="{40CD3A1A-B123-4897-937D-29718B9D74FA}"/>
    <cellStyle name="40% - Accent5 2 2 2 2 2 2 3 3" xfId="42661" xr:uid="{62BB409C-7AF6-4376-827C-A7F0D1AC3043}"/>
    <cellStyle name="40% - Accent5 2 2 2 2 2 2 4" xfId="17966" xr:uid="{F1BA6620-6686-4257-A107-F1AE4A9BE11D}"/>
    <cellStyle name="40% - Accent5 2 2 2 2 2 2 4 2" xfId="42663" xr:uid="{371856FC-D606-4594-A2EE-9938659CDCBF}"/>
    <cellStyle name="40% - Accent5 2 2 2 2 2 2 5" xfId="42656" xr:uid="{6433D2F0-F7DD-425C-8E1C-543F824A1501}"/>
    <cellStyle name="40% - Accent5 2 2 2 2 2 3" xfId="4816" xr:uid="{BB6638B4-CEBB-4DD8-9892-E1FF8E2FE312}"/>
    <cellStyle name="40% - Accent5 2 2 2 2 2 3 2" xfId="12524" xr:uid="{3C3EB2A3-A54B-471F-9D11-E3636B863051}"/>
    <cellStyle name="40% - Accent5 2 2 2 2 2 3 2 2" xfId="27936" xr:uid="{602A0443-151D-42EE-B053-650E035F02FA}"/>
    <cellStyle name="40% - Accent5 2 2 2 2 2 3 2 2 2" xfId="42666" xr:uid="{A39BAB39-7F70-41B5-B98A-C6EA5F3BB18A}"/>
    <cellStyle name="40% - Accent5 2 2 2 2 2 3 2 3" xfId="42665" xr:uid="{1347CF80-D5F4-43EA-930A-05C6AAD291B3}"/>
    <cellStyle name="40% - Accent5 2 2 2 2 2 3 3" xfId="20231" xr:uid="{7F453161-406B-4155-99C5-39BF9D2E8A9F}"/>
    <cellStyle name="40% - Accent5 2 2 2 2 2 3 3 2" xfId="42667" xr:uid="{C65FCC23-43C5-4882-B07E-61B132D7D06A}"/>
    <cellStyle name="40% - Accent5 2 2 2 2 2 3 4" xfId="42664" xr:uid="{EF5B273B-11F0-4B3A-AE2B-B8F4497E3FCB}"/>
    <cellStyle name="40% - Accent5 2 2 2 2 2 4" xfId="8799" xr:uid="{A3461125-7400-4572-8620-2BCD3C0D3BF0}"/>
    <cellStyle name="40% - Accent5 2 2 2 2 2 4 2" xfId="24212" xr:uid="{4474562C-2D40-419B-94A5-A7DC13CE82BD}"/>
    <cellStyle name="40% - Accent5 2 2 2 2 2 4 2 2" xfId="42669" xr:uid="{61892C4D-4242-467B-A6BC-9650E6E6144F}"/>
    <cellStyle name="40% - Accent5 2 2 2 2 2 4 3" xfId="42668" xr:uid="{2E6B0147-A7A9-4D10-B3F2-A8BDACD8AA3D}"/>
    <cellStyle name="40% - Accent5 2 2 2 2 2 5" xfId="16507" xr:uid="{8D730FF3-830F-4EAC-A00A-FC2960944380}"/>
    <cellStyle name="40% - Accent5 2 2 2 2 2 5 2" xfId="42670" xr:uid="{430D7668-A404-4A8C-9693-FBB126CD20B4}"/>
    <cellStyle name="40% - Accent5 2 2 2 2 2 6" xfId="42655" xr:uid="{BDB3C036-1537-4D66-901B-024E9B1B34EE}"/>
    <cellStyle name="40% - Accent5 2 2 2 2 3" xfId="1909" xr:uid="{DCF60D60-D0F7-44CA-A4DA-CEF4DEDCEE52}"/>
    <cellStyle name="40% - Accent5 2 2 2 2 3 2" xfId="5641" xr:uid="{E9B54AA9-DC60-4B24-8680-BC4FC43DB86B}"/>
    <cellStyle name="40% - Accent5 2 2 2 2 3 2 2" xfId="13349" xr:uid="{25F2CD5A-5DE2-4992-BBA5-A7DD61B4592B}"/>
    <cellStyle name="40% - Accent5 2 2 2 2 3 2 2 2" xfId="28761" xr:uid="{652A1DDC-DFFF-4DA1-81A6-5CC1AAB6D546}"/>
    <cellStyle name="40% - Accent5 2 2 2 2 3 2 2 2 2" xfId="42674" xr:uid="{135AAE29-9488-4303-A8B6-94542B609288}"/>
    <cellStyle name="40% - Accent5 2 2 2 2 3 2 2 3" xfId="42673" xr:uid="{2E0164C2-C4B1-482B-8639-77F733E70DA1}"/>
    <cellStyle name="40% - Accent5 2 2 2 2 3 2 3" xfId="21056" xr:uid="{1F0820A3-F703-4925-B52B-EC206894DBAC}"/>
    <cellStyle name="40% - Accent5 2 2 2 2 3 2 3 2" xfId="42675" xr:uid="{946022C8-6908-4011-9D34-06A3E765BE89}"/>
    <cellStyle name="40% - Accent5 2 2 2 2 3 2 4" xfId="42672" xr:uid="{964A15E3-5F7E-41C3-8DF3-09AC3165894D}"/>
    <cellStyle name="40% - Accent5 2 2 2 2 3 3" xfId="9620" xr:uid="{7C0984CD-F2C8-471D-A806-0D26919AA819}"/>
    <cellStyle name="40% - Accent5 2 2 2 2 3 3 2" xfId="25033" xr:uid="{360DC5FB-A887-483A-8E1E-676FAD13EA2C}"/>
    <cellStyle name="40% - Accent5 2 2 2 2 3 3 2 2" xfId="42677" xr:uid="{329EAD58-D909-4679-ADD6-62457C42B690}"/>
    <cellStyle name="40% - Accent5 2 2 2 2 3 3 3" xfId="42676" xr:uid="{05DE72FB-C720-4215-824D-3933B144EF28}"/>
    <cellStyle name="40% - Accent5 2 2 2 2 3 4" xfId="17328" xr:uid="{D6576917-1B81-4504-8151-01AB2890A9D3}"/>
    <cellStyle name="40% - Accent5 2 2 2 2 3 4 2" xfId="42678" xr:uid="{D78CD117-029B-4B0A-A42F-5A395002AA71}"/>
    <cellStyle name="40% - Accent5 2 2 2 2 3 5" xfId="42671" xr:uid="{CF00097A-95C5-4CB1-96AE-F60DBA4860E5}"/>
    <cellStyle name="40% - Accent5 2 2 2 2 4" xfId="4164" xr:uid="{A6E972E1-8D2F-4FAE-9EB4-6BBD3CA3748D}"/>
    <cellStyle name="40% - Accent5 2 2 2 2 4 2" xfId="11872" xr:uid="{98F9EAA9-161A-4C03-AFF2-360B9E4A9F7B}"/>
    <cellStyle name="40% - Accent5 2 2 2 2 4 2 2" xfId="27284" xr:uid="{A12490DD-10B4-4F1A-93E5-F04472F0AC03}"/>
    <cellStyle name="40% - Accent5 2 2 2 2 4 2 2 2" xfId="42681" xr:uid="{2090AAE1-9B24-4810-A46F-34B2483E0E6A}"/>
    <cellStyle name="40% - Accent5 2 2 2 2 4 2 3" xfId="42680" xr:uid="{A5AC9875-AE74-4A53-ACED-CC3BBA6BAB6D}"/>
    <cellStyle name="40% - Accent5 2 2 2 2 4 3" xfId="19579" xr:uid="{3A024718-F324-439C-9EBA-2D1FE5D2F220}"/>
    <cellStyle name="40% - Accent5 2 2 2 2 4 3 2" xfId="42682" xr:uid="{5DE6495C-0CB0-4F7D-846D-CDA701ECA291}"/>
    <cellStyle name="40% - Accent5 2 2 2 2 4 4" xfId="42679" xr:uid="{BD40C422-2186-41A0-93E0-2DCB696ED4D0}"/>
    <cellStyle name="40% - Accent5 2 2 2 2 5" xfId="8161" xr:uid="{49880FEA-30C6-4380-8FAA-A42DA3C220D0}"/>
    <cellStyle name="40% - Accent5 2 2 2 2 5 2" xfId="23574" xr:uid="{20539F65-BFB0-4C49-904D-56E0C4B4C089}"/>
    <cellStyle name="40% - Accent5 2 2 2 2 5 2 2" xfId="42684" xr:uid="{1BC669F6-4986-4DCA-A8A5-E6F69BD78F79}"/>
    <cellStyle name="40% - Accent5 2 2 2 2 5 3" xfId="42683" xr:uid="{79E80D04-BE95-441A-AECC-F9933DBCA582}"/>
    <cellStyle name="40% - Accent5 2 2 2 2 6" xfId="15869" xr:uid="{BDD99F55-9E23-4898-A7FD-2B26A01AB9B5}"/>
    <cellStyle name="40% - Accent5 2 2 2 2 6 2" xfId="42685" xr:uid="{4271D5B3-21D4-4DB4-8B2F-D0B8616BC7A4}"/>
    <cellStyle name="40% - Accent5 2 2 2 2 7" xfId="42654" xr:uid="{70377C41-0F69-4976-BDBC-57469B032E19}"/>
    <cellStyle name="40% - Accent5 2 2 2 3" xfId="878" xr:uid="{7B7F66A2-A02E-4707-B335-9191CB1F8787}"/>
    <cellStyle name="40% - Accent5 2 2 2 3 2" xfId="2349" xr:uid="{12D783C0-9E34-41A5-A9C2-2B7F4B94858B}"/>
    <cellStyle name="40% - Accent5 2 2 2 3 2 2" xfId="6081" xr:uid="{803355E1-04E5-4B5B-9A34-F04C29AFE3C5}"/>
    <cellStyle name="40% - Accent5 2 2 2 3 2 2 2" xfId="13789" xr:uid="{9AB178C1-6430-4517-ABEE-8CC35BB96865}"/>
    <cellStyle name="40% - Accent5 2 2 2 3 2 2 2 2" xfId="29201" xr:uid="{D2D7E848-FBA3-4689-95ED-510D4526D3B6}"/>
    <cellStyle name="40% - Accent5 2 2 2 3 2 2 2 2 2" xfId="42690" xr:uid="{EE18007D-EBAB-43DA-A0FD-D0C5BA98ED12}"/>
    <cellStyle name="40% - Accent5 2 2 2 3 2 2 2 3" xfId="42689" xr:uid="{355B79E9-65D1-488A-9B85-6502DABCC425}"/>
    <cellStyle name="40% - Accent5 2 2 2 3 2 2 3" xfId="21496" xr:uid="{A8A88A58-A76D-4969-BA0B-A3C39ADEB013}"/>
    <cellStyle name="40% - Accent5 2 2 2 3 2 2 3 2" xfId="42691" xr:uid="{3BF5C083-51E4-4918-BDFA-338DC2732286}"/>
    <cellStyle name="40% - Accent5 2 2 2 3 2 2 4" xfId="42688" xr:uid="{D177B4D5-3065-4F98-B3B1-6F633B204B60}"/>
    <cellStyle name="40% - Accent5 2 2 2 3 2 3" xfId="10060" xr:uid="{BB4F69B9-E554-4821-9A61-18050BD0B3C9}"/>
    <cellStyle name="40% - Accent5 2 2 2 3 2 3 2" xfId="25473" xr:uid="{DB7E1438-B2E0-4E93-BEE2-EE7F0FB60C85}"/>
    <cellStyle name="40% - Accent5 2 2 2 3 2 3 2 2" xfId="42693" xr:uid="{3D0D975D-55A4-4834-848C-AE04CA5CE02A}"/>
    <cellStyle name="40% - Accent5 2 2 2 3 2 3 3" xfId="42692" xr:uid="{AF140C8D-C064-4E17-BA7B-2DE7A1B9D0C7}"/>
    <cellStyle name="40% - Accent5 2 2 2 3 2 4" xfId="17768" xr:uid="{134C90C0-3E45-437B-B32B-899848F9DF92}"/>
    <cellStyle name="40% - Accent5 2 2 2 3 2 4 2" xfId="42694" xr:uid="{348FD22E-B0FE-4EB8-98F9-688C093FD25F}"/>
    <cellStyle name="40% - Accent5 2 2 2 3 2 5" xfId="42687" xr:uid="{E125C42E-A7D7-4CC1-8B26-9DCCBBA78635}"/>
    <cellStyle name="40% - Accent5 2 2 2 3 3" xfId="4615" xr:uid="{829E6D52-4444-45EA-8BB0-21D08BB95E1B}"/>
    <cellStyle name="40% - Accent5 2 2 2 3 3 2" xfId="12323" xr:uid="{147F89D5-C776-44F1-BE96-BCDAA8A0C177}"/>
    <cellStyle name="40% - Accent5 2 2 2 3 3 2 2" xfId="27735" xr:uid="{455F5308-5BDF-45BB-B7E4-73B5112CC2BF}"/>
    <cellStyle name="40% - Accent5 2 2 2 3 3 2 2 2" xfId="42697" xr:uid="{AF2D6019-6790-4AD8-9275-10CEE15FBABE}"/>
    <cellStyle name="40% - Accent5 2 2 2 3 3 2 3" xfId="42696" xr:uid="{8E327419-D758-4401-9B0A-C6098F62F2C5}"/>
    <cellStyle name="40% - Accent5 2 2 2 3 3 3" xfId="20030" xr:uid="{C15AB2D2-174E-4906-8739-730E25100B0F}"/>
    <cellStyle name="40% - Accent5 2 2 2 3 3 3 2" xfId="42698" xr:uid="{443278F6-007C-4D31-8063-0FAF465E0F19}"/>
    <cellStyle name="40% - Accent5 2 2 2 3 3 4" xfId="42695" xr:uid="{9C587B57-B684-4ED9-BCAF-723B7E508999}"/>
    <cellStyle name="40% - Accent5 2 2 2 3 4" xfId="8601" xr:uid="{A7669907-74A7-4508-9550-4024AE3012A7}"/>
    <cellStyle name="40% - Accent5 2 2 2 3 4 2" xfId="24014" xr:uid="{ABA7CE68-38AB-4F42-8C3B-284C51A2F36A}"/>
    <cellStyle name="40% - Accent5 2 2 2 3 4 2 2" xfId="42700" xr:uid="{3051EAC1-A91A-441E-9F0F-C4FF1A7E019F}"/>
    <cellStyle name="40% - Accent5 2 2 2 3 4 3" xfId="42699" xr:uid="{AF6544DB-0DA5-45A8-8399-9FA8F8F331AD}"/>
    <cellStyle name="40% - Accent5 2 2 2 3 5" xfId="16309" xr:uid="{1A87B8E4-85A0-470B-858D-FDDAB4A89143}"/>
    <cellStyle name="40% - Accent5 2 2 2 3 5 2" xfId="42701" xr:uid="{FFF75948-C879-4634-B20F-01E714D97802}"/>
    <cellStyle name="40% - Accent5 2 2 2 3 6" xfId="42686" xr:uid="{10F4AE49-8AFE-4566-9099-B53F00764A35}"/>
    <cellStyle name="40% - Accent5 2 2 2 4" xfId="1711" xr:uid="{709122F0-034B-4C61-A6FE-E17B241ED06E}"/>
    <cellStyle name="40% - Accent5 2 2 2 4 2" xfId="5443" xr:uid="{25D6A800-52E6-45B4-901E-2957EF6BBC4D}"/>
    <cellStyle name="40% - Accent5 2 2 2 4 2 2" xfId="13151" xr:uid="{9C85B538-B33C-49C1-A744-D31EFAAAE839}"/>
    <cellStyle name="40% - Accent5 2 2 2 4 2 2 2" xfId="28563" xr:uid="{2B63B086-22A7-4FB9-AD09-41ECA9B9F62C}"/>
    <cellStyle name="40% - Accent5 2 2 2 4 2 2 2 2" xfId="42705" xr:uid="{56F814E7-6149-41A5-97BD-AFF214079EA7}"/>
    <cellStyle name="40% - Accent5 2 2 2 4 2 2 3" xfId="42704" xr:uid="{EBAD75A0-7F09-4F09-9898-3529A9F95AB5}"/>
    <cellStyle name="40% - Accent5 2 2 2 4 2 3" xfId="20858" xr:uid="{53DDC728-1E42-4C25-9F43-074DA2905CA8}"/>
    <cellStyle name="40% - Accent5 2 2 2 4 2 3 2" xfId="42706" xr:uid="{D26DD2E9-97CC-4491-B1C8-11A201D9643B}"/>
    <cellStyle name="40% - Accent5 2 2 2 4 2 4" xfId="42703" xr:uid="{E57213BD-CC3E-46DD-9EC7-D694F0DEF43D}"/>
    <cellStyle name="40% - Accent5 2 2 2 4 3" xfId="9422" xr:uid="{3987E984-8892-4839-9E28-1D107B0540FA}"/>
    <cellStyle name="40% - Accent5 2 2 2 4 3 2" xfId="24835" xr:uid="{B1307B22-8C86-454D-A250-8E6E4DE05D4B}"/>
    <cellStyle name="40% - Accent5 2 2 2 4 3 2 2" xfId="42708" xr:uid="{EFED6129-5505-43CB-B127-49B935982EDE}"/>
    <cellStyle name="40% - Accent5 2 2 2 4 3 3" xfId="42707" xr:uid="{D90441A9-A36A-4117-8536-9EB27B754B02}"/>
    <cellStyle name="40% - Accent5 2 2 2 4 4" xfId="17130" xr:uid="{446A89BD-F958-4AB6-A05F-0FA15CD321EC}"/>
    <cellStyle name="40% - Accent5 2 2 2 4 4 2" xfId="42709" xr:uid="{EF26783C-1577-4DA0-A610-E39D26400C3E}"/>
    <cellStyle name="40% - Accent5 2 2 2 4 5" xfId="42702" xr:uid="{83838B2A-8DFE-4B68-BBA6-5B0C3FACD149}"/>
    <cellStyle name="40% - Accent5 2 2 2 5" xfId="3963" xr:uid="{F9AD7F1F-D7D8-4555-8C92-FAC0ED3CC1B0}"/>
    <cellStyle name="40% - Accent5 2 2 2 5 2" xfId="11671" xr:uid="{5E7C923E-5F2A-4844-8AA4-3BC21DE1B873}"/>
    <cellStyle name="40% - Accent5 2 2 2 5 2 2" xfId="27083" xr:uid="{1CFEF98D-4E57-4D2B-B4B1-0B2BACA02720}"/>
    <cellStyle name="40% - Accent5 2 2 2 5 2 2 2" xfId="42712" xr:uid="{A624DEFF-B783-4A43-B13F-94605518A96A}"/>
    <cellStyle name="40% - Accent5 2 2 2 5 2 3" xfId="42711" xr:uid="{36D6D393-60B3-45D1-9E0A-33FCCF7D67A6}"/>
    <cellStyle name="40% - Accent5 2 2 2 5 3" xfId="19378" xr:uid="{0CBFC7C7-9A8A-419F-940B-B7E4ADFCC6C1}"/>
    <cellStyle name="40% - Accent5 2 2 2 5 3 2" xfId="42713" xr:uid="{2DD3C7AC-7969-4023-B2FC-FB0ECA65EAF9}"/>
    <cellStyle name="40% - Accent5 2 2 2 5 4" xfId="42710" xr:uid="{D351DD3B-C4BC-494C-86D4-2D1C6ED9E6C7}"/>
    <cellStyle name="40% - Accent5 2 2 2 6" xfId="7963" xr:uid="{4AAD2729-6487-43BE-BEEE-836675251850}"/>
    <cellStyle name="40% - Accent5 2 2 2 6 2" xfId="23376" xr:uid="{A0403F72-3A8C-4081-AD62-6DED5E7E9326}"/>
    <cellStyle name="40% - Accent5 2 2 2 6 2 2" xfId="42715" xr:uid="{834C7825-C910-44BE-BE3C-ED5A6522977E}"/>
    <cellStyle name="40% - Accent5 2 2 2 6 3" xfId="42714" xr:uid="{CC574B77-376A-429D-BE48-FF8D1EA9210C}"/>
    <cellStyle name="40% - Accent5 2 2 2 7" xfId="15671" xr:uid="{1C0E25D1-E0CF-4139-B38B-BDF7AA6DC0CA}"/>
    <cellStyle name="40% - Accent5 2 2 2 7 2" xfId="42716" xr:uid="{0C4DFF07-4DB4-458E-A6ED-464571ED174C}"/>
    <cellStyle name="40% - Accent5 2 2 2 8" xfId="42653" xr:uid="{A34FC4CD-6141-4740-9719-47E89A1113C7}"/>
    <cellStyle name="40% - Accent5 2 2 3" xfId="366" xr:uid="{6631648B-EBC0-43F6-8E12-80AFCE1D9BE1}"/>
    <cellStyle name="40% - Accent5 2 2 3 2" xfId="1028" xr:uid="{CAE00D13-064F-4A1F-9674-3F27A36F3D6D}"/>
    <cellStyle name="40% - Accent5 2 2 3 2 2" xfId="2497" xr:uid="{84452CF8-B5D4-44B8-BBD6-7406DE9856E3}"/>
    <cellStyle name="40% - Accent5 2 2 3 2 2 2" xfId="6229" xr:uid="{87FCEA4C-DB20-4E13-BD0C-26904A59C949}"/>
    <cellStyle name="40% - Accent5 2 2 3 2 2 2 2" xfId="13937" xr:uid="{FEA620F0-EFBB-4913-A263-8EF9A22BC663}"/>
    <cellStyle name="40% - Accent5 2 2 3 2 2 2 2 2" xfId="29349" xr:uid="{19C9CDB7-553F-4C82-8A03-A9BA76029562}"/>
    <cellStyle name="40% - Accent5 2 2 3 2 2 2 2 2 2" xfId="42722" xr:uid="{677B8203-2C62-4261-A6FB-9894EDDA830C}"/>
    <cellStyle name="40% - Accent5 2 2 3 2 2 2 2 3" xfId="42721" xr:uid="{59F29BFD-5D11-4684-80B5-04D9C46AD26C}"/>
    <cellStyle name="40% - Accent5 2 2 3 2 2 2 3" xfId="21644" xr:uid="{B47B9E53-4667-4DA1-8FBE-C083C5542FA3}"/>
    <cellStyle name="40% - Accent5 2 2 3 2 2 2 3 2" xfId="42723" xr:uid="{75F92370-5FAA-4DBF-9F1A-FE597685BFBC}"/>
    <cellStyle name="40% - Accent5 2 2 3 2 2 2 4" xfId="42720" xr:uid="{5EBD87E7-AC47-40A0-B33B-70E3F38F9F7E}"/>
    <cellStyle name="40% - Accent5 2 2 3 2 2 3" xfId="10208" xr:uid="{48FE78E6-B999-4B35-81AD-4D947C1F7D1E}"/>
    <cellStyle name="40% - Accent5 2 2 3 2 2 3 2" xfId="25621" xr:uid="{B1A46F89-5719-4401-AD74-C7153D0567B4}"/>
    <cellStyle name="40% - Accent5 2 2 3 2 2 3 2 2" xfId="42725" xr:uid="{A92E0AA7-7B4D-4884-92D9-C3AE979D3C19}"/>
    <cellStyle name="40% - Accent5 2 2 3 2 2 3 3" xfId="42724" xr:uid="{38F19CE5-D17F-49EE-A645-2448EFEC922B}"/>
    <cellStyle name="40% - Accent5 2 2 3 2 2 4" xfId="17916" xr:uid="{921B48BF-2CB0-4659-91E9-CF2B3696247A}"/>
    <cellStyle name="40% - Accent5 2 2 3 2 2 4 2" xfId="42726" xr:uid="{B2727204-C148-4959-AF2D-1A9863436FCB}"/>
    <cellStyle name="40% - Accent5 2 2 3 2 2 5" xfId="42719" xr:uid="{61AAA4DC-9F9A-4650-9BB1-B4D1E3C5B452}"/>
    <cellStyle name="40% - Accent5 2 2 3 2 3" xfId="4765" xr:uid="{CC4E0A0F-03AF-435F-A409-88577E659352}"/>
    <cellStyle name="40% - Accent5 2 2 3 2 3 2" xfId="12473" xr:uid="{030FDA3E-7D6A-41AD-9176-165A074532EF}"/>
    <cellStyle name="40% - Accent5 2 2 3 2 3 2 2" xfId="27885" xr:uid="{04639EC1-D9AE-47A9-851B-36B2EDC6D8B3}"/>
    <cellStyle name="40% - Accent5 2 2 3 2 3 2 2 2" xfId="42729" xr:uid="{FE4026FC-756A-4F68-8472-14A9F19DF405}"/>
    <cellStyle name="40% - Accent5 2 2 3 2 3 2 3" xfId="42728" xr:uid="{0C32E9BA-498C-477C-8F12-2B9679D91426}"/>
    <cellStyle name="40% - Accent5 2 2 3 2 3 3" xfId="20180" xr:uid="{92A46BC7-1B6B-4FEA-AFEC-C7DEF3BE839A}"/>
    <cellStyle name="40% - Accent5 2 2 3 2 3 3 2" xfId="42730" xr:uid="{2F2080D3-D70D-4B47-A6E7-712C3C2C8981}"/>
    <cellStyle name="40% - Accent5 2 2 3 2 3 4" xfId="42727" xr:uid="{86B6324E-4356-41C2-82CC-5000EBF78D92}"/>
    <cellStyle name="40% - Accent5 2 2 3 2 4" xfId="8749" xr:uid="{F33947AB-B1BD-4364-BACC-EFD93C8358CB}"/>
    <cellStyle name="40% - Accent5 2 2 3 2 4 2" xfId="24162" xr:uid="{F475EAFC-9C8D-48D2-AF64-8E14FA593404}"/>
    <cellStyle name="40% - Accent5 2 2 3 2 4 2 2" xfId="42732" xr:uid="{4DB1B391-B3E0-43A4-8C63-E22A46BF3F6D}"/>
    <cellStyle name="40% - Accent5 2 2 3 2 4 3" xfId="42731" xr:uid="{A2937986-2D74-481C-B85E-88D07F0E74F8}"/>
    <cellStyle name="40% - Accent5 2 2 3 2 5" xfId="16457" xr:uid="{3DF7DF3F-B136-4E49-ADE3-BBB0B11C738B}"/>
    <cellStyle name="40% - Accent5 2 2 3 2 5 2" xfId="42733" xr:uid="{689271DE-74D3-4CC2-9D61-3618E9A608C9}"/>
    <cellStyle name="40% - Accent5 2 2 3 2 6" xfId="42718" xr:uid="{82CD0534-B585-4B28-83A2-E2607C9043E1}"/>
    <cellStyle name="40% - Accent5 2 2 3 3" xfId="1859" xr:uid="{3CE62DF9-EA09-4687-9236-A007FFE06E19}"/>
    <cellStyle name="40% - Accent5 2 2 3 3 2" xfId="5591" xr:uid="{A02902CD-0E3A-4F79-9A61-C5F49C05A14F}"/>
    <cellStyle name="40% - Accent5 2 2 3 3 2 2" xfId="13299" xr:uid="{A5344D1B-4655-4606-947C-D046A9FC84AC}"/>
    <cellStyle name="40% - Accent5 2 2 3 3 2 2 2" xfId="28711" xr:uid="{4EF24363-E041-4A69-93EF-CB252349EE8E}"/>
    <cellStyle name="40% - Accent5 2 2 3 3 2 2 2 2" xfId="42737" xr:uid="{3093ED09-3F5B-438B-BF5B-EDACC174D628}"/>
    <cellStyle name="40% - Accent5 2 2 3 3 2 2 3" xfId="42736" xr:uid="{AC587DCC-20CB-47AE-B294-312185A85929}"/>
    <cellStyle name="40% - Accent5 2 2 3 3 2 3" xfId="21006" xr:uid="{312B930C-9181-4DCE-BEDF-8E6239C62E1C}"/>
    <cellStyle name="40% - Accent5 2 2 3 3 2 3 2" xfId="42738" xr:uid="{A08584BC-C7F7-452B-93CD-06E18C96AC3B}"/>
    <cellStyle name="40% - Accent5 2 2 3 3 2 4" xfId="42735" xr:uid="{422C71C7-3FE3-4CBB-890A-C277A4FB1442}"/>
    <cellStyle name="40% - Accent5 2 2 3 3 3" xfId="9570" xr:uid="{F730079E-9A75-468B-B5B4-220378A2997F}"/>
    <cellStyle name="40% - Accent5 2 2 3 3 3 2" xfId="24983" xr:uid="{2B6971C8-A55A-4C8B-9704-88140839C29E}"/>
    <cellStyle name="40% - Accent5 2 2 3 3 3 2 2" xfId="42740" xr:uid="{7EE6A792-471E-47C4-A571-84942D96DCC9}"/>
    <cellStyle name="40% - Accent5 2 2 3 3 3 3" xfId="42739" xr:uid="{87414990-F625-49E1-A004-7FAAE2164EDD}"/>
    <cellStyle name="40% - Accent5 2 2 3 3 4" xfId="17278" xr:uid="{CF74FE8F-CBD0-4399-9E08-D00CE93C8151}"/>
    <cellStyle name="40% - Accent5 2 2 3 3 4 2" xfId="42741" xr:uid="{871B84CF-F0BE-4AC2-A336-45EF1C592906}"/>
    <cellStyle name="40% - Accent5 2 2 3 3 5" xfId="42734" xr:uid="{E6CE1872-88AF-4878-A11D-0FF90E3D3B21}"/>
    <cellStyle name="40% - Accent5 2 2 3 4" xfId="4113" xr:uid="{638A6385-09BB-45A7-8D3B-218B8E5013C4}"/>
    <cellStyle name="40% - Accent5 2 2 3 4 2" xfId="11821" xr:uid="{A8C08A0B-E990-496B-BB71-0E344139B83C}"/>
    <cellStyle name="40% - Accent5 2 2 3 4 2 2" xfId="27233" xr:uid="{E7277D8A-0D9D-41BC-A28A-C10CBA781940}"/>
    <cellStyle name="40% - Accent5 2 2 3 4 2 2 2" xfId="42744" xr:uid="{E20AC0C6-E8EA-4100-B0D3-A0CA3F626E96}"/>
    <cellStyle name="40% - Accent5 2 2 3 4 2 3" xfId="42743" xr:uid="{B1B276D4-3CAB-48E9-86EB-4948C0EA65E1}"/>
    <cellStyle name="40% - Accent5 2 2 3 4 3" xfId="19528" xr:uid="{2D29F878-DD2B-402C-8F1B-0A425102A99F}"/>
    <cellStyle name="40% - Accent5 2 2 3 4 3 2" xfId="42745" xr:uid="{C1E24E77-7E43-450A-ACA6-94A03730D279}"/>
    <cellStyle name="40% - Accent5 2 2 3 4 4" xfId="42742" xr:uid="{0FD6E8E9-D833-43F6-80D0-DB61024FD599}"/>
    <cellStyle name="40% - Accent5 2 2 3 5" xfId="8111" xr:uid="{D42E519E-22D0-498D-9631-D1CD7F732705}"/>
    <cellStyle name="40% - Accent5 2 2 3 5 2" xfId="23524" xr:uid="{652D4F79-EA5A-4A56-897B-249B53068121}"/>
    <cellStyle name="40% - Accent5 2 2 3 5 2 2" xfId="42747" xr:uid="{1211F8B5-CC01-4F22-8FFE-D84723DE2893}"/>
    <cellStyle name="40% - Accent5 2 2 3 5 3" xfId="42746" xr:uid="{568A330A-F79C-466F-857F-6FE2A52AF750}"/>
    <cellStyle name="40% - Accent5 2 2 3 6" xfId="15819" xr:uid="{F3C7B82C-551B-4C06-A490-925CCF3F667D}"/>
    <cellStyle name="40% - Accent5 2 2 3 6 2" xfId="42748" xr:uid="{459E0190-8190-43A1-9531-B9AAC9AD8A5C}"/>
    <cellStyle name="40% - Accent5 2 2 3 7" xfId="42717" xr:uid="{DA282FA7-4EA9-4343-B1B0-E3E963376011}"/>
    <cellStyle name="40% - Accent5 2 2 4" xfId="822" xr:uid="{E36C18D6-05A3-4CAD-92A1-6675712FCE58}"/>
    <cellStyle name="40% - Accent5 2 2 4 2" xfId="2299" xr:uid="{445014F7-6065-487B-98FD-78DE7421915F}"/>
    <cellStyle name="40% - Accent5 2 2 4 2 2" xfId="6031" xr:uid="{8BFEA97C-042A-4BCB-99EB-D20FA5390F30}"/>
    <cellStyle name="40% - Accent5 2 2 4 2 2 2" xfId="13739" xr:uid="{CA99B087-2635-4F81-A0F6-100D8E421FFD}"/>
    <cellStyle name="40% - Accent5 2 2 4 2 2 2 2" xfId="29151" xr:uid="{4EE4CC87-1D50-423C-997F-356A10C67D4E}"/>
    <cellStyle name="40% - Accent5 2 2 4 2 2 2 2 2" xfId="42753" xr:uid="{11CFFB07-1F22-4DAA-85B2-2EC9494660CB}"/>
    <cellStyle name="40% - Accent5 2 2 4 2 2 2 3" xfId="42752" xr:uid="{2B1671B6-7C7B-4F5E-8FD6-B4812885AA2F}"/>
    <cellStyle name="40% - Accent5 2 2 4 2 2 3" xfId="21446" xr:uid="{2395A24E-9283-4D83-8F54-BE45068BB69E}"/>
    <cellStyle name="40% - Accent5 2 2 4 2 2 3 2" xfId="42754" xr:uid="{79EC79FB-15B9-45D6-A507-8967A8FDD540}"/>
    <cellStyle name="40% - Accent5 2 2 4 2 2 4" xfId="42751" xr:uid="{55F4BD3D-D822-4211-B8CB-07CB2292F4DD}"/>
    <cellStyle name="40% - Accent5 2 2 4 2 3" xfId="10010" xr:uid="{BE102E9E-49BE-4BF3-A38C-244D19847F8F}"/>
    <cellStyle name="40% - Accent5 2 2 4 2 3 2" xfId="25423" xr:uid="{2814F7E4-F157-4C49-99B4-F7FC769A007B}"/>
    <cellStyle name="40% - Accent5 2 2 4 2 3 2 2" xfId="42756" xr:uid="{AED3986E-09BE-4147-A0AB-9EC016818D2A}"/>
    <cellStyle name="40% - Accent5 2 2 4 2 3 3" xfId="42755" xr:uid="{4642AAE8-4632-4908-89EA-DE8556A8F181}"/>
    <cellStyle name="40% - Accent5 2 2 4 2 4" xfId="17718" xr:uid="{04C35D91-EB6A-445C-98AC-7B22DFB045B7}"/>
    <cellStyle name="40% - Accent5 2 2 4 2 4 2" xfId="42757" xr:uid="{385F5448-0E7C-4522-9F90-853F4EE14A48}"/>
    <cellStyle name="40% - Accent5 2 2 4 2 5" xfId="42750" xr:uid="{AD9DB582-1742-4FEA-B7F8-D766CD35AE24}"/>
    <cellStyle name="40% - Accent5 2 2 4 3" xfId="4559" xr:uid="{B0517C3D-49A5-4BAA-9F1B-5CBCC3887B4A}"/>
    <cellStyle name="40% - Accent5 2 2 4 3 2" xfId="12267" xr:uid="{B17B7BD4-C204-4D7D-872A-CBE182FEB201}"/>
    <cellStyle name="40% - Accent5 2 2 4 3 2 2" xfId="27679" xr:uid="{0FB24E94-B50B-41C5-9AE0-A802081076D7}"/>
    <cellStyle name="40% - Accent5 2 2 4 3 2 2 2" xfId="42760" xr:uid="{180BB52F-A4E2-4085-975F-30811B6EFED1}"/>
    <cellStyle name="40% - Accent5 2 2 4 3 2 3" xfId="42759" xr:uid="{D592E232-61C0-4870-8369-4125BC3A765E}"/>
    <cellStyle name="40% - Accent5 2 2 4 3 3" xfId="19974" xr:uid="{80B8DA51-8837-48CD-818A-F2FE5820C6BD}"/>
    <cellStyle name="40% - Accent5 2 2 4 3 3 2" xfId="42761" xr:uid="{D4D02E05-D691-45C8-AEE5-D3B7A01AB8F8}"/>
    <cellStyle name="40% - Accent5 2 2 4 3 4" xfId="42758" xr:uid="{6EFDD51A-3207-4206-81B2-D9B5BB2FAA17}"/>
    <cellStyle name="40% - Accent5 2 2 4 4" xfId="8551" xr:uid="{93A15543-3A1C-4440-A864-B79627E70B47}"/>
    <cellStyle name="40% - Accent5 2 2 4 4 2" xfId="23964" xr:uid="{10078411-6DE1-4A2B-9DAD-AEA1680CC0CD}"/>
    <cellStyle name="40% - Accent5 2 2 4 4 2 2" xfId="42763" xr:uid="{80BFF323-DE80-4836-A2BC-823434AE60C1}"/>
    <cellStyle name="40% - Accent5 2 2 4 4 3" xfId="42762" xr:uid="{9A20D724-7C19-40A0-B9B2-7E23AF9E2F84}"/>
    <cellStyle name="40% - Accent5 2 2 4 5" xfId="16259" xr:uid="{B26060A0-0FE1-4AE4-B5BD-5CF6B4BD705F}"/>
    <cellStyle name="40% - Accent5 2 2 4 5 2" xfId="42764" xr:uid="{89151C1F-3A09-4545-9B13-4D3DB0A391A1}"/>
    <cellStyle name="40% - Accent5 2 2 4 6" xfId="42749" xr:uid="{7C4770CD-7D00-47F3-BAC5-90C2D4D13D5E}"/>
    <cellStyle name="40% - Accent5 2 2 5" xfId="1660" xr:uid="{913FCDC3-9047-40AE-B07C-AA27912798D4}"/>
    <cellStyle name="40% - Accent5 2 2 5 2" xfId="5392" xr:uid="{70489C74-BC1B-4EB4-9C44-A45D9DF0F01F}"/>
    <cellStyle name="40% - Accent5 2 2 5 2 2" xfId="13100" xr:uid="{520C7863-8940-482C-9A06-ED2C880DD640}"/>
    <cellStyle name="40% - Accent5 2 2 5 2 2 2" xfId="28512" xr:uid="{5865CDE6-7A1F-495D-BC55-371B027701F7}"/>
    <cellStyle name="40% - Accent5 2 2 5 2 2 2 2" xfId="42768" xr:uid="{3556250E-9663-4BBC-982A-62A534ACCAF1}"/>
    <cellStyle name="40% - Accent5 2 2 5 2 2 3" xfId="42767" xr:uid="{DA14C59B-A45C-4A62-92C1-FF5E5B605952}"/>
    <cellStyle name="40% - Accent5 2 2 5 2 3" xfId="20807" xr:uid="{5C552484-FA48-45DF-A37B-F510C80F95DC}"/>
    <cellStyle name="40% - Accent5 2 2 5 2 3 2" xfId="42769" xr:uid="{614B95C3-EAEF-4384-B210-EC57217C2B0C}"/>
    <cellStyle name="40% - Accent5 2 2 5 2 4" xfId="42766" xr:uid="{73A04066-9956-44F0-8A11-935F757E8A59}"/>
    <cellStyle name="40% - Accent5 2 2 5 3" xfId="9372" xr:uid="{68E7DD2F-19A1-435C-A3A2-DBD05F6EE83D}"/>
    <cellStyle name="40% - Accent5 2 2 5 3 2" xfId="24785" xr:uid="{89504F63-5782-4DC4-B821-A065666A6F3E}"/>
    <cellStyle name="40% - Accent5 2 2 5 3 2 2" xfId="42771" xr:uid="{CA5F884C-0CB9-47D4-8448-8B84BB23A62B}"/>
    <cellStyle name="40% - Accent5 2 2 5 3 3" xfId="42770" xr:uid="{B53F92FA-D86B-4838-A981-F80DAFAD9D8C}"/>
    <cellStyle name="40% - Accent5 2 2 5 4" xfId="17080" xr:uid="{6F8B9B7D-5954-4FDE-8581-5A9C7CEBCED6}"/>
    <cellStyle name="40% - Accent5 2 2 5 4 2" xfId="42772" xr:uid="{72798EA3-159C-4157-845B-A2212B3467E7}"/>
    <cellStyle name="40% - Accent5 2 2 5 5" xfId="42765" xr:uid="{F33EA87B-D532-439C-844A-C0C08B90914F}"/>
    <cellStyle name="40% - Accent5 2 2 6" xfId="3907" xr:uid="{1D1E875D-9E22-4C69-BD9E-63AF475ACD06}"/>
    <cellStyle name="40% - Accent5 2 2 6 2" xfId="11615" xr:uid="{BA42A460-F668-4F25-BD12-432D2AA0D5FC}"/>
    <cellStyle name="40% - Accent5 2 2 6 2 2" xfId="27027" xr:uid="{3D90814F-3F27-4D10-8E12-94B4A1776057}"/>
    <cellStyle name="40% - Accent5 2 2 6 2 2 2" xfId="42775" xr:uid="{EFAA6FAD-D840-4A2D-B1B5-70721608CD8F}"/>
    <cellStyle name="40% - Accent5 2 2 6 2 3" xfId="42774" xr:uid="{90237714-3CAC-41FF-AD07-4745321268A7}"/>
    <cellStyle name="40% - Accent5 2 2 6 3" xfId="19322" xr:uid="{05EE05CF-F12D-4606-AC75-D19982B81DCF}"/>
    <cellStyle name="40% - Accent5 2 2 6 3 2" xfId="42776" xr:uid="{3D61CF4A-DEFD-4284-9140-A22971ED82F0}"/>
    <cellStyle name="40% - Accent5 2 2 6 4" xfId="42773" xr:uid="{8DF1CD68-22C7-4E20-9227-C3D9A151A229}"/>
    <cellStyle name="40% - Accent5 2 2 7" xfId="7895" xr:uid="{3FFC14EF-822E-472D-8CF9-5196274CBEA9}"/>
    <cellStyle name="40% - Accent5 2 2 7 2" xfId="23308" xr:uid="{0D08E119-222A-4AF6-BE35-946BDF02399D}"/>
    <cellStyle name="40% - Accent5 2 2 7 2 2" xfId="42778" xr:uid="{27477214-CFBB-4B9D-A22A-27B3A8265874}"/>
    <cellStyle name="40% - Accent5 2 2 7 3" xfId="42777" xr:uid="{33693703-4A2B-4455-AFC4-603BBA17CAE0}"/>
    <cellStyle name="40% - Accent5 2 2 8" xfId="15603" xr:uid="{DBBB535F-C2C8-4D3B-AF1A-03D096B411B0}"/>
    <cellStyle name="40% - Accent5 2 2 8 2" xfId="42779" xr:uid="{338E3408-B842-4F3C-9B06-72E978E3EA39}"/>
    <cellStyle name="40% - Accent5 2 2 9" xfId="42652" xr:uid="{ADE8246A-CC68-4498-8A5A-2922B20B9C70}"/>
    <cellStyle name="40% - Accent5 2 3" xfId="193" xr:uid="{AF394537-5D4F-4624-8AE7-411FD18D5019}"/>
    <cellStyle name="40% - Accent5 2 3 2" xfId="402" xr:uid="{8CD928A7-5435-49F0-8754-4338C7097DC7}"/>
    <cellStyle name="40% - Accent5 2 3 2 2" xfId="1064" xr:uid="{F14F792B-8CDD-4052-9D7F-B6D64E93FC2D}"/>
    <cellStyle name="40% - Accent5 2 3 2 2 2" xfId="2532" xr:uid="{504FC4CC-246B-4AE2-898F-562932692DF9}"/>
    <cellStyle name="40% - Accent5 2 3 2 2 2 2" xfId="6264" xr:uid="{9F22A526-2314-470F-A1F1-4EE8C1F0F61A}"/>
    <cellStyle name="40% - Accent5 2 3 2 2 2 2 2" xfId="13972" xr:uid="{1C38A98C-4EF2-41F6-B47C-1856746591EE}"/>
    <cellStyle name="40% - Accent5 2 3 2 2 2 2 2 2" xfId="29384" xr:uid="{6C8FCE36-E53A-478E-85CF-353C3ECE0E03}"/>
    <cellStyle name="40% - Accent5 2 3 2 2 2 2 2 2 2" xfId="42786" xr:uid="{2E7BE714-D3C7-4DEC-901F-2EC7EE3C4F4C}"/>
    <cellStyle name="40% - Accent5 2 3 2 2 2 2 2 3" xfId="42785" xr:uid="{9FC66086-53D4-4CBF-86D0-F35D716D242B}"/>
    <cellStyle name="40% - Accent5 2 3 2 2 2 2 3" xfId="21679" xr:uid="{7FB2F231-460E-490C-9C59-FA5A4642B7A7}"/>
    <cellStyle name="40% - Accent5 2 3 2 2 2 2 3 2" xfId="42787" xr:uid="{FCA43EE7-CE79-4010-81C6-26E7569E9375}"/>
    <cellStyle name="40% - Accent5 2 3 2 2 2 2 4" xfId="42784" xr:uid="{EE463EE6-F9EB-49B1-A1F4-5559816AFAAA}"/>
    <cellStyle name="40% - Accent5 2 3 2 2 2 3" xfId="10243" xr:uid="{D053A318-21E3-4D6B-9427-EA1516A10825}"/>
    <cellStyle name="40% - Accent5 2 3 2 2 2 3 2" xfId="25656" xr:uid="{C5FA8D09-F8EC-4C5C-B718-514445FCC8CC}"/>
    <cellStyle name="40% - Accent5 2 3 2 2 2 3 2 2" xfId="42789" xr:uid="{556505FF-431F-4DBF-B888-E69F98FD8F1B}"/>
    <cellStyle name="40% - Accent5 2 3 2 2 2 3 3" xfId="42788" xr:uid="{1107F4FB-BE7E-4F84-B356-BFFFD3C21A64}"/>
    <cellStyle name="40% - Accent5 2 3 2 2 2 4" xfId="17951" xr:uid="{99DA5626-71A5-4A9F-8B5E-493F5C1CADEA}"/>
    <cellStyle name="40% - Accent5 2 3 2 2 2 4 2" xfId="42790" xr:uid="{895F4C37-4524-461C-AA29-7D21E9BE0E98}"/>
    <cellStyle name="40% - Accent5 2 3 2 2 2 5" xfId="42783" xr:uid="{C9DF4B65-7E84-45E7-B632-8F961D702844}"/>
    <cellStyle name="40% - Accent5 2 3 2 2 3" xfId="4801" xr:uid="{99362C0E-D18C-477C-AB32-889A1873C9E7}"/>
    <cellStyle name="40% - Accent5 2 3 2 2 3 2" xfId="12509" xr:uid="{525F6C3C-EBDD-4990-AFEC-FAA7D71F9A64}"/>
    <cellStyle name="40% - Accent5 2 3 2 2 3 2 2" xfId="27921" xr:uid="{2053A6DF-4B7D-40F5-B16A-27AC46DE9650}"/>
    <cellStyle name="40% - Accent5 2 3 2 2 3 2 2 2" xfId="42793" xr:uid="{3A41C6B7-68C3-4F08-BF0D-2B45854575FD}"/>
    <cellStyle name="40% - Accent5 2 3 2 2 3 2 3" xfId="42792" xr:uid="{4340BB39-9AB7-44E3-8882-EB0830B7E426}"/>
    <cellStyle name="40% - Accent5 2 3 2 2 3 3" xfId="20216" xr:uid="{C9170067-67FF-4F99-9A6E-57923087B683}"/>
    <cellStyle name="40% - Accent5 2 3 2 2 3 3 2" xfId="42794" xr:uid="{27CDCFE5-75A1-4FA2-8160-3E873F3E3871}"/>
    <cellStyle name="40% - Accent5 2 3 2 2 3 4" xfId="42791" xr:uid="{54D1A2B8-4DA5-4C4E-987B-CA16311D9353}"/>
    <cellStyle name="40% - Accent5 2 3 2 2 4" xfId="8784" xr:uid="{84013EEA-D1C8-4B01-85F8-9C3FD2A6066D}"/>
    <cellStyle name="40% - Accent5 2 3 2 2 4 2" xfId="24197" xr:uid="{2515187E-4A97-4881-9B34-7E3920B96570}"/>
    <cellStyle name="40% - Accent5 2 3 2 2 4 2 2" xfId="42796" xr:uid="{6352465D-9883-4A5E-A768-110AFB1AE4C6}"/>
    <cellStyle name="40% - Accent5 2 3 2 2 4 3" xfId="42795" xr:uid="{A04378A7-F494-475C-9014-20401355DAF2}"/>
    <cellStyle name="40% - Accent5 2 3 2 2 5" xfId="16492" xr:uid="{010657F6-A408-4F60-8482-95323E5E6836}"/>
    <cellStyle name="40% - Accent5 2 3 2 2 5 2" xfId="42797" xr:uid="{A3BE85DC-A1BB-4E6D-918F-61829181FEC0}"/>
    <cellStyle name="40% - Accent5 2 3 2 2 6" xfId="42782" xr:uid="{E23D3934-B29E-4596-964A-9819B2012BC8}"/>
    <cellStyle name="40% - Accent5 2 3 2 3" xfId="1894" xr:uid="{E6C22E6F-7615-426B-8A7B-AFED3159E6C7}"/>
    <cellStyle name="40% - Accent5 2 3 2 3 2" xfId="5626" xr:uid="{639CACD6-D3B5-4132-AD2A-FE5E97164AAC}"/>
    <cellStyle name="40% - Accent5 2 3 2 3 2 2" xfId="13334" xr:uid="{6FD0B5D8-AC9C-4361-B9E3-13C3241778B1}"/>
    <cellStyle name="40% - Accent5 2 3 2 3 2 2 2" xfId="28746" xr:uid="{3C065688-A42F-4294-9582-D34E14BB2376}"/>
    <cellStyle name="40% - Accent5 2 3 2 3 2 2 2 2" xfId="42801" xr:uid="{4D1AD601-EA70-4100-BD0D-BEEB321E0238}"/>
    <cellStyle name="40% - Accent5 2 3 2 3 2 2 3" xfId="42800" xr:uid="{13244D76-BFE6-479B-ABCE-96835D382DF5}"/>
    <cellStyle name="40% - Accent5 2 3 2 3 2 3" xfId="21041" xr:uid="{50E73ABC-9B1B-4180-919E-E60B076B9222}"/>
    <cellStyle name="40% - Accent5 2 3 2 3 2 3 2" xfId="42802" xr:uid="{564D192D-9516-41CC-87E3-CB884C1578B5}"/>
    <cellStyle name="40% - Accent5 2 3 2 3 2 4" xfId="42799" xr:uid="{B1A56A1A-B112-4126-877C-7179B77C2CF0}"/>
    <cellStyle name="40% - Accent5 2 3 2 3 3" xfId="9605" xr:uid="{382C2BF3-721E-441C-AA62-7B242663DCE6}"/>
    <cellStyle name="40% - Accent5 2 3 2 3 3 2" xfId="25018" xr:uid="{1BD175BB-5F97-4BD7-ADC1-82309193A5F5}"/>
    <cellStyle name="40% - Accent5 2 3 2 3 3 2 2" xfId="42804" xr:uid="{13B91ACD-B70A-4B43-B2D6-E43F92707383}"/>
    <cellStyle name="40% - Accent5 2 3 2 3 3 3" xfId="42803" xr:uid="{8A41A056-D8BF-4CE8-BA27-B462095AE1F3}"/>
    <cellStyle name="40% - Accent5 2 3 2 3 4" xfId="17313" xr:uid="{CA5AE9B9-3727-48E2-8F6E-0C273FBEFC04}"/>
    <cellStyle name="40% - Accent5 2 3 2 3 4 2" xfId="42805" xr:uid="{86AA9FD2-68B5-4A42-B2EA-F5D0F430D862}"/>
    <cellStyle name="40% - Accent5 2 3 2 3 5" xfId="42798" xr:uid="{736956F1-9F99-4E9C-9DB4-2F7F37594CB4}"/>
    <cellStyle name="40% - Accent5 2 3 2 4" xfId="4149" xr:uid="{F8A3ACED-2E95-4398-A040-1E5548864B35}"/>
    <cellStyle name="40% - Accent5 2 3 2 4 2" xfId="11857" xr:uid="{F25105FF-4CD8-42A4-8BE3-584AB5268941}"/>
    <cellStyle name="40% - Accent5 2 3 2 4 2 2" xfId="27269" xr:uid="{57639958-FE8D-4997-987B-FD995F22F94C}"/>
    <cellStyle name="40% - Accent5 2 3 2 4 2 2 2" xfId="42808" xr:uid="{14424412-5BA3-49D0-8393-817B5A080475}"/>
    <cellStyle name="40% - Accent5 2 3 2 4 2 3" xfId="42807" xr:uid="{044D3CB1-9006-4749-9721-64A64C422751}"/>
    <cellStyle name="40% - Accent5 2 3 2 4 3" xfId="19564" xr:uid="{124580BC-0377-437B-973F-3F8E568DE46A}"/>
    <cellStyle name="40% - Accent5 2 3 2 4 3 2" xfId="42809" xr:uid="{80D09E27-E8A1-4117-94C2-76B089584837}"/>
    <cellStyle name="40% - Accent5 2 3 2 4 4" xfId="42806" xr:uid="{5AF24B12-E2ED-4AF8-9D22-561D01174519}"/>
    <cellStyle name="40% - Accent5 2 3 2 5" xfId="8146" xr:uid="{00A83596-9F72-4706-A868-44B7A48E7F68}"/>
    <cellStyle name="40% - Accent5 2 3 2 5 2" xfId="23559" xr:uid="{E6ACF02E-74DC-4F36-B7B3-1388015FF365}"/>
    <cellStyle name="40% - Accent5 2 3 2 5 2 2" xfId="42811" xr:uid="{5D9C8AF8-5E2E-4A50-B34C-8B9C36E2E3A8}"/>
    <cellStyle name="40% - Accent5 2 3 2 5 3" xfId="42810" xr:uid="{8FE4B712-A2F6-43F7-8A95-286A1ABC71A6}"/>
    <cellStyle name="40% - Accent5 2 3 2 6" xfId="15854" xr:uid="{741B4E10-22A1-440E-B0E2-03B3AECBFDBB}"/>
    <cellStyle name="40% - Accent5 2 3 2 6 2" xfId="42812" xr:uid="{68F9B9ED-7481-4FEC-A7F7-E65943FA8C62}"/>
    <cellStyle name="40% - Accent5 2 3 2 7" xfId="42781" xr:uid="{F0084B33-A46D-4AC0-8BD6-B7A60ABB297E}"/>
    <cellStyle name="40% - Accent5 2 3 3" xfId="859" xr:uid="{C5E1CE7F-90F9-4598-9D74-2EBEAF20ADB2}"/>
    <cellStyle name="40% - Accent5 2 3 3 2" xfId="2334" xr:uid="{A4898A61-11F1-4B6A-B78B-62931F4A23CB}"/>
    <cellStyle name="40% - Accent5 2 3 3 2 2" xfId="6066" xr:uid="{3709E8FF-F430-478E-A77B-9E9144AA3CFC}"/>
    <cellStyle name="40% - Accent5 2 3 3 2 2 2" xfId="13774" xr:uid="{3F69392F-11F8-4630-A198-F518E038DD44}"/>
    <cellStyle name="40% - Accent5 2 3 3 2 2 2 2" xfId="29186" xr:uid="{FCBD7F20-4FA3-40E1-92B4-EF1A67BA002D}"/>
    <cellStyle name="40% - Accent5 2 3 3 2 2 2 2 2" xfId="42817" xr:uid="{FDDAC6A1-884E-4E57-9EC0-536A14CFB601}"/>
    <cellStyle name="40% - Accent5 2 3 3 2 2 2 3" xfId="42816" xr:uid="{5CA3E438-A52A-4A66-BD57-F5440F7ABCC1}"/>
    <cellStyle name="40% - Accent5 2 3 3 2 2 3" xfId="21481" xr:uid="{8E001E22-219B-4BF9-927B-2693A0CBBD52}"/>
    <cellStyle name="40% - Accent5 2 3 3 2 2 3 2" xfId="42818" xr:uid="{3B932C11-D012-4192-9592-078BE97CB6C7}"/>
    <cellStyle name="40% - Accent5 2 3 3 2 2 4" xfId="42815" xr:uid="{6C7F38C5-FD9F-41CE-877B-CC7DEDDBB084}"/>
    <cellStyle name="40% - Accent5 2 3 3 2 3" xfId="10045" xr:uid="{C8DBF741-DEF8-4374-9896-43F8CF56F0F8}"/>
    <cellStyle name="40% - Accent5 2 3 3 2 3 2" xfId="25458" xr:uid="{13655424-B32B-40B5-A67C-A35CC53DC9D6}"/>
    <cellStyle name="40% - Accent5 2 3 3 2 3 2 2" xfId="42820" xr:uid="{A2702443-BB80-4AA1-B70A-9186899C4AB1}"/>
    <cellStyle name="40% - Accent5 2 3 3 2 3 3" xfId="42819" xr:uid="{4E78DF76-F58A-4910-BE9D-83770A2912BA}"/>
    <cellStyle name="40% - Accent5 2 3 3 2 4" xfId="17753" xr:uid="{BAE8FA89-968C-4E6A-8EC5-C1C312F68CDB}"/>
    <cellStyle name="40% - Accent5 2 3 3 2 4 2" xfId="42821" xr:uid="{4A7AB8BA-CE55-47B1-A576-50F7D8493091}"/>
    <cellStyle name="40% - Accent5 2 3 3 2 5" xfId="42814" xr:uid="{B20A2CBD-4C24-4DCA-91EF-E90565773D7F}"/>
    <cellStyle name="40% - Accent5 2 3 3 3" xfId="4596" xr:uid="{451F7A71-F7F8-4ADB-9867-42DC99A6F9B4}"/>
    <cellStyle name="40% - Accent5 2 3 3 3 2" xfId="12304" xr:uid="{8840E726-212B-4215-B591-5554B1CF877E}"/>
    <cellStyle name="40% - Accent5 2 3 3 3 2 2" xfId="27716" xr:uid="{BAE1B84E-BE39-474B-9858-2EE60F20A7CD}"/>
    <cellStyle name="40% - Accent5 2 3 3 3 2 2 2" xfId="42824" xr:uid="{339D8E81-99A3-40FB-A5D9-96EE6E634C7E}"/>
    <cellStyle name="40% - Accent5 2 3 3 3 2 3" xfId="42823" xr:uid="{F8FBF9B5-0BAF-4D90-9454-2D51B34A3FAB}"/>
    <cellStyle name="40% - Accent5 2 3 3 3 3" xfId="20011" xr:uid="{A77B575B-A00F-4F0A-8ABE-5271695207BC}"/>
    <cellStyle name="40% - Accent5 2 3 3 3 3 2" xfId="42825" xr:uid="{3E32A11C-93A8-4299-A18B-93C593796202}"/>
    <cellStyle name="40% - Accent5 2 3 3 3 4" xfId="42822" xr:uid="{BF327263-D818-4F37-8518-B041263978BB}"/>
    <cellStyle name="40% - Accent5 2 3 3 4" xfId="8586" xr:uid="{D3EF6EA5-2BFC-4F55-B5B2-DA8530635BA3}"/>
    <cellStyle name="40% - Accent5 2 3 3 4 2" xfId="23999" xr:uid="{0F320B88-5235-4812-99E2-BD91B3EFAD37}"/>
    <cellStyle name="40% - Accent5 2 3 3 4 2 2" xfId="42827" xr:uid="{94CFDFBB-0690-4D18-BB6B-73092E48B50F}"/>
    <cellStyle name="40% - Accent5 2 3 3 4 3" xfId="42826" xr:uid="{2235F028-04C7-49F9-B7CD-0B8A6AA2BABF}"/>
    <cellStyle name="40% - Accent5 2 3 3 5" xfId="16294" xr:uid="{CBF20FF3-E3ED-4B2C-8476-13EF45631CB2}"/>
    <cellStyle name="40% - Accent5 2 3 3 5 2" xfId="42828" xr:uid="{C71AA226-6238-4587-A480-219C7E35E517}"/>
    <cellStyle name="40% - Accent5 2 3 3 6" xfId="42813" xr:uid="{865E36D9-34FC-47F7-B9A3-35252150B7CB}"/>
    <cellStyle name="40% - Accent5 2 3 4" xfId="1696" xr:uid="{DF03401A-A528-43E8-AA53-31426B3B5AF0}"/>
    <cellStyle name="40% - Accent5 2 3 4 2" xfId="5428" xr:uid="{197E6FBD-8210-4236-8076-9F8F6086B156}"/>
    <cellStyle name="40% - Accent5 2 3 4 2 2" xfId="13136" xr:uid="{878877EA-F96E-4451-9417-5B042D0BCB10}"/>
    <cellStyle name="40% - Accent5 2 3 4 2 2 2" xfId="28548" xr:uid="{C215BA47-6396-4BAE-8C9D-8C265D901224}"/>
    <cellStyle name="40% - Accent5 2 3 4 2 2 2 2" xfId="42832" xr:uid="{DBD8DC4F-2E3F-4720-A356-A41F6BD7A664}"/>
    <cellStyle name="40% - Accent5 2 3 4 2 2 3" xfId="42831" xr:uid="{FBB3B16F-509A-47CF-916B-7145E81355A2}"/>
    <cellStyle name="40% - Accent5 2 3 4 2 3" xfId="20843" xr:uid="{86BC25FD-B724-4B50-A823-2DC233A49808}"/>
    <cellStyle name="40% - Accent5 2 3 4 2 3 2" xfId="42833" xr:uid="{C3CA98C8-F83E-42B6-A251-914A3B68B9B7}"/>
    <cellStyle name="40% - Accent5 2 3 4 2 4" xfId="42830" xr:uid="{A9F7678A-B084-4B29-AAB3-E679D7960777}"/>
    <cellStyle name="40% - Accent5 2 3 4 3" xfId="9407" xr:uid="{8721AB89-AF38-480E-8502-88FF47D76190}"/>
    <cellStyle name="40% - Accent5 2 3 4 3 2" xfId="24820" xr:uid="{F6F80F84-C9A2-4864-BF74-9DAA25E0FEB0}"/>
    <cellStyle name="40% - Accent5 2 3 4 3 2 2" xfId="42835" xr:uid="{D6D3A628-0A74-4126-B3ED-47EA109CA2B2}"/>
    <cellStyle name="40% - Accent5 2 3 4 3 3" xfId="42834" xr:uid="{084A3012-022A-4756-9532-F3F23D347044}"/>
    <cellStyle name="40% - Accent5 2 3 4 4" xfId="17115" xr:uid="{7E18F41E-E30E-4614-9F3A-6C2CBDAB3E72}"/>
    <cellStyle name="40% - Accent5 2 3 4 4 2" xfId="42836" xr:uid="{11E0709E-101D-43F5-87DD-4540C883E02A}"/>
    <cellStyle name="40% - Accent5 2 3 4 5" xfId="42829" xr:uid="{206D1526-6D02-4C7B-AFE3-41DEDE3C45F1}"/>
    <cellStyle name="40% - Accent5 2 3 5" xfId="3944" xr:uid="{972B55BC-20AD-493E-BBC6-5F1A905A0254}"/>
    <cellStyle name="40% - Accent5 2 3 5 2" xfId="11652" xr:uid="{52E19CCD-3F07-4410-AB88-5BB30555E217}"/>
    <cellStyle name="40% - Accent5 2 3 5 2 2" xfId="27064" xr:uid="{21EF622F-5199-4BDA-9BD4-2C23D6737735}"/>
    <cellStyle name="40% - Accent5 2 3 5 2 2 2" xfId="42839" xr:uid="{26E7E9B2-C2BB-452A-B312-8FF75556DBF0}"/>
    <cellStyle name="40% - Accent5 2 3 5 2 3" xfId="42838" xr:uid="{D33D6709-F47F-469B-A162-4C00BF0CFC55}"/>
    <cellStyle name="40% - Accent5 2 3 5 3" xfId="19359" xr:uid="{E8A519B2-F49D-4A99-AD8C-E0760C855859}"/>
    <cellStyle name="40% - Accent5 2 3 5 3 2" xfId="42840" xr:uid="{DF652B48-8EBB-4D78-A79E-339CD674CB92}"/>
    <cellStyle name="40% - Accent5 2 3 5 4" xfId="42837" xr:uid="{6467B3AE-99BA-4A33-9185-CCC4EED6FAAF}"/>
    <cellStyle name="40% - Accent5 2 3 6" xfId="7948" xr:uid="{2C2F1C09-33EB-4F94-A675-E7CA631C1D17}"/>
    <cellStyle name="40% - Accent5 2 3 6 2" xfId="23361" xr:uid="{61F08CFA-33F1-41F7-B3E9-BC55B4975CE3}"/>
    <cellStyle name="40% - Accent5 2 3 6 2 2" xfId="42842" xr:uid="{22DDD58B-15A1-4435-B057-DFB0DA0ACB6A}"/>
    <cellStyle name="40% - Accent5 2 3 6 3" xfId="42841" xr:uid="{C79B3E70-8DD3-4EAB-BB2F-B010F22417FE}"/>
    <cellStyle name="40% - Accent5 2 3 7" xfId="15656" xr:uid="{192CAC03-64F2-4FE9-9E7F-1765220B463D}"/>
    <cellStyle name="40% - Accent5 2 3 7 2" xfId="42843" xr:uid="{DC98311C-C509-4F9B-B0F5-82FD2CDB6ECF}"/>
    <cellStyle name="40% - Accent5 2 3 8" xfId="42780" xr:uid="{977DC479-714E-4D76-85B4-89526ABF42A0}"/>
    <cellStyle name="40% - Accent5 2 4" xfId="349" xr:uid="{B6F02E02-66EE-4B48-88DE-CFE3941E2BDB}"/>
    <cellStyle name="40% - Accent5 2 4 2" xfId="1012" xr:uid="{5EA91E8A-213F-4A47-BCB4-2E3BE0B5A88C}"/>
    <cellStyle name="40% - Accent5 2 4 2 2" xfId="2482" xr:uid="{9C5E4268-EBDA-47F5-AF26-9849B3DF3378}"/>
    <cellStyle name="40% - Accent5 2 4 2 2 2" xfId="6214" xr:uid="{897F868F-6CF5-45A8-831F-7AB74831C273}"/>
    <cellStyle name="40% - Accent5 2 4 2 2 2 2" xfId="13922" xr:uid="{2156322E-3AAD-4923-8EA5-FB7DAE42C4B3}"/>
    <cellStyle name="40% - Accent5 2 4 2 2 2 2 2" xfId="29334" xr:uid="{56735C7B-24BF-422E-B97F-A55B2B09BC78}"/>
    <cellStyle name="40% - Accent5 2 4 2 2 2 2 2 2" xfId="42849" xr:uid="{E15DEBF0-068A-4C19-969E-A4F34C15AAC8}"/>
    <cellStyle name="40% - Accent5 2 4 2 2 2 2 3" xfId="42848" xr:uid="{D5EC4850-C93D-4AE9-A1E9-0679C1C9B2A2}"/>
    <cellStyle name="40% - Accent5 2 4 2 2 2 3" xfId="21629" xr:uid="{36F149EC-C05D-4A45-9BC0-F8BC5D5D2594}"/>
    <cellStyle name="40% - Accent5 2 4 2 2 2 3 2" xfId="42850" xr:uid="{8B079004-A94C-4582-9E49-0C7B339A4397}"/>
    <cellStyle name="40% - Accent5 2 4 2 2 2 4" xfId="42847" xr:uid="{F2E21BBE-E858-4A05-A493-B964CA277664}"/>
    <cellStyle name="40% - Accent5 2 4 2 2 3" xfId="10193" xr:uid="{A7AD85B0-9092-4755-A280-5A289DBF14E5}"/>
    <cellStyle name="40% - Accent5 2 4 2 2 3 2" xfId="25606" xr:uid="{3B02A3E6-6CFF-4D49-8DC6-B043114A38B4}"/>
    <cellStyle name="40% - Accent5 2 4 2 2 3 2 2" xfId="42852" xr:uid="{4E758BC3-D424-45F8-A460-0ABD651154AD}"/>
    <cellStyle name="40% - Accent5 2 4 2 2 3 3" xfId="42851" xr:uid="{05139A83-2E30-4888-8B95-197F52E81097}"/>
    <cellStyle name="40% - Accent5 2 4 2 2 4" xfId="17901" xr:uid="{FD2915E3-366D-4A0C-B34F-F707EB4237E9}"/>
    <cellStyle name="40% - Accent5 2 4 2 2 4 2" xfId="42853" xr:uid="{D4371A33-EE51-4D84-B3D3-C5AD425F0698}"/>
    <cellStyle name="40% - Accent5 2 4 2 2 5" xfId="42846" xr:uid="{0F395F81-DE27-4FC6-8448-69C4166994F9}"/>
    <cellStyle name="40% - Accent5 2 4 2 3" xfId="4749" xr:uid="{8BAD093B-BFA8-4CD9-B7FB-5D9CBDE1EE2C}"/>
    <cellStyle name="40% - Accent5 2 4 2 3 2" xfId="12457" xr:uid="{F5A0FE5E-570E-41A2-800F-2EA9CE676C21}"/>
    <cellStyle name="40% - Accent5 2 4 2 3 2 2" xfId="27869" xr:uid="{B23A03B7-2876-4335-B75F-1B121D7D08C2}"/>
    <cellStyle name="40% - Accent5 2 4 2 3 2 2 2" xfId="42856" xr:uid="{585F5212-CFC2-40D4-951E-BD62999934D9}"/>
    <cellStyle name="40% - Accent5 2 4 2 3 2 3" xfId="42855" xr:uid="{67A42A25-FB5B-4AC0-9729-5C1DFECC9F52}"/>
    <cellStyle name="40% - Accent5 2 4 2 3 3" xfId="20164" xr:uid="{B3E47E46-3C5E-4EBA-82C4-C581B1DFA064}"/>
    <cellStyle name="40% - Accent5 2 4 2 3 3 2" xfId="42857" xr:uid="{A2866BB8-2A92-40E3-906A-7B0FFC431B07}"/>
    <cellStyle name="40% - Accent5 2 4 2 3 4" xfId="42854" xr:uid="{5AA206E3-07D8-4381-A882-93FB9FFC50D7}"/>
    <cellStyle name="40% - Accent5 2 4 2 4" xfId="8734" xr:uid="{4AC7A1B8-E4C0-4235-BB14-8582A3C2B991}"/>
    <cellStyle name="40% - Accent5 2 4 2 4 2" xfId="24147" xr:uid="{5989CDB0-B21F-4793-84CA-3D464F17FF35}"/>
    <cellStyle name="40% - Accent5 2 4 2 4 2 2" xfId="42859" xr:uid="{3B5A142C-F513-43D1-A4D6-8D31C2CFBD5B}"/>
    <cellStyle name="40% - Accent5 2 4 2 4 3" xfId="42858" xr:uid="{B977D00D-3A52-421A-9169-0B5F92F113F9}"/>
    <cellStyle name="40% - Accent5 2 4 2 5" xfId="16442" xr:uid="{5C51BC07-AD47-44DA-85D1-54E1D3B1EBC4}"/>
    <cellStyle name="40% - Accent5 2 4 2 5 2" xfId="42860" xr:uid="{A92D217F-ACA3-4811-AC5D-9AE4EF048646}"/>
    <cellStyle name="40% - Accent5 2 4 2 6" xfId="42845" xr:uid="{EF8EBECE-8A2B-465B-8796-6F2C4D60E096}"/>
    <cellStyle name="40% - Accent5 2 4 3" xfId="1844" xr:uid="{C57442D2-7CDB-44F7-97E1-1FADB9559F3B}"/>
    <cellStyle name="40% - Accent5 2 4 3 2" xfId="5576" xr:uid="{470B7A6A-A021-4FD2-8A15-61BFEA81530A}"/>
    <cellStyle name="40% - Accent5 2 4 3 2 2" xfId="13284" xr:uid="{0886B8B6-0449-4758-932C-89300D039638}"/>
    <cellStyle name="40% - Accent5 2 4 3 2 2 2" xfId="28696" xr:uid="{51D3E8E8-5A0E-4545-A269-76EF618B6671}"/>
    <cellStyle name="40% - Accent5 2 4 3 2 2 2 2" xfId="42864" xr:uid="{BF40C36A-A304-4BB1-B4E7-51A2EF007178}"/>
    <cellStyle name="40% - Accent5 2 4 3 2 2 3" xfId="42863" xr:uid="{A54601FF-E8E5-4A82-A2A0-1CC09F263D2E}"/>
    <cellStyle name="40% - Accent5 2 4 3 2 3" xfId="20991" xr:uid="{AAB3679A-874B-4541-BEC5-B8B386DE9B40}"/>
    <cellStyle name="40% - Accent5 2 4 3 2 3 2" xfId="42865" xr:uid="{711AB7D0-D0A4-4F55-8807-95B82B1C373B}"/>
    <cellStyle name="40% - Accent5 2 4 3 2 4" xfId="42862" xr:uid="{DE697234-DF95-4F0D-8107-4839F288386C}"/>
    <cellStyle name="40% - Accent5 2 4 3 3" xfId="9555" xr:uid="{DECB6B4C-E00C-460F-9746-A7EACC16F3A2}"/>
    <cellStyle name="40% - Accent5 2 4 3 3 2" xfId="24968" xr:uid="{8C7CAEE1-3C77-4A09-9A5D-83CF965AAA61}"/>
    <cellStyle name="40% - Accent5 2 4 3 3 2 2" xfId="42867" xr:uid="{2D6778D4-FD30-45BA-A964-BAC06B4CBC81}"/>
    <cellStyle name="40% - Accent5 2 4 3 3 3" xfId="42866" xr:uid="{1103E5AE-0A55-488A-8C93-43792CD4AF7D}"/>
    <cellStyle name="40% - Accent5 2 4 3 4" xfId="17263" xr:uid="{7BBC5577-0375-4733-AB15-BF0F07AE9864}"/>
    <cellStyle name="40% - Accent5 2 4 3 4 2" xfId="42868" xr:uid="{3B9023C1-64C0-44DD-92F9-B0315FDAC969}"/>
    <cellStyle name="40% - Accent5 2 4 3 5" xfId="42861" xr:uid="{003FA125-D9FE-4156-889B-39375F87F910}"/>
    <cellStyle name="40% - Accent5 2 4 4" xfId="4097" xr:uid="{9F126272-8EC5-4DC8-8143-B786E4217648}"/>
    <cellStyle name="40% - Accent5 2 4 4 2" xfId="11805" xr:uid="{1221C757-B38E-4752-9AB4-4A5A9BB5EA3B}"/>
    <cellStyle name="40% - Accent5 2 4 4 2 2" xfId="27217" xr:uid="{693D42A2-0F27-4844-A973-DABD739ED222}"/>
    <cellStyle name="40% - Accent5 2 4 4 2 2 2" xfId="42871" xr:uid="{C0F901C8-CAD0-410B-8777-A6FCCECF548F}"/>
    <cellStyle name="40% - Accent5 2 4 4 2 3" xfId="42870" xr:uid="{1253900C-F764-46FE-909E-96432AF605C5}"/>
    <cellStyle name="40% - Accent5 2 4 4 3" xfId="19512" xr:uid="{4574317B-BC48-4AB9-8A8C-26FDC481040F}"/>
    <cellStyle name="40% - Accent5 2 4 4 3 2" xfId="42872" xr:uid="{6D95ABE4-A09D-4A4B-9301-EE2B599F2813}"/>
    <cellStyle name="40% - Accent5 2 4 4 4" xfId="42869" xr:uid="{B5936846-A5EA-4D12-BD1A-FA68DEB6E1FD}"/>
    <cellStyle name="40% - Accent5 2 4 5" xfId="8096" xr:uid="{06410AD5-A743-481C-875C-DDF4052DEF94}"/>
    <cellStyle name="40% - Accent5 2 4 5 2" xfId="23509" xr:uid="{E8758367-6A8F-40C5-BEEE-A04FAE7CCB11}"/>
    <cellStyle name="40% - Accent5 2 4 5 2 2" xfId="42874" xr:uid="{54A4C88F-218B-42FB-929B-E77C11572CAC}"/>
    <cellStyle name="40% - Accent5 2 4 5 3" xfId="42873" xr:uid="{138438A5-F487-4EA5-8C07-FA31D8DA0151}"/>
    <cellStyle name="40% - Accent5 2 4 6" xfId="15804" xr:uid="{1FAFDB2B-77DE-47B9-B284-1364F395FBA2}"/>
    <cellStyle name="40% - Accent5 2 4 6 2" xfId="42875" xr:uid="{0ECBDF95-9263-4D62-B435-68CDB8E09A8D}"/>
    <cellStyle name="40% - Accent5 2 4 7" xfId="42844" xr:uid="{7246A1A6-B8F8-4A12-844A-BDE3B7ECBFEC}"/>
    <cellStyle name="40% - Accent5 2 5" xfId="795" xr:uid="{ED599A2D-5199-4FC9-9231-C4DD33D0053C}"/>
    <cellStyle name="40% - Accent5 2 5 2" xfId="2284" xr:uid="{BFF30D33-C761-48D8-A60D-0063E25C3C57}"/>
    <cellStyle name="40% - Accent5 2 5 2 2" xfId="6016" xr:uid="{561CC90A-5750-4F4C-90EB-5AE15F739CD0}"/>
    <cellStyle name="40% - Accent5 2 5 2 2 2" xfId="13724" xr:uid="{B05662D1-31B0-4CD1-912B-45B5F195E757}"/>
    <cellStyle name="40% - Accent5 2 5 2 2 2 2" xfId="29136" xr:uid="{DFAA8BF7-4558-4D32-BF8E-6F924AFBEFB3}"/>
    <cellStyle name="40% - Accent5 2 5 2 2 2 2 2" xfId="42880" xr:uid="{9C6B8260-5AF1-46E7-9DDB-5D1572877F77}"/>
    <cellStyle name="40% - Accent5 2 5 2 2 2 3" xfId="42879" xr:uid="{26B2F674-4511-4723-BEA7-A7C4E989C002}"/>
    <cellStyle name="40% - Accent5 2 5 2 2 3" xfId="21431" xr:uid="{AE9A7C0E-D3AF-4C48-AE1F-270F6A322C67}"/>
    <cellStyle name="40% - Accent5 2 5 2 2 3 2" xfId="42881" xr:uid="{FC8261B0-8E9B-4F30-BFB0-C9D01A80EADF}"/>
    <cellStyle name="40% - Accent5 2 5 2 2 4" xfId="42878" xr:uid="{57CC56C2-D5D3-4A47-9865-30E864C690E2}"/>
    <cellStyle name="40% - Accent5 2 5 2 3" xfId="9995" xr:uid="{BF1D1444-9892-462D-9322-E61DBBDDB00B}"/>
    <cellStyle name="40% - Accent5 2 5 2 3 2" xfId="25408" xr:uid="{CB3B902C-0070-46DE-ACBB-C6CAFC03F6D5}"/>
    <cellStyle name="40% - Accent5 2 5 2 3 2 2" xfId="42883" xr:uid="{D820730D-811F-4E12-A5E2-34E9AC404F4F}"/>
    <cellStyle name="40% - Accent5 2 5 2 3 3" xfId="42882" xr:uid="{90A05C2F-04E6-4473-B7A8-F19605CD3CF8}"/>
    <cellStyle name="40% - Accent5 2 5 2 4" xfId="17703" xr:uid="{E7B0B4BC-2749-4A4E-9CDC-8349A05F8DDE}"/>
    <cellStyle name="40% - Accent5 2 5 2 4 2" xfId="42884" xr:uid="{F5FBC48C-36DC-48D5-8A7A-4E8B113335D8}"/>
    <cellStyle name="40% - Accent5 2 5 2 5" xfId="42877" xr:uid="{487514F7-DD51-4FD8-8C66-04BA88F1BAD4}"/>
    <cellStyle name="40% - Accent5 2 5 3" xfId="4539" xr:uid="{337F44E6-4E82-43CF-8D96-E3573B603CC4}"/>
    <cellStyle name="40% - Accent5 2 5 3 2" xfId="12247" xr:uid="{1520A575-D3B7-43A6-AA13-2722E54AE6FE}"/>
    <cellStyle name="40% - Accent5 2 5 3 2 2" xfId="27659" xr:uid="{F3DC9CEF-E1AE-480E-91A0-1A9166F79C81}"/>
    <cellStyle name="40% - Accent5 2 5 3 2 2 2" xfId="42887" xr:uid="{F8DB47DD-9538-40BC-8A12-02FD9AF2F08C}"/>
    <cellStyle name="40% - Accent5 2 5 3 2 3" xfId="42886" xr:uid="{567D7B09-1A05-452D-9ADC-95A02A7CD755}"/>
    <cellStyle name="40% - Accent5 2 5 3 3" xfId="19954" xr:uid="{A08A096A-867B-4F45-96A3-0D180D2B6C01}"/>
    <cellStyle name="40% - Accent5 2 5 3 3 2" xfId="42888" xr:uid="{754C107D-83FA-4359-A02D-1EC3E9EB768F}"/>
    <cellStyle name="40% - Accent5 2 5 3 4" xfId="42885" xr:uid="{493DD307-B89E-4057-BB04-47AB539E2866}"/>
    <cellStyle name="40% - Accent5 2 5 4" xfId="8536" xr:uid="{599B5851-5BE2-4435-A7A5-EB90C5AE6A73}"/>
    <cellStyle name="40% - Accent5 2 5 4 2" xfId="23949" xr:uid="{4BCD1F8F-F48B-496C-A2CA-5006FEDDF5CB}"/>
    <cellStyle name="40% - Accent5 2 5 4 2 2" xfId="42890" xr:uid="{8F1216A9-1497-43ED-8FA3-FC8AA4F6714D}"/>
    <cellStyle name="40% - Accent5 2 5 4 3" xfId="42889" xr:uid="{2EB39180-0E49-4AE8-B3F4-B449C6391533}"/>
    <cellStyle name="40% - Accent5 2 5 5" xfId="16244" xr:uid="{EE019ED0-B56C-496E-9F69-233A6ABE099E}"/>
    <cellStyle name="40% - Accent5 2 5 5 2" xfId="42891" xr:uid="{65685380-BA61-4D49-BD73-3F512AF5599A}"/>
    <cellStyle name="40% - Accent5 2 5 6" xfId="42876" xr:uid="{41BD82A9-A933-4C16-AC33-268879054BEA}"/>
    <cellStyle name="40% - Accent5 2 6" xfId="1642" xr:uid="{42C3F333-31F1-43E4-9119-126050E0E71C}"/>
    <cellStyle name="40% - Accent5 2 6 2" xfId="5376" xr:uid="{CCD902B1-1058-4CA6-95F0-F056ECC0E7AD}"/>
    <cellStyle name="40% - Accent5 2 6 2 2" xfId="13084" xr:uid="{1832F888-B502-4971-8432-03C997F6F3F2}"/>
    <cellStyle name="40% - Accent5 2 6 2 2 2" xfId="28496" xr:uid="{8EAFAAA9-9E59-4556-B7F8-EB9EC0921D97}"/>
    <cellStyle name="40% - Accent5 2 6 2 2 2 2" xfId="42895" xr:uid="{C753E37F-56AF-4B45-9BC5-6C21E3E3D1C7}"/>
    <cellStyle name="40% - Accent5 2 6 2 2 3" xfId="42894" xr:uid="{151DA2FB-7DC5-4422-8E3C-9E5AC94BC241}"/>
    <cellStyle name="40% - Accent5 2 6 2 3" xfId="20791" xr:uid="{BC411F14-FBFE-4B4A-ABD2-10376FD7DC25}"/>
    <cellStyle name="40% - Accent5 2 6 2 3 2" xfId="42896" xr:uid="{AFB206E9-C5ED-4A67-A0C3-8BF6607D3CD7}"/>
    <cellStyle name="40% - Accent5 2 6 2 4" xfId="42893" xr:uid="{0EB2BFC4-E1EA-4ACB-A6B0-DB84B7DF4A65}"/>
    <cellStyle name="40% - Accent5 2 6 3" xfId="9357" xr:uid="{BC2BE24B-7E27-48A4-8C6C-5326418A8400}"/>
    <cellStyle name="40% - Accent5 2 6 3 2" xfId="24770" xr:uid="{09A1D1C9-B8E7-4879-99FE-721B71ECB9C0}"/>
    <cellStyle name="40% - Accent5 2 6 3 2 2" xfId="42898" xr:uid="{5D9F25BE-8D29-439C-8CED-E2ECAA85BFBE}"/>
    <cellStyle name="40% - Accent5 2 6 3 3" xfId="42897" xr:uid="{E5E7DCB8-43A0-4F8D-902A-18F36DE961E3}"/>
    <cellStyle name="40% - Accent5 2 6 4" xfId="17065" xr:uid="{6EC867CB-55FB-40E8-B623-7D2300236EA8}"/>
    <cellStyle name="40% - Accent5 2 6 4 2" xfId="42899" xr:uid="{09502DAE-1E75-4D6D-AD9C-DD9DD984FB19}"/>
    <cellStyle name="40% - Accent5 2 6 5" xfId="42892" xr:uid="{6DC291FB-6C93-408E-B655-F8E651B393C7}"/>
    <cellStyle name="40% - Accent5 2 7" xfId="3886" xr:uid="{D474ECC0-6CEE-4953-8FE8-A7B12A78E64F}"/>
    <cellStyle name="40% - Accent5 2 7 2" xfId="11595" xr:uid="{3BE3EB97-2C79-4A35-894C-1ED7945FC479}"/>
    <cellStyle name="40% - Accent5 2 7 2 2" xfId="27007" xr:uid="{3689C240-0FC1-49CA-95C5-08C67E8EC697}"/>
    <cellStyle name="40% - Accent5 2 7 2 2 2" xfId="42902" xr:uid="{22DECD52-3DBB-4429-8195-6640C9DC1249}"/>
    <cellStyle name="40% - Accent5 2 7 2 3" xfId="42901" xr:uid="{4A254970-09F7-4027-AAF8-A4041F6CA12B}"/>
    <cellStyle name="40% - Accent5 2 7 3" xfId="19302" xr:uid="{9B22FA96-636F-487A-8A09-E36DF2A4766E}"/>
    <cellStyle name="40% - Accent5 2 7 3 2" xfId="42903" xr:uid="{A0FFA2F1-AF85-4BC6-8CDC-6A422E3CA744}"/>
    <cellStyle name="40% - Accent5 2 7 4" xfId="42900" xr:uid="{87BEFA0F-6172-4297-96B7-5C77BBAE8937}"/>
    <cellStyle name="40% - Accent5 2 8" xfId="7880" xr:uid="{52F57E32-B809-4681-85CE-BDC90F73AABB}"/>
    <cellStyle name="40% - Accent5 2 8 2" xfId="23293" xr:uid="{7B07B6D3-C5F9-4F06-B630-79857BC03588}"/>
    <cellStyle name="40% - Accent5 2 8 2 2" xfId="42905" xr:uid="{47CFB0DD-98CC-4A3C-A81D-70CC7A4EB47A}"/>
    <cellStyle name="40% - Accent5 2 8 3" xfId="42904" xr:uid="{30F0B0FA-4B7B-461A-BC5C-133C69936A02}"/>
    <cellStyle name="40% - Accent5 2 9" xfId="15588" xr:uid="{765973BF-91AB-4172-9E4F-072727BD180F}"/>
    <cellStyle name="40% - Accent5 2 9 2" xfId="42906" xr:uid="{07744929-C646-44A5-90A6-5E7367443B2B}"/>
    <cellStyle name="40% - Accent5 20" xfId="3610" xr:uid="{628FD821-7257-4663-BA32-2A10060506F8}"/>
    <cellStyle name="40% - Accent5 20 2" xfId="7341" xr:uid="{1BBF67FF-2BB3-4EC2-B9B9-E877FEF1FD20}"/>
    <cellStyle name="40% - Accent5 20 2 2" xfId="15049" xr:uid="{9A4D1B44-953B-4DA7-9F44-3F1FFED6A232}"/>
    <cellStyle name="40% - Accent5 20 2 2 2" xfId="30461" xr:uid="{66CE7140-1667-4DED-91AB-90000E2344FA}"/>
    <cellStyle name="40% - Accent5 20 2 2 2 2" xfId="42910" xr:uid="{89B8D5E5-A721-46DC-A5F5-7F8F69DE89A5}"/>
    <cellStyle name="40% - Accent5 20 2 2 3" xfId="42909" xr:uid="{E603387A-78D2-49A2-B23A-F1341BE5F980}"/>
    <cellStyle name="40% - Accent5 20 2 3" xfId="22756" xr:uid="{F1F977E6-E85A-4542-B264-0F5DBF554CF1}"/>
    <cellStyle name="40% - Accent5 20 2 3 2" xfId="42911" xr:uid="{8C446BA3-F8A6-473E-B0B1-73C0B58C2EF3}"/>
    <cellStyle name="40% - Accent5 20 2 4" xfId="42908" xr:uid="{5CCA3471-D75E-4109-9D4E-D86D69514352}"/>
    <cellStyle name="40% - Accent5 20 3" xfId="11320" xr:uid="{00D13EEE-15E4-4295-B05D-63110FA4D4A3}"/>
    <cellStyle name="40% - Accent5 20 3 2" xfId="26733" xr:uid="{F6C24CAA-B523-4178-ABBF-0C066B7CD44E}"/>
    <cellStyle name="40% - Accent5 20 3 2 2" xfId="42913" xr:uid="{F35D916C-AC81-4E33-A6B5-C84C3C88F34A}"/>
    <cellStyle name="40% - Accent5 20 3 3" xfId="42912" xr:uid="{660C2990-FB81-4071-944B-E3E9C31D4D51}"/>
    <cellStyle name="40% - Accent5 20 4" xfId="19028" xr:uid="{540E5C5A-48B4-4E08-9136-0503C276726D}"/>
    <cellStyle name="40% - Accent5 20 4 2" xfId="42914" xr:uid="{35994FDB-B254-4453-AFB1-AC2CD14EE177}"/>
    <cellStyle name="40% - Accent5 20 5" xfId="42907" xr:uid="{86A41200-0F0B-45A5-9A0B-0AAE6E6F80B6}"/>
    <cellStyle name="40% - Accent5 21" xfId="3630" xr:uid="{0BE85596-BDAD-4FFB-9500-5110A86CB76B}"/>
    <cellStyle name="40% - Accent5 21 2" xfId="7361" xr:uid="{51B703C5-9012-4B5F-9686-782271E4DC6D}"/>
    <cellStyle name="40% - Accent5 21 2 2" xfId="15069" xr:uid="{5233CE1E-4522-452A-BA42-5CE242E90E6E}"/>
    <cellStyle name="40% - Accent5 21 2 2 2" xfId="30481" xr:uid="{A9AADA1E-BFF9-4994-BD6F-D69B61FA0FBB}"/>
    <cellStyle name="40% - Accent5 21 2 2 2 2" xfId="42918" xr:uid="{79382806-CFFA-46D7-AF66-E01241EF51CD}"/>
    <cellStyle name="40% - Accent5 21 2 2 3" xfId="42917" xr:uid="{1A1F78F0-91D9-49D1-BD74-5DCD4F97DD45}"/>
    <cellStyle name="40% - Accent5 21 2 3" xfId="22776" xr:uid="{8F658BE4-0ACE-4974-8DA8-30224E6352EF}"/>
    <cellStyle name="40% - Accent5 21 2 3 2" xfId="42919" xr:uid="{6B7452AD-B920-4ADE-83E6-CC932EA0739F}"/>
    <cellStyle name="40% - Accent5 21 2 4" xfId="42916" xr:uid="{D46DCB2D-A640-4943-AAED-A7DDD060C063}"/>
    <cellStyle name="40% - Accent5 21 3" xfId="11340" xr:uid="{215F211D-6EDD-4C45-A7A4-4C1DDD3FBCCD}"/>
    <cellStyle name="40% - Accent5 21 3 2" xfId="26753" xr:uid="{2A03CD03-C1AF-4311-A2D7-7581238823BF}"/>
    <cellStyle name="40% - Accent5 21 3 2 2" xfId="42921" xr:uid="{73082EFA-C7FD-4075-9B82-872FC0757530}"/>
    <cellStyle name="40% - Accent5 21 3 3" xfId="42920" xr:uid="{92ED15A4-B30C-4A38-9E81-DB63DB6674A9}"/>
    <cellStyle name="40% - Accent5 21 4" xfId="19048" xr:uid="{362ED996-0671-4785-8813-0D88B9F74478}"/>
    <cellStyle name="40% - Accent5 21 4 2" xfId="42922" xr:uid="{2D8DF812-FA1B-472A-B4C6-9E29BC0D11A0}"/>
    <cellStyle name="40% - Accent5 21 5" xfId="42915" xr:uid="{6177F13B-61ED-4DC4-99F7-6D4D05D9681E}"/>
    <cellStyle name="40% - Accent5 22" xfId="3650" xr:uid="{738CC73B-FA69-4758-90D4-E7A2EBB47449}"/>
    <cellStyle name="40% - Accent5 22 2" xfId="7381" xr:uid="{9BD20F0D-5872-4ADE-A16A-4A8B956C7DE1}"/>
    <cellStyle name="40% - Accent5 22 2 2" xfId="15089" xr:uid="{144509BF-870E-4B2F-AE9A-4047C927A9B1}"/>
    <cellStyle name="40% - Accent5 22 2 2 2" xfId="30501" xr:uid="{6FD439CC-5102-40E8-8C16-F76D08179E57}"/>
    <cellStyle name="40% - Accent5 22 2 2 2 2" xfId="42926" xr:uid="{D2183EE1-E09A-4840-86E3-4161CCA05AEA}"/>
    <cellStyle name="40% - Accent5 22 2 2 3" xfId="42925" xr:uid="{9BC566B6-7336-422A-875F-CE2033514B13}"/>
    <cellStyle name="40% - Accent5 22 2 3" xfId="22796" xr:uid="{C668FE7D-434B-4B3E-8776-F5A3A5D8F3E4}"/>
    <cellStyle name="40% - Accent5 22 2 3 2" xfId="42927" xr:uid="{19F429A8-00E7-426C-84DE-392F5B4762E4}"/>
    <cellStyle name="40% - Accent5 22 2 4" xfId="42924" xr:uid="{6FE2EB74-04A1-4C60-A055-CE439F31B1AB}"/>
    <cellStyle name="40% - Accent5 22 3" xfId="11360" xr:uid="{65BE2AB7-7678-40E2-A50D-C6468F66962C}"/>
    <cellStyle name="40% - Accent5 22 3 2" xfId="26773" xr:uid="{0F63CA92-00C2-4926-B719-D706265E52CD}"/>
    <cellStyle name="40% - Accent5 22 3 2 2" xfId="42929" xr:uid="{0F0D669A-236A-4479-A7E9-78C507DAA1DA}"/>
    <cellStyle name="40% - Accent5 22 3 3" xfId="42928" xr:uid="{3749F485-11E1-4AE3-BF3C-FA8E327FF0B9}"/>
    <cellStyle name="40% - Accent5 22 4" xfId="19068" xr:uid="{203C8518-78F4-4921-9A89-3663EAF2A02B}"/>
    <cellStyle name="40% - Accent5 22 4 2" xfId="42930" xr:uid="{BA857154-6EB9-4EAE-B589-5F8F58420D9B}"/>
    <cellStyle name="40% - Accent5 22 5" xfId="42923" xr:uid="{4A2E22B5-3821-4015-9449-DA5FD471A989}"/>
    <cellStyle name="40% - Accent5 23" xfId="3670" xr:uid="{5FAC99CF-D58F-4FB4-B2A6-8E55B7225E2E}"/>
    <cellStyle name="40% - Accent5 23 2" xfId="7401" xr:uid="{67F3E6D0-25D2-4EF4-94AA-9995A6B0B766}"/>
    <cellStyle name="40% - Accent5 23 2 2" xfId="15109" xr:uid="{0F269FE6-055A-4CD6-8A3F-601796FBB6B7}"/>
    <cellStyle name="40% - Accent5 23 2 2 2" xfId="30521" xr:uid="{791F9F11-6993-437F-92E1-AB8B03F0FFC9}"/>
    <cellStyle name="40% - Accent5 23 2 2 2 2" xfId="42934" xr:uid="{1FD59F55-E153-496C-B04E-D0C650E03737}"/>
    <cellStyle name="40% - Accent5 23 2 2 3" xfId="42933" xr:uid="{2D0F846C-6BF3-4B09-8661-C0F64E1FAA26}"/>
    <cellStyle name="40% - Accent5 23 2 3" xfId="22816" xr:uid="{74B97055-B5B2-4E35-BD49-BAFED773D545}"/>
    <cellStyle name="40% - Accent5 23 2 3 2" xfId="42935" xr:uid="{AF97C8E2-454F-4F58-B48E-8B758BE94DB2}"/>
    <cellStyle name="40% - Accent5 23 2 4" xfId="42932" xr:uid="{C343F0E5-56EE-4291-B8AC-244BE83D0361}"/>
    <cellStyle name="40% - Accent5 23 3" xfId="11380" xr:uid="{F8320709-533A-4B71-B332-8ED1DA14D5F1}"/>
    <cellStyle name="40% - Accent5 23 3 2" xfId="26793" xr:uid="{DABACA2F-EFEA-43DA-9979-BFBE5CB5A714}"/>
    <cellStyle name="40% - Accent5 23 3 2 2" xfId="42937" xr:uid="{D2221AC8-63F0-4B77-B517-1F129E4D18CA}"/>
    <cellStyle name="40% - Accent5 23 3 3" xfId="42936" xr:uid="{18AC597E-9C3C-4E36-9C34-BE2988AFC133}"/>
    <cellStyle name="40% - Accent5 23 4" xfId="19088" xr:uid="{1B337F2F-B82E-45D6-B454-343A38FA2421}"/>
    <cellStyle name="40% - Accent5 23 4 2" xfId="42938" xr:uid="{A05F6A0E-3B56-4557-BC2B-703D42A1DF21}"/>
    <cellStyle name="40% - Accent5 23 5" xfId="42931" xr:uid="{65F38F09-A403-4178-BDB1-C47B011D87F1}"/>
    <cellStyle name="40% - Accent5 24" xfId="3690" xr:uid="{0CCD960E-740F-4672-A00B-8A66B5155B4A}"/>
    <cellStyle name="40% - Accent5 24 2" xfId="7421" xr:uid="{7B96159C-43AB-4313-959D-6DCA6BC33450}"/>
    <cellStyle name="40% - Accent5 24 2 2" xfId="15129" xr:uid="{D5EE6AB6-0710-4734-9A3D-AE567EC1FC34}"/>
    <cellStyle name="40% - Accent5 24 2 2 2" xfId="30541" xr:uid="{02631C1A-ED70-4F7F-9017-083595A6E0A7}"/>
    <cellStyle name="40% - Accent5 24 2 2 2 2" xfId="42942" xr:uid="{1A94AE39-9F41-4C27-A901-F6E49530704C}"/>
    <cellStyle name="40% - Accent5 24 2 2 3" xfId="42941" xr:uid="{AD19B14C-69E9-4166-B652-1B757A9B0CE2}"/>
    <cellStyle name="40% - Accent5 24 2 3" xfId="22836" xr:uid="{2020884F-6B61-4494-9DF4-B62C6A789C80}"/>
    <cellStyle name="40% - Accent5 24 2 3 2" xfId="42943" xr:uid="{87395B8D-8AE1-4B8D-8C05-8CEB0F695F25}"/>
    <cellStyle name="40% - Accent5 24 2 4" xfId="42940" xr:uid="{B0FAC018-6EC2-4330-82F4-C28932018FF2}"/>
    <cellStyle name="40% - Accent5 24 3" xfId="11400" xr:uid="{AE0C3EB9-8F2B-4CF5-AC15-4E626CE9C646}"/>
    <cellStyle name="40% - Accent5 24 3 2" xfId="26813" xr:uid="{4D742BB2-F09E-43B8-B41B-759B7659D64E}"/>
    <cellStyle name="40% - Accent5 24 3 2 2" xfId="42945" xr:uid="{7EA090F3-CDB9-4758-B39B-72C127710984}"/>
    <cellStyle name="40% - Accent5 24 3 3" xfId="42944" xr:uid="{11DA56E3-25B0-4DAE-82A5-04F78521A20B}"/>
    <cellStyle name="40% - Accent5 24 4" xfId="19108" xr:uid="{8E67A4AD-7795-4D8F-B926-727A80BB62AD}"/>
    <cellStyle name="40% - Accent5 24 4 2" xfId="42946" xr:uid="{8577E291-EBEE-4D50-8B0E-5A0D3951E1B4}"/>
    <cellStyle name="40% - Accent5 24 5" xfId="42939" xr:uid="{D1C8457D-7EE6-4F5C-95A3-0704B2169122}"/>
    <cellStyle name="40% - Accent5 25" xfId="3710" xr:uid="{7D5BE073-697A-4B28-8126-2EF1F184E94D}"/>
    <cellStyle name="40% - Accent5 25 2" xfId="7441" xr:uid="{5C3B4B80-4B54-4595-A393-A6259FBBCCB3}"/>
    <cellStyle name="40% - Accent5 25 2 2" xfId="15149" xr:uid="{0750B627-CE02-4697-B431-09874FB9D38B}"/>
    <cellStyle name="40% - Accent5 25 2 2 2" xfId="30561" xr:uid="{396C427E-9EDA-4B4B-BF8F-13FDB5ADD36F}"/>
    <cellStyle name="40% - Accent5 25 2 2 2 2" xfId="42950" xr:uid="{F7825D1F-20AF-442B-A96A-FFA2FCC79DA8}"/>
    <cellStyle name="40% - Accent5 25 2 2 3" xfId="42949" xr:uid="{37BF825E-BC61-4A13-8506-4EE3859325A8}"/>
    <cellStyle name="40% - Accent5 25 2 3" xfId="22856" xr:uid="{F3D5B5EE-FC99-419B-808E-ADFEFFE77B38}"/>
    <cellStyle name="40% - Accent5 25 2 3 2" xfId="42951" xr:uid="{9BE0C3F5-5312-4588-8110-9FB778EE75E7}"/>
    <cellStyle name="40% - Accent5 25 2 4" xfId="42948" xr:uid="{C0A9CC61-36C7-4D2C-AE02-1C3B5AB87730}"/>
    <cellStyle name="40% - Accent5 25 3" xfId="11420" xr:uid="{899E40E9-DB4D-419A-B28D-804814F4B283}"/>
    <cellStyle name="40% - Accent5 25 3 2" xfId="26833" xr:uid="{B7E36251-9E8D-4642-A234-C2441535E280}"/>
    <cellStyle name="40% - Accent5 25 3 2 2" xfId="42953" xr:uid="{FB21924C-C451-4C88-9F2A-2B631620351F}"/>
    <cellStyle name="40% - Accent5 25 3 3" xfId="42952" xr:uid="{EBB8168D-BE61-4C01-81E1-7E1F29B69D0F}"/>
    <cellStyle name="40% - Accent5 25 4" xfId="19128" xr:uid="{63693FE4-8C8D-4CD6-878F-8BD41D0B17EB}"/>
    <cellStyle name="40% - Accent5 25 4 2" xfId="42954" xr:uid="{9EA0F269-7FAE-4DEF-9F3E-4B9533158828}"/>
    <cellStyle name="40% - Accent5 25 5" xfId="42947" xr:uid="{6FFD5E9C-048E-474A-B280-06B248F7D81E}"/>
    <cellStyle name="40% - Accent5 26" xfId="3730" xr:uid="{53D3A7D8-9A15-4149-B297-3A0DD8BB115E}"/>
    <cellStyle name="40% - Accent5 26 2" xfId="7461" xr:uid="{F05A1CA8-096B-4447-9655-D645C9313B6D}"/>
    <cellStyle name="40% - Accent5 26 2 2" xfId="15169" xr:uid="{D2A7D1A0-F3ED-4486-B962-3AC98E3BB914}"/>
    <cellStyle name="40% - Accent5 26 2 2 2" xfId="30581" xr:uid="{7280AB7A-C696-4A85-804A-9991AEAD336B}"/>
    <cellStyle name="40% - Accent5 26 2 2 2 2" xfId="42958" xr:uid="{DEA73A0A-0069-417E-8569-837D85CB78F0}"/>
    <cellStyle name="40% - Accent5 26 2 2 3" xfId="42957" xr:uid="{DEAD90E6-34AF-49DA-8CE3-5BF956D7094E}"/>
    <cellStyle name="40% - Accent5 26 2 3" xfId="22876" xr:uid="{D4E43B52-2AAC-4EEA-98B1-6A55B9ECB4E2}"/>
    <cellStyle name="40% - Accent5 26 2 3 2" xfId="42959" xr:uid="{0996FB93-536F-41FE-8380-60514CDBB597}"/>
    <cellStyle name="40% - Accent5 26 2 4" xfId="42956" xr:uid="{141D4B68-F734-4E6B-BC9A-6AF48C108BF8}"/>
    <cellStyle name="40% - Accent5 26 3" xfId="11440" xr:uid="{CEC60AEE-9983-4BEC-BFD1-5C75EAE8BF74}"/>
    <cellStyle name="40% - Accent5 26 3 2" xfId="26853" xr:uid="{18E22187-FCF7-473A-93E1-BBBF3A23AC64}"/>
    <cellStyle name="40% - Accent5 26 3 2 2" xfId="42961" xr:uid="{3E2A586F-F119-4850-963D-735A8D3E443C}"/>
    <cellStyle name="40% - Accent5 26 3 3" xfId="42960" xr:uid="{E3725633-71EE-4DA1-AF84-54F2178C7BCE}"/>
    <cellStyle name="40% - Accent5 26 4" xfId="19148" xr:uid="{C2EAE795-C22D-4E94-BB1A-5D29F2EDD340}"/>
    <cellStyle name="40% - Accent5 26 4 2" xfId="42962" xr:uid="{F7633C8E-4C3C-4FC7-A8DA-2EE855701B3E}"/>
    <cellStyle name="40% - Accent5 26 5" xfId="42955" xr:uid="{8A5E3A56-706D-42AA-8341-1F6B6D918195}"/>
    <cellStyle name="40% - Accent5 27" xfId="3750" xr:uid="{4CC1EB5A-550C-4A5B-BE33-6762E2A75A1F}"/>
    <cellStyle name="40% - Accent5 27 2" xfId="7481" xr:uid="{50B16AF2-8B49-4740-BE3C-6A7EBB7440AD}"/>
    <cellStyle name="40% - Accent5 27 2 2" xfId="15189" xr:uid="{DD87B883-E8ED-479A-95E4-6B52F7ECB0B4}"/>
    <cellStyle name="40% - Accent5 27 2 2 2" xfId="30601" xr:uid="{2017EB36-00F0-4CA5-8F3A-E11C04F366BE}"/>
    <cellStyle name="40% - Accent5 27 2 2 2 2" xfId="42966" xr:uid="{64207D6C-C2A9-45DA-8762-AE667C491927}"/>
    <cellStyle name="40% - Accent5 27 2 2 3" xfId="42965" xr:uid="{67B00A7B-3319-4058-824E-34A774B67997}"/>
    <cellStyle name="40% - Accent5 27 2 3" xfId="22896" xr:uid="{D351B54E-7704-43CA-8B86-D44EFC93C91E}"/>
    <cellStyle name="40% - Accent5 27 2 3 2" xfId="42967" xr:uid="{F64B9ECB-54AD-4096-8EDE-2B77BF1935AD}"/>
    <cellStyle name="40% - Accent5 27 2 4" xfId="42964" xr:uid="{1847D6B7-3D3B-4B4F-880D-D100E7EF5CB4}"/>
    <cellStyle name="40% - Accent5 27 3" xfId="11460" xr:uid="{AD8142A3-3A48-4F09-BF76-F2DDA113E2D2}"/>
    <cellStyle name="40% - Accent5 27 3 2" xfId="26873" xr:uid="{AFDA54DA-B696-40CA-A62B-F6221FB60585}"/>
    <cellStyle name="40% - Accent5 27 3 2 2" xfId="42969" xr:uid="{93A99EA2-8C8A-4FE1-B4B6-44C79899CFAF}"/>
    <cellStyle name="40% - Accent5 27 3 3" xfId="42968" xr:uid="{669FC7A7-E4C2-4F2A-9F3C-7CEBEE21D1D9}"/>
    <cellStyle name="40% - Accent5 27 4" xfId="19168" xr:uid="{243466FF-C850-4E02-A618-CD40D507E296}"/>
    <cellStyle name="40% - Accent5 27 4 2" xfId="42970" xr:uid="{16113EDA-6771-4897-AF05-8395A69735E3}"/>
    <cellStyle name="40% - Accent5 27 5" xfId="42963" xr:uid="{398718FA-6BFF-4A89-8943-663274DFE4AC}"/>
    <cellStyle name="40% - Accent5 28" xfId="3770" xr:uid="{856F2A51-3C35-4162-8B4E-786DDBDD74BD}"/>
    <cellStyle name="40% - Accent5 28 2" xfId="7501" xr:uid="{7148DC99-B873-4CE4-82A4-57B4CDCBDEDD}"/>
    <cellStyle name="40% - Accent5 28 2 2" xfId="15209" xr:uid="{F8022216-9B06-4C6A-B726-30090F00602D}"/>
    <cellStyle name="40% - Accent5 28 2 2 2" xfId="30621" xr:uid="{C262B223-A299-497F-A0EE-2B91C330174D}"/>
    <cellStyle name="40% - Accent5 28 2 2 2 2" xfId="42974" xr:uid="{DCFB89E8-CE67-483D-8A6D-6C387038FE61}"/>
    <cellStyle name="40% - Accent5 28 2 2 3" xfId="42973" xr:uid="{08853A76-9240-46B8-8EFC-BB2F4932B979}"/>
    <cellStyle name="40% - Accent5 28 2 3" xfId="22916" xr:uid="{CE7158A5-C87D-4373-A892-6F8323E7F874}"/>
    <cellStyle name="40% - Accent5 28 2 3 2" xfId="42975" xr:uid="{439E0031-26C3-4CA7-B50B-191564DDEF2F}"/>
    <cellStyle name="40% - Accent5 28 2 4" xfId="42972" xr:uid="{7483236F-4BED-4ACA-B5CD-0FC399ACF5F0}"/>
    <cellStyle name="40% - Accent5 28 3" xfId="11480" xr:uid="{A7D1B766-1ACD-4E7B-ADCB-8DAB489ADC73}"/>
    <cellStyle name="40% - Accent5 28 3 2" xfId="26893" xr:uid="{D41CE4D3-EBFE-42C3-B149-10D95A5E47EF}"/>
    <cellStyle name="40% - Accent5 28 3 2 2" xfId="42977" xr:uid="{4690AFD6-23B2-49E0-A5BB-3D5E3E6C3958}"/>
    <cellStyle name="40% - Accent5 28 3 3" xfId="42976" xr:uid="{359E9146-72B4-4CA9-A6B0-6DFBC7E7BD51}"/>
    <cellStyle name="40% - Accent5 28 4" xfId="19188" xr:uid="{6C0C92CF-25B2-4549-A1C7-86A0ED8B2842}"/>
    <cellStyle name="40% - Accent5 28 4 2" xfId="42978" xr:uid="{30CCBCD5-C0A9-4D7F-936B-304ED5C3A48D}"/>
    <cellStyle name="40% - Accent5 28 5" xfId="42971" xr:uid="{55C1569E-13D8-448E-968E-442A144B7073}"/>
    <cellStyle name="40% - Accent5 29" xfId="3790" xr:uid="{04DBCFA5-5E62-4C41-8582-039E9EB6DF0E}"/>
    <cellStyle name="40% - Accent5 29 2" xfId="7521" xr:uid="{2A9F78AD-B74D-4A45-92AF-6D03C51A6D6F}"/>
    <cellStyle name="40% - Accent5 29 2 2" xfId="15229" xr:uid="{08CBCF74-983E-45F1-9A85-C214B7DEBDB4}"/>
    <cellStyle name="40% - Accent5 29 2 2 2" xfId="30641" xr:uid="{26FB4A30-A99C-4FB5-B707-D047DF88005B}"/>
    <cellStyle name="40% - Accent5 29 2 2 2 2" xfId="42982" xr:uid="{4FB7B41F-F8AE-4803-88C2-0C24230A86D1}"/>
    <cellStyle name="40% - Accent5 29 2 2 3" xfId="42981" xr:uid="{21767659-D403-4086-8D34-2106DF1FBC02}"/>
    <cellStyle name="40% - Accent5 29 2 3" xfId="22936" xr:uid="{AF8795FE-E285-46A7-B0B5-355C9059433C}"/>
    <cellStyle name="40% - Accent5 29 2 3 2" xfId="42983" xr:uid="{6FD7D867-5762-4525-B5A5-60E99A372344}"/>
    <cellStyle name="40% - Accent5 29 2 4" xfId="42980" xr:uid="{4548EDE0-06CD-4EA7-AC5F-A58B14C05F1D}"/>
    <cellStyle name="40% - Accent5 29 3" xfId="11500" xr:uid="{C33A3F49-1B98-4A53-B0C1-50869CB3DDDB}"/>
    <cellStyle name="40% - Accent5 29 3 2" xfId="26913" xr:uid="{6C596573-6FB5-4598-8494-EB055EDC9DB8}"/>
    <cellStyle name="40% - Accent5 29 3 2 2" xfId="42985" xr:uid="{C38991BB-5169-4417-978B-FBD2991FE91E}"/>
    <cellStyle name="40% - Accent5 29 3 3" xfId="42984" xr:uid="{54C4A4B1-ED1E-43FC-9EB6-05D5B57042EF}"/>
    <cellStyle name="40% - Accent5 29 4" xfId="19208" xr:uid="{EC700110-8F62-41E2-8185-6D09D93CB2A4}"/>
    <cellStyle name="40% - Accent5 29 4 2" xfId="42986" xr:uid="{09B7BC06-026E-4718-918D-4A01BFF2D16B}"/>
    <cellStyle name="40% - Accent5 29 5" xfId="42979" xr:uid="{3F6B3667-93D1-4ABC-BC03-3CC78DAF4DE1}"/>
    <cellStyle name="40% - Accent5 3" xfId="333" xr:uid="{F6E54FBC-B267-4172-A859-75F37085511C}"/>
    <cellStyle name="40% - Accent5 3 2" xfId="997" xr:uid="{EAAA618F-E1E8-4BA6-A7A7-0EA419F23695}"/>
    <cellStyle name="40% - Accent5 3 2 2" xfId="2467" xr:uid="{CE37C6ED-E987-40DA-AFCA-933E8C37D467}"/>
    <cellStyle name="40% - Accent5 3 2 2 2" xfId="6199" xr:uid="{A188631F-1B5F-4DF4-8243-E7EE380A48F1}"/>
    <cellStyle name="40% - Accent5 3 2 2 2 2" xfId="13907" xr:uid="{F8305AEF-2359-4699-8DD8-40A98D3A2348}"/>
    <cellStyle name="40% - Accent5 3 2 2 2 2 2" xfId="29319" xr:uid="{3C3C64B5-3387-4748-A55B-C019C8B885BD}"/>
    <cellStyle name="40% - Accent5 3 2 2 2 2 2 2" xfId="42992" xr:uid="{78A28362-5379-4BDA-A2C4-D88BBB599D3C}"/>
    <cellStyle name="40% - Accent5 3 2 2 2 2 3" xfId="42991" xr:uid="{7B01C616-289C-4B40-810C-BDD23EC7597C}"/>
    <cellStyle name="40% - Accent5 3 2 2 2 3" xfId="21614" xr:uid="{15244439-76A8-4E44-AAF6-C0DD3621334D}"/>
    <cellStyle name="40% - Accent5 3 2 2 2 3 2" xfId="42993" xr:uid="{88B4D1D0-19D4-4C12-B39D-65DC8125729A}"/>
    <cellStyle name="40% - Accent5 3 2 2 2 4" xfId="42990" xr:uid="{A24B4F10-C65D-46DF-8EAA-9FFEFC29F8E4}"/>
    <cellStyle name="40% - Accent5 3 2 2 3" xfId="10178" xr:uid="{BDC9ED41-8429-4285-ACB8-242EDFFE5D90}"/>
    <cellStyle name="40% - Accent5 3 2 2 3 2" xfId="25591" xr:uid="{7FA45FD3-F822-406A-967E-853AB4AF4325}"/>
    <cellStyle name="40% - Accent5 3 2 2 3 2 2" xfId="42995" xr:uid="{446347A0-E5B3-4004-83C4-96506E92E83C}"/>
    <cellStyle name="40% - Accent5 3 2 2 3 3" xfId="42994" xr:uid="{E4995B10-CEEE-46FF-825E-1B7C1E46BA7A}"/>
    <cellStyle name="40% - Accent5 3 2 2 4" xfId="17886" xr:uid="{F9749B76-17D4-4B00-A25E-BFD41E867126}"/>
    <cellStyle name="40% - Accent5 3 2 2 4 2" xfId="42996" xr:uid="{402BE1E7-D4D4-4CD9-973D-E4FBB65D1F28}"/>
    <cellStyle name="40% - Accent5 3 2 2 5" xfId="42989" xr:uid="{D97FA15A-DB79-48CC-A4EF-D18FB5082199}"/>
    <cellStyle name="40% - Accent5 3 2 3" xfId="4734" xr:uid="{6A92424E-AEF4-468E-852E-B4D3B60F845F}"/>
    <cellStyle name="40% - Accent5 3 2 3 2" xfId="12442" xr:uid="{D82E2BDE-BCC1-4A9D-8AC4-6EBF5D1ADAC9}"/>
    <cellStyle name="40% - Accent5 3 2 3 2 2" xfId="27854" xr:uid="{14F289CD-EEC3-4F7C-844F-E80A5230CEAD}"/>
    <cellStyle name="40% - Accent5 3 2 3 2 2 2" xfId="42999" xr:uid="{CB9E6F53-3938-4152-B29E-E68D8DE6F7BA}"/>
    <cellStyle name="40% - Accent5 3 2 3 2 3" xfId="42998" xr:uid="{481556C2-8310-4325-8796-2E30E8BC8787}"/>
    <cellStyle name="40% - Accent5 3 2 3 3" xfId="20149" xr:uid="{124418AE-E4AB-4B8D-8B2E-E0970520AC85}"/>
    <cellStyle name="40% - Accent5 3 2 3 3 2" xfId="43000" xr:uid="{ADE4ABC9-744F-4750-B4EA-89B4179CFF91}"/>
    <cellStyle name="40% - Accent5 3 2 3 4" xfId="42997" xr:uid="{46E4D430-33DD-48CD-8C92-0BE385373123}"/>
    <cellStyle name="40% - Accent5 3 2 4" xfId="8719" xr:uid="{A9794B3B-9842-4F7A-8C7E-93280B13D571}"/>
    <cellStyle name="40% - Accent5 3 2 4 2" xfId="24132" xr:uid="{7B8F0DCD-49D8-47C8-8B80-CED361797490}"/>
    <cellStyle name="40% - Accent5 3 2 4 2 2" xfId="43002" xr:uid="{C7568B13-B746-49F8-9179-AA9DE4D10175}"/>
    <cellStyle name="40% - Accent5 3 2 4 3" xfId="43001" xr:uid="{9CEE11DF-9208-4E44-A6CF-ACE9A8B62783}"/>
    <cellStyle name="40% - Accent5 3 2 5" xfId="16427" xr:uid="{F18D0F72-4183-415F-868E-0BAF764BB081}"/>
    <cellStyle name="40% - Accent5 3 2 5 2" xfId="43003" xr:uid="{7D2341F5-D2B1-4F8E-B0DB-4989315D42EA}"/>
    <cellStyle name="40% - Accent5 3 2 6" xfId="42988" xr:uid="{766B0C45-D520-49D9-A92C-AFB27F4AB7BF}"/>
    <cellStyle name="40% - Accent5 3 3" xfId="1829" xr:uid="{60FA6ACA-F95D-4F16-BC71-2014B6EBB916}"/>
    <cellStyle name="40% - Accent5 3 3 2" xfId="5561" xr:uid="{6D352435-751A-404D-88CA-3000E8C62DC4}"/>
    <cellStyle name="40% - Accent5 3 3 2 2" xfId="13269" xr:uid="{ED509E8D-88C1-4B74-B549-DF8AD80FDBCD}"/>
    <cellStyle name="40% - Accent5 3 3 2 2 2" xfId="28681" xr:uid="{3D66905B-F964-49CB-BABD-831217F7C10C}"/>
    <cellStyle name="40% - Accent5 3 3 2 2 2 2" xfId="43007" xr:uid="{2D60AA39-3B25-4CDB-9320-E7FBC876F2EA}"/>
    <cellStyle name="40% - Accent5 3 3 2 2 3" xfId="43006" xr:uid="{7619CAE8-B054-435B-BEE8-A12616AF8E67}"/>
    <cellStyle name="40% - Accent5 3 3 2 3" xfId="20976" xr:uid="{1C19D254-866A-4E12-95CB-14D22E4CD9D9}"/>
    <cellStyle name="40% - Accent5 3 3 2 3 2" xfId="43008" xr:uid="{08962B0B-459F-41FE-A56F-C51195A475E6}"/>
    <cellStyle name="40% - Accent5 3 3 2 4" xfId="43005" xr:uid="{5B7F6C34-66A6-44F7-B2DF-AA82D364B82C}"/>
    <cellStyle name="40% - Accent5 3 3 3" xfId="9540" xr:uid="{096359F2-F860-4CC9-B966-41F81A740580}"/>
    <cellStyle name="40% - Accent5 3 3 3 2" xfId="24953" xr:uid="{DFA96B6B-584D-44EB-8BE2-4957470ADC09}"/>
    <cellStyle name="40% - Accent5 3 3 3 2 2" xfId="43010" xr:uid="{56EA068C-715D-4C09-854E-8399310BC67C}"/>
    <cellStyle name="40% - Accent5 3 3 3 3" xfId="43009" xr:uid="{6AB8C2E1-6445-4031-9DFA-C163DC8C3D47}"/>
    <cellStyle name="40% - Accent5 3 3 4" xfId="17248" xr:uid="{794FF887-7A2E-472A-A718-451AADE72952}"/>
    <cellStyle name="40% - Accent5 3 3 4 2" xfId="43011" xr:uid="{F06E2204-6D6B-4C19-811B-3642510C7E22}"/>
    <cellStyle name="40% - Accent5 3 3 5" xfId="43004" xr:uid="{7664403C-28FA-492F-B48C-084478ECB6D8}"/>
    <cellStyle name="40% - Accent5 3 4" xfId="4082" xr:uid="{3851343E-FEEE-4286-AA75-F90B91821F7F}"/>
    <cellStyle name="40% - Accent5 3 4 2" xfId="11790" xr:uid="{1F6DBD9D-6CA7-4A2D-91C8-6C30A946DB76}"/>
    <cellStyle name="40% - Accent5 3 4 2 2" xfId="27202" xr:uid="{0051C88C-F0C6-4221-AF1E-9221A44FFF67}"/>
    <cellStyle name="40% - Accent5 3 4 2 2 2" xfId="43014" xr:uid="{A4BBAC37-E377-40DC-8867-0B065AEC645C}"/>
    <cellStyle name="40% - Accent5 3 4 2 3" xfId="43013" xr:uid="{96D20F23-53A6-4C22-A5D4-12C4C9B14495}"/>
    <cellStyle name="40% - Accent5 3 4 3" xfId="19497" xr:uid="{87B82DD4-E9A8-46CD-9E1A-5EB48AAED895}"/>
    <cellStyle name="40% - Accent5 3 4 3 2" xfId="43015" xr:uid="{60B25A80-708E-4BD9-8708-F8038DDF36FA}"/>
    <cellStyle name="40% - Accent5 3 4 4" xfId="43012" xr:uid="{DCB0FA4E-3215-49CD-9524-883AF5DA1B59}"/>
    <cellStyle name="40% - Accent5 3 5" xfId="8081" xr:uid="{CE27B3EB-12A1-4CAC-96C1-965784B1F60E}"/>
    <cellStyle name="40% - Accent5 3 5 2" xfId="23494" xr:uid="{7B6FC57D-FEDC-4CDB-8B5A-2CAF6A0F9B6E}"/>
    <cellStyle name="40% - Accent5 3 5 2 2" xfId="43017" xr:uid="{4FFCC118-6E89-42FE-9480-377614D8E8E7}"/>
    <cellStyle name="40% - Accent5 3 5 3" xfId="43016" xr:uid="{4599F35C-BE0A-493D-B3FE-46E6DC5F6DD8}"/>
    <cellStyle name="40% - Accent5 3 6" xfId="15789" xr:uid="{4994620D-20ED-47ED-A6D2-1EF2F3B014C3}"/>
    <cellStyle name="40% - Accent5 3 6 2" xfId="43018" xr:uid="{C80B3629-7569-4FA9-8551-5CE91A4F9761}"/>
    <cellStyle name="40% - Accent5 3 7" xfId="42987" xr:uid="{E0EA376E-F3EE-450D-B686-C0618E3BC76A}"/>
    <cellStyle name="40% - Accent5 30" xfId="3810" xr:uid="{710C3317-6C5A-4AD7-ADD5-8DC6AEEA9258}"/>
    <cellStyle name="40% - Accent5 30 2" xfId="7541" xr:uid="{4C05F494-38D6-4982-A78B-859C83F8DA2C}"/>
    <cellStyle name="40% - Accent5 30 2 2" xfId="15249" xr:uid="{C517F5F2-6046-42E1-B453-3CBD041F5AAB}"/>
    <cellStyle name="40% - Accent5 30 2 2 2" xfId="30661" xr:uid="{5210B521-1ACB-4D36-B3F4-009EBB7D96A7}"/>
    <cellStyle name="40% - Accent5 30 2 2 2 2" xfId="43022" xr:uid="{6B9B0D18-57B8-4E68-AF36-323791D71CFA}"/>
    <cellStyle name="40% - Accent5 30 2 2 3" xfId="43021" xr:uid="{ECF823AA-D1FD-486D-BD17-E0010E1A176D}"/>
    <cellStyle name="40% - Accent5 30 2 3" xfId="22956" xr:uid="{48F20344-0999-4FD0-BCCE-37BCA3DE0740}"/>
    <cellStyle name="40% - Accent5 30 2 3 2" xfId="43023" xr:uid="{933A450A-9DEB-4C0D-810A-5ADC862DD80D}"/>
    <cellStyle name="40% - Accent5 30 2 4" xfId="43020" xr:uid="{F03D46AD-3225-4859-8E28-9FC13B59A08C}"/>
    <cellStyle name="40% - Accent5 30 3" xfId="11520" xr:uid="{C42AB8DD-8DA1-4BA8-910F-86F3F2C7BDD7}"/>
    <cellStyle name="40% - Accent5 30 3 2" xfId="26933" xr:uid="{C2F8273A-5235-4E00-AB9D-6178A9357C9D}"/>
    <cellStyle name="40% - Accent5 30 3 2 2" xfId="43025" xr:uid="{2686C099-7B9F-42A0-858D-E5A780F5F2DB}"/>
    <cellStyle name="40% - Accent5 30 3 3" xfId="43024" xr:uid="{A3328E8A-3523-45C9-B895-83C5B9E61622}"/>
    <cellStyle name="40% - Accent5 30 4" xfId="19228" xr:uid="{DDF09012-3671-4DCA-B94B-0CB790C63C70}"/>
    <cellStyle name="40% - Accent5 30 4 2" xfId="43026" xr:uid="{14A0CFC5-301F-4B41-B3F9-7A737AB0BEC9}"/>
    <cellStyle name="40% - Accent5 30 5" xfId="43019" xr:uid="{06BEEF8F-303D-42EC-BB95-E11B3610FA4C}"/>
    <cellStyle name="40% - Accent5 31" xfId="3830" xr:uid="{BEBFA336-04F3-4ED6-B20C-F98F56251EDC}"/>
    <cellStyle name="40% - Accent5 31 2" xfId="7561" xr:uid="{DD2B76BC-C4C1-49EF-B495-7B67002FBC28}"/>
    <cellStyle name="40% - Accent5 31 2 2" xfId="15269" xr:uid="{1692096A-C2EC-4E05-87D7-3F60F2ADE38A}"/>
    <cellStyle name="40% - Accent5 31 2 2 2" xfId="30681" xr:uid="{0F04DA58-055A-4192-A6AA-CEE1979A6CFA}"/>
    <cellStyle name="40% - Accent5 31 2 2 2 2" xfId="43030" xr:uid="{1B9AF767-9857-468D-9854-C965BE80BE07}"/>
    <cellStyle name="40% - Accent5 31 2 2 3" xfId="43029" xr:uid="{D969F956-D7E0-4C4E-B4DA-14A97A1DD580}"/>
    <cellStyle name="40% - Accent5 31 2 3" xfId="22976" xr:uid="{30A54A33-9AB0-42DA-8D50-5EEDE20E46C6}"/>
    <cellStyle name="40% - Accent5 31 2 3 2" xfId="43031" xr:uid="{9CC01CFF-1157-4767-843B-D02E4CF1F6D7}"/>
    <cellStyle name="40% - Accent5 31 2 4" xfId="43028" xr:uid="{E70E5E2E-A035-427C-BFF6-D7D68ACBA9A0}"/>
    <cellStyle name="40% - Accent5 31 3" xfId="11540" xr:uid="{F6086D9D-37A4-44B6-AB19-61CFB2C157EA}"/>
    <cellStyle name="40% - Accent5 31 3 2" xfId="26953" xr:uid="{A717E13B-4379-4EC1-BDC0-D02060C3438F}"/>
    <cellStyle name="40% - Accent5 31 3 2 2" xfId="43033" xr:uid="{BD16D03E-4A28-426E-A15A-823F64514F3F}"/>
    <cellStyle name="40% - Accent5 31 3 3" xfId="43032" xr:uid="{E1BC3CEC-B14B-4E10-BD00-13C370BD3A50}"/>
    <cellStyle name="40% - Accent5 31 4" xfId="19248" xr:uid="{5817A67E-D7CB-4691-8358-0ADCC4EB5E4B}"/>
    <cellStyle name="40% - Accent5 31 4 2" xfId="43034" xr:uid="{25F78190-3607-40F4-AE1D-A90599D8DF57}"/>
    <cellStyle name="40% - Accent5 31 5" xfId="43027" xr:uid="{571E1CA9-D5FC-441B-9C63-D9CDB2225D4D}"/>
    <cellStyle name="40% - Accent5 32" xfId="3851" xr:uid="{EC9F141B-2BD1-432B-8D32-A0853E01E868}"/>
    <cellStyle name="40% - Accent5 32 2" xfId="7581" xr:uid="{9B6C5AEA-CD75-468F-B248-C44DB706B360}"/>
    <cellStyle name="40% - Accent5 32 2 2" xfId="15289" xr:uid="{CB204795-379B-4995-8530-59B0A76C1BB5}"/>
    <cellStyle name="40% - Accent5 32 2 2 2" xfId="30701" xr:uid="{CE07F227-BDA0-4571-9968-3A93680F4C3D}"/>
    <cellStyle name="40% - Accent5 32 2 2 2 2" xfId="43038" xr:uid="{E1D4674C-2F02-415A-808B-2600EF9692DE}"/>
    <cellStyle name="40% - Accent5 32 2 2 3" xfId="43037" xr:uid="{2041FDB3-3A5A-44BD-8A91-A08312A3BC3C}"/>
    <cellStyle name="40% - Accent5 32 2 3" xfId="22996" xr:uid="{C6C64E8A-3EF9-41E4-AD39-A0E01D4687C3}"/>
    <cellStyle name="40% - Accent5 32 2 3 2" xfId="43039" xr:uid="{AE599ECE-0C66-40F5-9E14-5CF2AE137996}"/>
    <cellStyle name="40% - Accent5 32 2 4" xfId="43036" xr:uid="{7716B4B9-3313-4A8D-ADBC-7E65862B36DF}"/>
    <cellStyle name="40% - Accent5 32 3" xfId="11561" xr:uid="{E261FA86-8E76-4EB0-9E1E-E0F3C57B2A05}"/>
    <cellStyle name="40% - Accent5 32 3 2" xfId="26973" xr:uid="{B084C3BA-C304-41BE-88B3-6E184D396899}"/>
    <cellStyle name="40% - Accent5 32 3 2 2" xfId="43041" xr:uid="{8E5D48C1-E381-4675-9E4D-13026F7550C8}"/>
    <cellStyle name="40% - Accent5 32 3 3" xfId="43040" xr:uid="{B920475E-D2E3-4DB6-B4CB-C6CC4D6A1C5F}"/>
    <cellStyle name="40% - Accent5 32 4" xfId="19268" xr:uid="{967C89CE-0BCD-4E95-8CEF-570E51C07DC8}"/>
    <cellStyle name="40% - Accent5 32 4 2" xfId="43042" xr:uid="{3553F7D6-9F89-4EC7-8157-305DFDB26C5D}"/>
    <cellStyle name="40% - Accent5 32 5" xfId="43035" xr:uid="{239AEE38-19E1-4320-9148-8302B89D109D}"/>
    <cellStyle name="40% - Accent5 33" xfId="3870" xr:uid="{18000640-9A22-4FAC-ABE5-069F2B54773E}"/>
    <cellStyle name="40% - Accent5 33 2" xfId="11580" xr:uid="{7A20EC22-5A97-4B31-9231-D85DFE4B91EA}"/>
    <cellStyle name="40% - Accent5 33 2 2" xfId="26992" xr:uid="{6D3608AB-35DE-4832-BA35-5A588C91E9CE}"/>
    <cellStyle name="40% - Accent5 33 2 2 2" xfId="43045" xr:uid="{924D91E3-EA17-44A2-80C6-AAA19A936950}"/>
    <cellStyle name="40% - Accent5 33 2 3" xfId="43044" xr:uid="{7D41ED80-9A17-42DE-8464-CA2E3A861E49}"/>
    <cellStyle name="40% - Accent5 33 3" xfId="19287" xr:uid="{565E97FF-1124-48E2-8F3A-85A0EE0285AE}"/>
    <cellStyle name="40% - Accent5 33 3 2" xfId="43046" xr:uid="{F2174B48-47B6-4086-8F52-27987228BF39}"/>
    <cellStyle name="40% - Accent5 33 4" xfId="43043" xr:uid="{DBFF4326-DC5D-471E-9CFB-C9682875DF34}"/>
    <cellStyle name="40% - Accent5 34" xfId="7601" xr:uid="{9F783678-978D-4805-8D1F-5085004DA751}"/>
    <cellStyle name="40% - Accent5 34 2" xfId="15309" xr:uid="{ECBFDA27-9CD3-41FF-A4E9-F58D9AA0E646}"/>
    <cellStyle name="40% - Accent5 34 2 2" xfId="30721" xr:uid="{69AF7A2A-E554-42E4-9E87-186DDD6FB706}"/>
    <cellStyle name="40% - Accent5 34 2 2 2" xfId="43049" xr:uid="{DD3C325E-4EA4-4D21-9951-7091A506F718}"/>
    <cellStyle name="40% - Accent5 34 2 3" xfId="43048" xr:uid="{C842F6F0-2A35-4802-B882-EFC21C7B4FC9}"/>
    <cellStyle name="40% - Accent5 34 3" xfId="23016" xr:uid="{6C332E3B-FEA1-4C72-A0AE-DA322693BABD}"/>
    <cellStyle name="40% - Accent5 34 3 2" xfId="43050" xr:uid="{26586C62-BA12-4C7F-B21D-4C29F4081EB9}"/>
    <cellStyle name="40% - Accent5 34 4" xfId="43047" xr:uid="{3449D5C3-3E08-4EB0-A0CF-DC2CC7C86B30}"/>
    <cellStyle name="40% - Accent5 35" xfId="7621" xr:uid="{BBF93138-940D-4D49-92A4-933A8C74B22D}"/>
    <cellStyle name="40% - Accent5 35 2" xfId="15329" xr:uid="{EB9F66BC-050A-4C62-8F57-14E23D264684}"/>
    <cellStyle name="40% - Accent5 35 2 2" xfId="30741" xr:uid="{E410BCAF-A212-44BC-9D9A-9E2E48F7B947}"/>
    <cellStyle name="40% - Accent5 35 2 2 2" xfId="43053" xr:uid="{4B7F8DB9-7115-417F-883D-5A421F1FC4A3}"/>
    <cellStyle name="40% - Accent5 35 2 3" xfId="43052" xr:uid="{14DD0C79-7DD8-486B-937A-DB0DCAC79374}"/>
    <cellStyle name="40% - Accent5 35 3" xfId="23036" xr:uid="{91080B37-8731-4EB1-94EA-D953CCA51EB5}"/>
    <cellStyle name="40% - Accent5 35 3 2" xfId="43054" xr:uid="{1F9F0176-029B-4D04-AD51-1C50579D7309}"/>
    <cellStyle name="40% - Accent5 35 4" xfId="43051" xr:uid="{C21308F4-7D03-49E2-BE3A-38097ED41FA0}"/>
    <cellStyle name="40% - Accent5 36" xfId="7641" xr:uid="{E6D6328A-F5F8-4E8C-A6A2-5859B6ADB102}"/>
    <cellStyle name="40% - Accent5 36 2" xfId="15349" xr:uid="{6BB030CB-C98B-44E3-B415-A9ADFCA58DD2}"/>
    <cellStyle name="40% - Accent5 36 2 2" xfId="30761" xr:uid="{BD90FA5D-708A-4D07-8666-7A82F056A43A}"/>
    <cellStyle name="40% - Accent5 36 2 2 2" xfId="43057" xr:uid="{507D0997-D73F-413F-B3BA-2B4E879A20A2}"/>
    <cellStyle name="40% - Accent5 36 2 3" xfId="43056" xr:uid="{A449E825-6003-4A34-BE60-A794B928C3EF}"/>
    <cellStyle name="40% - Accent5 36 3" xfId="23056" xr:uid="{90695E28-3609-496F-B73B-21FC39E2519A}"/>
    <cellStyle name="40% - Accent5 36 3 2" xfId="43058" xr:uid="{7A7A1401-D29B-4829-B80D-22EA3BDD56E9}"/>
    <cellStyle name="40% - Accent5 36 4" xfId="43055" xr:uid="{32350849-1DEE-44A3-BB2D-2D3074F99C33}"/>
    <cellStyle name="40% - Accent5 37" xfId="7661" xr:uid="{CF688F00-5335-4C36-BB0E-E31DF3B638FA}"/>
    <cellStyle name="40% - Accent5 37 2" xfId="15369" xr:uid="{10696541-C63C-4F8E-BAB0-99FF65C31F27}"/>
    <cellStyle name="40% - Accent5 37 2 2" xfId="30781" xr:uid="{275D40E1-BC6C-4BEB-8051-DF2CF413CD49}"/>
    <cellStyle name="40% - Accent5 37 2 2 2" xfId="43061" xr:uid="{6EAEABE2-228A-40C4-8182-889F698A010E}"/>
    <cellStyle name="40% - Accent5 37 2 3" xfId="43060" xr:uid="{4F037F28-A647-483E-A290-B30E32A3F809}"/>
    <cellStyle name="40% - Accent5 37 3" xfId="23076" xr:uid="{32BDF0A9-D3CF-4815-9E85-79D7D4389C32}"/>
    <cellStyle name="40% - Accent5 37 3 2" xfId="43062" xr:uid="{B757C50E-FBD2-4CF3-ACD4-56F1DC17D287}"/>
    <cellStyle name="40% - Accent5 37 4" xfId="43059" xr:uid="{7A56F2D7-E365-4B67-89DD-32D717D7E0AE}"/>
    <cellStyle name="40% - Accent5 38" xfId="7681" xr:uid="{589E8515-D5C9-40CC-A802-C849699F3A9E}"/>
    <cellStyle name="40% - Accent5 38 2" xfId="15389" xr:uid="{DF52467A-A00F-46DE-913F-377D0D548442}"/>
    <cellStyle name="40% - Accent5 38 2 2" xfId="30801" xr:uid="{273A0CB2-90A5-4B2A-BE2C-34628E3CFAD1}"/>
    <cellStyle name="40% - Accent5 38 2 2 2" xfId="43065" xr:uid="{4CC70957-A5B2-4926-B0D1-64E404E9C002}"/>
    <cellStyle name="40% - Accent5 38 2 3" xfId="43064" xr:uid="{DA9487C7-C449-48B8-B531-FDD914B56557}"/>
    <cellStyle name="40% - Accent5 38 3" xfId="23096" xr:uid="{10C1C081-8343-4A8C-BDB9-ACF33C011B45}"/>
    <cellStyle name="40% - Accent5 38 3 2" xfId="43066" xr:uid="{CACBB7B2-FA9B-42B9-9511-4D614912EBC9}"/>
    <cellStyle name="40% - Accent5 38 4" xfId="43063" xr:uid="{F050C624-142E-4BE3-B3A0-E215C6C0F783}"/>
    <cellStyle name="40% - Accent5 39" xfId="7701" xr:uid="{39125E68-A97B-49DF-AD76-6696F4217B7D}"/>
    <cellStyle name="40% - Accent5 39 2" xfId="15409" xr:uid="{3C7C2EE2-30F8-4EE6-A652-2A723A523B10}"/>
    <cellStyle name="40% - Accent5 39 2 2" xfId="30821" xr:uid="{71B622B8-191B-45BE-8372-78718E5E24DC}"/>
    <cellStyle name="40% - Accent5 39 2 2 2" xfId="43069" xr:uid="{C4717F18-F369-45C6-9152-B4B1B254927E}"/>
    <cellStyle name="40% - Accent5 39 2 3" xfId="43068" xr:uid="{229C9210-BC37-4DA3-B0DE-ACB7837956FB}"/>
    <cellStyle name="40% - Accent5 39 3" xfId="23116" xr:uid="{4077C2F5-A9CE-4081-AF1D-6DC6A0B48563}"/>
    <cellStyle name="40% - Accent5 39 3 2" xfId="43070" xr:uid="{0E33B0C2-3D56-46DC-9A8E-74D912C5FA70}"/>
    <cellStyle name="40% - Accent5 39 4" xfId="43067" xr:uid="{B09F2B17-BD6D-499A-AFE1-B026D9BECC16}"/>
    <cellStyle name="40% - Accent5 4" xfId="1626" xr:uid="{6E688A56-BF1D-493C-B301-E72812D455DE}"/>
    <cellStyle name="40% - Accent5 4 2" xfId="5361" xr:uid="{80858B1D-9BEC-4AD5-BC19-807BABE4F8F4}"/>
    <cellStyle name="40% - Accent5 4 2 2" xfId="13069" xr:uid="{F9571E6D-75C0-45BC-8BAD-682C72282815}"/>
    <cellStyle name="40% - Accent5 4 2 2 2" xfId="28481" xr:uid="{71A4239D-2D1E-4AF1-A313-91925362D3A4}"/>
    <cellStyle name="40% - Accent5 4 2 2 2 2" xfId="43074" xr:uid="{C98B6723-2AA7-4F87-B8F1-17506A5E1258}"/>
    <cellStyle name="40% - Accent5 4 2 2 3" xfId="43073" xr:uid="{0045B382-06B0-488B-922E-E0260B260FB4}"/>
    <cellStyle name="40% - Accent5 4 2 3" xfId="20776" xr:uid="{3AA91677-D667-4E74-8951-5441AC805749}"/>
    <cellStyle name="40% - Accent5 4 2 3 2" xfId="43075" xr:uid="{A7211763-1781-48E7-A801-696FF99F3F7D}"/>
    <cellStyle name="40% - Accent5 4 2 4" xfId="43072" xr:uid="{6FC636C0-93FF-49E7-99F6-2FD4F8D671C0}"/>
    <cellStyle name="40% - Accent5 4 3" xfId="9342" xr:uid="{A9F26856-B09C-465E-9BBC-75889EFB02BB}"/>
    <cellStyle name="40% - Accent5 4 3 2" xfId="24755" xr:uid="{B09BA718-684A-448D-8FCF-747E6CAC02B9}"/>
    <cellStyle name="40% - Accent5 4 3 2 2" xfId="43077" xr:uid="{6F6227FD-7372-4A9E-A221-22E088053157}"/>
    <cellStyle name="40% - Accent5 4 3 3" xfId="43076" xr:uid="{C4E6ED32-518B-41E3-97AF-3B212355DC4F}"/>
    <cellStyle name="40% - Accent5 4 4" xfId="17050" xr:uid="{3DC2C698-7351-45DC-9F36-32AD9FC6776C}"/>
    <cellStyle name="40% - Accent5 4 4 2" xfId="43078" xr:uid="{D9F60B1D-3393-4376-B956-3C3B8F12D789}"/>
    <cellStyle name="40% - Accent5 4 5" xfId="43071" xr:uid="{2A9077B5-5C5E-4F5A-8DE9-CE00839289CB}"/>
    <cellStyle name="40% - Accent5 40" xfId="7721" xr:uid="{EAC77E52-50E8-4B39-B028-99F9582F2C94}"/>
    <cellStyle name="40% - Accent5 40 2" xfId="15429" xr:uid="{CB16B0F7-4652-4A47-8BE9-A3334BDA0091}"/>
    <cellStyle name="40% - Accent5 40 2 2" xfId="30841" xr:uid="{2DE36BD6-AE14-430D-B37C-78C1BBF41EE9}"/>
    <cellStyle name="40% - Accent5 40 2 2 2" xfId="43081" xr:uid="{14FB7C3D-AE86-43A5-8C52-427FB0C321A0}"/>
    <cellStyle name="40% - Accent5 40 2 3" xfId="43080" xr:uid="{BD0AED20-6DE2-4C04-8F80-51D33617A513}"/>
    <cellStyle name="40% - Accent5 40 3" xfId="23136" xr:uid="{0883D9C5-C48F-4CBB-86F6-8A5385050F9D}"/>
    <cellStyle name="40% - Accent5 40 3 2" xfId="43082" xr:uid="{DA305C0D-95A1-4776-8B06-80190B6C532D}"/>
    <cellStyle name="40% - Accent5 40 4" xfId="43079" xr:uid="{D88326D9-207A-4F74-B4CC-8A7B668F80E3}"/>
    <cellStyle name="40% - Accent5 41" xfId="7741" xr:uid="{02AF7985-EF14-4B1E-B619-04ADF847AF25}"/>
    <cellStyle name="40% - Accent5 41 2" xfId="15449" xr:uid="{879D9BB7-1946-48E0-831F-39A0AF1D01B3}"/>
    <cellStyle name="40% - Accent5 41 2 2" xfId="30861" xr:uid="{214E9961-E860-4511-9D09-28641B41E5DB}"/>
    <cellStyle name="40% - Accent5 41 2 2 2" xfId="43085" xr:uid="{F5B0DA7B-AB46-4B49-8C00-1773215D66A1}"/>
    <cellStyle name="40% - Accent5 41 2 3" xfId="43084" xr:uid="{66D1E8FD-50DB-472E-BECC-41E593E84944}"/>
    <cellStyle name="40% - Accent5 41 3" xfId="23156" xr:uid="{56C70D1F-48F7-44A1-9E87-C04BD11A1D16}"/>
    <cellStyle name="40% - Accent5 41 3 2" xfId="43086" xr:uid="{6B4B9FE4-22E9-4555-92CE-3618473E27D1}"/>
    <cellStyle name="40% - Accent5 41 4" xfId="43083" xr:uid="{A045E0B2-C4E9-4F4B-B69D-5500873D1B11}"/>
    <cellStyle name="40% - Accent5 42" xfId="7761" xr:uid="{765D4547-0869-4E61-AEEE-372B4B43B1A7}"/>
    <cellStyle name="40% - Accent5 42 2" xfId="15469" xr:uid="{E7AE8303-33F2-4145-B4A8-BC388A7EF005}"/>
    <cellStyle name="40% - Accent5 42 2 2" xfId="30881" xr:uid="{CF1EFC02-63CA-4B90-9B72-CBFC55C2DEFA}"/>
    <cellStyle name="40% - Accent5 42 2 2 2" xfId="43089" xr:uid="{4D9A9518-9208-48F3-9095-AF71DEA1DE4E}"/>
    <cellStyle name="40% - Accent5 42 2 3" xfId="43088" xr:uid="{7DBCD111-1810-4DA7-8CD1-8F641C5E52E9}"/>
    <cellStyle name="40% - Accent5 42 3" xfId="23176" xr:uid="{15427F00-B6DF-41F6-9081-977385E8A06D}"/>
    <cellStyle name="40% - Accent5 42 3 2" xfId="43090" xr:uid="{14F16DF4-903B-454F-939C-826FF5E85D54}"/>
    <cellStyle name="40% - Accent5 42 4" xfId="43087" xr:uid="{675710C8-0A0A-480E-B752-DAFDA3620A94}"/>
    <cellStyle name="40% - Accent5 43" xfId="7781" xr:uid="{6E280F04-D5C8-4A44-8DFC-4DA9E2AA858A}"/>
    <cellStyle name="40% - Accent5 43 2" xfId="15489" xr:uid="{19F0C496-4DDA-403D-80DF-C6B33C086277}"/>
    <cellStyle name="40% - Accent5 43 2 2" xfId="30901" xr:uid="{6E5E2135-43AD-4344-AF13-37C6FD2A2E7D}"/>
    <cellStyle name="40% - Accent5 43 2 2 2" xfId="43093" xr:uid="{7A2649F3-5C91-4385-A191-21C48D3B605E}"/>
    <cellStyle name="40% - Accent5 43 2 3" xfId="43092" xr:uid="{F5F559FD-5157-43AE-BF66-07115EC1CB64}"/>
    <cellStyle name="40% - Accent5 43 3" xfId="23196" xr:uid="{5AE46B01-538D-46F9-BCC2-8A4EDD6FC1A2}"/>
    <cellStyle name="40% - Accent5 43 3 2" xfId="43094" xr:uid="{80973946-C40F-4CD0-928E-1DC130F3416A}"/>
    <cellStyle name="40% - Accent5 43 4" xfId="43091" xr:uid="{361B3CA1-CCA2-47C0-B8CD-2C7EB0BA68B7}"/>
    <cellStyle name="40% - Accent5 44" xfId="7801" xr:uid="{50026BCE-9B2C-49E7-BDAC-DC40285A5C41}"/>
    <cellStyle name="40% - Accent5 44 2" xfId="15509" xr:uid="{A07DEFE7-77FE-4258-B58B-BBFE441F5B7B}"/>
    <cellStyle name="40% - Accent5 44 2 2" xfId="30921" xr:uid="{31861B8F-5DE1-40B1-9464-4A34113814CB}"/>
    <cellStyle name="40% - Accent5 44 2 2 2" xfId="43097" xr:uid="{2B19ED1C-6303-4041-BE44-EE4A91128110}"/>
    <cellStyle name="40% - Accent5 44 2 3" xfId="43096" xr:uid="{13C6D904-39FE-45A1-89F9-8753EE96F129}"/>
    <cellStyle name="40% - Accent5 44 3" xfId="23216" xr:uid="{32BF4C4B-44FA-44CD-BDED-EF5DBE87982B}"/>
    <cellStyle name="40% - Accent5 44 3 2" xfId="43098" xr:uid="{892923CC-D828-45DF-9346-F54B5B439E05}"/>
    <cellStyle name="40% - Accent5 44 4" xfId="43095" xr:uid="{E84BE60A-E96C-4D82-95EE-3BD7EB52F5A0}"/>
    <cellStyle name="40% - Accent5 45" xfId="7823" xr:uid="{778D31CE-C750-479E-8B84-E98D7FD4C2CA}"/>
    <cellStyle name="40% - Accent5 45 2" xfId="15531" xr:uid="{899A832B-6138-44A2-A2FD-E2DFAA7A72FC}"/>
    <cellStyle name="40% - Accent5 45 2 2" xfId="30943" xr:uid="{353E357F-8771-4666-83A8-6F58D9A8D2D0}"/>
    <cellStyle name="40% - Accent5 45 2 2 2" xfId="43101" xr:uid="{7B40B07A-C99E-477B-B7C3-5C36AB04B092}"/>
    <cellStyle name="40% - Accent5 45 2 3" xfId="43100" xr:uid="{F598A682-1BC1-4602-846A-0E6BA61F77BA}"/>
    <cellStyle name="40% - Accent5 45 3" xfId="23238" xr:uid="{054DA720-57F9-4FB4-8FDC-2E07FF4FCCA5}"/>
    <cellStyle name="40% - Accent5 45 3 2" xfId="43102" xr:uid="{C7A4013F-69F2-407B-BB72-F59D59CC1CC3}"/>
    <cellStyle name="40% - Accent5 45 4" xfId="43099" xr:uid="{669D2114-E673-4BEB-8859-121004E526E1}"/>
    <cellStyle name="40% - Accent5 46" xfId="7844" xr:uid="{8A8308D2-0B98-44FC-BC46-37F373E48F4F}"/>
    <cellStyle name="40% - Accent5 46 2" xfId="15552" xr:uid="{C7ABEE1F-1BC2-4AD2-88A8-846280E68160}"/>
    <cellStyle name="40% - Accent5 46 2 2" xfId="30963" xr:uid="{D3DEF62D-439A-449F-A32B-24CB17CE8487}"/>
    <cellStyle name="40% - Accent5 46 2 2 2" xfId="43105" xr:uid="{525A536B-2BBB-49D8-ABEF-AF9B9A0CC8E6}"/>
    <cellStyle name="40% - Accent5 46 2 3" xfId="43104" xr:uid="{4A189EC6-AA64-44D4-8D8B-A34ACEB2253D}"/>
    <cellStyle name="40% - Accent5 46 3" xfId="23258" xr:uid="{D75D0BAD-B5CE-4D3F-BA48-34D34E3123CB}"/>
    <cellStyle name="40% - Accent5 46 3 2" xfId="43106" xr:uid="{E962FC2F-D224-4BAE-89D5-9BCD0991A8C4}"/>
    <cellStyle name="40% - Accent5 46 4" xfId="43103" xr:uid="{CF0A581C-4928-4BCB-B03C-402246B46D41}"/>
    <cellStyle name="40% - Accent5 47" xfId="7864" xr:uid="{3D3C34E9-50B5-4E4A-9F2E-1035256D4DFC}"/>
    <cellStyle name="40% - Accent5 47 2" xfId="15572" xr:uid="{163494AB-4C17-4598-87B3-E0955FC6795F}"/>
    <cellStyle name="40% - Accent5 47 2 2" xfId="30983" xr:uid="{B3207ACB-2CDC-4E3B-B4F9-E1450542947A}"/>
    <cellStyle name="40% - Accent5 47 2 2 2" xfId="43109" xr:uid="{A8253996-8E95-4EED-975A-E5AEC1441E1B}"/>
    <cellStyle name="40% - Accent5 47 2 3" xfId="43108" xr:uid="{5EF997EC-D8D5-4BEE-B0DB-158F99D011E7}"/>
    <cellStyle name="40% - Accent5 47 3" xfId="23278" xr:uid="{47303B43-D870-45BB-A4CB-605080FE933C}"/>
    <cellStyle name="40% - Accent5 47 3 2" xfId="43110" xr:uid="{4803774A-B70E-4A72-ACD6-119F0AB6187D}"/>
    <cellStyle name="40% - Accent5 47 4" xfId="43107" xr:uid="{199C18FD-521F-47D2-B069-577DE726680B}"/>
    <cellStyle name="40% - Accent5 48" xfId="7917" xr:uid="{7BBABEAC-A0FA-4BE6-9E21-6BB3CCD15D9E}"/>
    <cellStyle name="40% - Accent5 48 2" xfId="23330" xr:uid="{FCA8A818-3F50-4219-A7C9-24BA96647782}"/>
    <cellStyle name="40% - Accent5 48 2 2" xfId="43112" xr:uid="{0A4410FE-1ECC-44AE-B940-CC5AFDE98DFF}"/>
    <cellStyle name="40% - Accent5 48 3" xfId="43111" xr:uid="{E4577E0D-355C-4317-A54E-1DBC123DBA88}"/>
    <cellStyle name="40% - Accent5 49" xfId="15625" xr:uid="{9EE9F61E-A297-42F1-BB21-741BCC7ED392}"/>
    <cellStyle name="40% - Accent5 49 2" xfId="43113" xr:uid="{966BEF95-F0E9-4B0D-89D4-0ABD6EE33FCD}"/>
    <cellStyle name="40% - Accent5 5" xfId="3309" xr:uid="{05F464DA-989A-49AA-9D3F-D9155A998E54}"/>
    <cellStyle name="40% - Accent5 5 2" xfId="7041" xr:uid="{82675A0E-260A-48AD-B2B2-876CF5815647}"/>
    <cellStyle name="40% - Accent5 5 2 2" xfId="14749" xr:uid="{A2AED9C4-FFB3-4E95-BAEB-D751DD9D57C1}"/>
    <cellStyle name="40% - Accent5 5 2 2 2" xfId="30161" xr:uid="{18892052-CC86-40E1-97C9-CFE0884F4E0D}"/>
    <cellStyle name="40% - Accent5 5 2 2 2 2" xfId="43117" xr:uid="{4AE7DB08-EEA2-471F-984E-B2D00A1EEAA8}"/>
    <cellStyle name="40% - Accent5 5 2 2 3" xfId="43116" xr:uid="{E5320607-6F71-4E3E-BA37-00712D4C0BB6}"/>
    <cellStyle name="40% - Accent5 5 2 3" xfId="22456" xr:uid="{708362F8-E112-4971-AE8B-7DC0D0CB4222}"/>
    <cellStyle name="40% - Accent5 5 2 3 2" xfId="43118" xr:uid="{D3A38701-8329-4327-A842-FFB5C216112C}"/>
    <cellStyle name="40% - Accent5 5 2 4" xfId="43115" xr:uid="{B27BF985-0C01-40BE-8B86-FD10F3CA003A}"/>
    <cellStyle name="40% - Accent5 5 3" xfId="11020" xr:uid="{7136F848-7BF9-456D-BAE5-B405E9175561}"/>
    <cellStyle name="40% - Accent5 5 3 2" xfId="26433" xr:uid="{95DEC69B-65AB-4A98-A852-073D378C90EA}"/>
    <cellStyle name="40% - Accent5 5 3 2 2" xfId="43120" xr:uid="{6E7DED1B-9387-4945-A6FC-1EE228FBF503}"/>
    <cellStyle name="40% - Accent5 5 3 3" xfId="43119" xr:uid="{CC84BAEA-8AC9-4A29-AAF8-3C02D6965E52}"/>
    <cellStyle name="40% - Accent5 5 4" xfId="18728" xr:uid="{14F7D549-8107-4233-966B-2D0C2AE8E1CB}"/>
    <cellStyle name="40% - Accent5 5 4 2" xfId="43121" xr:uid="{6BD98578-CF50-431D-806B-FA3007684802}"/>
    <cellStyle name="40% - Accent5 5 5" xfId="43114" xr:uid="{B402FF23-913B-4A50-B072-39BACD72D1CE}"/>
    <cellStyle name="40% - Accent5 50" xfId="31003" xr:uid="{7B02BBA8-A8B6-44DC-B9A4-8CD804B4DF77}"/>
    <cellStyle name="40% - Accent5 50 2" xfId="43122" xr:uid="{6F2221BE-8034-466A-A739-F43A8F4AAA56}"/>
    <cellStyle name="40% - Accent5 51" xfId="42570" xr:uid="{65BDBC88-DC2F-4B87-8AC5-78468BE819DF}"/>
    <cellStyle name="40% - Accent5 52" xfId="61983" xr:uid="{4705490B-8614-44B2-B550-EEAE340D5E63}"/>
    <cellStyle name="40% - Accent5 53" xfId="62003" xr:uid="{F9CAC4D3-DC9E-421D-A1C3-E8483C0C9267}"/>
    <cellStyle name="40% - Accent5 54" xfId="62023" xr:uid="{7654A0A0-0910-49AA-8C55-6E5B40F25DBD}"/>
    <cellStyle name="40% - Accent5 55" xfId="62039" xr:uid="{0AACAB59-F312-43DD-919F-F18F7154FED2}"/>
    <cellStyle name="40% - Accent5 56" xfId="62062" xr:uid="{57CB9875-553B-41A5-A529-E8F2E7EE5BE8}"/>
    <cellStyle name="40% - Accent5 57" xfId="62092" xr:uid="{D335E1BD-ED36-4470-836F-3F0E3DE3FD6A}"/>
    <cellStyle name="40% - Accent5 6" xfId="3329" xr:uid="{C0DDEEF4-B100-4380-AAEF-B666914C2EC5}"/>
    <cellStyle name="40% - Accent5 6 2" xfId="7061" xr:uid="{D53EB6B2-C38A-4D7C-B316-A0DDED088277}"/>
    <cellStyle name="40% - Accent5 6 2 2" xfId="14769" xr:uid="{DA201879-3E6E-40D0-BF6A-79983220A7EC}"/>
    <cellStyle name="40% - Accent5 6 2 2 2" xfId="30181" xr:uid="{F7855754-199B-4F96-B2D2-B1591059F7D9}"/>
    <cellStyle name="40% - Accent5 6 2 2 2 2" xfId="43126" xr:uid="{918A2721-7741-4B47-813A-EE6A4FEDF191}"/>
    <cellStyle name="40% - Accent5 6 2 2 3" xfId="43125" xr:uid="{978A95F7-0BE2-4520-9B97-962ACEE894D2}"/>
    <cellStyle name="40% - Accent5 6 2 3" xfId="22476" xr:uid="{F7D674C0-236F-4EA9-8E58-453A460C2899}"/>
    <cellStyle name="40% - Accent5 6 2 3 2" xfId="43127" xr:uid="{FEFA02BC-9963-4AF7-8BE7-9C02DD5519F4}"/>
    <cellStyle name="40% - Accent5 6 2 4" xfId="43124" xr:uid="{8989494A-8F93-4984-B10D-7F12058D83F6}"/>
    <cellStyle name="40% - Accent5 6 3" xfId="11040" xr:uid="{62EC374A-BD2A-4539-AA78-B3850CD4D611}"/>
    <cellStyle name="40% - Accent5 6 3 2" xfId="26453" xr:uid="{99DBCE1F-0319-4C0A-8B85-54BA27DF7A4D}"/>
    <cellStyle name="40% - Accent5 6 3 2 2" xfId="43129" xr:uid="{F4211D50-198E-4401-A8E0-2B03F7F3E3AD}"/>
    <cellStyle name="40% - Accent5 6 3 3" xfId="43128" xr:uid="{9E80F1FD-A843-491F-812E-89859B212212}"/>
    <cellStyle name="40% - Accent5 6 4" xfId="18748" xr:uid="{5110D71C-4378-4386-BC37-8CF6B3415069}"/>
    <cellStyle name="40% - Accent5 6 4 2" xfId="43130" xr:uid="{61900FB5-70E7-44F2-B84B-9F290B282852}"/>
    <cellStyle name="40% - Accent5 6 5" xfId="43123" xr:uid="{9BDB2F80-1B89-4EFE-B13B-EF8FF841A1AA}"/>
    <cellStyle name="40% - Accent5 7" xfId="3349" xr:uid="{A3B1720E-51B1-4F7D-A3BD-7364D8B17C97}"/>
    <cellStyle name="40% - Accent5 7 2" xfId="7081" xr:uid="{8B4850A0-F3A6-44F1-A012-00123164B27A}"/>
    <cellStyle name="40% - Accent5 7 2 2" xfId="14789" xr:uid="{51CB6315-5C22-4389-832B-9DFBDC24B003}"/>
    <cellStyle name="40% - Accent5 7 2 2 2" xfId="30201" xr:uid="{239D89E4-4397-462F-9F5F-8BB55E77B4CA}"/>
    <cellStyle name="40% - Accent5 7 2 2 2 2" xfId="43134" xr:uid="{2DF1FAB3-E38E-4AF8-9879-45C7C0173ADB}"/>
    <cellStyle name="40% - Accent5 7 2 2 3" xfId="43133" xr:uid="{B5F05AD9-65B9-4E9C-A210-354AECAE1413}"/>
    <cellStyle name="40% - Accent5 7 2 3" xfId="22496" xr:uid="{C82003AF-1463-4246-B573-43B017BFA0B4}"/>
    <cellStyle name="40% - Accent5 7 2 3 2" xfId="43135" xr:uid="{04E54B61-19A0-4322-AF07-92DB5B720CDD}"/>
    <cellStyle name="40% - Accent5 7 2 4" xfId="43132" xr:uid="{A0E8246D-E7B2-43EE-96A3-A5FD30030BA1}"/>
    <cellStyle name="40% - Accent5 7 3" xfId="11060" xr:uid="{FB1B2724-5E33-44F3-AAE1-98C9391E3044}"/>
    <cellStyle name="40% - Accent5 7 3 2" xfId="26473" xr:uid="{7A7DC28D-994A-4A63-8933-A53DC86B323E}"/>
    <cellStyle name="40% - Accent5 7 3 2 2" xfId="43137" xr:uid="{4A6E2F78-1190-412A-B646-73978B6438FF}"/>
    <cellStyle name="40% - Accent5 7 3 3" xfId="43136" xr:uid="{70169AF0-0673-476C-A89D-3FCEE557B94B}"/>
    <cellStyle name="40% - Accent5 7 4" xfId="18768" xr:uid="{FDFD3582-BF3C-4FDF-9C99-74B0FE8169D1}"/>
    <cellStyle name="40% - Accent5 7 4 2" xfId="43138" xr:uid="{D3E73A8A-BD72-4006-9028-34AC4F2DB0E0}"/>
    <cellStyle name="40% - Accent5 7 5" xfId="43131" xr:uid="{8C1BBB93-B5DD-4409-8EBC-B18DA033EC58}"/>
    <cellStyle name="40% - Accent5 8" xfId="3369" xr:uid="{8C994AEC-429A-4A5C-9B9B-CB04E4464FE3}"/>
    <cellStyle name="40% - Accent5 8 2" xfId="7101" xr:uid="{2C99AFC0-0D72-4AB5-81FE-209DC50C9434}"/>
    <cellStyle name="40% - Accent5 8 2 2" xfId="14809" xr:uid="{9B0AEFFB-2CD5-4B1C-A8B1-15188E38B54D}"/>
    <cellStyle name="40% - Accent5 8 2 2 2" xfId="30221" xr:uid="{7C87BEC7-086B-4DE5-BCA3-DDCFC25983C5}"/>
    <cellStyle name="40% - Accent5 8 2 2 2 2" xfId="43142" xr:uid="{E2AD08ED-F27A-4342-9354-1B89FE37E249}"/>
    <cellStyle name="40% - Accent5 8 2 2 3" xfId="43141" xr:uid="{6726F23F-3636-4827-8DE5-B606FD8427D1}"/>
    <cellStyle name="40% - Accent5 8 2 3" xfId="22516" xr:uid="{C5A1FD11-3ADD-46A0-A7D4-16EC247A946C}"/>
    <cellStyle name="40% - Accent5 8 2 3 2" xfId="43143" xr:uid="{2EDF3D5E-EE56-4CAE-80D4-5C229107276B}"/>
    <cellStyle name="40% - Accent5 8 2 4" xfId="43140" xr:uid="{ECB3EE85-26CA-4587-AC74-784F3CFD5230}"/>
    <cellStyle name="40% - Accent5 8 3" xfId="11080" xr:uid="{E409EA9E-C4D8-41AE-8EA5-7C799FFFEC56}"/>
    <cellStyle name="40% - Accent5 8 3 2" xfId="26493" xr:uid="{35142E41-AA99-4A02-8713-ECE627B6D36D}"/>
    <cellStyle name="40% - Accent5 8 3 2 2" xfId="43145" xr:uid="{CFE54EEE-CBD9-4742-9158-14598A5077E7}"/>
    <cellStyle name="40% - Accent5 8 3 3" xfId="43144" xr:uid="{6274F0FB-E0A5-4EDB-BC06-8A2525DD51E4}"/>
    <cellStyle name="40% - Accent5 8 4" xfId="18788" xr:uid="{E0A1C2FC-865A-4E08-8657-585EB3379F7F}"/>
    <cellStyle name="40% - Accent5 8 4 2" xfId="43146" xr:uid="{9F4D8D63-CD58-4291-8CD5-2DC10ED86A84}"/>
    <cellStyle name="40% - Accent5 8 5" xfId="43139" xr:uid="{C81828D6-E553-4C95-9F8A-6AFD6FE1E03B}"/>
    <cellStyle name="40% - Accent5 9" xfId="3389" xr:uid="{0F6CBB21-932A-447D-B34E-635DDB11F68C}"/>
    <cellStyle name="40% - Accent5 9 2" xfId="7121" xr:uid="{B0711987-FCA6-4D22-9DAE-9031E1B1498C}"/>
    <cellStyle name="40% - Accent5 9 2 2" xfId="14829" xr:uid="{1D0F8134-8D8C-4614-AD7E-0AA8898D1949}"/>
    <cellStyle name="40% - Accent5 9 2 2 2" xfId="30241" xr:uid="{85C4CEFE-DE3C-4306-B5E9-1E3F7BF88214}"/>
    <cellStyle name="40% - Accent5 9 2 2 2 2" xfId="43150" xr:uid="{09C12526-D6F6-4677-8F74-7D1522AA50FC}"/>
    <cellStyle name="40% - Accent5 9 2 2 3" xfId="43149" xr:uid="{D1B88736-75A5-4F28-B797-ED7E408E6BBA}"/>
    <cellStyle name="40% - Accent5 9 2 3" xfId="22536" xr:uid="{81590144-5E0A-40AD-B960-A1DBB18E801C}"/>
    <cellStyle name="40% - Accent5 9 2 3 2" xfId="43151" xr:uid="{154AB473-3C3C-4B3C-8DC5-5431C2926D09}"/>
    <cellStyle name="40% - Accent5 9 2 4" xfId="43148" xr:uid="{26D26FD6-B142-41C2-BF7D-C245B594E9DE}"/>
    <cellStyle name="40% - Accent5 9 3" xfId="11100" xr:uid="{E7DC550A-A2D3-4660-B814-6FD209AFD875}"/>
    <cellStyle name="40% - Accent5 9 3 2" xfId="26513" xr:uid="{AEB14F41-EF99-4CD6-958A-0A4FAB7AC08D}"/>
    <cellStyle name="40% - Accent5 9 3 2 2" xfId="43153" xr:uid="{F9F6B3A1-4AE0-4950-81AF-547AC32AACAE}"/>
    <cellStyle name="40% - Accent5 9 3 3" xfId="43152" xr:uid="{3C2FC9E6-F436-4A35-8101-521E189C4048}"/>
    <cellStyle name="40% - Accent5 9 4" xfId="18808" xr:uid="{C7341EBB-9985-46DF-8BDA-93BEE668D32A}"/>
    <cellStyle name="40% - Accent5 9 4 2" xfId="43154" xr:uid="{365C6C44-5631-4A62-AF43-91BA45E421AD}"/>
    <cellStyle name="40% - Accent5 9 5" xfId="43147" xr:uid="{2950385F-CE95-4DAA-ACEC-04DAE4DC0642}"/>
    <cellStyle name="40% - Accent6 10" xfId="3412" xr:uid="{96512080-153B-4D82-9CE7-8DEA7DE03F66}"/>
    <cellStyle name="40% - Accent6 10 2" xfId="7144" xr:uid="{A690DAC7-D85C-4CA2-B077-0F8F1F8CA5CB}"/>
    <cellStyle name="40% - Accent6 10 2 2" xfId="14852" xr:uid="{3FAE2711-1CF8-4D88-BC57-5365848E1C4B}"/>
    <cellStyle name="40% - Accent6 10 2 2 2" xfId="30264" xr:uid="{1C0886AE-0EC0-44C5-A363-ACF95D0DEDC9}"/>
    <cellStyle name="40% - Accent6 10 2 2 2 2" xfId="43159" xr:uid="{A311CEF2-050C-4B15-9AB7-E5C77C77DE42}"/>
    <cellStyle name="40% - Accent6 10 2 2 3" xfId="43158" xr:uid="{38231512-5759-441F-A862-280B00B74F7A}"/>
    <cellStyle name="40% - Accent6 10 2 3" xfId="22559" xr:uid="{5AFC9497-9DB5-442A-864A-CEBFCF211D50}"/>
    <cellStyle name="40% - Accent6 10 2 3 2" xfId="43160" xr:uid="{963F9872-22BF-4F53-BF19-E8494E1154CE}"/>
    <cellStyle name="40% - Accent6 10 2 4" xfId="43157" xr:uid="{2D6E2ED2-90DA-4F18-8344-406BEA75C01E}"/>
    <cellStyle name="40% - Accent6 10 3" xfId="11123" xr:uid="{0CA8E1F0-9BF8-49E6-AA48-7E81A5675F22}"/>
    <cellStyle name="40% - Accent6 10 3 2" xfId="26536" xr:uid="{96CDEBE8-F063-457B-A4F6-A8486AAB0220}"/>
    <cellStyle name="40% - Accent6 10 3 2 2" xfId="43162" xr:uid="{9D0C7530-4850-47A7-B49F-714FF7DBD6EE}"/>
    <cellStyle name="40% - Accent6 10 3 3" xfId="43161" xr:uid="{3531A6B5-D3AD-4E94-A769-406006A69396}"/>
    <cellStyle name="40% - Accent6 10 4" xfId="18831" xr:uid="{2D060FAD-F55D-4FE7-B8E4-D31D0A6BE18E}"/>
    <cellStyle name="40% - Accent6 10 4 2" xfId="43163" xr:uid="{BE35B79F-53DE-42F5-8E78-A313D06B3970}"/>
    <cellStyle name="40% - Accent6 10 5" xfId="43156" xr:uid="{1EEE2C16-D485-4331-AE0E-D0D8DF91D3D8}"/>
    <cellStyle name="40% - Accent6 11" xfId="3432" xr:uid="{1D48E368-7E13-49E6-B9DD-7BB2EC57015A}"/>
    <cellStyle name="40% - Accent6 11 2" xfId="7164" xr:uid="{2D8FF791-BA66-415F-98D6-8DB22842BA12}"/>
    <cellStyle name="40% - Accent6 11 2 2" xfId="14872" xr:uid="{E214CBB2-D242-4042-9650-0C4AD17B3DED}"/>
    <cellStyle name="40% - Accent6 11 2 2 2" xfId="30284" xr:uid="{ED0E17E2-4B50-40FD-923A-341110DE70B5}"/>
    <cellStyle name="40% - Accent6 11 2 2 2 2" xfId="43167" xr:uid="{954DBEB5-C5E5-44BE-A778-13CF514B52F0}"/>
    <cellStyle name="40% - Accent6 11 2 2 3" xfId="43166" xr:uid="{38B8161E-81AF-4C1C-808C-96806B6B6CA6}"/>
    <cellStyle name="40% - Accent6 11 2 3" xfId="22579" xr:uid="{0E624B9A-76B1-4DD9-8F36-ACDE77745EEF}"/>
    <cellStyle name="40% - Accent6 11 2 3 2" xfId="43168" xr:uid="{56D830C7-E8FC-4086-9E29-8D2E7C947609}"/>
    <cellStyle name="40% - Accent6 11 2 4" xfId="43165" xr:uid="{A98FCF3B-FD2C-4139-AB15-E418CF5C2CD3}"/>
    <cellStyle name="40% - Accent6 11 3" xfId="11143" xr:uid="{DB9BFD35-8BD8-427F-AF49-17876B62E102}"/>
    <cellStyle name="40% - Accent6 11 3 2" xfId="26556" xr:uid="{8BBD05E2-95D0-4DE0-A363-B8E88C8D8721}"/>
    <cellStyle name="40% - Accent6 11 3 2 2" xfId="43170" xr:uid="{82FDBF1C-F30D-43F5-8787-F0F6F21803AC}"/>
    <cellStyle name="40% - Accent6 11 3 3" xfId="43169" xr:uid="{10C83EFB-1ED5-4ED6-8037-DFD22FEF7EEE}"/>
    <cellStyle name="40% - Accent6 11 4" xfId="18851" xr:uid="{BA732ECB-CAFA-488E-8E3C-8C57BC49FCD4}"/>
    <cellStyle name="40% - Accent6 11 4 2" xfId="43171" xr:uid="{4C1D6EA5-DAC9-470C-972C-5C71E5A9AAE7}"/>
    <cellStyle name="40% - Accent6 11 5" xfId="43164" xr:uid="{EAE8BA36-0594-4DCD-B3F4-9653126F0CD7}"/>
    <cellStyle name="40% - Accent6 12" xfId="3452" xr:uid="{BEE423D6-7B74-4748-84AC-CB696CEEC6F2}"/>
    <cellStyle name="40% - Accent6 12 2" xfId="7184" xr:uid="{D4F7A0A4-D6C5-4770-8652-B8D05CFF3F19}"/>
    <cellStyle name="40% - Accent6 12 2 2" xfId="14892" xr:uid="{F8872143-3773-4207-9F5B-7239EC9712C1}"/>
    <cellStyle name="40% - Accent6 12 2 2 2" xfId="30304" xr:uid="{18494F04-7640-4583-B556-B3103DE1686D}"/>
    <cellStyle name="40% - Accent6 12 2 2 2 2" xfId="43175" xr:uid="{DC493CBE-7060-4F4B-A795-6417FF7015CA}"/>
    <cellStyle name="40% - Accent6 12 2 2 3" xfId="43174" xr:uid="{D50F3589-0549-40EF-ADDB-A4249DA021E1}"/>
    <cellStyle name="40% - Accent6 12 2 3" xfId="22599" xr:uid="{0A4ADCF2-9323-4872-9B84-C9894818DC3E}"/>
    <cellStyle name="40% - Accent6 12 2 3 2" xfId="43176" xr:uid="{EBE2C376-1293-4D92-AAC3-610514F811A9}"/>
    <cellStyle name="40% - Accent6 12 2 4" xfId="43173" xr:uid="{D6C01AE2-8853-4C72-A383-580B33EDA347}"/>
    <cellStyle name="40% - Accent6 12 3" xfId="11163" xr:uid="{7DD34311-3120-434C-BC9B-9907D83F390A}"/>
    <cellStyle name="40% - Accent6 12 3 2" xfId="26576" xr:uid="{14A9B614-B690-40D5-9AC1-9E04506F8684}"/>
    <cellStyle name="40% - Accent6 12 3 2 2" xfId="43178" xr:uid="{5909DF5E-6EA8-4A16-B2D2-F3314A03B5EE}"/>
    <cellStyle name="40% - Accent6 12 3 3" xfId="43177" xr:uid="{284AAA8C-48E2-416A-AD82-D0CEDFF03146}"/>
    <cellStyle name="40% - Accent6 12 4" xfId="18871" xr:uid="{3198628C-FE48-4C42-91E4-97105DF65B40}"/>
    <cellStyle name="40% - Accent6 12 4 2" xfId="43179" xr:uid="{57B70772-679F-4234-9069-F581A529FE15}"/>
    <cellStyle name="40% - Accent6 12 5" xfId="43172" xr:uid="{A09D5E63-7EA9-413B-B2F5-4E427AE9574D}"/>
    <cellStyle name="40% - Accent6 13" xfId="3472" xr:uid="{AC54CA05-6506-4AB7-82F4-F37706F966C0}"/>
    <cellStyle name="40% - Accent6 13 2" xfId="7204" xr:uid="{66D8A0F7-D0DE-44AC-8045-BF3A78DB2F46}"/>
    <cellStyle name="40% - Accent6 13 2 2" xfId="14912" xr:uid="{3258EE0B-BBEE-43EF-B8F4-7A5FD1F373C7}"/>
    <cellStyle name="40% - Accent6 13 2 2 2" xfId="30324" xr:uid="{EC094566-3313-4F2A-A446-7F2D45AADC82}"/>
    <cellStyle name="40% - Accent6 13 2 2 2 2" xfId="43183" xr:uid="{7F089B56-8D2B-40BB-B6B4-0382FFB1790E}"/>
    <cellStyle name="40% - Accent6 13 2 2 3" xfId="43182" xr:uid="{9E982477-72A4-48DD-99A4-1856B0DCF508}"/>
    <cellStyle name="40% - Accent6 13 2 3" xfId="22619" xr:uid="{17D50947-44B1-419E-AFD7-C634F06779D4}"/>
    <cellStyle name="40% - Accent6 13 2 3 2" xfId="43184" xr:uid="{EE1D28E5-FEB2-4C73-8A87-E0A281BA847C}"/>
    <cellStyle name="40% - Accent6 13 2 4" xfId="43181" xr:uid="{667AF048-DC87-4642-AA12-F73D93C478DC}"/>
    <cellStyle name="40% - Accent6 13 3" xfId="11183" xr:uid="{8F8FD6AF-B1EE-4BB6-90D7-F2D521186B48}"/>
    <cellStyle name="40% - Accent6 13 3 2" xfId="26596" xr:uid="{39B93887-C35D-4AC0-B4F5-309B35AB8899}"/>
    <cellStyle name="40% - Accent6 13 3 2 2" xfId="43186" xr:uid="{1ADDF2A3-E576-42BC-92CF-3EA7CC67B638}"/>
    <cellStyle name="40% - Accent6 13 3 3" xfId="43185" xr:uid="{F671456B-BB65-4B7D-8BAB-3AD2B5CA2243}"/>
    <cellStyle name="40% - Accent6 13 4" xfId="18891" xr:uid="{783571EB-134D-4FF9-9016-1FEBE0A63E00}"/>
    <cellStyle name="40% - Accent6 13 4 2" xfId="43187" xr:uid="{A0998D15-3805-43D9-A034-6D934ED59760}"/>
    <cellStyle name="40% - Accent6 13 5" xfId="43180" xr:uid="{4F2D9A23-770A-45C1-AAD6-7B3AA7CF51CF}"/>
    <cellStyle name="40% - Accent6 14" xfId="3492" xr:uid="{7654AF06-5C05-4516-9183-6A5E0738FFDB}"/>
    <cellStyle name="40% - Accent6 14 2" xfId="7224" xr:uid="{1562D8C7-3FBF-47B1-9A27-7B574EB1DD0F}"/>
    <cellStyle name="40% - Accent6 14 2 2" xfId="14932" xr:uid="{1CE4417A-DEEB-4789-816B-D45BC8979450}"/>
    <cellStyle name="40% - Accent6 14 2 2 2" xfId="30344" xr:uid="{0B28F08B-57D6-4BA1-8C8E-621BEC4D6FF7}"/>
    <cellStyle name="40% - Accent6 14 2 2 2 2" xfId="43191" xr:uid="{8E1F1475-0C51-4CF1-B1CC-20C5BAFF574B}"/>
    <cellStyle name="40% - Accent6 14 2 2 3" xfId="43190" xr:uid="{89B7AC13-A1DB-4C12-B0B3-B54257B78FA2}"/>
    <cellStyle name="40% - Accent6 14 2 3" xfId="22639" xr:uid="{37DE065F-E9F9-482D-A3AA-2AA1F89408A4}"/>
    <cellStyle name="40% - Accent6 14 2 3 2" xfId="43192" xr:uid="{BCA47E98-ECD9-49EF-91B3-C8607C364AF6}"/>
    <cellStyle name="40% - Accent6 14 2 4" xfId="43189" xr:uid="{CBC08AF0-ECF2-44B4-AF97-81EDCB8DBB52}"/>
    <cellStyle name="40% - Accent6 14 3" xfId="11203" xr:uid="{0571D991-5B4B-418E-A4D3-6B32E324E5DE}"/>
    <cellStyle name="40% - Accent6 14 3 2" xfId="26616" xr:uid="{BEF17A72-4B2C-47F4-9558-DA8EEF8A2174}"/>
    <cellStyle name="40% - Accent6 14 3 2 2" xfId="43194" xr:uid="{E6CFC94D-F26F-4908-8503-E648C85DF40B}"/>
    <cellStyle name="40% - Accent6 14 3 3" xfId="43193" xr:uid="{062D7848-AD67-4255-B89C-F282AE18BAE4}"/>
    <cellStyle name="40% - Accent6 14 4" xfId="18911" xr:uid="{4ECDA913-870A-41EB-977A-474C367F039C}"/>
    <cellStyle name="40% - Accent6 14 4 2" xfId="43195" xr:uid="{A304F71E-9B01-48A2-B5E5-7D81FF69AF3E}"/>
    <cellStyle name="40% - Accent6 14 5" xfId="43188" xr:uid="{6549DE5A-2D1B-4A01-8DF7-94A617785E06}"/>
    <cellStyle name="40% - Accent6 15" xfId="3512" xr:uid="{0A3291DF-3614-4F88-BCB6-BE2607E153BE}"/>
    <cellStyle name="40% - Accent6 15 2" xfId="7244" xr:uid="{388C1A6C-FCFA-415B-8304-2860464E6AD9}"/>
    <cellStyle name="40% - Accent6 15 2 2" xfId="14952" xr:uid="{46D12054-9392-4A61-8999-0BDA0408052C}"/>
    <cellStyle name="40% - Accent6 15 2 2 2" xfId="30364" xr:uid="{1319CFF5-4717-4327-AA28-8F1DD4E4BF83}"/>
    <cellStyle name="40% - Accent6 15 2 2 2 2" xfId="43199" xr:uid="{F1382D98-2D6B-4A3D-A374-CF07A88EA972}"/>
    <cellStyle name="40% - Accent6 15 2 2 3" xfId="43198" xr:uid="{D95E1CD9-3FEC-44DC-863E-DC5230146A42}"/>
    <cellStyle name="40% - Accent6 15 2 3" xfId="22659" xr:uid="{911ACEEA-05E6-4A4D-BA6F-0B5836CFA9D3}"/>
    <cellStyle name="40% - Accent6 15 2 3 2" xfId="43200" xr:uid="{1BF05440-21A2-48AA-87B6-8EA745400005}"/>
    <cellStyle name="40% - Accent6 15 2 4" xfId="43197" xr:uid="{E981601D-AAA4-43DB-9191-67392528B94F}"/>
    <cellStyle name="40% - Accent6 15 3" xfId="11223" xr:uid="{AE7D055B-2453-4A34-B86A-02BAFF5801BC}"/>
    <cellStyle name="40% - Accent6 15 3 2" xfId="26636" xr:uid="{F4CC7F0F-0680-41B8-A3CA-FF85AF396E6F}"/>
    <cellStyle name="40% - Accent6 15 3 2 2" xfId="43202" xr:uid="{AC0EF559-5E22-45D2-B83F-FC33A37A9D77}"/>
    <cellStyle name="40% - Accent6 15 3 3" xfId="43201" xr:uid="{7630E6CF-E47B-4088-ABB2-88E00DB82BC1}"/>
    <cellStyle name="40% - Accent6 15 4" xfId="18931" xr:uid="{52FF8736-8A24-41CC-94B2-CDD58828CA91}"/>
    <cellStyle name="40% - Accent6 15 4 2" xfId="43203" xr:uid="{E9B24EA0-0C2B-43FC-87BF-EF8974302664}"/>
    <cellStyle name="40% - Accent6 15 5" xfId="43196" xr:uid="{DC5AABA1-7D2D-4277-B9EB-F1F88AAE6A26}"/>
    <cellStyle name="40% - Accent6 16" xfId="3532" xr:uid="{A2F54918-F421-4DEF-854B-27DACA678992}"/>
    <cellStyle name="40% - Accent6 16 2" xfId="7264" xr:uid="{CC8B6323-9EBF-4E5F-B48F-566DBEA5ABD1}"/>
    <cellStyle name="40% - Accent6 16 2 2" xfId="14972" xr:uid="{DA131E2D-8440-4CBA-926E-6BD2672D3A43}"/>
    <cellStyle name="40% - Accent6 16 2 2 2" xfId="30384" xr:uid="{432960A9-1FEB-4BB2-B6F5-F8D24C339B78}"/>
    <cellStyle name="40% - Accent6 16 2 2 2 2" xfId="43207" xr:uid="{75EBC7B4-A67E-4607-8E25-EB8BA10ECC7C}"/>
    <cellStyle name="40% - Accent6 16 2 2 3" xfId="43206" xr:uid="{95FF258B-EEE1-4CC0-B9F2-355C81B9C252}"/>
    <cellStyle name="40% - Accent6 16 2 3" xfId="22679" xr:uid="{D93F343C-54DB-40D3-80CF-23E59E2A194D}"/>
    <cellStyle name="40% - Accent6 16 2 3 2" xfId="43208" xr:uid="{04DAB433-EAC5-4340-960F-F52A57312A40}"/>
    <cellStyle name="40% - Accent6 16 2 4" xfId="43205" xr:uid="{C751C611-8B07-45B9-B92B-A6C13C6BDBE6}"/>
    <cellStyle name="40% - Accent6 16 3" xfId="11243" xr:uid="{5D9620D0-45FD-4CF9-8382-BFC51F042BE0}"/>
    <cellStyle name="40% - Accent6 16 3 2" xfId="26656" xr:uid="{4313DADA-ED74-4F59-AA69-6DBBFB2DAB77}"/>
    <cellStyle name="40% - Accent6 16 3 2 2" xfId="43210" xr:uid="{B08B862E-DBBD-4F3F-9C6A-8E9D4EF068B4}"/>
    <cellStyle name="40% - Accent6 16 3 3" xfId="43209" xr:uid="{57F4B199-BEB3-410C-A910-FF31FCFEA7A1}"/>
    <cellStyle name="40% - Accent6 16 4" xfId="18951" xr:uid="{E00703FD-9EF0-4DD3-87BE-3290FC82E79C}"/>
    <cellStyle name="40% - Accent6 16 4 2" xfId="43211" xr:uid="{2A73D769-99CB-433F-B7A9-1177ED7372B4}"/>
    <cellStyle name="40% - Accent6 16 5" xfId="43204" xr:uid="{48D66F8A-368F-4209-A5B7-8E4632B723FE}"/>
    <cellStyle name="40% - Accent6 17" xfId="3552" xr:uid="{2CDDA8D1-7451-4418-96FE-5DF79DEF25C4}"/>
    <cellStyle name="40% - Accent6 17 2" xfId="7284" xr:uid="{FA821C87-6A61-41B3-BE80-2B3848C81759}"/>
    <cellStyle name="40% - Accent6 17 2 2" xfId="14992" xr:uid="{F7E67D54-8A7B-46F8-91B2-7FD97D5E222F}"/>
    <cellStyle name="40% - Accent6 17 2 2 2" xfId="30404" xr:uid="{DE736971-5FF1-4972-9E3E-26855C472E10}"/>
    <cellStyle name="40% - Accent6 17 2 2 2 2" xfId="43215" xr:uid="{633D5818-5836-45AD-A226-C0E55F41D3F6}"/>
    <cellStyle name="40% - Accent6 17 2 2 3" xfId="43214" xr:uid="{8464264B-B042-4B5A-8870-A9562115FA28}"/>
    <cellStyle name="40% - Accent6 17 2 3" xfId="22699" xr:uid="{90155A56-BDF0-45A4-8A43-D5AF3ADB3394}"/>
    <cellStyle name="40% - Accent6 17 2 3 2" xfId="43216" xr:uid="{37B30146-E06F-4D1C-81AF-E72CA48A99F9}"/>
    <cellStyle name="40% - Accent6 17 2 4" xfId="43213" xr:uid="{C9DACF63-5482-4E1D-BFA4-EFE7E803E5EF}"/>
    <cellStyle name="40% - Accent6 17 3" xfId="11263" xr:uid="{4603E79E-61CA-48EE-B406-53182707F58C}"/>
    <cellStyle name="40% - Accent6 17 3 2" xfId="26676" xr:uid="{4BB49F30-82B6-40D1-9FFC-CBDE6242F735}"/>
    <cellStyle name="40% - Accent6 17 3 2 2" xfId="43218" xr:uid="{FC28F28D-AD6B-4AAD-BD4C-4969AF0B4493}"/>
    <cellStyle name="40% - Accent6 17 3 3" xfId="43217" xr:uid="{8BD50D05-7F8B-473B-97F3-374A3D3D17F9}"/>
    <cellStyle name="40% - Accent6 17 4" xfId="18971" xr:uid="{7111AB53-CBD8-4D10-923C-84A81E89AC91}"/>
    <cellStyle name="40% - Accent6 17 4 2" xfId="43219" xr:uid="{ADE3B0C5-F1A1-4F07-BEC8-21DD0BEF4749}"/>
    <cellStyle name="40% - Accent6 17 5" xfId="43212" xr:uid="{40F03C16-7FF0-44D6-9047-D55A4B9598C2}"/>
    <cellStyle name="40% - Accent6 18" xfId="3572" xr:uid="{D06049A7-2664-44E8-A07A-5E7975CACD3B}"/>
    <cellStyle name="40% - Accent6 18 2" xfId="7304" xr:uid="{CBF3D3CC-914D-4BCE-8F2B-7A8AB19F0EB0}"/>
    <cellStyle name="40% - Accent6 18 2 2" xfId="15012" xr:uid="{E7767FE5-289E-4101-A61F-D8F589C12C48}"/>
    <cellStyle name="40% - Accent6 18 2 2 2" xfId="30424" xr:uid="{75E9230C-81E3-476B-B472-6A38E9362388}"/>
    <cellStyle name="40% - Accent6 18 2 2 2 2" xfId="43223" xr:uid="{A684EA4C-EAA6-4ED2-8D25-08B61EC2C86E}"/>
    <cellStyle name="40% - Accent6 18 2 2 3" xfId="43222" xr:uid="{C0E29060-CBE0-482D-B0FB-A505D82A4CB7}"/>
    <cellStyle name="40% - Accent6 18 2 3" xfId="22719" xr:uid="{8FF6AE04-5AEA-40A7-BABF-FDA82195B597}"/>
    <cellStyle name="40% - Accent6 18 2 3 2" xfId="43224" xr:uid="{3425B53A-4D2A-45BC-A9C6-E9237DCFE954}"/>
    <cellStyle name="40% - Accent6 18 2 4" xfId="43221" xr:uid="{9C87A8D7-9945-4F01-9449-5D4D423FFB14}"/>
    <cellStyle name="40% - Accent6 18 3" xfId="11283" xr:uid="{97682110-BBC9-43BA-BAB5-DD419DAE55AC}"/>
    <cellStyle name="40% - Accent6 18 3 2" xfId="26696" xr:uid="{8A2F91D5-5A0D-4B0B-8B33-C1A61945DE87}"/>
    <cellStyle name="40% - Accent6 18 3 2 2" xfId="43226" xr:uid="{62E7AE63-E9DB-4DA9-819D-340E83C5A6B2}"/>
    <cellStyle name="40% - Accent6 18 3 3" xfId="43225" xr:uid="{77CC21AB-E35D-43C5-9698-C661351A93D2}"/>
    <cellStyle name="40% - Accent6 18 4" xfId="18991" xr:uid="{DE2F84AC-8652-44F4-9E2E-06B01AB9D81E}"/>
    <cellStyle name="40% - Accent6 18 4 2" xfId="43227" xr:uid="{C070E207-C80F-4091-B800-5BAFC76E90D9}"/>
    <cellStyle name="40% - Accent6 18 5" xfId="43220" xr:uid="{4B0F807F-A5C1-49D5-A85C-73420EE1811A}"/>
    <cellStyle name="40% - Accent6 19" xfId="3593" xr:uid="{19801BA3-C8E3-4685-B563-F82C750F6CF1}"/>
    <cellStyle name="40% - Accent6 19 2" xfId="7324" xr:uid="{BCF82789-5531-4614-8436-57F99B3D4F43}"/>
    <cellStyle name="40% - Accent6 19 2 2" xfId="15032" xr:uid="{3C576079-621B-493B-A685-12F3762AB49D}"/>
    <cellStyle name="40% - Accent6 19 2 2 2" xfId="30444" xr:uid="{88807560-60E8-4CDD-8BE3-BF11C6AC31EF}"/>
    <cellStyle name="40% - Accent6 19 2 2 2 2" xfId="43231" xr:uid="{BAB4CB58-5EB8-404D-87FE-820A398458C4}"/>
    <cellStyle name="40% - Accent6 19 2 2 3" xfId="43230" xr:uid="{B1E32A13-A6C1-4083-89BB-75626A0ECBF9}"/>
    <cellStyle name="40% - Accent6 19 2 3" xfId="22739" xr:uid="{BD062FDE-B7EC-40D3-882F-DCE50E50CBDE}"/>
    <cellStyle name="40% - Accent6 19 2 3 2" xfId="43232" xr:uid="{B2730F69-A635-4D5D-B8ED-B62A3956DAE8}"/>
    <cellStyle name="40% - Accent6 19 2 4" xfId="43229" xr:uid="{FAC921A0-2DCE-4BD4-9946-71E5F78C9A1A}"/>
    <cellStyle name="40% - Accent6 19 3" xfId="11303" xr:uid="{66CCC920-1A6E-4A41-89A8-FA41F49CE371}"/>
    <cellStyle name="40% - Accent6 19 3 2" xfId="26716" xr:uid="{62F3A1B6-827B-42B4-8DD3-BA377892301E}"/>
    <cellStyle name="40% - Accent6 19 3 2 2" xfId="43234" xr:uid="{879D023C-04CD-4B4D-894F-3A504359B648}"/>
    <cellStyle name="40% - Accent6 19 3 3" xfId="43233" xr:uid="{A6041DCB-5262-4110-9B2E-B2CD0369E0B3}"/>
    <cellStyle name="40% - Accent6 19 4" xfId="19011" xr:uid="{BBDFC407-6FB3-40DA-AE1F-B452AA677DDE}"/>
    <cellStyle name="40% - Accent6 19 4 2" xfId="43235" xr:uid="{70D8B9D3-EBA5-4772-876E-06EA9027BAE4}"/>
    <cellStyle name="40% - Accent6 19 5" xfId="43228" xr:uid="{6E31FE94-8D8D-4BB6-8AEF-0FB7ECE7B5D8}"/>
    <cellStyle name="40% - Accent6 2" xfId="86" xr:uid="{A4765B3F-FF4F-49F2-ACBD-2C220EF8680B}"/>
    <cellStyle name="40% - Accent6 2 10" xfId="43236" xr:uid="{07152369-7BCC-4BE8-9EE7-B92C7299433F}"/>
    <cellStyle name="40% - Accent6 2 2" xfId="150" xr:uid="{240CEF72-4144-4178-9A17-689A167201FC}"/>
    <cellStyle name="40% - Accent6 2 2 2" xfId="213" xr:uid="{8AE6B340-00B6-4AEE-9BAA-0B5191B3CC8F}"/>
    <cellStyle name="40% - Accent6 2 2 2 2" xfId="418" xr:uid="{58C1228F-3248-4DAC-9E77-8D3649F059EE}"/>
    <cellStyle name="40% - Accent6 2 2 2 2 2" xfId="1080" xr:uid="{1EBD440C-4A7A-4FA9-97C8-0AE9E66A0C53}"/>
    <cellStyle name="40% - Accent6 2 2 2 2 2 2" xfId="2548" xr:uid="{D61D1F3F-12B8-4022-8977-35864CCE6FB5}"/>
    <cellStyle name="40% - Accent6 2 2 2 2 2 2 2" xfId="6280" xr:uid="{A834436C-B42A-4F9E-9311-7E77E88B3DCC}"/>
    <cellStyle name="40% - Accent6 2 2 2 2 2 2 2 2" xfId="13988" xr:uid="{A3960840-5D7B-4A8D-9E8C-55393C13B9EB}"/>
    <cellStyle name="40% - Accent6 2 2 2 2 2 2 2 2 2" xfId="29400" xr:uid="{6C7E14F6-E01C-4335-B573-E685963D9E1F}"/>
    <cellStyle name="40% - Accent6 2 2 2 2 2 2 2 2 2 2" xfId="43244" xr:uid="{1F716B75-9308-4812-AD24-2CF3A3697C35}"/>
    <cellStyle name="40% - Accent6 2 2 2 2 2 2 2 2 3" xfId="43243" xr:uid="{FA94A675-B210-4111-9A22-C5E227F024C2}"/>
    <cellStyle name="40% - Accent6 2 2 2 2 2 2 2 3" xfId="21695" xr:uid="{F774CE17-C84A-49F5-8DDA-B8E5442412EE}"/>
    <cellStyle name="40% - Accent6 2 2 2 2 2 2 2 3 2" xfId="43245" xr:uid="{75FFE8DA-1E19-44BD-9B97-25D94BFF702E}"/>
    <cellStyle name="40% - Accent6 2 2 2 2 2 2 2 4" xfId="43242" xr:uid="{6298A144-182D-4E2B-9BC9-5AA7ECBDFADB}"/>
    <cellStyle name="40% - Accent6 2 2 2 2 2 2 3" xfId="10259" xr:uid="{B8881B95-1E25-4980-8CD5-7F2B98666273}"/>
    <cellStyle name="40% - Accent6 2 2 2 2 2 2 3 2" xfId="25672" xr:uid="{DC051D56-B604-48F2-8ADE-B3AFBD1D8B0C}"/>
    <cellStyle name="40% - Accent6 2 2 2 2 2 2 3 2 2" xfId="43247" xr:uid="{5B4CF176-8209-4564-8469-6FBD051A3E10}"/>
    <cellStyle name="40% - Accent6 2 2 2 2 2 2 3 3" xfId="43246" xr:uid="{3BDB1176-46D8-4E9A-BE19-57CA7AA7234F}"/>
    <cellStyle name="40% - Accent6 2 2 2 2 2 2 4" xfId="17967" xr:uid="{3D860108-CD3E-4359-86C8-E6F1D81269FC}"/>
    <cellStyle name="40% - Accent6 2 2 2 2 2 2 4 2" xfId="43248" xr:uid="{578B844B-C90F-4274-8B18-7D8FDF61F4F9}"/>
    <cellStyle name="40% - Accent6 2 2 2 2 2 2 5" xfId="43241" xr:uid="{97245D44-3281-431D-B7AE-F4E7213E472C}"/>
    <cellStyle name="40% - Accent6 2 2 2 2 2 3" xfId="4817" xr:uid="{1FCF67A7-ED2E-4123-ABAC-ABEF3C3A3445}"/>
    <cellStyle name="40% - Accent6 2 2 2 2 2 3 2" xfId="12525" xr:uid="{E62D8365-FD51-4244-8DB4-1F5C71772361}"/>
    <cellStyle name="40% - Accent6 2 2 2 2 2 3 2 2" xfId="27937" xr:uid="{CB1B707B-5B93-4CF7-AF46-EA085501EFF3}"/>
    <cellStyle name="40% - Accent6 2 2 2 2 2 3 2 2 2" xfId="43251" xr:uid="{58741E7A-2AA7-41EC-8341-5FAD626E9059}"/>
    <cellStyle name="40% - Accent6 2 2 2 2 2 3 2 3" xfId="43250" xr:uid="{EC068EC3-5075-4611-90A3-A3E86F0181AF}"/>
    <cellStyle name="40% - Accent6 2 2 2 2 2 3 3" xfId="20232" xr:uid="{102109BE-1FDC-4166-A3B1-BBEAB5109CB9}"/>
    <cellStyle name="40% - Accent6 2 2 2 2 2 3 3 2" xfId="43252" xr:uid="{87E4E59B-967F-409F-9922-32CB84189DB7}"/>
    <cellStyle name="40% - Accent6 2 2 2 2 2 3 4" xfId="43249" xr:uid="{EEBABEF4-CEE1-4C7D-B083-6A8BDEF0EE3C}"/>
    <cellStyle name="40% - Accent6 2 2 2 2 2 4" xfId="8800" xr:uid="{AC481FF4-5EA9-4768-9236-AEC19EA5E8A3}"/>
    <cellStyle name="40% - Accent6 2 2 2 2 2 4 2" xfId="24213" xr:uid="{221829A2-F837-4E01-A343-5F14E1937073}"/>
    <cellStyle name="40% - Accent6 2 2 2 2 2 4 2 2" xfId="43254" xr:uid="{A83AE956-A36D-44C2-B3D4-E6D6D34A36E4}"/>
    <cellStyle name="40% - Accent6 2 2 2 2 2 4 3" xfId="43253" xr:uid="{35D98B04-5212-47C9-8399-67AB917A1D48}"/>
    <cellStyle name="40% - Accent6 2 2 2 2 2 5" xfId="16508" xr:uid="{A0351703-B123-4E9E-BE05-2B6C026A37D4}"/>
    <cellStyle name="40% - Accent6 2 2 2 2 2 5 2" xfId="43255" xr:uid="{160116CA-6539-4FD7-A171-A30E24675A1D}"/>
    <cellStyle name="40% - Accent6 2 2 2 2 2 6" xfId="43240" xr:uid="{47F03A3E-D89D-4EFC-9A75-75179436261F}"/>
    <cellStyle name="40% - Accent6 2 2 2 2 3" xfId="1910" xr:uid="{0B18A51F-494A-4FBD-A3B8-7D123C1CA68F}"/>
    <cellStyle name="40% - Accent6 2 2 2 2 3 2" xfId="5642" xr:uid="{53355B3C-6082-42DB-8D33-C2B67AED9244}"/>
    <cellStyle name="40% - Accent6 2 2 2 2 3 2 2" xfId="13350" xr:uid="{28973DC8-861D-47F4-AAA5-18309603FFF3}"/>
    <cellStyle name="40% - Accent6 2 2 2 2 3 2 2 2" xfId="28762" xr:uid="{6DB649F5-6223-40DE-B855-E6DB5E67770E}"/>
    <cellStyle name="40% - Accent6 2 2 2 2 3 2 2 2 2" xfId="43259" xr:uid="{968C396C-38BF-4160-A81E-A1B270A5ECFA}"/>
    <cellStyle name="40% - Accent6 2 2 2 2 3 2 2 3" xfId="43258" xr:uid="{D79DB3BB-C6C9-4F7A-81C4-EE91E7607B55}"/>
    <cellStyle name="40% - Accent6 2 2 2 2 3 2 3" xfId="21057" xr:uid="{23B7533C-37CE-4AD6-8D39-E17A48B65EDA}"/>
    <cellStyle name="40% - Accent6 2 2 2 2 3 2 3 2" xfId="43260" xr:uid="{61041ECC-2260-413F-A231-9683A44FEF67}"/>
    <cellStyle name="40% - Accent6 2 2 2 2 3 2 4" xfId="43257" xr:uid="{857081CA-A4CB-4B66-B9C8-AE8120348172}"/>
    <cellStyle name="40% - Accent6 2 2 2 2 3 3" xfId="9621" xr:uid="{8C0A5B57-FB65-47EB-B7F0-9CF8E7A6F6F2}"/>
    <cellStyle name="40% - Accent6 2 2 2 2 3 3 2" xfId="25034" xr:uid="{62635FB3-8707-43B3-BDFE-2C037C5FD15F}"/>
    <cellStyle name="40% - Accent6 2 2 2 2 3 3 2 2" xfId="43262" xr:uid="{D01DBEC6-F0DC-43AD-ACAB-8A5C1C45B158}"/>
    <cellStyle name="40% - Accent6 2 2 2 2 3 3 3" xfId="43261" xr:uid="{DB428605-E319-4BD4-9F61-99E8E7990AC9}"/>
    <cellStyle name="40% - Accent6 2 2 2 2 3 4" xfId="17329" xr:uid="{118E7E87-F24B-4286-A5BB-AE00DAAA0B6B}"/>
    <cellStyle name="40% - Accent6 2 2 2 2 3 4 2" xfId="43263" xr:uid="{FF526D3F-19C4-467C-B0CE-9D0DBB5F1E76}"/>
    <cellStyle name="40% - Accent6 2 2 2 2 3 5" xfId="43256" xr:uid="{6FC3928B-8A1C-40A4-831E-D2C6E45DE338}"/>
    <cellStyle name="40% - Accent6 2 2 2 2 4" xfId="4165" xr:uid="{BC477759-5AF3-4CB3-AABE-FEFADBDB9B77}"/>
    <cellStyle name="40% - Accent6 2 2 2 2 4 2" xfId="11873" xr:uid="{965633F5-0C76-4E0A-8AE2-F572C27A81EF}"/>
    <cellStyle name="40% - Accent6 2 2 2 2 4 2 2" xfId="27285" xr:uid="{F74B2B44-5205-44EF-AF60-A64791299500}"/>
    <cellStyle name="40% - Accent6 2 2 2 2 4 2 2 2" xfId="43266" xr:uid="{7FABF08A-35AE-420A-9868-B3EC5CC0E00B}"/>
    <cellStyle name="40% - Accent6 2 2 2 2 4 2 3" xfId="43265" xr:uid="{291DCED0-25A2-4AFF-83F5-C06E89EBF38F}"/>
    <cellStyle name="40% - Accent6 2 2 2 2 4 3" xfId="19580" xr:uid="{1015A5C8-D7C5-4547-9247-B69A5DCA0F34}"/>
    <cellStyle name="40% - Accent6 2 2 2 2 4 3 2" xfId="43267" xr:uid="{89A20DB4-A93C-4E6C-82B1-7B4D337ECEB0}"/>
    <cellStyle name="40% - Accent6 2 2 2 2 4 4" xfId="43264" xr:uid="{76D84434-7090-424F-ABF0-7ABF046ACC5B}"/>
    <cellStyle name="40% - Accent6 2 2 2 2 5" xfId="8162" xr:uid="{5D86A277-2266-4C27-AA76-A8437046EFA1}"/>
    <cellStyle name="40% - Accent6 2 2 2 2 5 2" xfId="23575" xr:uid="{2C40E92F-89EE-43FB-AFB1-02B68DB8C7EF}"/>
    <cellStyle name="40% - Accent6 2 2 2 2 5 2 2" xfId="43269" xr:uid="{E00393AE-7D1E-441A-BF91-7E1D8911650D}"/>
    <cellStyle name="40% - Accent6 2 2 2 2 5 3" xfId="43268" xr:uid="{D1B4F50F-1588-446B-BC95-1ABDE234F301}"/>
    <cellStyle name="40% - Accent6 2 2 2 2 6" xfId="15870" xr:uid="{79A9812E-B8B7-46B5-8F46-654A902702B4}"/>
    <cellStyle name="40% - Accent6 2 2 2 2 6 2" xfId="43270" xr:uid="{878267B4-293E-4E75-AB62-D659B35248FD}"/>
    <cellStyle name="40% - Accent6 2 2 2 2 7" xfId="43239" xr:uid="{939BA7B5-D847-4DC0-AA9C-25B8BA38D3BB}"/>
    <cellStyle name="40% - Accent6 2 2 2 3" xfId="879" xr:uid="{9491443C-7B3B-44A6-BE94-71B6BFDA76E2}"/>
    <cellStyle name="40% - Accent6 2 2 2 3 2" xfId="2350" xr:uid="{BC98A2C7-3500-4D1C-8043-9F60D050DFBF}"/>
    <cellStyle name="40% - Accent6 2 2 2 3 2 2" xfId="6082" xr:uid="{D0DC76BE-F3D6-4F5B-836C-01A14C5AA040}"/>
    <cellStyle name="40% - Accent6 2 2 2 3 2 2 2" xfId="13790" xr:uid="{8F402036-1BBA-49AF-975E-CF4EBCFCDA9F}"/>
    <cellStyle name="40% - Accent6 2 2 2 3 2 2 2 2" xfId="29202" xr:uid="{31A85DB8-51D4-4A14-9C33-E97563697CBD}"/>
    <cellStyle name="40% - Accent6 2 2 2 3 2 2 2 2 2" xfId="43275" xr:uid="{60253FBD-B96E-4993-B5FC-E30E016833FF}"/>
    <cellStyle name="40% - Accent6 2 2 2 3 2 2 2 3" xfId="43274" xr:uid="{2D4D7AEB-036F-4D79-A266-8B8C1CC5B3BC}"/>
    <cellStyle name="40% - Accent6 2 2 2 3 2 2 3" xfId="21497" xr:uid="{AB48A5D5-AEC7-4FEF-8D93-FA12FC8059E0}"/>
    <cellStyle name="40% - Accent6 2 2 2 3 2 2 3 2" xfId="43276" xr:uid="{F88D58B4-2968-4397-B99C-9CA5E8EDE82D}"/>
    <cellStyle name="40% - Accent6 2 2 2 3 2 2 4" xfId="43273" xr:uid="{924E9CD8-5BEC-4713-B2A7-0FAD4BA17DDB}"/>
    <cellStyle name="40% - Accent6 2 2 2 3 2 3" xfId="10061" xr:uid="{03D0DA84-4311-4AA0-A7A4-908692479B42}"/>
    <cellStyle name="40% - Accent6 2 2 2 3 2 3 2" xfId="25474" xr:uid="{ABAAE1E2-D1BA-4C8E-A542-09BC0864F368}"/>
    <cellStyle name="40% - Accent6 2 2 2 3 2 3 2 2" xfId="43278" xr:uid="{8502996B-A694-4D73-968C-3858AE1B1F85}"/>
    <cellStyle name="40% - Accent6 2 2 2 3 2 3 3" xfId="43277" xr:uid="{E43D4689-62BF-48A2-BEA9-2EB76E8D0C35}"/>
    <cellStyle name="40% - Accent6 2 2 2 3 2 4" xfId="17769" xr:uid="{097191C6-2908-420A-8100-2CFB957F8B33}"/>
    <cellStyle name="40% - Accent6 2 2 2 3 2 4 2" xfId="43279" xr:uid="{B85B6613-FEC3-4552-9308-7AF2857E6995}"/>
    <cellStyle name="40% - Accent6 2 2 2 3 2 5" xfId="43272" xr:uid="{94AC28CD-5D11-4C16-8FE1-E86BDD43294D}"/>
    <cellStyle name="40% - Accent6 2 2 2 3 3" xfId="4616" xr:uid="{44B75F7E-75FA-473E-8CD9-2D39328EEE1D}"/>
    <cellStyle name="40% - Accent6 2 2 2 3 3 2" xfId="12324" xr:uid="{94F0070B-8EF7-429D-A1EC-7E8E03670C1B}"/>
    <cellStyle name="40% - Accent6 2 2 2 3 3 2 2" xfId="27736" xr:uid="{74A279E6-0617-4DED-ADBB-F39F08B81624}"/>
    <cellStyle name="40% - Accent6 2 2 2 3 3 2 2 2" xfId="43282" xr:uid="{1C114DFC-938A-4330-934D-095AE97A59CD}"/>
    <cellStyle name="40% - Accent6 2 2 2 3 3 2 3" xfId="43281" xr:uid="{744404C0-7332-49AC-8E25-53DE84199DF6}"/>
    <cellStyle name="40% - Accent6 2 2 2 3 3 3" xfId="20031" xr:uid="{2D40AED7-2D8A-43D7-B1AE-5B6C6D74B765}"/>
    <cellStyle name="40% - Accent6 2 2 2 3 3 3 2" xfId="43283" xr:uid="{3332E93D-BED6-4BC3-AB16-02B33D049823}"/>
    <cellStyle name="40% - Accent6 2 2 2 3 3 4" xfId="43280" xr:uid="{605FB400-A528-481D-BC82-CFD82A050916}"/>
    <cellStyle name="40% - Accent6 2 2 2 3 4" xfId="8602" xr:uid="{5997135B-127C-423C-91E9-36A6044423D9}"/>
    <cellStyle name="40% - Accent6 2 2 2 3 4 2" xfId="24015" xr:uid="{00A00AEF-D036-417C-ADAE-77D172EB605A}"/>
    <cellStyle name="40% - Accent6 2 2 2 3 4 2 2" xfId="43285" xr:uid="{621E8441-D8F7-4A90-B6F3-B8B2FBAA59DD}"/>
    <cellStyle name="40% - Accent6 2 2 2 3 4 3" xfId="43284" xr:uid="{80A66E36-8FA2-4671-8503-56E869321DC8}"/>
    <cellStyle name="40% - Accent6 2 2 2 3 5" xfId="16310" xr:uid="{5C84086B-917B-4B9B-A4C8-5D18D821664A}"/>
    <cellStyle name="40% - Accent6 2 2 2 3 5 2" xfId="43286" xr:uid="{CC12586B-425D-4027-AFBE-F839E67B3F00}"/>
    <cellStyle name="40% - Accent6 2 2 2 3 6" xfId="43271" xr:uid="{7EF54772-A87A-4856-9E22-FFF1D5EEDDCC}"/>
    <cellStyle name="40% - Accent6 2 2 2 4" xfId="1712" xr:uid="{A9744067-34E0-4A40-BCB6-DDFA00BA9E95}"/>
    <cellStyle name="40% - Accent6 2 2 2 4 2" xfId="5444" xr:uid="{AA19ABBC-0851-4696-9F92-5F0AC557A650}"/>
    <cellStyle name="40% - Accent6 2 2 2 4 2 2" xfId="13152" xr:uid="{915A40D0-B345-46BA-8D65-5A10D2821C85}"/>
    <cellStyle name="40% - Accent6 2 2 2 4 2 2 2" xfId="28564" xr:uid="{C78433E6-810E-4887-BDBE-2F4101795544}"/>
    <cellStyle name="40% - Accent6 2 2 2 4 2 2 2 2" xfId="43290" xr:uid="{E8229312-36B3-43F1-A72A-75B3D7312E96}"/>
    <cellStyle name="40% - Accent6 2 2 2 4 2 2 3" xfId="43289" xr:uid="{302E9A24-8C8A-49AD-8BE9-6FE612E8980C}"/>
    <cellStyle name="40% - Accent6 2 2 2 4 2 3" xfId="20859" xr:uid="{F3D083D3-0FD6-49DE-B680-376A4AFB1B12}"/>
    <cellStyle name="40% - Accent6 2 2 2 4 2 3 2" xfId="43291" xr:uid="{DD644CA4-4ED1-4C67-9321-74C8992C2D0D}"/>
    <cellStyle name="40% - Accent6 2 2 2 4 2 4" xfId="43288" xr:uid="{AA39E627-1F77-4A66-9DFF-0AC5A8B5C418}"/>
    <cellStyle name="40% - Accent6 2 2 2 4 3" xfId="9423" xr:uid="{0A6B88DB-2845-404B-8BC4-209C5831982A}"/>
    <cellStyle name="40% - Accent6 2 2 2 4 3 2" xfId="24836" xr:uid="{96B185F6-F66D-4C59-B692-F4004E8229E3}"/>
    <cellStyle name="40% - Accent6 2 2 2 4 3 2 2" xfId="43293" xr:uid="{45CC5548-CA17-4899-9483-4D3CE71A0DCF}"/>
    <cellStyle name="40% - Accent6 2 2 2 4 3 3" xfId="43292" xr:uid="{549F9F64-3627-4F05-AC30-5C8B1B593F28}"/>
    <cellStyle name="40% - Accent6 2 2 2 4 4" xfId="17131" xr:uid="{162E8576-750B-45F4-854D-790FABB6B821}"/>
    <cellStyle name="40% - Accent6 2 2 2 4 4 2" xfId="43294" xr:uid="{1C652BF3-F795-43E5-98D0-DB68946E2631}"/>
    <cellStyle name="40% - Accent6 2 2 2 4 5" xfId="43287" xr:uid="{A9FEC1C3-29DC-4707-985C-246310E90AEC}"/>
    <cellStyle name="40% - Accent6 2 2 2 5" xfId="3964" xr:uid="{84723C88-9EE9-4A4E-9F08-59E353DAF82D}"/>
    <cellStyle name="40% - Accent6 2 2 2 5 2" xfId="11672" xr:uid="{DA0CFDE6-AAE6-4851-B140-8CD2F108229F}"/>
    <cellStyle name="40% - Accent6 2 2 2 5 2 2" xfId="27084" xr:uid="{7A9F5FB7-5B3D-41EB-A6B1-B6C1547D7E44}"/>
    <cellStyle name="40% - Accent6 2 2 2 5 2 2 2" xfId="43297" xr:uid="{F5172A0C-F8DF-4EDE-877C-43B7FBBE1995}"/>
    <cellStyle name="40% - Accent6 2 2 2 5 2 3" xfId="43296" xr:uid="{3E0D27D2-4C8A-47DA-83F1-D76325A0E400}"/>
    <cellStyle name="40% - Accent6 2 2 2 5 3" xfId="19379" xr:uid="{3BAF47F5-3520-4090-90D4-89653334FB95}"/>
    <cellStyle name="40% - Accent6 2 2 2 5 3 2" xfId="43298" xr:uid="{2F635E6B-FA70-4FCD-80F7-A732C861C27B}"/>
    <cellStyle name="40% - Accent6 2 2 2 5 4" xfId="43295" xr:uid="{41E58C52-D1DB-4026-AC83-8EBDCD73011C}"/>
    <cellStyle name="40% - Accent6 2 2 2 6" xfId="7964" xr:uid="{1C49785E-03F8-4010-95AE-87F8CBA61928}"/>
    <cellStyle name="40% - Accent6 2 2 2 6 2" xfId="23377" xr:uid="{9DE9541F-0F2F-47EE-BE50-1D88C868409F}"/>
    <cellStyle name="40% - Accent6 2 2 2 6 2 2" xfId="43300" xr:uid="{4C3CE10F-1034-41F9-A2BB-263801D9A58C}"/>
    <cellStyle name="40% - Accent6 2 2 2 6 3" xfId="43299" xr:uid="{84491637-BB3A-425F-AD1F-2D517BF55F89}"/>
    <cellStyle name="40% - Accent6 2 2 2 7" xfId="15672" xr:uid="{B5D8A8B2-CAFF-4C1B-A06E-F8C32E2D5227}"/>
    <cellStyle name="40% - Accent6 2 2 2 7 2" xfId="43301" xr:uid="{6B3E9BDA-D1E4-4E68-A03B-4FB1A2E28500}"/>
    <cellStyle name="40% - Accent6 2 2 2 8" xfId="43238" xr:uid="{AABBCDFD-9BD9-4F77-BAE1-C209CC3679A0}"/>
    <cellStyle name="40% - Accent6 2 2 3" xfId="367" xr:uid="{D1F6A5F5-C687-4216-87F4-C0FF99BF6E03}"/>
    <cellStyle name="40% - Accent6 2 2 3 2" xfId="1029" xr:uid="{C885DC59-2D86-4BEA-BA99-83BB06000F70}"/>
    <cellStyle name="40% - Accent6 2 2 3 2 2" xfId="2498" xr:uid="{C9635221-305F-45EB-BDB9-9FC22C8E802F}"/>
    <cellStyle name="40% - Accent6 2 2 3 2 2 2" xfId="6230" xr:uid="{67EE7C80-222A-4FD4-A9A8-85EF05643409}"/>
    <cellStyle name="40% - Accent6 2 2 3 2 2 2 2" xfId="13938" xr:uid="{5AC742D1-079F-46EC-A46A-6D0141D9B70C}"/>
    <cellStyle name="40% - Accent6 2 2 3 2 2 2 2 2" xfId="29350" xr:uid="{07B15CF5-CC04-44BD-898B-D859F8790CB2}"/>
    <cellStyle name="40% - Accent6 2 2 3 2 2 2 2 2 2" xfId="43307" xr:uid="{AFE3E8AE-374A-4B6A-A3EA-99E0A0B77B26}"/>
    <cellStyle name="40% - Accent6 2 2 3 2 2 2 2 3" xfId="43306" xr:uid="{AA824E47-370A-46CF-9FE1-E8CB9F9B4F02}"/>
    <cellStyle name="40% - Accent6 2 2 3 2 2 2 3" xfId="21645" xr:uid="{97F9866B-54DD-4BF9-8766-C0A7F687AA34}"/>
    <cellStyle name="40% - Accent6 2 2 3 2 2 2 3 2" xfId="43308" xr:uid="{D403C819-FF9D-4478-BCF8-672AFB14A86B}"/>
    <cellStyle name="40% - Accent6 2 2 3 2 2 2 4" xfId="43305" xr:uid="{FACAF73C-7D97-439C-BD18-4DA96005E15A}"/>
    <cellStyle name="40% - Accent6 2 2 3 2 2 3" xfId="10209" xr:uid="{2D9F21FB-5FDC-48BE-BF7F-E49941775E08}"/>
    <cellStyle name="40% - Accent6 2 2 3 2 2 3 2" xfId="25622" xr:uid="{26021E04-F783-4A33-9BEB-2F04D771F4E7}"/>
    <cellStyle name="40% - Accent6 2 2 3 2 2 3 2 2" xfId="43310" xr:uid="{4FB698AC-0628-4711-A851-241F5C67A13C}"/>
    <cellStyle name="40% - Accent6 2 2 3 2 2 3 3" xfId="43309" xr:uid="{BB451372-D32E-40F9-A051-C621C7B53911}"/>
    <cellStyle name="40% - Accent6 2 2 3 2 2 4" xfId="17917" xr:uid="{854F9AC8-A78A-4F75-81D4-F571A23AC246}"/>
    <cellStyle name="40% - Accent6 2 2 3 2 2 4 2" xfId="43311" xr:uid="{D4D7172C-AE3B-4D1C-BCBE-9D99528CEDE8}"/>
    <cellStyle name="40% - Accent6 2 2 3 2 2 5" xfId="43304" xr:uid="{8925F4FC-DC2C-46C7-AE51-D8C76F106F21}"/>
    <cellStyle name="40% - Accent6 2 2 3 2 3" xfId="4766" xr:uid="{692BC21D-9CDA-459F-9CA4-EA19CB1A2B9B}"/>
    <cellStyle name="40% - Accent6 2 2 3 2 3 2" xfId="12474" xr:uid="{C74C71BE-767E-4131-A25C-04B054BB5F98}"/>
    <cellStyle name="40% - Accent6 2 2 3 2 3 2 2" xfId="27886" xr:uid="{ACA5B669-DE83-416F-8F89-1E0C04170957}"/>
    <cellStyle name="40% - Accent6 2 2 3 2 3 2 2 2" xfId="43314" xr:uid="{5FD83772-4068-4D3B-804C-A65EF61CF916}"/>
    <cellStyle name="40% - Accent6 2 2 3 2 3 2 3" xfId="43313" xr:uid="{DFA698E8-9990-4DAC-80D1-D06C8C33EF84}"/>
    <cellStyle name="40% - Accent6 2 2 3 2 3 3" xfId="20181" xr:uid="{3AD03428-8F2A-4780-A64B-AA3A4AD0088B}"/>
    <cellStyle name="40% - Accent6 2 2 3 2 3 3 2" xfId="43315" xr:uid="{21BE558F-E16E-43CD-B149-46325806BD7C}"/>
    <cellStyle name="40% - Accent6 2 2 3 2 3 4" xfId="43312" xr:uid="{CF02EBCA-C7E5-441D-9F9B-10B94D1B89EE}"/>
    <cellStyle name="40% - Accent6 2 2 3 2 4" xfId="8750" xr:uid="{60479F79-0678-400E-BCE0-14CEDF11BB1D}"/>
    <cellStyle name="40% - Accent6 2 2 3 2 4 2" xfId="24163" xr:uid="{E1D5AA85-128F-4A9A-BCD2-A4238F5C8568}"/>
    <cellStyle name="40% - Accent6 2 2 3 2 4 2 2" xfId="43317" xr:uid="{3073C241-B81E-4C76-9B5F-B7F99A77ECF4}"/>
    <cellStyle name="40% - Accent6 2 2 3 2 4 3" xfId="43316" xr:uid="{76BE1088-F86A-45C6-8F46-11EBF6419704}"/>
    <cellStyle name="40% - Accent6 2 2 3 2 5" xfId="16458" xr:uid="{F46310A2-435F-446E-8078-00EB57712B8B}"/>
    <cellStyle name="40% - Accent6 2 2 3 2 5 2" xfId="43318" xr:uid="{80D6FAD1-926F-490A-BFB8-052875DC7616}"/>
    <cellStyle name="40% - Accent6 2 2 3 2 6" xfId="43303" xr:uid="{968FF3C8-B7E4-44EC-9A39-2D10F9ECFC67}"/>
    <cellStyle name="40% - Accent6 2 2 3 3" xfId="1860" xr:uid="{4BD236A5-E561-401E-80AF-13B4D4A367B0}"/>
    <cellStyle name="40% - Accent6 2 2 3 3 2" xfId="5592" xr:uid="{90D035B1-2D0F-4043-AEC7-445444A27834}"/>
    <cellStyle name="40% - Accent6 2 2 3 3 2 2" xfId="13300" xr:uid="{4FBF3FD6-52AC-490D-A62A-1C5A31C02750}"/>
    <cellStyle name="40% - Accent6 2 2 3 3 2 2 2" xfId="28712" xr:uid="{D4B737EA-968A-4C28-98D9-B596F552AC78}"/>
    <cellStyle name="40% - Accent6 2 2 3 3 2 2 2 2" xfId="43322" xr:uid="{DD52ADE5-1BE0-49F3-AB91-DD1CB180AC28}"/>
    <cellStyle name="40% - Accent6 2 2 3 3 2 2 3" xfId="43321" xr:uid="{DC035941-22DB-4C0D-913E-E17FD62EB19F}"/>
    <cellStyle name="40% - Accent6 2 2 3 3 2 3" xfId="21007" xr:uid="{6B212D00-3ADB-4CAC-AE0E-7DEE119A6EBC}"/>
    <cellStyle name="40% - Accent6 2 2 3 3 2 3 2" xfId="43323" xr:uid="{D7A92516-409F-4F5B-9EF6-15C093215805}"/>
    <cellStyle name="40% - Accent6 2 2 3 3 2 4" xfId="43320" xr:uid="{5441C548-D8E9-463D-8797-07801AD51AC4}"/>
    <cellStyle name="40% - Accent6 2 2 3 3 3" xfId="9571" xr:uid="{CC2F70DC-3E25-4E02-91D4-7F373AB63AF0}"/>
    <cellStyle name="40% - Accent6 2 2 3 3 3 2" xfId="24984" xr:uid="{0DA8AFC7-0FC7-4DAB-A07A-99936F20B10A}"/>
    <cellStyle name="40% - Accent6 2 2 3 3 3 2 2" xfId="43325" xr:uid="{06B23D17-D01F-45CF-9FF6-C1E17DE779D4}"/>
    <cellStyle name="40% - Accent6 2 2 3 3 3 3" xfId="43324" xr:uid="{38804D7B-E3C5-4A42-8C6B-1C6CA07DFA13}"/>
    <cellStyle name="40% - Accent6 2 2 3 3 4" xfId="17279" xr:uid="{AEA402EB-5AFE-465F-83D2-EAC99D31A1D8}"/>
    <cellStyle name="40% - Accent6 2 2 3 3 4 2" xfId="43326" xr:uid="{41317983-D04F-4223-B133-A11748A6ACE6}"/>
    <cellStyle name="40% - Accent6 2 2 3 3 5" xfId="43319" xr:uid="{FA51B3EF-52E5-4346-BE58-9AA9DF3638EB}"/>
    <cellStyle name="40% - Accent6 2 2 3 4" xfId="4114" xr:uid="{BD01A81E-B3E7-46BE-95E9-1306476D816F}"/>
    <cellStyle name="40% - Accent6 2 2 3 4 2" xfId="11822" xr:uid="{E36A8A30-96EE-4319-8876-69E8CB3EE176}"/>
    <cellStyle name="40% - Accent6 2 2 3 4 2 2" xfId="27234" xr:uid="{B0E9EF6E-FD84-4E00-B5DF-24A1640966B4}"/>
    <cellStyle name="40% - Accent6 2 2 3 4 2 2 2" xfId="43329" xr:uid="{DA1FC2AA-E700-4562-876B-D0D797095B94}"/>
    <cellStyle name="40% - Accent6 2 2 3 4 2 3" xfId="43328" xr:uid="{08972361-2D48-4982-806F-112E8CC12BCA}"/>
    <cellStyle name="40% - Accent6 2 2 3 4 3" xfId="19529" xr:uid="{D34A3457-4823-401F-9CDF-2121B509C648}"/>
    <cellStyle name="40% - Accent6 2 2 3 4 3 2" xfId="43330" xr:uid="{A8EF93FD-3265-4A39-8FD5-1AB140269CBF}"/>
    <cellStyle name="40% - Accent6 2 2 3 4 4" xfId="43327" xr:uid="{4622417C-502E-4385-8522-B27890C97A6A}"/>
    <cellStyle name="40% - Accent6 2 2 3 5" xfId="8112" xr:uid="{87E22458-ECC0-44EA-ADB2-E599C93F61B5}"/>
    <cellStyle name="40% - Accent6 2 2 3 5 2" xfId="23525" xr:uid="{B75A143D-7193-4FD0-86FF-B362AEE85CEE}"/>
    <cellStyle name="40% - Accent6 2 2 3 5 2 2" xfId="43332" xr:uid="{3D28918E-5776-48D4-BB1B-C12EE24EDC8F}"/>
    <cellStyle name="40% - Accent6 2 2 3 5 3" xfId="43331" xr:uid="{EC89ADDD-616A-428D-A922-36D768D4065F}"/>
    <cellStyle name="40% - Accent6 2 2 3 6" xfId="15820" xr:uid="{7D426270-8DFA-4696-8130-D91272D480D4}"/>
    <cellStyle name="40% - Accent6 2 2 3 6 2" xfId="43333" xr:uid="{8C80D713-9F5F-4586-AA2F-3E0AA31B9F50}"/>
    <cellStyle name="40% - Accent6 2 2 3 7" xfId="43302" xr:uid="{477B1EDB-F26B-4994-8831-1957EAB7981B}"/>
    <cellStyle name="40% - Accent6 2 2 4" xfId="823" xr:uid="{3810448C-1138-49AE-A9A4-AE85DEAC55D7}"/>
    <cellStyle name="40% - Accent6 2 2 4 2" xfId="2300" xr:uid="{8F5F74FB-B4A5-42C9-8E81-61A586BFF7A9}"/>
    <cellStyle name="40% - Accent6 2 2 4 2 2" xfId="6032" xr:uid="{6C3DA9B2-F16A-4412-9BFD-B38268B177E0}"/>
    <cellStyle name="40% - Accent6 2 2 4 2 2 2" xfId="13740" xr:uid="{C7753FF2-A616-4F87-9DC0-73CA068703BF}"/>
    <cellStyle name="40% - Accent6 2 2 4 2 2 2 2" xfId="29152" xr:uid="{CD5AC065-D2DF-4B6C-8C5B-B50711422D7A}"/>
    <cellStyle name="40% - Accent6 2 2 4 2 2 2 2 2" xfId="43338" xr:uid="{F077EF91-C325-4175-B08A-005C98C975DD}"/>
    <cellStyle name="40% - Accent6 2 2 4 2 2 2 3" xfId="43337" xr:uid="{274D731D-7D40-46F3-BF1F-7C57271C9494}"/>
    <cellStyle name="40% - Accent6 2 2 4 2 2 3" xfId="21447" xr:uid="{64DD7642-8110-4440-8E55-5C98180C0A2B}"/>
    <cellStyle name="40% - Accent6 2 2 4 2 2 3 2" xfId="43339" xr:uid="{0979A9B0-B046-4865-9CEA-420515C5C0C0}"/>
    <cellStyle name="40% - Accent6 2 2 4 2 2 4" xfId="43336" xr:uid="{FC435D8E-CB2F-4626-B2A7-6CC938D98124}"/>
    <cellStyle name="40% - Accent6 2 2 4 2 3" xfId="10011" xr:uid="{4D0D08DE-B824-41DE-8090-5D8B35178554}"/>
    <cellStyle name="40% - Accent6 2 2 4 2 3 2" xfId="25424" xr:uid="{1031A1FD-01C7-4284-AD66-055DA60A7917}"/>
    <cellStyle name="40% - Accent6 2 2 4 2 3 2 2" xfId="43341" xr:uid="{6CCE9EF7-7BB5-41FB-BE03-2A5A2B98C57C}"/>
    <cellStyle name="40% - Accent6 2 2 4 2 3 3" xfId="43340" xr:uid="{9308AC08-8385-4DE0-A639-9FE331347E75}"/>
    <cellStyle name="40% - Accent6 2 2 4 2 4" xfId="17719" xr:uid="{D50343A7-A2C1-4913-8A1C-312F4232E6C0}"/>
    <cellStyle name="40% - Accent6 2 2 4 2 4 2" xfId="43342" xr:uid="{28B08C10-0B24-4FE2-A1F9-A2144D0B9381}"/>
    <cellStyle name="40% - Accent6 2 2 4 2 5" xfId="43335" xr:uid="{F7F6FE23-C78C-475F-B5FF-3BBBE9C3AB70}"/>
    <cellStyle name="40% - Accent6 2 2 4 3" xfId="4560" xr:uid="{3B900287-429C-43EB-82DD-98848167A462}"/>
    <cellStyle name="40% - Accent6 2 2 4 3 2" xfId="12268" xr:uid="{5EA15E3A-45DA-43EF-9CD5-C3A64C059E8A}"/>
    <cellStyle name="40% - Accent6 2 2 4 3 2 2" xfId="27680" xr:uid="{9EC2C31C-0D86-4A9D-B3F9-98549E7D65E2}"/>
    <cellStyle name="40% - Accent6 2 2 4 3 2 2 2" xfId="43345" xr:uid="{3DB393F0-6006-4BEA-9A69-0F7D93773A2F}"/>
    <cellStyle name="40% - Accent6 2 2 4 3 2 3" xfId="43344" xr:uid="{1586B425-0298-4782-99D0-A3127F46A3AF}"/>
    <cellStyle name="40% - Accent6 2 2 4 3 3" xfId="19975" xr:uid="{1D0630A6-45B6-4F0F-978F-C16BAB2D7387}"/>
    <cellStyle name="40% - Accent6 2 2 4 3 3 2" xfId="43346" xr:uid="{DE1D4406-D7B3-4658-A2D3-6B3CD5A94691}"/>
    <cellStyle name="40% - Accent6 2 2 4 3 4" xfId="43343" xr:uid="{E2120E7F-89C1-4BF8-B8D0-D540E546AFF4}"/>
    <cellStyle name="40% - Accent6 2 2 4 4" xfId="8552" xr:uid="{4AB9FD6E-3B35-43F1-BA3C-692556C4E797}"/>
    <cellStyle name="40% - Accent6 2 2 4 4 2" xfId="23965" xr:uid="{EBA10B90-5295-4607-9436-58F2ED0094BE}"/>
    <cellStyle name="40% - Accent6 2 2 4 4 2 2" xfId="43348" xr:uid="{D13D276E-1494-4E78-B415-3665ACE7769F}"/>
    <cellStyle name="40% - Accent6 2 2 4 4 3" xfId="43347" xr:uid="{28EE52ED-1080-4CC8-9688-B29802624300}"/>
    <cellStyle name="40% - Accent6 2 2 4 5" xfId="16260" xr:uid="{1D959F89-E07F-4E4A-A815-14CDBFE4156C}"/>
    <cellStyle name="40% - Accent6 2 2 4 5 2" xfId="43349" xr:uid="{8DF8C44F-747B-4CAE-995F-107CE99967A4}"/>
    <cellStyle name="40% - Accent6 2 2 4 6" xfId="43334" xr:uid="{04D4480B-FAB0-46B8-87D3-37DBAF7EE5A7}"/>
    <cellStyle name="40% - Accent6 2 2 5" xfId="1661" xr:uid="{C7200CCD-3766-406A-832C-A568A961565F}"/>
    <cellStyle name="40% - Accent6 2 2 5 2" xfId="5393" xr:uid="{931DF208-AFA0-4BC4-A75D-9D0714E2A6E6}"/>
    <cellStyle name="40% - Accent6 2 2 5 2 2" xfId="13101" xr:uid="{B1BF4F68-6DA4-45DA-B44E-9E7811F5BF40}"/>
    <cellStyle name="40% - Accent6 2 2 5 2 2 2" xfId="28513" xr:uid="{DA1B1008-5EF1-417A-BFA5-51017A534D11}"/>
    <cellStyle name="40% - Accent6 2 2 5 2 2 2 2" xfId="43353" xr:uid="{81A39BDF-8842-4CDA-BCC7-348A5B60AC68}"/>
    <cellStyle name="40% - Accent6 2 2 5 2 2 3" xfId="43352" xr:uid="{2346E7CB-5AD1-4913-9716-5BC4C99EA4F9}"/>
    <cellStyle name="40% - Accent6 2 2 5 2 3" xfId="20808" xr:uid="{1529724D-C793-446B-9E9F-1C1AF9857692}"/>
    <cellStyle name="40% - Accent6 2 2 5 2 3 2" xfId="43354" xr:uid="{499E8586-E8FE-4E45-9568-78099E4CE46A}"/>
    <cellStyle name="40% - Accent6 2 2 5 2 4" xfId="43351" xr:uid="{86E2696C-4D23-4359-9FE3-8C94EFA7F4FE}"/>
    <cellStyle name="40% - Accent6 2 2 5 3" xfId="9373" xr:uid="{4E6588F3-54B4-4DCC-8F78-A0D174A98F14}"/>
    <cellStyle name="40% - Accent6 2 2 5 3 2" xfId="24786" xr:uid="{0300F112-2C9C-46DE-A63B-05D833FF2797}"/>
    <cellStyle name="40% - Accent6 2 2 5 3 2 2" xfId="43356" xr:uid="{BE4C557C-14DD-4C77-8E62-6E45F0F9A4A0}"/>
    <cellStyle name="40% - Accent6 2 2 5 3 3" xfId="43355" xr:uid="{2B590E15-AF26-4EBB-8D8E-4656E7E7B614}"/>
    <cellStyle name="40% - Accent6 2 2 5 4" xfId="17081" xr:uid="{D012A020-E519-4EEC-975C-F57017337880}"/>
    <cellStyle name="40% - Accent6 2 2 5 4 2" xfId="43357" xr:uid="{FE455E73-3113-4866-8046-657D8E032421}"/>
    <cellStyle name="40% - Accent6 2 2 5 5" xfId="43350" xr:uid="{658997BF-5BA7-43AF-BC57-50C72418FEA0}"/>
    <cellStyle name="40% - Accent6 2 2 6" xfId="3908" xr:uid="{F7939964-49E1-483C-AACB-619428231A3A}"/>
    <cellStyle name="40% - Accent6 2 2 6 2" xfId="11616" xr:uid="{535E3C3A-271D-43C4-BC99-4B2FDD489D05}"/>
    <cellStyle name="40% - Accent6 2 2 6 2 2" xfId="27028" xr:uid="{48773C80-4601-4363-8B43-790ED04BED3F}"/>
    <cellStyle name="40% - Accent6 2 2 6 2 2 2" xfId="43360" xr:uid="{912E86E5-397A-4F5D-BD76-84A5374086ED}"/>
    <cellStyle name="40% - Accent6 2 2 6 2 3" xfId="43359" xr:uid="{2572257C-2290-4979-AA86-DFB74BFE3D1D}"/>
    <cellStyle name="40% - Accent6 2 2 6 3" xfId="19323" xr:uid="{F91E4582-B3C6-4B73-A1A0-F218205BE001}"/>
    <cellStyle name="40% - Accent6 2 2 6 3 2" xfId="43361" xr:uid="{C394E07D-6136-416B-8BE5-851734F9ABAB}"/>
    <cellStyle name="40% - Accent6 2 2 6 4" xfId="43358" xr:uid="{5A0504AE-413A-4754-9867-5FFC2BF9103B}"/>
    <cellStyle name="40% - Accent6 2 2 7" xfId="7896" xr:uid="{A01B2C3D-9158-4322-826F-372FA992E6F4}"/>
    <cellStyle name="40% - Accent6 2 2 7 2" xfId="23309" xr:uid="{BF1DEB67-454B-4F77-86D3-B204DAC05455}"/>
    <cellStyle name="40% - Accent6 2 2 7 2 2" xfId="43363" xr:uid="{FE29C5A3-EFD3-4417-9939-610DEF5E1B68}"/>
    <cellStyle name="40% - Accent6 2 2 7 3" xfId="43362" xr:uid="{93AD999F-22B5-49A1-B845-32FB9998083F}"/>
    <cellStyle name="40% - Accent6 2 2 8" xfId="15604" xr:uid="{296BC732-A66A-4111-8B5D-60C7515410AD}"/>
    <cellStyle name="40% - Accent6 2 2 8 2" xfId="43364" xr:uid="{4B48BB64-ADBD-45D2-B70F-D52C70447536}"/>
    <cellStyle name="40% - Accent6 2 2 9" xfId="43237" xr:uid="{AF4AFAFB-5F4A-4BE2-B1FA-D7BB5263B556}"/>
    <cellStyle name="40% - Accent6 2 3" xfId="194" xr:uid="{76645182-D2DD-43E8-A430-3AC8A90C7BFF}"/>
    <cellStyle name="40% - Accent6 2 3 2" xfId="403" xr:uid="{2EBB10B7-8CD5-4639-B624-AEACCA3BE0A9}"/>
    <cellStyle name="40% - Accent6 2 3 2 2" xfId="1065" xr:uid="{6FE8DD8B-C8C3-4D0C-B1D2-4B6546AD0078}"/>
    <cellStyle name="40% - Accent6 2 3 2 2 2" xfId="2533" xr:uid="{0BA6A1B1-4DDA-4B3F-BB5E-8B310ADD6BAA}"/>
    <cellStyle name="40% - Accent6 2 3 2 2 2 2" xfId="6265" xr:uid="{36D5E18D-956C-4559-9243-729DDAB1695A}"/>
    <cellStyle name="40% - Accent6 2 3 2 2 2 2 2" xfId="13973" xr:uid="{EA8282B8-2A65-46A1-A437-4B5CEF7EAD3B}"/>
    <cellStyle name="40% - Accent6 2 3 2 2 2 2 2 2" xfId="29385" xr:uid="{D66765DF-02AC-4004-A560-83C212A4C5CC}"/>
    <cellStyle name="40% - Accent6 2 3 2 2 2 2 2 2 2" xfId="43371" xr:uid="{B6AD69F1-970B-4CCD-82FD-C7DC83608173}"/>
    <cellStyle name="40% - Accent6 2 3 2 2 2 2 2 3" xfId="43370" xr:uid="{AFA596C1-CA0F-4FAC-8607-5648CE2212C2}"/>
    <cellStyle name="40% - Accent6 2 3 2 2 2 2 3" xfId="21680" xr:uid="{26A24A2F-02AF-4F89-968A-ABB5DAF58D80}"/>
    <cellStyle name="40% - Accent6 2 3 2 2 2 2 3 2" xfId="43372" xr:uid="{E6AC95AB-A931-423F-826E-10F594837AE5}"/>
    <cellStyle name="40% - Accent6 2 3 2 2 2 2 4" xfId="43369" xr:uid="{AE7C7188-E927-4AFD-8DC1-28E80053D207}"/>
    <cellStyle name="40% - Accent6 2 3 2 2 2 3" xfId="10244" xr:uid="{2EB4EDF4-C1C0-4975-94D4-F26D035E0C7C}"/>
    <cellStyle name="40% - Accent6 2 3 2 2 2 3 2" xfId="25657" xr:uid="{17FD403E-4D46-47BC-B702-C1251F4E163C}"/>
    <cellStyle name="40% - Accent6 2 3 2 2 2 3 2 2" xfId="43374" xr:uid="{E4ADDA18-7BF8-4F7C-9A92-91241C061B57}"/>
    <cellStyle name="40% - Accent6 2 3 2 2 2 3 3" xfId="43373" xr:uid="{37A5E0B2-4DD3-47A7-A5A0-0A8B1F14ADE1}"/>
    <cellStyle name="40% - Accent6 2 3 2 2 2 4" xfId="17952" xr:uid="{D91AB8DD-2F1C-4C94-9253-68186446D881}"/>
    <cellStyle name="40% - Accent6 2 3 2 2 2 4 2" xfId="43375" xr:uid="{22F88AE0-47C4-4EC2-B7A6-61362C16A759}"/>
    <cellStyle name="40% - Accent6 2 3 2 2 2 5" xfId="43368" xr:uid="{DAA24ED5-8BF4-42F5-AE0F-A6A49BF41A2D}"/>
    <cellStyle name="40% - Accent6 2 3 2 2 3" xfId="4802" xr:uid="{CBF9E1D4-7E61-423E-BC68-196BFA5386C8}"/>
    <cellStyle name="40% - Accent6 2 3 2 2 3 2" xfId="12510" xr:uid="{92E97076-E4CC-4A71-8D8C-417A67CB3CFE}"/>
    <cellStyle name="40% - Accent6 2 3 2 2 3 2 2" xfId="27922" xr:uid="{B541E1B4-ABE5-4E1E-8315-C290889F8922}"/>
    <cellStyle name="40% - Accent6 2 3 2 2 3 2 2 2" xfId="43378" xr:uid="{398997C1-30ED-43A2-B56C-B5BFEAC0D8F6}"/>
    <cellStyle name="40% - Accent6 2 3 2 2 3 2 3" xfId="43377" xr:uid="{4A1D2B90-F581-4E0E-913B-03BADE9D2307}"/>
    <cellStyle name="40% - Accent6 2 3 2 2 3 3" xfId="20217" xr:uid="{49B1BE58-32AC-4C0D-AEC6-ED8F557D93CA}"/>
    <cellStyle name="40% - Accent6 2 3 2 2 3 3 2" xfId="43379" xr:uid="{7D19B9AE-99E7-4CEC-A1FA-118FA5FA6C40}"/>
    <cellStyle name="40% - Accent6 2 3 2 2 3 4" xfId="43376" xr:uid="{0C6931DC-7CC7-47AD-8ABF-0F100732D726}"/>
    <cellStyle name="40% - Accent6 2 3 2 2 4" xfId="8785" xr:uid="{7ABF44D3-8595-4626-845C-9C4088C354E3}"/>
    <cellStyle name="40% - Accent6 2 3 2 2 4 2" xfId="24198" xr:uid="{184ACC1B-3185-442E-8267-2F0ED2797B03}"/>
    <cellStyle name="40% - Accent6 2 3 2 2 4 2 2" xfId="43381" xr:uid="{6C31655A-4E40-4425-8C2A-90472B6E62EB}"/>
    <cellStyle name="40% - Accent6 2 3 2 2 4 3" xfId="43380" xr:uid="{3A6F06FA-1B18-407E-AE52-6CFE66A8209A}"/>
    <cellStyle name="40% - Accent6 2 3 2 2 5" xfId="16493" xr:uid="{9DAD09DD-4651-434F-9D21-F22FFF68E936}"/>
    <cellStyle name="40% - Accent6 2 3 2 2 5 2" xfId="43382" xr:uid="{305F9681-657C-4201-B858-DA8982CF90C4}"/>
    <cellStyle name="40% - Accent6 2 3 2 2 6" xfId="43367" xr:uid="{4478EC00-25B0-443E-9812-DF183CA3B02A}"/>
    <cellStyle name="40% - Accent6 2 3 2 3" xfId="1895" xr:uid="{B2C17A01-4F94-4BD1-9593-28EC22D0F0F1}"/>
    <cellStyle name="40% - Accent6 2 3 2 3 2" xfId="5627" xr:uid="{35D9356C-7073-42F8-A8D8-072169A28D9F}"/>
    <cellStyle name="40% - Accent6 2 3 2 3 2 2" xfId="13335" xr:uid="{BC0F01FE-BDFB-453B-A36D-4DD87A2A2BF0}"/>
    <cellStyle name="40% - Accent6 2 3 2 3 2 2 2" xfId="28747" xr:uid="{B96A5ACC-75F2-4B4D-9D24-9456919D88A0}"/>
    <cellStyle name="40% - Accent6 2 3 2 3 2 2 2 2" xfId="43386" xr:uid="{44B9FC97-B9E1-42AC-B039-AAC12DFD67D9}"/>
    <cellStyle name="40% - Accent6 2 3 2 3 2 2 3" xfId="43385" xr:uid="{F8C27728-54DB-492E-B642-4DFD03DA6195}"/>
    <cellStyle name="40% - Accent6 2 3 2 3 2 3" xfId="21042" xr:uid="{161418F9-160B-4987-8EB6-6348DFB0EFB1}"/>
    <cellStyle name="40% - Accent6 2 3 2 3 2 3 2" xfId="43387" xr:uid="{84973CA7-96B6-4BE0-8AF1-ACBAB8E22477}"/>
    <cellStyle name="40% - Accent6 2 3 2 3 2 4" xfId="43384" xr:uid="{E7C58D02-016D-458C-9FE3-EE408F24B1CE}"/>
    <cellStyle name="40% - Accent6 2 3 2 3 3" xfId="9606" xr:uid="{5780D9E0-85E9-47C5-8BA4-D2E9C0FE601C}"/>
    <cellStyle name="40% - Accent6 2 3 2 3 3 2" xfId="25019" xr:uid="{A1B1D233-3433-429A-ADD9-E841401BE34D}"/>
    <cellStyle name="40% - Accent6 2 3 2 3 3 2 2" xfId="43389" xr:uid="{2466E43B-057D-46FF-AD0B-76E5E06D460F}"/>
    <cellStyle name="40% - Accent6 2 3 2 3 3 3" xfId="43388" xr:uid="{814701C0-6533-410E-99EA-18DA6FFCBD38}"/>
    <cellStyle name="40% - Accent6 2 3 2 3 4" xfId="17314" xr:uid="{911396BE-4427-4695-8D34-41D5FB11F1E9}"/>
    <cellStyle name="40% - Accent6 2 3 2 3 4 2" xfId="43390" xr:uid="{1C83DE81-AD0C-414D-8127-108C4627BBCC}"/>
    <cellStyle name="40% - Accent6 2 3 2 3 5" xfId="43383" xr:uid="{FC456DE4-8541-4767-806B-DAD9DBE1DC71}"/>
    <cellStyle name="40% - Accent6 2 3 2 4" xfId="4150" xr:uid="{6D2C2194-5DA3-40F1-BBD5-42BED21ACC48}"/>
    <cellStyle name="40% - Accent6 2 3 2 4 2" xfId="11858" xr:uid="{E17DBF28-8FDD-4CD2-A1C3-C024A2451E4C}"/>
    <cellStyle name="40% - Accent6 2 3 2 4 2 2" xfId="27270" xr:uid="{3BEEE1C3-3F8B-4030-B57A-ED1F40EAAF47}"/>
    <cellStyle name="40% - Accent6 2 3 2 4 2 2 2" xfId="43393" xr:uid="{4C9641F2-1A01-49DC-B47B-217C58A4A832}"/>
    <cellStyle name="40% - Accent6 2 3 2 4 2 3" xfId="43392" xr:uid="{BC50CEC9-FC4E-48FE-85A9-3A5AACA35858}"/>
    <cellStyle name="40% - Accent6 2 3 2 4 3" xfId="19565" xr:uid="{8FA91974-50C5-48BE-9E40-F8D45C9995E5}"/>
    <cellStyle name="40% - Accent6 2 3 2 4 3 2" xfId="43394" xr:uid="{E2390598-411B-4926-9551-6875B95A751E}"/>
    <cellStyle name="40% - Accent6 2 3 2 4 4" xfId="43391" xr:uid="{6B91FC42-6EEF-41B1-B6DE-F842F5C533EC}"/>
    <cellStyle name="40% - Accent6 2 3 2 5" xfId="8147" xr:uid="{A73B8EDE-570E-4EBF-9782-2FEDE1C99721}"/>
    <cellStyle name="40% - Accent6 2 3 2 5 2" xfId="23560" xr:uid="{7F5B9A20-4123-4F5F-8429-8EC2E84E2F6B}"/>
    <cellStyle name="40% - Accent6 2 3 2 5 2 2" xfId="43396" xr:uid="{B9D1A7D3-BCDA-4142-A75D-E8A1B917F7C8}"/>
    <cellStyle name="40% - Accent6 2 3 2 5 3" xfId="43395" xr:uid="{CB41B7B4-6602-4333-B26A-FEE830B3BC87}"/>
    <cellStyle name="40% - Accent6 2 3 2 6" xfId="15855" xr:uid="{A9DED811-69D2-4CF6-AEAE-9FB268CF89FD}"/>
    <cellStyle name="40% - Accent6 2 3 2 6 2" xfId="43397" xr:uid="{9E728143-0529-4B6F-A586-7F0B0B8BAC94}"/>
    <cellStyle name="40% - Accent6 2 3 2 7" xfId="43366" xr:uid="{B61EF346-8EDC-4ED3-A10B-A33F174E164D}"/>
    <cellStyle name="40% - Accent6 2 3 3" xfId="860" xr:uid="{AEAEC102-2C18-4483-9AC3-676B78045ADB}"/>
    <cellStyle name="40% - Accent6 2 3 3 2" xfId="2335" xr:uid="{D579EE9B-172B-4ADB-A553-1793DE1615F9}"/>
    <cellStyle name="40% - Accent6 2 3 3 2 2" xfId="6067" xr:uid="{4F905F1E-B077-43CB-8A8F-FC008C369EE3}"/>
    <cellStyle name="40% - Accent6 2 3 3 2 2 2" xfId="13775" xr:uid="{99CFD529-8184-4843-AAFD-6F3C12BA408F}"/>
    <cellStyle name="40% - Accent6 2 3 3 2 2 2 2" xfId="29187" xr:uid="{1E377ADB-83BC-45E3-935B-A5AC26B52889}"/>
    <cellStyle name="40% - Accent6 2 3 3 2 2 2 2 2" xfId="43402" xr:uid="{79CF6342-1AAB-450D-9058-663A0E8FABAF}"/>
    <cellStyle name="40% - Accent6 2 3 3 2 2 2 3" xfId="43401" xr:uid="{35950CBD-A1AF-48D4-A77E-A1661AB91757}"/>
    <cellStyle name="40% - Accent6 2 3 3 2 2 3" xfId="21482" xr:uid="{825F28CA-28AD-498C-A672-F2A1782218ED}"/>
    <cellStyle name="40% - Accent6 2 3 3 2 2 3 2" xfId="43403" xr:uid="{D372E6EC-06C4-4C55-8431-548A81E49AC2}"/>
    <cellStyle name="40% - Accent6 2 3 3 2 2 4" xfId="43400" xr:uid="{244FDBCB-9ACF-4DE5-A2A8-5BA7D0B749B8}"/>
    <cellStyle name="40% - Accent6 2 3 3 2 3" xfId="10046" xr:uid="{814404BF-C4EF-4C8A-BA87-7C7C352EC208}"/>
    <cellStyle name="40% - Accent6 2 3 3 2 3 2" xfId="25459" xr:uid="{3D9463CE-EB1D-4BAB-A5D2-A2AD60F7DC03}"/>
    <cellStyle name="40% - Accent6 2 3 3 2 3 2 2" xfId="43405" xr:uid="{3562E492-5CB9-4BC2-90AA-4E36B4920C0B}"/>
    <cellStyle name="40% - Accent6 2 3 3 2 3 3" xfId="43404" xr:uid="{69326437-839F-4482-8785-41D05F29B1A1}"/>
    <cellStyle name="40% - Accent6 2 3 3 2 4" xfId="17754" xr:uid="{9F5EEF15-FC2C-46AA-ACE4-7148222EAF26}"/>
    <cellStyle name="40% - Accent6 2 3 3 2 4 2" xfId="43406" xr:uid="{A1A1DA8B-0C39-4B69-83A4-1722763B5E29}"/>
    <cellStyle name="40% - Accent6 2 3 3 2 5" xfId="43399" xr:uid="{DD3ED0B3-B6DE-49B4-8977-8EED167FFB53}"/>
    <cellStyle name="40% - Accent6 2 3 3 3" xfId="4597" xr:uid="{A61B9421-1568-4C09-83ED-CC12127CAC1C}"/>
    <cellStyle name="40% - Accent6 2 3 3 3 2" xfId="12305" xr:uid="{58E1824C-875B-49F7-B085-18140A59F8B4}"/>
    <cellStyle name="40% - Accent6 2 3 3 3 2 2" xfId="27717" xr:uid="{01567A28-BDD6-4CCD-BBE9-0B9B5926815C}"/>
    <cellStyle name="40% - Accent6 2 3 3 3 2 2 2" xfId="43409" xr:uid="{0ABF4F6E-F902-4136-B6A3-9E5369AFCDA3}"/>
    <cellStyle name="40% - Accent6 2 3 3 3 2 3" xfId="43408" xr:uid="{E774FE7E-EE1B-4FB9-BD3B-3C0F253CE631}"/>
    <cellStyle name="40% - Accent6 2 3 3 3 3" xfId="20012" xr:uid="{EC100C75-C7E7-4169-803B-28A66A03E1C5}"/>
    <cellStyle name="40% - Accent6 2 3 3 3 3 2" xfId="43410" xr:uid="{5E08D2A1-FC9C-469C-872D-1FE3BD565EFF}"/>
    <cellStyle name="40% - Accent6 2 3 3 3 4" xfId="43407" xr:uid="{F9AF216F-0B9A-48EC-BEBE-6269F681A089}"/>
    <cellStyle name="40% - Accent6 2 3 3 4" xfId="8587" xr:uid="{8296EDD0-06E1-4021-865A-0AB38023B33A}"/>
    <cellStyle name="40% - Accent6 2 3 3 4 2" xfId="24000" xr:uid="{D335E872-7843-4624-AB80-30429305D41B}"/>
    <cellStyle name="40% - Accent6 2 3 3 4 2 2" xfId="43412" xr:uid="{D9ACD06A-5DB7-45EF-A284-C53E7348E853}"/>
    <cellStyle name="40% - Accent6 2 3 3 4 3" xfId="43411" xr:uid="{5D6CED5A-0A8B-4BFA-B48A-9B24CC497AB2}"/>
    <cellStyle name="40% - Accent6 2 3 3 5" xfId="16295" xr:uid="{CE79C3B6-0937-49DC-8A2B-F3683FE5A9F9}"/>
    <cellStyle name="40% - Accent6 2 3 3 5 2" xfId="43413" xr:uid="{0D0C1503-533D-4500-92F8-6DC8D27FEFBA}"/>
    <cellStyle name="40% - Accent6 2 3 3 6" xfId="43398" xr:uid="{DA8E2E02-8038-49CB-B6BF-1DD4EB164789}"/>
    <cellStyle name="40% - Accent6 2 3 4" xfId="1697" xr:uid="{B1B848CD-33EB-4B02-8258-AAF6E96F6292}"/>
    <cellStyle name="40% - Accent6 2 3 4 2" xfId="5429" xr:uid="{6E74B7DD-98F8-4AD7-9A2A-493683398F05}"/>
    <cellStyle name="40% - Accent6 2 3 4 2 2" xfId="13137" xr:uid="{C71D3223-B9B9-461F-B36B-AB423230C794}"/>
    <cellStyle name="40% - Accent6 2 3 4 2 2 2" xfId="28549" xr:uid="{974D79F9-7B13-4B5C-B839-13D90547A149}"/>
    <cellStyle name="40% - Accent6 2 3 4 2 2 2 2" xfId="43417" xr:uid="{B81A5BFD-5ED0-47BC-A7E9-A3A5FECBAFBD}"/>
    <cellStyle name="40% - Accent6 2 3 4 2 2 3" xfId="43416" xr:uid="{DDF517CD-196C-4495-A56A-85F3E1308A86}"/>
    <cellStyle name="40% - Accent6 2 3 4 2 3" xfId="20844" xr:uid="{C779D2AC-F50C-4014-B41B-208635B1B4A5}"/>
    <cellStyle name="40% - Accent6 2 3 4 2 3 2" xfId="43418" xr:uid="{C8B195E7-48C9-4469-9E3B-07A7194C666E}"/>
    <cellStyle name="40% - Accent6 2 3 4 2 4" xfId="43415" xr:uid="{0D26B76B-F6FD-4BC8-98F3-7FDFD42D95E5}"/>
    <cellStyle name="40% - Accent6 2 3 4 3" xfId="9408" xr:uid="{A129ACED-BE13-43DD-B7DC-1C68C5E0CCAE}"/>
    <cellStyle name="40% - Accent6 2 3 4 3 2" xfId="24821" xr:uid="{CD38FB43-8B3E-4AC1-8E74-7DA23F43E953}"/>
    <cellStyle name="40% - Accent6 2 3 4 3 2 2" xfId="43420" xr:uid="{C7DD0BAE-33AD-4770-AC5E-BE9383BCAC72}"/>
    <cellStyle name="40% - Accent6 2 3 4 3 3" xfId="43419" xr:uid="{0142B4D2-F1DD-4273-94EB-73EDE8332D54}"/>
    <cellStyle name="40% - Accent6 2 3 4 4" xfId="17116" xr:uid="{EAF473F4-AD05-44E3-AD03-C31E17380BC2}"/>
    <cellStyle name="40% - Accent6 2 3 4 4 2" xfId="43421" xr:uid="{FBD049B1-7759-4512-941E-70C270F57F74}"/>
    <cellStyle name="40% - Accent6 2 3 4 5" xfId="43414" xr:uid="{7459D0C3-696A-4B36-ACFF-4D740978DC73}"/>
    <cellStyle name="40% - Accent6 2 3 5" xfId="3945" xr:uid="{CA57454F-257C-47F1-8763-36C27E8C839F}"/>
    <cellStyle name="40% - Accent6 2 3 5 2" xfId="11653" xr:uid="{1B449F87-1293-4757-896A-840B0DBB2E77}"/>
    <cellStyle name="40% - Accent6 2 3 5 2 2" xfId="27065" xr:uid="{75B7A156-9898-45F6-A00A-596987B3BABB}"/>
    <cellStyle name="40% - Accent6 2 3 5 2 2 2" xfId="43424" xr:uid="{DD42C295-EB34-4E6E-9446-5C58283A7EC2}"/>
    <cellStyle name="40% - Accent6 2 3 5 2 3" xfId="43423" xr:uid="{5534A7FC-A2E5-4883-9081-D2177F4AE6A4}"/>
    <cellStyle name="40% - Accent6 2 3 5 3" xfId="19360" xr:uid="{6FF18FE2-9B54-4BE5-9FF3-00A8E52F01E6}"/>
    <cellStyle name="40% - Accent6 2 3 5 3 2" xfId="43425" xr:uid="{522B1CAD-766C-40E5-AD68-E680481CC8DB}"/>
    <cellStyle name="40% - Accent6 2 3 5 4" xfId="43422" xr:uid="{4EAFBD58-0D9C-4A52-BAB5-1BA3B7567972}"/>
    <cellStyle name="40% - Accent6 2 3 6" xfId="7949" xr:uid="{CE9B2128-DF0D-4F21-8950-88736D6E55C8}"/>
    <cellStyle name="40% - Accent6 2 3 6 2" xfId="23362" xr:uid="{8BEB918A-2A83-422E-AB56-91EA3D690093}"/>
    <cellStyle name="40% - Accent6 2 3 6 2 2" xfId="43427" xr:uid="{EBF4D7FD-6ADA-4E47-B6FC-4314822351E3}"/>
    <cellStyle name="40% - Accent6 2 3 6 3" xfId="43426" xr:uid="{941B4089-E0A7-417F-9F4E-DED6BA6C94E2}"/>
    <cellStyle name="40% - Accent6 2 3 7" xfId="15657" xr:uid="{07A8C63E-0753-43E9-88AA-B599EBB24B1A}"/>
    <cellStyle name="40% - Accent6 2 3 7 2" xfId="43428" xr:uid="{AA420A3D-1453-48C9-A8AC-F0FFD659D6B0}"/>
    <cellStyle name="40% - Accent6 2 3 8" xfId="43365" xr:uid="{CE855941-4473-4B0C-959A-3D34B449FC01}"/>
    <cellStyle name="40% - Accent6 2 4" xfId="350" xr:uid="{35F43B1E-97DB-4BAD-A591-18FA2716FD74}"/>
    <cellStyle name="40% - Accent6 2 4 2" xfId="1013" xr:uid="{A74368C7-E350-4BB8-86B9-9AB23CCA44B1}"/>
    <cellStyle name="40% - Accent6 2 4 2 2" xfId="2483" xr:uid="{E178D550-902A-4EA9-85DB-771CEBA0672A}"/>
    <cellStyle name="40% - Accent6 2 4 2 2 2" xfId="6215" xr:uid="{907B6F55-63FB-4B3E-8015-2DC09D11F575}"/>
    <cellStyle name="40% - Accent6 2 4 2 2 2 2" xfId="13923" xr:uid="{4931A658-86F3-4739-9DBB-E9FC17051283}"/>
    <cellStyle name="40% - Accent6 2 4 2 2 2 2 2" xfId="29335" xr:uid="{1F310C39-AEB5-4927-841A-9BE0DBE6889B}"/>
    <cellStyle name="40% - Accent6 2 4 2 2 2 2 2 2" xfId="43434" xr:uid="{C5196238-27B4-4A82-8DD1-49D0B97F25BC}"/>
    <cellStyle name="40% - Accent6 2 4 2 2 2 2 3" xfId="43433" xr:uid="{175C8C9A-606D-4FBA-85B2-D5F8A5149AD0}"/>
    <cellStyle name="40% - Accent6 2 4 2 2 2 3" xfId="21630" xr:uid="{36D1C6DE-59EE-409C-9D4F-0BF68B76C53F}"/>
    <cellStyle name="40% - Accent6 2 4 2 2 2 3 2" xfId="43435" xr:uid="{899045FF-F40F-48C1-8138-3127F137EC47}"/>
    <cellStyle name="40% - Accent6 2 4 2 2 2 4" xfId="43432" xr:uid="{28490105-F215-4CEA-8A4E-DBBE0FEDEF60}"/>
    <cellStyle name="40% - Accent6 2 4 2 2 3" xfId="10194" xr:uid="{15B938FF-3969-42F3-8ED0-F2FAEBE57740}"/>
    <cellStyle name="40% - Accent6 2 4 2 2 3 2" xfId="25607" xr:uid="{FA2A6038-2641-4001-85B0-8472E848D80F}"/>
    <cellStyle name="40% - Accent6 2 4 2 2 3 2 2" xfId="43437" xr:uid="{515A5AAF-8F7B-4767-92EC-8A98B9C6DB1F}"/>
    <cellStyle name="40% - Accent6 2 4 2 2 3 3" xfId="43436" xr:uid="{FBBB660B-11AB-4157-BB6E-1DEB935DC898}"/>
    <cellStyle name="40% - Accent6 2 4 2 2 4" xfId="17902" xr:uid="{535406E2-3B9C-4ECE-85C3-B8ACB8FD5B7B}"/>
    <cellStyle name="40% - Accent6 2 4 2 2 4 2" xfId="43438" xr:uid="{B6E9F208-65B8-4212-8F1E-2BA763867795}"/>
    <cellStyle name="40% - Accent6 2 4 2 2 5" xfId="43431" xr:uid="{7B0FDE5D-F1D5-42D6-8121-467405708F62}"/>
    <cellStyle name="40% - Accent6 2 4 2 3" xfId="4750" xr:uid="{07921EC4-488B-4A4A-B90B-D05708EF92F8}"/>
    <cellStyle name="40% - Accent6 2 4 2 3 2" xfId="12458" xr:uid="{BED1B0EB-8ADC-427A-A3C0-F61266A5D84B}"/>
    <cellStyle name="40% - Accent6 2 4 2 3 2 2" xfId="27870" xr:uid="{E0CD6DC6-9772-43D7-88B2-5EFF1597DE00}"/>
    <cellStyle name="40% - Accent6 2 4 2 3 2 2 2" xfId="43441" xr:uid="{88752F6F-3861-431F-A0BB-9FF414B4A7FB}"/>
    <cellStyle name="40% - Accent6 2 4 2 3 2 3" xfId="43440" xr:uid="{BA598998-9F85-4024-984C-F0359D885C3B}"/>
    <cellStyle name="40% - Accent6 2 4 2 3 3" xfId="20165" xr:uid="{70206653-C21E-41A9-9FB6-A124F2EBD4E0}"/>
    <cellStyle name="40% - Accent6 2 4 2 3 3 2" xfId="43442" xr:uid="{97D19345-13C5-408C-BCA4-BFDF386A9726}"/>
    <cellStyle name="40% - Accent6 2 4 2 3 4" xfId="43439" xr:uid="{96DE98B8-4A2F-4DDD-A6EA-94A7D13DBA14}"/>
    <cellStyle name="40% - Accent6 2 4 2 4" xfId="8735" xr:uid="{361FF843-0299-4FAA-B431-DD544C1B57AE}"/>
    <cellStyle name="40% - Accent6 2 4 2 4 2" xfId="24148" xr:uid="{D4626671-FA2B-4F96-B87B-4B7FC29A3628}"/>
    <cellStyle name="40% - Accent6 2 4 2 4 2 2" xfId="43444" xr:uid="{A72AD04D-F616-406F-8081-0AE6444EDCCF}"/>
    <cellStyle name="40% - Accent6 2 4 2 4 3" xfId="43443" xr:uid="{AD648AD3-2AF6-4BDC-811F-75E440AF17C0}"/>
    <cellStyle name="40% - Accent6 2 4 2 5" xfId="16443" xr:uid="{37296D25-C6EF-4252-898B-E1C0D353E5D3}"/>
    <cellStyle name="40% - Accent6 2 4 2 5 2" xfId="43445" xr:uid="{6B50ECC7-B2E8-449E-BDF4-7D965BACD7DE}"/>
    <cellStyle name="40% - Accent6 2 4 2 6" xfId="43430" xr:uid="{22A0E2FC-7BD9-4BFA-9AD3-3F5E732681C9}"/>
    <cellStyle name="40% - Accent6 2 4 3" xfId="1845" xr:uid="{754C5A72-9E17-44EC-8D4E-0B3181094001}"/>
    <cellStyle name="40% - Accent6 2 4 3 2" xfId="5577" xr:uid="{8D6D30FE-64D2-4E5A-8C00-E6351F540FB0}"/>
    <cellStyle name="40% - Accent6 2 4 3 2 2" xfId="13285" xr:uid="{E9D789CC-FF2B-43EE-9FFC-FE667F7C1AFF}"/>
    <cellStyle name="40% - Accent6 2 4 3 2 2 2" xfId="28697" xr:uid="{79D2FB5C-12DD-43C9-9961-B8338DB6AA8C}"/>
    <cellStyle name="40% - Accent6 2 4 3 2 2 2 2" xfId="43449" xr:uid="{4F947D7F-5237-44B0-9DA7-98774F1C8D80}"/>
    <cellStyle name="40% - Accent6 2 4 3 2 2 3" xfId="43448" xr:uid="{D6B707F2-A9C9-416E-962A-6DA871F17349}"/>
    <cellStyle name="40% - Accent6 2 4 3 2 3" xfId="20992" xr:uid="{CD31E6C3-88BF-460E-8BB9-AD3E12B6F6BC}"/>
    <cellStyle name="40% - Accent6 2 4 3 2 3 2" xfId="43450" xr:uid="{9BE0B961-6BA3-472D-9EBA-D653FB378DE0}"/>
    <cellStyle name="40% - Accent6 2 4 3 2 4" xfId="43447" xr:uid="{5C974094-E5F3-41F6-85A7-9218551F8C7D}"/>
    <cellStyle name="40% - Accent6 2 4 3 3" xfId="9556" xr:uid="{0D764EF4-417C-4A26-AFA0-813C88C7C926}"/>
    <cellStyle name="40% - Accent6 2 4 3 3 2" xfId="24969" xr:uid="{350F7786-8754-4BAE-AE64-5245FC0629ED}"/>
    <cellStyle name="40% - Accent6 2 4 3 3 2 2" xfId="43452" xr:uid="{65A89DA1-FF6D-4B3C-B2B8-FCD5B8DB64D4}"/>
    <cellStyle name="40% - Accent6 2 4 3 3 3" xfId="43451" xr:uid="{1128888C-1D50-40AA-9DE2-08FEDE909657}"/>
    <cellStyle name="40% - Accent6 2 4 3 4" xfId="17264" xr:uid="{3BFA68BB-1994-4E09-B84D-DA808D9FE51E}"/>
    <cellStyle name="40% - Accent6 2 4 3 4 2" xfId="43453" xr:uid="{4383CB6F-2F12-410B-A27E-C84A17FE3EFF}"/>
    <cellStyle name="40% - Accent6 2 4 3 5" xfId="43446" xr:uid="{B94FCE9E-9E80-472C-9F5D-9DBF6A6CEE84}"/>
    <cellStyle name="40% - Accent6 2 4 4" xfId="4098" xr:uid="{0AE339C4-E3FB-45C2-85FF-629B50243B82}"/>
    <cellStyle name="40% - Accent6 2 4 4 2" xfId="11806" xr:uid="{2972DE7D-AF7D-423B-A145-B6709313EDFE}"/>
    <cellStyle name="40% - Accent6 2 4 4 2 2" xfId="27218" xr:uid="{ED58FCA1-EA61-4A28-BECE-8D5CE1786941}"/>
    <cellStyle name="40% - Accent6 2 4 4 2 2 2" xfId="43456" xr:uid="{178D9C29-3DF4-4C40-AB98-9E593128F57B}"/>
    <cellStyle name="40% - Accent6 2 4 4 2 3" xfId="43455" xr:uid="{2CA4761C-AD19-4127-AFE7-C0960E3FD601}"/>
    <cellStyle name="40% - Accent6 2 4 4 3" xfId="19513" xr:uid="{CD63DD3F-094B-4A70-B6A2-69EB226AF93A}"/>
    <cellStyle name="40% - Accent6 2 4 4 3 2" xfId="43457" xr:uid="{20F42741-0A7C-4B2B-915B-D14EF3B91557}"/>
    <cellStyle name="40% - Accent6 2 4 4 4" xfId="43454" xr:uid="{0D421262-618F-4C36-896B-D8E902D4C5FE}"/>
    <cellStyle name="40% - Accent6 2 4 5" xfId="8097" xr:uid="{03B8F0C1-960E-4128-AF19-C7B61FEF2B9D}"/>
    <cellStyle name="40% - Accent6 2 4 5 2" xfId="23510" xr:uid="{95D8E750-0732-45B2-8137-0F3B1BDAF731}"/>
    <cellStyle name="40% - Accent6 2 4 5 2 2" xfId="43459" xr:uid="{FCCBFD32-FEE5-4040-9446-F3360AC60FBA}"/>
    <cellStyle name="40% - Accent6 2 4 5 3" xfId="43458" xr:uid="{434E9EBC-CC34-44C1-B23E-EFE5D6682AB2}"/>
    <cellStyle name="40% - Accent6 2 4 6" xfId="15805" xr:uid="{17A05AB9-6ECE-40F3-B549-9EDDBFB98CAE}"/>
    <cellStyle name="40% - Accent6 2 4 6 2" xfId="43460" xr:uid="{1C50A022-EB22-4FB2-8367-A3C0143B76B6}"/>
    <cellStyle name="40% - Accent6 2 4 7" xfId="43429" xr:uid="{21D7A3E2-0220-4A2B-A55D-FFABFC937E88}"/>
    <cellStyle name="40% - Accent6 2 5" xfId="796" xr:uid="{C6690C1D-496B-43AB-BC63-5DD645AD5750}"/>
    <cellStyle name="40% - Accent6 2 5 2" xfId="2285" xr:uid="{003108C8-0DB3-4480-BE15-1EB9DF5EBA49}"/>
    <cellStyle name="40% - Accent6 2 5 2 2" xfId="6017" xr:uid="{DCCDBB42-435A-4612-8816-3BAF1565F8CA}"/>
    <cellStyle name="40% - Accent6 2 5 2 2 2" xfId="13725" xr:uid="{30378627-9D7B-461B-BEFD-02288747B22E}"/>
    <cellStyle name="40% - Accent6 2 5 2 2 2 2" xfId="29137" xr:uid="{A489CF0F-013C-47D4-A1E6-70CF9B5AF737}"/>
    <cellStyle name="40% - Accent6 2 5 2 2 2 2 2" xfId="43465" xr:uid="{3C1D3E80-894E-4B61-A597-42E02258BC9D}"/>
    <cellStyle name="40% - Accent6 2 5 2 2 2 3" xfId="43464" xr:uid="{F95F6113-EB8B-4D4E-AC65-D157E9C012D4}"/>
    <cellStyle name="40% - Accent6 2 5 2 2 3" xfId="21432" xr:uid="{B9482347-D726-45B7-9527-CF6A07FC42D9}"/>
    <cellStyle name="40% - Accent6 2 5 2 2 3 2" xfId="43466" xr:uid="{4A7B1753-39E8-4F51-B8CF-61BAF083F08B}"/>
    <cellStyle name="40% - Accent6 2 5 2 2 4" xfId="43463" xr:uid="{6DFDE03D-4E80-4DB4-8527-2F236269D87F}"/>
    <cellStyle name="40% - Accent6 2 5 2 3" xfId="9996" xr:uid="{E0A47AC3-FD77-45A9-8C28-460571226667}"/>
    <cellStyle name="40% - Accent6 2 5 2 3 2" xfId="25409" xr:uid="{A29E7E00-CD95-46FF-8F5A-F4E8EABC63F6}"/>
    <cellStyle name="40% - Accent6 2 5 2 3 2 2" xfId="43468" xr:uid="{00DB6597-BE90-40F1-B03A-7AC40B251F61}"/>
    <cellStyle name="40% - Accent6 2 5 2 3 3" xfId="43467" xr:uid="{AC2D61BF-4ABB-48E8-81C7-707DC7836E11}"/>
    <cellStyle name="40% - Accent6 2 5 2 4" xfId="17704" xr:uid="{D5C6762E-213C-437A-B1FE-E49A56D54F80}"/>
    <cellStyle name="40% - Accent6 2 5 2 4 2" xfId="43469" xr:uid="{1603A29C-9AB6-4E58-88AD-FE4EF033BA8B}"/>
    <cellStyle name="40% - Accent6 2 5 2 5" xfId="43462" xr:uid="{2115AC82-641D-42DC-8DFD-3ECD3F632EDB}"/>
    <cellStyle name="40% - Accent6 2 5 3" xfId="4540" xr:uid="{AF95D9CB-0983-4BA1-A254-B9E790753285}"/>
    <cellStyle name="40% - Accent6 2 5 3 2" xfId="12248" xr:uid="{E802B276-CB32-41F9-A0AF-6DB2C0524D5D}"/>
    <cellStyle name="40% - Accent6 2 5 3 2 2" xfId="27660" xr:uid="{EB83D6EF-3213-4ABE-BBC3-59E64956CB69}"/>
    <cellStyle name="40% - Accent6 2 5 3 2 2 2" xfId="43472" xr:uid="{FA0E24B9-9470-4EDA-8290-7690DF7AF2B0}"/>
    <cellStyle name="40% - Accent6 2 5 3 2 3" xfId="43471" xr:uid="{6434BB6A-AAEB-4522-B55B-3A2FB43DA76A}"/>
    <cellStyle name="40% - Accent6 2 5 3 3" xfId="19955" xr:uid="{48F43FDF-D0E3-47AA-A1F6-2AD8EA1243C3}"/>
    <cellStyle name="40% - Accent6 2 5 3 3 2" xfId="43473" xr:uid="{4BAE27A8-9B09-447C-B04C-7C48CB8411A0}"/>
    <cellStyle name="40% - Accent6 2 5 3 4" xfId="43470" xr:uid="{0AD9F896-89BB-4BD6-AB4B-4EF2496E5BE3}"/>
    <cellStyle name="40% - Accent6 2 5 4" xfId="8537" xr:uid="{771EA98F-CB28-4DAC-BDAA-796C1335DF73}"/>
    <cellStyle name="40% - Accent6 2 5 4 2" xfId="23950" xr:uid="{D89D4903-929E-4911-9AF6-862622134183}"/>
    <cellStyle name="40% - Accent6 2 5 4 2 2" xfId="43475" xr:uid="{1B087164-A613-45D4-BB32-F9140C79EB4F}"/>
    <cellStyle name="40% - Accent6 2 5 4 3" xfId="43474" xr:uid="{EE759F14-EDFB-4AA4-AAD8-65510F485E62}"/>
    <cellStyle name="40% - Accent6 2 5 5" xfId="16245" xr:uid="{C851D3A0-E116-4668-88EC-233F9E66AB8F}"/>
    <cellStyle name="40% - Accent6 2 5 5 2" xfId="43476" xr:uid="{C87FD65C-0E6A-4722-964D-018EC0E1854D}"/>
    <cellStyle name="40% - Accent6 2 5 6" xfId="43461" xr:uid="{54539E66-CFB8-451E-9EDC-294755E1FE9A}"/>
    <cellStyle name="40% - Accent6 2 6" xfId="1643" xr:uid="{09A94A06-43DF-498E-82FA-D53407C7D845}"/>
    <cellStyle name="40% - Accent6 2 6 2" xfId="5377" xr:uid="{59425F71-390B-43B5-A97B-7128306F544B}"/>
    <cellStyle name="40% - Accent6 2 6 2 2" xfId="13085" xr:uid="{E7854B40-0CCA-4802-A2EE-9725F3A9774D}"/>
    <cellStyle name="40% - Accent6 2 6 2 2 2" xfId="28497" xr:uid="{2E642E28-A581-4BF8-8C76-69265EBFFF43}"/>
    <cellStyle name="40% - Accent6 2 6 2 2 2 2" xfId="43480" xr:uid="{82CCC79D-5EEF-478E-A8CD-1C2550A3445C}"/>
    <cellStyle name="40% - Accent6 2 6 2 2 3" xfId="43479" xr:uid="{9B2DFF25-7A2F-445B-80C3-37CAB2B59590}"/>
    <cellStyle name="40% - Accent6 2 6 2 3" xfId="20792" xr:uid="{52E6ECBB-2B01-4133-A0AD-D13325A4754F}"/>
    <cellStyle name="40% - Accent6 2 6 2 3 2" xfId="43481" xr:uid="{F9F4E95C-A97D-447F-9A91-C70AAB49D228}"/>
    <cellStyle name="40% - Accent6 2 6 2 4" xfId="43478" xr:uid="{17F8427D-14FA-414F-AD97-89FFC83E8F8D}"/>
    <cellStyle name="40% - Accent6 2 6 3" xfId="9358" xr:uid="{608E51B6-7D9E-400E-9619-D98B600526E0}"/>
    <cellStyle name="40% - Accent6 2 6 3 2" xfId="24771" xr:uid="{1DE98B8A-27E6-4D05-98A8-9F40E04DAE46}"/>
    <cellStyle name="40% - Accent6 2 6 3 2 2" xfId="43483" xr:uid="{9FF01875-291D-47E9-83D8-5551FC3AA15C}"/>
    <cellStyle name="40% - Accent6 2 6 3 3" xfId="43482" xr:uid="{DD1A9780-1D9F-487D-AB05-82B306163845}"/>
    <cellStyle name="40% - Accent6 2 6 4" xfId="17066" xr:uid="{2040B81C-9D7B-4E6D-AFBE-037F9337ACF0}"/>
    <cellStyle name="40% - Accent6 2 6 4 2" xfId="43484" xr:uid="{8C075627-58E8-4201-9454-D925ED914BC5}"/>
    <cellStyle name="40% - Accent6 2 6 5" xfId="43477" xr:uid="{773C3F26-3427-498A-B250-80E7648E8538}"/>
    <cellStyle name="40% - Accent6 2 7" xfId="3887" xr:uid="{585498DB-565D-4579-80EA-14EF731C3D96}"/>
    <cellStyle name="40% - Accent6 2 7 2" xfId="11596" xr:uid="{5369EA21-8306-41B4-B20B-F9E9815538EC}"/>
    <cellStyle name="40% - Accent6 2 7 2 2" xfId="27008" xr:uid="{233E8AE6-C21E-4ACE-AA82-751C0E593138}"/>
    <cellStyle name="40% - Accent6 2 7 2 2 2" xfId="43487" xr:uid="{378EF1CE-1B91-4DA6-A0A2-343DDB14054C}"/>
    <cellStyle name="40% - Accent6 2 7 2 3" xfId="43486" xr:uid="{6FCC623D-F98B-403C-AF22-46F6291A9563}"/>
    <cellStyle name="40% - Accent6 2 7 3" xfId="19303" xr:uid="{060702FE-50F4-4F95-AF67-46B4FD4D1E34}"/>
    <cellStyle name="40% - Accent6 2 7 3 2" xfId="43488" xr:uid="{E25F9551-2015-4F0B-A52C-3F79104524F2}"/>
    <cellStyle name="40% - Accent6 2 7 4" xfId="43485" xr:uid="{3BBD6231-D5B1-4F37-8FD5-A42043D7C71A}"/>
    <cellStyle name="40% - Accent6 2 8" xfId="7881" xr:uid="{BAECBB2E-5461-48BE-ABCD-284905A334E3}"/>
    <cellStyle name="40% - Accent6 2 8 2" xfId="23294" xr:uid="{060ECE8A-D8CA-4DD4-A1EC-E53927B7F315}"/>
    <cellStyle name="40% - Accent6 2 8 2 2" xfId="43490" xr:uid="{9BA25CAC-2BA3-4DD2-BB38-EC5A14A96FFF}"/>
    <cellStyle name="40% - Accent6 2 8 3" xfId="43489" xr:uid="{2EADAD2F-D9B8-4F7C-AEE8-6DA2C6716C6A}"/>
    <cellStyle name="40% - Accent6 2 9" xfId="15589" xr:uid="{9751EE4C-A9FA-4DA4-9AB2-B781BE0D3C95}"/>
    <cellStyle name="40% - Accent6 2 9 2" xfId="43491" xr:uid="{AC5BEBBF-37BE-4D97-B609-109FEB9705C3}"/>
    <cellStyle name="40% - Accent6 20" xfId="3613" xr:uid="{A8B2335C-9AA2-4F86-827F-0FB9947F061F}"/>
    <cellStyle name="40% - Accent6 20 2" xfId="7344" xr:uid="{9EBC135A-B7B9-46C6-9E8B-ACD2389EAB0D}"/>
    <cellStyle name="40% - Accent6 20 2 2" xfId="15052" xr:uid="{8204B543-956F-4064-AA89-39D8A626E359}"/>
    <cellStyle name="40% - Accent6 20 2 2 2" xfId="30464" xr:uid="{F17A075B-BF3E-4F73-9A76-4A7CBDD44C0C}"/>
    <cellStyle name="40% - Accent6 20 2 2 2 2" xfId="43495" xr:uid="{1B9F991C-6362-405E-B150-E3FD64793B14}"/>
    <cellStyle name="40% - Accent6 20 2 2 3" xfId="43494" xr:uid="{E4EF4268-12B4-42C4-A343-E9261819D2AC}"/>
    <cellStyle name="40% - Accent6 20 2 3" xfId="22759" xr:uid="{383E8E14-18E1-4A9D-AD8D-9DFF1749E383}"/>
    <cellStyle name="40% - Accent6 20 2 3 2" xfId="43496" xr:uid="{C6295C09-0FFB-438E-88B9-30AB6C6A4250}"/>
    <cellStyle name="40% - Accent6 20 2 4" xfId="43493" xr:uid="{4CFCF960-25A1-4044-9CCF-0F3840D5FA3C}"/>
    <cellStyle name="40% - Accent6 20 3" xfId="11323" xr:uid="{85DD3BD4-40D0-4C14-BA4E-8134DF57E596}"/>
    <cellStyle name="40% - Accent6 20 3 2" xfId="26736" xr:uid="{39714C81-2D09-4D44-A7E3-BD45185E1429}"/>
    <cellStyle name="40% - Accent6 20 3 2 2" xfId="43498" xr:uid="{9F34B082-619C-46D2-B32F-F753D2FB1191}"/>
    <cellStyle name="40% - Accent6 20 3 3" xfId="43497" xr:uid="{6E999F30-4882-4DA2-A8C3-D88E1AA343D2}"/>
    <cellStyle name="40% - Accent6 20 4" xfId="19031" xr:uid="{1FE4FE24-B9FB-4712-94B1-C2EADE69792C}"/>
    <cellStyle name="40% - Accent6 20 4 2" xfId="43499" xr:uid="{8B534254-9B3E-41A8-9852-84726650EFE0}"/>
    <cellStyle name="40% - Accent6 20 5" xfId="43492" xr:uid="{564B5C64-7D4E-472E-AD3C-5D34CFD04D7E}"/>
    <cellStyle name="40% - Accent6 21" xfId="3633" xr:uid="{0250ACAB-2442-48B9-BD32-65E30DFAA0EF}"/>
    <cellStyle name="40% - Accent6 21 2" xfId="7364" xr:uid="{D237EB92-23A8-4F45-ACA9-E585187E4208}"/>
    <cellStyle name="40% - Accent6 21 2 2" xfId="15072" xr:uid="{7F72CDD3-23F1-43FB-A255-5DFCEDEE5486}"/>
    <cellStyle name="40% - Accent6 21 2 2 2" xfId="30484" xr:uid="{41D1A4ED-FC57-414E-B183-E23A5994B10C}"/>
    <cellStyle name="40% - Accent6 21 2 2 2 2" xfId="43503" xr:uid="{AF81B49D-F8C1-4B4A-B669-72535CC6594E}"/>
    <cellStyle name="40% - Accent6 21 2 2 3" xfId="43502" xr:uid="{32C95DE7-B690-406E-8AC0-4E83785E27F3}"/>
    <cellStyle name="40% - Accent6 21 2 3" xfId="22779" xr:uid="{6E3433D6-134B-4236-B013-9F25811C3390}"/>
    <cellStyle name="40% - Accent6 21 2 3 2" xfId="43504" xr:uid="{9E680A68-9125-45C9-977E-C885557016C6}"/>
    <cellStyle name="40% - Accent6 21 2 4" xfId="43501" xr:uid="{62CC0A39-6549-4A87-9449-A2DFC2036AC6}"/>
    <cellStyle name="40% - Accent6 21 3" xfId="11343" xr:uid="{5954A69F-802C-4118-B9C2-905194448376}"/>
    <cellStyle name="40% - Accent6 21 3 2" xfId="26756" xr:uid="{9085FF1D-1B3E-4433-BDA0-20CE3985F6AE}"/>
    <cellStyle name="40% - Accent6 21 3 2 2" xfId="43506" xr:uid="{84244173-DA17-4870-B8F7-E90BD5613F1C}"/>
    <cellStyle name="40% - Accent6 21 3 3" xfId="43505" xr:uid="{C7AAB1D6-72AE-49BC-A207-6D4B98501D0C}"/>
    <cellStyle name="40% - Accent6 21 4" xfId="19051" xr:uid="{38A867BA-3A26-41A1-9B52-0DF53DE1E687}"/>
    <cellStyle name="40% - Accent6 21 4 2" xfId="43507" xr:uid="{0A050E77-E37C-4C38-89E0-0EEB76023D8B}"/>
    <cellStyle name="40% - Accent6 21 5" xfId="43500" xr:uid="{12A7BDDB-2E2B-4607-A799-D3D856D5479E}"/>
    <cellStyle name="40% - Accent6 22" xfId="3653" xr:uid="{E0F08496-0036-4790-B797-B9E786563A75}"/>
    <cellStyle name="40% - Accent6 22 2" xfId="7384" xr:uid="{4271BD4A-F972-4C77-BA58-42287ECFAFEB}"/>
    <cellStyle name="40% - Accent6 22 2 2" xfId="15092" xr:uid="{1D2024C6-2D3D-4BA3-9661-A849105E35DB}"/>
    <cellStyle name="40% - Accent6 22 2 2 2" xfId="30504" xr:uid="{8F797C2A-F2A1-4643-903C-A72C7E66EA05}"/>
    <cellStyle name="40% - Accent6 22 2 2 2 2" xfId="43511" xr:uid="{989DBC47-3C51-4C01-98CC-739C799F81CE}"/>
    <cellStyle name="40% - Accent6 22 2 2 3" xfId="43510" xr:uid="{954BC432-8A14-4C82-9BB8-9EB341D17E8F}"/>
    <cellStyle name="40% - Accent6 22 2 3" xfId="22799" xr:uid="{BF3FCA39-9E84-40C7-881D-BD1129138F3A}"/>
    <cellStyle name="40% - Accent6 22 2 3 2" xfId="43512" xr:uid="{01D7F264-EF94-4578-B88B-B59759C85BD7}"/>
    <cellStyle name="40% - Accent6 22 2 4" xfId="43509" xr:uid="{479DD748-86AA-4295-92B7-703D8A1FE1E8}"/>
    <cellStyle name="40% - Accent6 22 3" xfId="11363" xr:uid="{086BE02B-AAC7-48B5-B3AE-95FFB5CC2FA8}"/>
    <cellStyle name="40% - Accent6 22 3 2" xfId="26776" xr:uid="{31ED18B6-00CD-4EC4-92D5-9F7B41818079}"/>
    <cellStyle name="40% - Accent6 22 3 2 2" xfId="43514" xr:uid="{12741D3B-22C9-458B-ACCE-C2ED12B9B9DF}"/>
    <cellStyle name="40% - Accent6 22 3 3" xfId="43513" xr:uid="{05187A7F-33F2-4EC2-B220-754BFF89EA6D}"/>
    <cellStyle name="40% - Accent6 22 4" xfId="19071" xr:uid="{F2D4295F-FCE3-474B-8479-5A39E6967B03}"/>
    <cellStyle name="40% - Accent6 22 4 2" xfId="43515" xr:uid="{1141493F-0C30-4B60-A1E1-FC17CCE42DF7}"/>
    <cellStyle name="40% - Accent6 22 5" xfId="43508" xr:uid="{4FE159EB-FB0A-41D6-ADB2-E88F0DCAFE12}"/>
    <cellStyle name="40% - Accent6 23" xfId="3673" xr:uid="{5D04083B-6D3E-4E91-B9E4-2FF514182154}"/>
    <cellStyle name="40% - Accent6 23 2" xfId="7404" xr:uid="{A8C3E816-047B-4895-B298-A06471593E8C}"/>
    <cellStyle name="40% - Accent6 23 2 2" xfId="15112" xr:uid="{4D6D34C8-3CC6-4AB0-87DF-5DF3E4426BE1}"/>
    <cellStyle name="40% - Accent6 23 2 2 2" xfId="30524" xr:uid="{8889242C-B8A8-4D1B-859C-B72A29B8AAA9}"/>
    <cellStyle name="40% - Accent6 23 2 2 2 2" xfId="43519" xr:uid="{67BDBA70-9233-455C-9ADE-C050D5BDD0A5}"/>
    <cellStyle name="40% - Accent6 23 2 2 3" xfId="43518" xr:uid="{F584D811-0E4D-4FB3-9A1A-80082BB05459}"/>
    <cellStyle name="40% - Accent6 23 2 3" xfId="22819" xr:uid="{237F141F-FB11-4A5F-99D4-8E99D3441FCA}"/>
    <cellStyle name="40% - Accent6 23 2 3 2" xfId="43520" xr:uid="{ADF75082-1AE0-4A3F-B63F-C9214321CCC7}"/>
    <cellStyle name="40% - Accent6 23 2 4" xfId="43517" xr:uid="{A33E4DA8-998A-44B4-AC92-F5C9A0A7BD56}"/>
    <cellStyle name="40% - Accent6 23 3" xfId="11383" xr:uid="{85C47BCF-59A7-42D8-A56C-AF32F1FB7D0E}"/>
    <cellStyle name="40% - Accent6 23 3 2" xfId="26796" xr:uid="{51A78188-957C-42DA-9F6A-54B0CE69DA11}"/>
    <cellStyle name="40% - Accent6 23 3 2 2" xfId="43522" xr:uid="{2BF75BAE-353F-49A6-81B0-C63F61749F0F}"/>
    <cellStyle name="40% - Accent6 23 3 3" xfId="43521" xr:uid="{3EAB995D-77A6-48A2-AA78-87DB7D224763}"/>
    <cellStyle name="40% - Accent6 23 4" xfId="19091" xr:uid="{058D2623-6332-4A56-82EB-780D8BA0B09F}"/>
    <cellStyle name="40% - Accent6 23 4 2" xfId="43523" xr:uid="{85CBB59E-6A4F-4C33-BF6B-1B94504B1A19}"/>
    <cellStyle name="40% - Accent6 23 5" xfId="43516" xr:uid="{6FD7B1E5-4C35-4522-9EFB-CAFC6EE704AC}"/>
    <cellStyle name="40% - Accent6 24" xfId="3693" xr:uid="{FE9E7BC1-5B29-4514-94BF-E226D5A58E69}"/>
    <cellStyle name="40% - Accent6 24 2" xfId="7424" xr:uid="{9BB7D80A-5900-4AC9-8D2B-1A2DBEE8A5A4}"/>
    <cellStyle name="40% - Accent6 24 2 2" xfId="15132" xr:uid="{9224EBAD-173A-472C-9BFA-D28FBA913F03}"/>
    <cellStyle name="40% - Accent6 24 2 2 2" xfId="30544" xr:uid="{33B87EF0-2139-4479-B959-F23B94DB4EEB}"/>
    <cellStyle name="40% - Accent6 24 2 2 2 2" xfId="43527" xr:uid="{B70CD92D-E8F8-4DAE-80C4-D33C97EFCAC7}"/>
    <cellStyle name="40% - Accent6 24 2 2 3" xfId="43526" xr:uid="{A3C9B0ED-53A3-4BF4-A143-0EB5F899EA8A}"/>
    <cellStyle name="40% - Accent6 24 2 3" xfId="22839" xr:uid="{0881C066-606C-4DBD-ACB6-A39C0E1C460A}"/>
    <cellStyle name="40% - Accent6 24 2 3 2" xfId="43528" xr:uid="{8C6E9782-3F3B-4E1A-B2CF-321ADC026ECF}"/>
    <cellStyle name="40% - Accent6 24 2 4" xfId="43525" xr:uid="{258966D7-AACF-4F02-9EEC-5943B0A11E17}"/>
    <cellStyle name="40% - Accent6 24 3" xfId="11403" xr:uid="{373FADBF-7D4B-4451-B7FE-5BB453F006A9}"/>
    <cellStyle name="40% - Accent6 24 3 2" xfId="26816" xr:uid="{2EC4D832-5C7A-4CD6-9C18-E480532C07EC}"/>
    <cellStyle name="40% - Accent6 24 3 2 2" xfId="43530" xr:uid="{46C00096-0400-4912-B2B3-D68952973616}"/>
    <cellStyle name="40% - Accent6 24 3 3" xfId="43529" xr:uid="{DD5534F4-26ED-4BC8-8354-BD29190C28AD}"/>
    <cellStyle name="40% - Accent6 24 4" xfId="19111" xr:uid="{6DEAB928-15A0-45CD-B617-08822F6B61A3}"/>
    <cellStyle name="40% - Accent6 24 4 2" xfId="43531" xr:uid="{6A842A74-DF57-4251-B936-A0E35B52E120}"/>
    <cellStyle name="40% - Accent6 24 5" xfId="43524" xr:uid="{6336401A-6F8F-4568-8D5E-5B6FA484039C}"/>
    <cellStyle name="40% - Accent6 25" xfId="3713" xr:uid="{53CA011C-CCE6-48F0-A010-D503CE795F09}"/>
    <cellStyle name="40% - Accent6 25 2" xfId="7444" xr:uid="{0E9E544F-A4BA-443A-AC96-C100A43F3DC5}"/>
    <cellStyle name="40% - Accent6 25 2 2" xfId="15152" xr:uid="{27F391DA-3B00-477B-803B-692A4E361E20}"/>
    <cellStyle name="40% - Accent6 25 2 2 2" xfId="30564" xr:uid="{1D458DF6-357A-4423-A2F2-93B1B90BA6F5}"/>
    <cellStyle name="40% - Accent6 25 2 2 2 2" xfId="43535" xr:uid="{1BD29E2A-DEC5-4369-86A8-2E298E78B163}"/>
    <cellStyle name="40% - Accent6 25 2 2 3" xfId="43534" xr:uid="{850D1929-7728-4758-966D-8B115AB59081}"/>
    <cellStyle name="40% - Accent6 25 2 3" xfId="22859" xr:uid="{3A429DE9-E72D-450C-9EF3-7BA9BF1B6A6A}"/>
    <cellStyle name="40% - Accent6 25 2 3 2" xfId="43536" xr:uid="{5028AC6E-8E3F-42C7-A502-7BF6C3967AAA}"/>
    <cellStyle name="40% - Accent6 25 2 4" xfId="43533" xr:uid="{03B7ACE2-7325-4BE9-8D9B-9757E59DF455}"/>
    <cellStyle name="40% - Accent6 25 3" xfId="11423" xr:uid="{B85FD141-1208-4CCE-9CF0-2B4D457C9861}"/>
    <cellStyle name="40% - Accent6 25 3 2" xfId="26836" xr:uid="{47538633-2D79-44A8-9105-C3D813052D26}"/>
    <cellStyle name="40% - Accent6 25 3 2 2" xfId="43538" xr:uid="{C5CE9348-149C-40F4-8FE9-C8BED1FD3FD7}"/>
    <cellStyle name="40% - Accent6 25 3 3" xfId="43537" xr:uid="{47A23496-8848-4BE3-B8F9-4BF099F02D18}"/>
    <cellStyle name="40% - Accent6 25 4" xfId="19131" xr:uid="{08026B44-6550-4BF3-9A76-D5E1E37D3709}"/>
    <cellStyle name="40% - Accent6 25 4 2" xfId="43539" xr:uid="{237C4327-1219-4AD5-92E3-0C04C25B8F73}"/>
    <cellStyle name="40% - Accent6 25 5" xfId="43532" xr:uid="{E62920C8-EA49-4F98-A75A-91A9F8AD1FC7}"/>
    <cellStyle name="40% - Accent6 26" xfId="3733" xr:uid="{4928FA3D-9941-4D76-B640-9360326215C7}"/>
    <cellStyle name="40% - Accent6 26 2" xfId="7464" xr:uid="{20A07EF7-D774-4B7A-92AA-DB5ADB471332}"/>
    <cellStyle name="40% - Accent6 26 2 2" xfId="15172" xr:uid="{DAF83334-BD69-40E5-ABFF-E156042532F5}"/>
    <cellStyle name="40% - Accent6 26 2 2 2" xfId="30584" xr:uid="{6AF34BD1-24A9-4171-B313-ADE49416F970}"/>
    <cellStyle name="40% - Accent6 26 2 2 2 2" xfId="43543" xr:uid="{0FA04767-9CF6-4E6D-B7E4-91A88ABCA34F}"/>
    <cellStyle name="40% - Accent6 26 2 2 3" xfId="43542" xr:uid="{CDE2AEB2-0319-4DC6-BF91-4B84E5C3FF86}"/>
    <cellStyle name="40% - Accent6 26 2 3" xfId="22879" xr:uid="{B2ABD2F4-E3AB-480F-BD27-18A94581285A}"/>
    <cellStyle name="40% - Accent6 26 2 3 2" xfId="43544" xr:uid="{010814A9-B7F1-4165-A500-21A3E3016587}"/>
    <cellStyle name="40% - Accent6 26 2 4" xfId="43541" xr:uid="{9608978F-B2CC-40C1-87D8-7FB8DA0FDAAF}"/>
    <cellStyle name="40% - Accent6 26 3" xfId="11443" xr:uid="{5F0A1359-CBB8-4C20-B08B-1FD0590BF930}"/>
    <cellStyle name="40% - Accent6 26 3 2" xfId="26856" xr:uid="{D01D63A1-FE93-4D75-B76D-21113882AD78}"/>
    <cellStyle name="40% - Accent6 26 3 2 2" xfId="43546" xr:uid="{FFB119FA-C8AA-4FB1-9223-02B21AA22D90}"/>
    <cellStyle name="40% - Accent6 26 3 3" xfId="43545" xr:uid="{580787AF-C778-4F3C-B272-A69AC9D0E2C4}"/>
    <cellStyle name="40% - Accent6 26 4" xfId="19151" xr:uid="{B9CBDEEC-9074-4515-9CCE-8C65F5250EDA}"/>
    <cellStyle name="40% - Accent6 26 4 2" xfId="43547" xr:uid="{A57E8AFE-8D35-4CE2-BDA7-9E4AB0061847}"/>
    <cellStyle name="40% - Accent6 26 5" xfId="43540" xr:uid="{1016ABEC-3D17-4867-BFF0-3267BF04F429}"/>
    <cellStyle name="40% - Accent6 27" xfId="3753" xr:uid="{FE39B1A4-4841-4ACB-9274-F214D3800284}"/>
    <cellStyle name="40% - Accent6 27 2" xfId="7484" xr:uid="{73B6BEB3-E351-4BEE-8653-E192F0C71DEB}"/>
    <cellStyle name="40% - Accent6 27 2 2" xfId="15192" xr:uid="{3CA8A076-09BD-4A11-AC10-6F2AD44E05C7}"/>
    <cellStyle name="40% - Accent6 27 2 2 2" xfId="30604" xr:uid="{BB2263F2-EC8F-4733-97D3-797DE6EC9E08}"/>
    <cellStyle name="40% - Accent6 27 2 2 2 2" xfId="43551" xr:uid="{FB809059-E370-4E0D-B4CB-4E52C8AB9EC5}"/>
    <cellStyle name="40% - Accent6 27 2 2 3" xfId="43550" xr:uid="{127B2790-0FA5-4532-8092-5D46C5B329DA}"/>
    <cellStyle name="40% - Accent6 27 2 3" xfId="22899" xr:uid="{B5951B89-6623-4D8D-B8AC-024EA7D89BC4}"/>
    <cellStyle name="40% - Accent6 27 2 3 2" xfId="43552" xr:uid="{3F9B8994-F67A-4461-96E6-2B124AAC13BC}"/>
    <cellStyle name="40% - Accent6 27 2 4" xfId="43549" xr:uid="{7D4E0E19-16B8-4B22-8C32-00C65A2329F9}"/>
    <cellStyle name="40% - Accent6 27 3" xfId="11463" xr:uid="{749C97FD-6760-4670-A465-D7F131BFDA24}"/>
    <cellStyle name="40% - Accent6 27 3 2" xfId="26876" xr:uid="{FF2AC42E-536D-42A2-A151-4509A60F8FF0}"/>
    <cellStyle name="40% - Accent6 27 3 2 2" xfId="43554" xr:uid="{18C90E2C-8908-4B4D-92AE-9F427824577A}"/>
    <cellStyle name="40% - Accent6 27 3 3" xfId="43553" xr:uid="{13D920CA-9E27-4958-AC16-04695D721A81}"/>
    <cellStyle name="40% - Accent6 27 4" xfId="19171" xr:uid="{195EA56A-08DC-461F-AB23-85CA1B17DA5A}"/>
    <cellStyle name="40% - Accent6 27 4 2" xfId="43555" xr:uid="{931DCA59-31FE-4970-836B-31EAB2344A30}"/>
    <cellStyle name="40% - Accent6 27 5" xfId="43548" xr:uid="{23B63907-FB15-4434-B9B4-F3A12C97B1A3}"/>
    <cellStyle name="40% - Accent6 28" xfId="3773" xr:uid="{DAB2D3B6-4B7B-41C3-8CA4-54D42917E312}"/>
    <cellStyle name="40% - Accent6 28 2" xfId="7504" xr:uid="{DD885C05-9B27-49EB-9C26-1544ADDA2F78}"/>
    <cellStyle name="40% - Accent6 28 2 2" xfId="15212" xr:uid="{5043A9CB-7086-4A1C-A1B0-D2F155497067}"/>
    <cellStyle name="40% - Accent6 28 2 2 2" xfId="30624" xr:uid="{8EA18334-64BF-41D4-BC3A-8CD9E29EA15A}"/>
    <cellStyle name="40% - Accent6 28 2 2 2 2" xfId="43559" xr:uid="{DB129138-A5EE-4996-B8CF-F872A7328969}"/>
    <cellStyle name="40% - Accent6 28 2 2 3" xfId="43558" xr:uid="{2E3B2730-7A87-4CA6-A308-0E46FCF2582A}"/>
    <cellStyle name="40% - Accent6 28 2 3" xfId="22919" xr:uid="{286406DA-FE80-44D5-B84A-D257F36A7393}"/>
    <cellStyle name="40% - Accent6 28 2 3 2" xfId="43560" xr:uid="{3BEF862A-C79F-425B-BFB1-9606F66726C7}"/>
    <cellStyle name="40% - Accent6 28 2 4" xfId="43557" xr:uid="{8596AB9B-B12D-422C-93E1-E740E3F2CF6B}"/>
    <cellStyle name="40% - Accent6 28 3" xfId="11483" xr:uid="{4BAF7522-43C0-4E44-A13E-B6B1A36F64D2}"/>
    <cellStyle name="40% - Accent6 28 3 2" xfId="26896" xr:uid="{F364C38F-CF85-4FDF-8B56-73FB4C350D64}"/>
    <cellStyle name="40% - Accent6 28 3 2 2" xfId="43562" xr:uid="{7E18A1AA-F57A-4521-B203-435845D1D2FD}"/>
    <cellStyle name="40% - Accent6 28 3 3" xfId="43561" xr:uid="{2D12753A-4F9B-4AF2-808D-2971DE23F171}"/>
    <cellStyle name="40% - Accent6 28 4" xfId="19191" xr:uid="{982A77DC-9966-4796-A971-0A1A7D4A0877}"/>
    <cellStyle name="40% - Accent6 28 4 2" xfId="43563" xr:uid="{DA6CA2E0-7E4A-4B89-9E49-CAFDE12C3221}"/>
    <cellStyle name="40% - Accent6 28 5" xfId="43556" xr:uid="{3FDDBA21-D9E7-4EE8-B63C-4B294768595C}"/>
    <cellStyle name="40% - Accent6 29" xfId="3793" xr:uid="{04A51279-20CC-41F2-9E96-93A318893C26}"/>
    <cellStyle name="40% - Accent6 29 2" xfId="7524" xr:uid="{6429D315-53EC-4A52-A5CE-5E9D4E021655}"/>
    <cellStyle name="40% - Accent6 29 2 2" xfId="15232" xr:uid="{85564BF9-643B-4C3F-A222-C0A0A16260B8}"/>
    <cellStyle name="40% - Accent6 29 2 2 2" xfId="30644" xr:uid="{F16F7154-3D60-4CBF-BBFB-3252BD101C42}"/>
    <cellStyle name="40% - Accent6 29 2 2 2 2" xfId="43567" xr:uid="{AFA68EB5-8426-4D00-A9C8-6834F3AEE0BC}"/>
    <cellStyle name="40% - Accent6 29 2 2 3" xfId="43566" xr:uid="{4F74F144-22EA-4724-A0B9-EB59D3D66037}"/>
    <cellStyle name="40% - Accent6 29 2 3" xfId="22939" xr:uid="{40BF96E3-0827-430C-854D-C1517A795C14}"/>
    <cellStyle name="40% - Accent6 29 2 3 2" xfId="43568" xr:uid="{8CB7C16A-158E-4215-9F7B-E42D27C6F6AC}"/>
    <cellStyle name="40% - Accent6 29 2 4" xfId="43565" xr:uid="{B676E5BC-EB73-4283-A29A-774135E59197}"/>
    <cellStyle name="40% - Accent6 29 3" xfId="11503" xr:uid="{9B13465A-89EB-4937-A83D-00666159F213}"/>
    <cellStyle name="40% - Accent6 29 3 2" xfId="26916" xr:uid="{0ED66874-6805-41B3-86B1-B94D054464E8}"/>
    <cellStyle name="40% - Accent6 29 3 2 2" xfId="43570" xr:uid="{416DFFBA-5C5D-419F-BE0E-7202F785A405}"/>
    <cellStyle name="40% - Accent6 29 3 3" xfId="43569" xr:uid="{371661DD-00C4-4A82-8AB7-FFFBBE780E60}"/>
    <cellStyle name="40% - Accent6 29 4" xfId="19211" xr:uid="{EBEFB457-42BE-46B8-A8C3-1913B0E84931}"/>
    <cellStyle name="40% - Accent6 29 4 2" xfId="43571" xr:uid="{8584F481-B5F3-419F-9022-35B5E03F4ADB}"/>
    <cellStyle name="40% - Accent6 29 5" xfId="43564" xr:uid="{9C87EF10-CEDF-47B2-B1F2-A55F78A0C5B5}"/>
    <cellStyle name="40% - Accent6 3" xfId="336" xr:uid="{E7F33F09-8EF6-48CB-9517-F81C7B945562}"/>
    <cellStyle name="40% - Accent6 3 2" xfId="1000" xr:uid="{32919641-8B36-4064-A262-B5FDD371E6B5}"/>
    <cellStyle name="40% - Accent6 3 2 2" xfId="2470" xr:uid="{4ABC7BC1-E8FF-4B8E-8EFE-B442688BCFD6}"/>
    <cellStyle name="40% - Accent6 3 2 2 2" xfId="6202" xr:uid="{1ADFDEF2-29C8-4DB9-B635-5EF35FC83EF5}"/>
    <cellStyle name="40% - Accent6 3 2 2 2 2" xfId="13910" xr:uid="{E36501AB-4A17-47AC-A9A4-43171DBD322C}"/>
    <cellStyle name="40% - Accent6 3 2 2 2 2 2" xfId="29322" xr:uid="{897729CE-D0DB-4252-8913-5D3A7561D79C}"/>
    <cellStyle name="40% - Accent6 3 2 2 2 2 2 2" xfId="43577" xr:uid="{2C41936E-77B2-4CBB-A72B-B716AA690434}"/>
    <cellStyle name="40% - Accent6 3 2 2 2 2 3" xfId="43576" xr:uid="{B5DD3614-0E3B-4943-B822-A5F2EDCF26D6}"/>
    <cellStyle name="40% - Accent6 3 2 2 2 3" xfId="21617" xr:uid="{9608F226-870F-47A0-A46E-BA33026D3BED}"/>
    <cellStyle name="40% - Accent6 3 2 2 2 3 2" xfId="43578" xr:uid="{BAEF3673-21C2-4218-B861-1089B43A46A5}"/>
    <cellStyle name="40% - Accent6 3 2 2 2 4" xfId="43575" xr:uid="{6CB5914C-F826-4229-B0B1-3CD597D82457}"/>
    <cellStyle name="40% - Accent6 3 2 2 3" xfId="10181" xr:uid="{807686E2-1AEF-45CA-B9C3-A9E4D642765A}"/>
    <cellStyle name="40% - Accent6 3 2 2 3 2" xfId="25594" xr:uid="{124E99E6-6E85-4F4D-AF05-0E30FA08762C}"/>
    <cellStyle name="40% - Accent6 3 2 2 3 2 2" xfId="43580" xr:uid="{9231D8EF-48B2-4C71-95E2-767648717A2D}"/>
    <cellStyle name="40% - Accent6 3 2 2 3 3" xfId="43579" xr:uid="{F683BBA3-E218-4E6B-AC56-A02F8E9BAB2B}"/>
    <cellStyle name="40% - Accent6 3 2 2 4" xfId="17889" xr:uid="{7CC357D7-C284-4E53-ACFE-FD4C053FFAFE}"/>
    <cellStyle name="40% - Accent6 3 2 2 4 2" xfId="43581" xr:uid="{B3A3BCF8-59A1-4DA7-84A9-F9B2A99F436A}"/>
    <cellStyle name="40% - Accent6 3 2 2 5" xfId="43574" xr:uid="{69E1D6DC-F1C0-4B85-B125-09DD738BD269}"/>
    <cellStyle name="40% - Accent6 3 2 3" xfId="4737" xr:uid="{5FF5F37D-B404-4712-B801-6C23AFB9F32A}"/>
    <cellStyle name="40% - Accent6 3 2 3 2" xfId="12445" xr:uid="{4B23B83B-2A8C-42F5-8966-15BD2559393D}"/>
    <cellStyle name="40% - Accent6 3 2 3 2 2" xfId="27857" xr:uid="{8F46B011-F685-463C-818E-EA4596FA998F}"/>
    <cellStyle name="40% - Accent6 3 2 3 2 2 2" xfId="43584" xr:uid="{86C3727C-5F9F-43D4-8BA1-E9F24C663586}"/>
    <cellStyle name="40% - Accent6 3 2 3 2 3" xfId="43583" xr:uid="{C645FDE8-3469-4D8A-9FDC-0C80CFEAC958}"/>
    <cellStyle name="40% - Accent6 3 2 3 3" xfId="20152" xr:uid="{D6767251-8B78-4AC8-8DAE-B83F0C8EA97B}"/>
    <cellStyle name="40% - Accent6 3 2 3 3 2" xfId="43585" xr:uid="{D8C62F59-7D7A-470C-B7C1-1C801E2800BD}"/>
    <cellStyle name="40% - Accent6 3 2 3 4" xfId="43582" xr:uid="{621A433A-9532-441F-9936-C9F34B083470}"/>
    <cellStyle name="40% - Accent6 3 2 4" xfId="8722" xr:uid="{2FB5C51F-B4A3-45FB-ADC6-72497AA64832}"/>
    <cellStyle name="40% - Accent6 3 2 4 2" xfId="24135" xr:uid="{3DDA0550-AD9C-493B-BC52-6471DEDB39AE}"/>
    <cellStyle name="40% - Accent6 3 2 4 2 2" xfId="43587" xr:uid="{BAA03BD0-80DB-4247-82A4-368AE1AC976C}"/>
    <cellStyle name="40% - Accent6 3 2 4 3" xfId="43586" xr:uid="{FCF18DBD-1B27-4860-9AF1-805A16B16C36}"/>
    <cellStyle name="40% - Accent6 3 2 5" xfId="16430" xr:uid="{937BE3A5-AA52-4921-A0B2-348C291BD17C}"/>
    <cellStyle name="40% - Accent6 3 2 5 2" xfId="43588" xr:uid="{969E337A-819C-486F-9C4B-991652B862B7}"/>
    <cellStyle name="40% - Accent6 3 2 6" xfId="43573" xr:uid="{7C114888-EF79-4031-8B21-B1B802E30478}"/>
    <cellStyle name="40% - Accent6 3 3" xfId="1832" xr:uid="{34BD963A-1860-4145-85E6-5A8F43247BB1}"/>
    <cellStyle name="40% - Accent6 3 3 2" xfId="5564" xr:uid="{E2C57F27-DC38-4795-9B77-2E0A3BA4EEEB}"/>
    <cellStyle name="40% - Accent6 3 3 2 2" xfId="13272" xr:uid="{92A91CC9-D352-4AFD-B9D9-EA4D467975E2}"/>
    <cellStyle name="40% - Accent6 3 3 2 2 2" xfId="28684" xr:uid="{4AA43B92-A3AF-497F-BB53-E733126484F0}"/>
    <cellStyle name="40% - Accent6 3 3 2 2 2 2" xfId="43592" xr:uid="{DCC94DFA-3F12-45EA-8A20-22AB0501144E}"/>
    <cellStyle name="40% - Accent6 3 3 2 2 3" xfId="43591" xr:uid="{85D02AAA-348F-4B97-A281-FB694B81B56B}"/>
    <cellStyle name="40% - Accent6 3 3 2 3" xfId="20979" xr:uid="{5BB9ACEA-DABB-4FFA-BDE3-5C0970F74C93}"/>
    <cellStyle name="40% - Accent6 3 3 2 3 2" xfId="43593" xr:uid="{7B1079DB-A242-4764-88EF-A2FF48110805}"/>
    <cellStyle name="40% - Accent6 3 3 2 4" xfId="43590" xr:uid="{12BF4902-7316-4676-B60F-834B52B634F0}"/>
    <cellStyle name="40% - Accent6 3 3 3" xfId="9543" xr:uid="{AA5F97E7-933D-48A8-91F9-BBEF0F76D3C9}"/>
    <cellStyle name="40% - Accent6 3 3 3 2" xfId="24956" xr:uid="{44DABEDC-9E22-4D99-9360-6595001524CA}"/>
    <cellStyle name="40% - Accent6 3 3 3 2 2" xfId="43595" xr:uid="{0D6424F4-3124-45CF-80BE-1B136E7D3DF2}"/>
    <cellStyle name="40% - Accent6 3 3 3 3" xfId="43594" xr:uid="{6063714F-93DB-447F-A53A-8A47398B3275}"/>
    <cellStyle name="40% - Accent6 3 3 4" xfId="17251" xr:uid="{7DDF3812-C28A-40DA-89ED-C7C78DE87D57}"/>
    <cellStyle name="40% - Accent6 3 3 4 2" xfId="43596" xr:uid="{963C93ED-1E41-4FD2-AE8B-312887C5F977}"/>
    <cellStyle name="40% - Accent6 3 3 5" xfId="43589" xr:uid="{A7DD6895-C7EA-4BCF-BD2E-5B8FA548C4D7}"/>
    <cellStyle name="40% - Accent6 3 4" xfId="4085" xr:uid="{C2BBCF5C-5DD0-4456-BC6D-5BB83D4CAE1A}"/>
    <cellStyle name="40% - Accent6 3 4 2" xfId="11793" xr:uid="{D7F39253-CC02-4613-9CDA-E17CDB0402F8}"/>
    <cellStyle name="40% - Accent6 3 4 2 2" xfId="27205" xr:uid="{128E7DBF-B4BA-451A-9B52-AE8813554235}"/>
    <cellStyle name="40% - Accent6 3 4 2 2 2" xfId="43599" xr:uid="{98731C77-4A23-4158-B971-F645B1258F42}"/>
    <cellStyle name="40% - Accent6 3 4 2 3" xfId="43598" xr:uid="{95A51DF6-1F5B-46D6-9BD8-2372173106AF}"/>
    <cellStyle name="40% - Accent6 3 4 3" xfId="19500" xr:uid="{9F067A0D-790A-4F84-8256-BC6698A85706}"/>
    <cellStyle name="40% - Accent6 3 4 3 2" xfId="43600" xr:uid="{5467D4C5-A517-4C0A-8480-8628EDC154F0}"/>
    <cellStyle name="40% - Accent6 3 4 4" xfId="43597" xr:uid="{055C360E-0B25-493D-A294-BE81ECB405DC}"/>
    <cellStyle name="40% - Accent6 3 5" xfId="8084" xr:uid="{5D24E819-F89F-41A0-B024-162D09EE08D4}"/>
    <cellStyle name="40% - Accent6 3 5 2" xfId="23497" xr:uid="{6C991273-18D0-4D4E-A21E-8A1ADCF32D19}"/>
    <cellStyle name="40% - Accent6 3 5 2 2" xfId="43602" xr:uid="{71ABE5F5-34BB-41F9-8BC1-1C79AB94B4B3}"/>
    <cellStyle name="40% - Accent6 3 5 3" xfId="43601" xr:uid="{8C2F9951-F19F-44CD-B1C6-311FA7875FE0}"/>
    <cellStyle name="40% - Accent6 3 6" xfId="15792" xr:uid="{49FBA1D6-FF14-4133-AA50-AE3B0BE1CFFD}"/>
    <cellStyle name="40% - Accent6 3 6 2" xfId="43603" xr:uid="{8BA167CA-599A-486A-A2CB-DDE5A33BB59B}"/>
    <cellStyle name="40% - Accent6 3 7" xfId="43572" xr:uid="{D70C59ED-9EB4-43E5-9E1E-7BFEF899FA13}"/>
    <cellStyle name="40% - Accent6 30" xfId="3813" xr:uid="{0C750450-11C8-4C7F-B99A-58565BD28227}"/>
    <cellStyle name="40% - Accent6 30 2" xfId="7544" xr:uid="{461559BF-6E96-472B-9270-6D188CFA5816}"/>
    <cellStyle name="40% - Accent6 30 2 2" xfId="15252" xr:uid="{C3F2BA1D-D00F-44D5-8A0A-EE8B4871B07D}"/>
    <cellStyle name="40% - Accent6 30 2 2 2" xfId="30664" xr:uid="{609CB30B-78D9-40CC-B678-2231DDD7FEBD}"/>
    <cellStyle name="40% - Accent6 30 2 2 2 2" xfId="43607" xr:uid="{65753BEC-EC32-415A-9360-B91B9BDD775F}"/>
    <cellStyle name="40% - Accent6 30 2 2 3" xfId="43606" xr:uid="{63A9A539-3A0C-4EAA-B008-71995FC151B3}"/>
    <cellStyle name="40% - Accent6 30 2 3" xfId="22959" xr:uid="{A220B860-194D-4CBF-B713-4421547AEF33}"/>
    <cellStyle name="40% - Accent6 30 2 3 2" xfId="43608" xr:uid="{DCADEA1F-0698-4668-90DC-43BBB0F6690E}"/>
    <cellStyle name="40% - Accent6 30 2 4" xfId="43605" xr:uid="{7769A6C7-8ACC-46BC-8ABF-2FF75D7F7BF6}"/>
    <cellStyle name="40% - Accent6 30 3" xfId="11523" xr:uid="{283BBCE6-5D32-40FB-B5F7-354ECC67DC4D}"/>
    <cellStyle name="40% - Accent6 30 3 2" xfId="26936" xr:uid="{857DDB89-BE1F-4D3F-9EB6-ED4AEBBEC94E}"/>
    <cellStyle name="40% - Accent6 30 3 2 2" xfId="43610" xr:uid="{68F8D61C-1C49-4A9D-96A1-C6BEE48DD3A2}"/>
    <cellStyle name="40% - Accent6 30 3 3" xfId="43609" xr:uid="{F0476FDA-F822-4823-81D7-A049F811B364}"/>
    <cellStyle name="40% - Accent6 30 4" xfId="19231" xr:uid="{978E4CAD-68F1-47A5-980C-0792FAE37C10}"/>
    <cellStyle name="40% - Accent6 30 4 2" xfId="43611" xr:uid="{33E79635-D3E0-4108-9A9B-9A848639EC17}"/>
    <cellStyle name="40% - Accent6 30 5" xfId="43604" xr:uid="{A7CC6101-237A-4B6B-8700-E9C749593787}"/>
    <cellStyle name="40% - Accent6 31" xfId="3833" xr:uid="{7C9E4D2B-FDC0-4B94-8EFA-75E55D402CFB}"/>
    <cellStyle name="40% - Accent6 31 2" xfId="7564" xr:uid="{2D4225D8-47E0-455E-B711-18DEC648AFE8}"/>
    <cellStyle name="40% - Accent6 31 2 2" xfId="15272" xr:uid="{C6A27DBC-CCB0-4C08-8D89-6FE8C23BB2FB}"/>
    <cellStyle name="40% - Accent6 31 2 2 2" xfId="30684" xr:uid="{C15963D6-FC6D-4CA6-ADF5-1DA7A6CB1481}"/>
    <cellStyle name="40% - Accent6 31 2 2 2 2" xfId="43615" xr:uid="{3FE4C786-F78A-4D3D-923F-2589FA943C06}"/>
    <cellStyle name="40% - Accent6 31 2 2 3" xfId="43614" xr:uid="{4F7C8B72-0C57-4E25-9EFE-77D094E14C58}"/>
    <cellStyle name="40% - Accent6 31 2 3" xfId="22979" xr:uid="{CD240243-93DE-4F3D-82F6-AFF7AB0A8E68}"/>
    <cellStyle name="40% - Accent6 31 2 3 2" xfId="43616" xr:uid="{310EFC3F-29BD-4602-9A81-0FD96BCDD2DD}"/>
    <cellStyle name="40% - Accent6 31 2 4" xfId="43613" xr:uid="{18E6D32B-7871-441D-82A3-97AFDF824EC8}"/>
    <cellStyle name="40% - Accent6 31 3" xfId="11543" xr:uid="{D59CA501-324B-476F-8C4C-552E02A96E56}"/>
    <cellStyle name="40% - Accent6 31 3 2" xfId="26956" xr:uid="{6F123995-A765-4572-A300-61CBF94A0CB6}"/>
    <cellStyle name="40% - Accent6 31 3 2 2" xfId="43618" xr:uid="{50D6CE7E-32C7-4277-BEA5-1590BD60059A}"/>
    <cellStyle name="40% - Accent6 31 3 3" xfId="43617" xr:uid="{A0E982BF-2E2F-4D20-8A0C-E93362C029C3}"/>
    <cellStyle name="40% - Accent6 31 4" xfId="19251" xr:uid="{DBF72152-3900-48DA-84B9-26C0F78667F1}"/>
    <cellStyle name="40% - Accent6 31 4 2" xfId="43619" xr:uid="{F1106432-DA1A-490D-B226-BB565BCBDFF4}"/>
    <cellStyle name="40% - Accent6 31 5" xfId="43612" xr:uid="{C18434B4-FD8D-4394-B8B8-1E0355E220EB}"/>
    <cellStyle name="40% - Accent6 32" xfId="3854" xr:uid="{06A4B7CA-8248-492F-A2B8-F6417C1CDD35}"/>
    <cellStyle name="40% - Accent6 32 2" xfId="7584" xr:uid="{2C9E73FE-A4AB-4F5D-A8F2-06391B6741C6}"/>
    <cellStyle name="40% - Accent6 32 2 2" xfId="15292" xr:uid="{2FFEF6AE-6AF1-45CF-8F43-5620218CC180}"/>
    <cellStyle name="40% - Accent6 32 2 2 2" xfId="30704" xr:uid="{D3BAE4E9-6F6E-4A59-BB62-9BD25F2DB197}"/>
    <cellStyle name="40% - Accent6 32 2 2 2 2" xfId="43623" xr:uid="{89912A27-FCA7-4D54-9F74-826407D0F95A}"/>
    <cellStyle name="40% - Accent6 32 2 2 3" xfId="43622" xr:uid="{E64CD77D-4A75-4921-AAE9-0D751404CA7E}"/>
    <cellStyle name="40% - Accent6 32 2 3" xfId="22999" xr:uid="{370F7617-5D68-4FE9-94CF-ED81AD016C7E}"/>
    <cellStyle name="40% - Accent6 32 2 3 2" xfId="43624" xr:uid="{8F64CE2E-463E-4766-BC6F-5697132FB0CF}"/>
    <cellStyle name="40% - Accent6 32 2 4" xfId="43621" xr:uid="{47E7E628-A718-4C8B-8837-EA6F9B9B394C}"/>
    <cellStyle name="40% - Accent6 32 3" xfId="11564" xr:uid="{FF36451F-BE6C-43AB-8100-116C16A91497}"/>
    <cellStyle name="40% - Accent6 32 3 2" xfId="26976" xr:uid="{CBBB5724-3A46-49F4-98A6-BC11902815B5}"/>
    <cellStyle name="40% - Accent6 32 3 2 2" xfId="43626" xr:uid="{EB5C99E5-D741-436D-B5F2-D9C99F6F17C7}"/>
    <cellStyle name="40% - Accent6 32 3 3" xfId="43625" xr:uid="{C7025918-FCE2-40C5-A527-C6529E0E7829}"/>
    <cellStyle name="40% - Accent6 32 4" xfId="19271" xr:uid="{3F641AFC-8839-40D4-B481-3F511F40175C}"/>
    <cellStyle name="40% - Accent6 32 4 2" xfId="43627" xr:uid="{C71685FC-1747-497C-9319-F5F79778DC90}"/>
    <cellStyle name="40% - Accent6 32 5" xfId="43620" xr:uid="{7BEE2A51-EC49-4FBA-B85A-0C68CEDF7EF7}"/>
    <cellStyle name="40% - Accent6 33" xfId="3873" xr:uid="{E1234C04-E64E-4D33-A856-EC5DA2E201B4}"/>
    <cellStyle name="40% - Accent6 33 2" xfId="11583" xr:uid="{28260ADD-4FA1-4E31-B78E-709DC70611BD}"/>
    <cellStyle name="40% - Accent6 33 2 2" xfId="26995" xr:uid="{3DE7C8ED-CE95-4712-BA4C-FFF6BF288689}"/>
    <cellStyle name="40% - Accent6 33 2 2 2" xfId="43630" xr:uid="{E9E4CBBA-1745-4A22-873B-E438C1086157}"/>
    <cellStyle name="40% - Accent6 33 2 3" xfId="43629" xr:uid="{62659C62-3676-40C9-AD63-1CDE50D79CA9}"/>
    <cellStyle name="40% - Accent6 33 3" xfId="19290" xr:uid="{00824247-8D3E-4B4F-BDA9-9D697268AAF2}"/>
    <cellStyle name="40% - Accent6 33 3 2" xfId="43631" xr:uid="{5BD182E1-C5E9-403B-833A-757868F08CA4}"/>
    <cellStyle name="40% - Accent6 33 4" xfId="43628" xr:uid="{D0319515-DE9C-4265-AD60-19B33961E9E3}"/>
    <cellStyle name="40% - Accent6 34" xfId="7604" xr:uid="{067F883E-87CB-417B-BD2B-5F2884979A78}"/>
    <cellStyle name="40% - Accent6 34 2" xfId="15312" xr:uid="{ED06313B-7750-40C0-A983-0AE5C7BBA3EE}"/>
    <cellStyle name="40% - Accent6 34 2 2" xfId="30724" xr:uid="{26105C2E-6D55-4A76-8CC5-B7CCDD897A05}"/>
    <cellStyle name="40% - Accent6 34 2 2 2" xfId="43634" xr:uid="{22A9BE5E-E9CC-47A4-BDDD-B95EE8514B05}"/>
    <cellStyle name="40% - Accent6 34 2 3" xfId="43633" xr:uid="{D39F961C-929C-4761-9830-D6BB3F0934E1}"/>
    <cellStyle name="40% - Accent6 34 3" xfId="23019" xr:uid="{64AC6DA1-FACD-4F78-B5A9-3B275C76B975}"/>
    <cellStyle name="40% - Accent6 34 3 2" xfId="43635" xr:uid="{93321055-7BA8-485C-B7B5-26AD15C6F476}"/>
    <cellStyle name="40% - Accent6 34 4" xfId="43632" xr:uid="{00FB894B-6455-4B58-A928-E9B3D57F255C}"/>
    <cellStyle name="40% - Accent6 35" xfId="7624" xr:uid="{4D8E1E1A-9454-40FB-9318-6858C14E148D}"/>
    <cellStyle name="40% - Accent6 35 2" xfId="15332" xr:uid="{40110601-B2DE-4F40-9A07-3894873D40C5}"/>
    <cellStyle name="40% - Accent6 35 2 2" xfId="30744" xr:uid="{5835AFA7-90E0-411A-AA37-C4866BCC5D58}"/>
    <cellStyle name="40% - Accent6 35 2 2 2" xfId="43638" xr:uid="{B2E93CF4-E71D-440D-BC79-7AE56F31DEB6}"/>
    <cellStyle name="40% - Accent6 35 2 3" xfId="43637" xr:uid="{0C8DFAFF-C102-47DF-AF92-1FA8E61CE3ED}"/>
    <cellStyle name="40% - Accent6 35 3" xfId="23039" xr:uid="{16F8CFF8-CEED-466E-880B-8144C0B42BB2}"/>
    <cellStyle name="40% - Accent6 35 3 2" xfId="43639" xr:uid="{7BCBD2B5-3CCD-410E-A6EE-F3A9CBA9C4C2}"/>
    <cellStyle name="40% - Accent6 35 4" xfId="43636" xr:uid="{AF6AC22A-3BD0-4ACF-A6AF-F1BA7325AA44}"/>
    <cellStyle name="40% - Accent6 36" xfId="7644" xr:uid="{0F0A17DA-A711-4448-8F0F-2DD9F7FE2EB2}"/>
    <cellStyle name="40% - Accent6 36 2" xfId="15352" xr:uid="{CDAA363E-B56B-4865-BC38-3D1F38B34618}"/>
    <cellStyle name="40% - Accent6 36 2 2" xfId="30764" xr:uid="{F21B53A8-4708-4C98-B534-DDC9919DA2F3}"/>
    <cellStyle name="40% - Accent6 36 2 2 2" xfId="43642" xr:uid="{7815737D-3788-448C-80C3-2B05A9564E9E}"/>
    <cellStyle name="40% - Accent6 36 2 3" xfId="43641" xr:uid="{391EF7C7-4A1A-44AE-BA94-9B6944F86B23}"/>
    <cellStyle name="40% - Accent6 36 3" xfId="23059" xr:uid="{7DC8B269-8DF3-487D-BCB7-ECC437ADBCD1}"/>
    <cellStyle name="40% - Accent6 36 3 2" xfId="43643" xr:uid="{A68FFE22-62B7-4F16-A01C-5916808582DE}"/>
    <cellStyle name="40% - Accent6 36 4" xfId="43640" xr:uid="{AA872A75-F295-4B3F-A113-10EE89577A3A}"/>
    <cellStyle name="40% - Accent6 37" xfId="7664" xr:uid="{C3529623-A9BB-472F-ADBC-305D0F4C6347}"/>
    <cellStyle name="40% - Accent6 37 2" xfId="15372" xr:uid="{16AA6CCC-14E8-4F44-9870-D7AF977EB78F}"/>
    <cellStyle name="40% - Accent6 37 2 2" xfId="30784" xr:uid="{55532DD1-EB0C-46F2-9029-EE893E124E00}"/>
    <cellStyle name="40% - Accent6 37 2 2 2" xfId="43646" xr:uid="{A06F8F16-7AC4-4143-8BA9-0C760264EAC7}"/>
    <cellStyle name="40% - Accent6 37 2 3" xfId="43645" xr:uid="{93614154-FF85-4B21-A016-E94F5269CE6D}"/>
    <cellStyle name="40% - Accent6 37 3" xfId="23079" xr:uid="{5B8C03E5-A77D-40A5-B1CC-9818A12D2661}"/>
    <cellStyle name="40% - Accent6 37 3 2" xfId="43647" xr:uid="{1C369680-F067-4515-8FB1-AA5058B36649}"/>
    <cellStyle name="40% - Accent6 37 4" xfId="43644" xr:uid="{FDAA3994-1EE9-4A5C-B226-E8EF7A5CF231}"/>
    <cellStyle name="40% - Accent6 38" xfId="7684" xr:uid="{CAE49203-576B-47E5-A872-86262D0534CF}"/>
    <cellStyle name="40% - Accent6 38 2" xfId="15392" xr:uid="{F4440965-4FB9-4439-B1DD-E8073A8A24CC}"/>
    <cellStyle name="40% - Accent6 38 2 2" xfId="30804" xr:uid="{D429F027-96B8-4324-9E4A-A0037088595A}"/>
    <cellStyle name="40% - Accent6 38 2 2 2" xfId="43650" xr:uid="{6055E7CA-B02C-4093-8C66-89E6B6CF737C}"/>
    <cellStyle name="40% - Accent6 38 2 3" xfId="43649" xr:uid="{EDEC0A29-4AEA-47B2-B59A-4E5009C88FD4}"/>
    <cellStyle name="40% - Accent6 38 3" xfId="23099" xr:uid="{E6C2D9B7-6A29-4D43-BCDF-8250920F5AA6}"/>
    <cellStyle name="40% - Accent6 38 3 2" xfId="43651" xr:uid="{110302D0-0469-418C-87C1-AEAE93EEA70C}"/>
    <cellStyle name="40% - Accent6 38 4" xfId="43648" xr:uid="{2710C6FB-6D7D-4705-B3E4-6387CECF5368}"/>
    <cellStyle name="40% - Accent6 39" xfId="7704" xr:uid="{00878CDF-4355-46A5-95D3-1F840D51B7E4}"/>
    <cellStyle name="40% - Accent6 39 2" xfId="15412" xr:uid="{A6EBDABD-1A28-4DFE-AEDB-0746F695F353}"/>
    <cellStyle name="40% - Accent6 39 2 2" xfId="30824" xr:uid="{F5BE204C-BE8F-482D-BE44-5C44DA10C0E1}"/>
    <cellStyle name="40% - Accent6 39 2 2 2" xfId="43654" xr:uid="{098B28A3-6A0F-4178-937B-CD847EC44173}"/>
    <cellStyle name="40% - Accent6 39 2 3" xfId="43653" xr:uid="{AFB80C92-32BD-4577-B9A8-FCA3F1DFE49B}"/>
    <cellStyle name="40% - Accent6 39 3" xfId="23119" xr:uid="{23E94403-3C1F-4C84-97CB-5FA9B88CF14B}"/>
    <cellStyle name="40% - Accent6 39 3 2" xfId="43655" xr:uid="{D993E8C3-D32C-409F-896E-F71B4BCE0310}"/>
    <cellStyle name="40% - Accent6 39 4" xfId="43652" xr:uid="{819E8F24-14C5-4A14-A016-7E703A3BEAD0}"/>
    <cellStyle name="40% - Accent6 4" xfId="1629" xr:uid="{5A14F500-47E2-4DD0-8A0F-9AA4E9A7142F}"/>
    <cellStyle name="40% - Accent6 4 2" xfId="5364" xr:uid="{56DB1736-EC7E-4792-BDAD-183EAA9C8FD8}"/>
    <cellStyle name="40% - Accent6 4 2 2" xfId="13072" xr:uid="{30CF7101-9F4B-4F59-B39A-996F7C0F9D8B}"/>
    <cellStyle name="40% - Accent6 4 2 2 2" xfId="28484" xr:uid="{6D790605-8736-41EE-AB53-E6F3BE9EE335}"/>
    <cellStyle name="40% - Accent6 4 2 2 2 2" xfId="43659" xr:uid="{5E2F357D-B334-4304-810B-0F68056413C1}"/>
    <cellStyle name="40% - Accent6 4 2 2 3" xfId="43658" xr:uid="{688FF44A-1C62-4E3E-9673-D83D04B5FAA2}"/>
    <cellStyle name="40% - Accent6 4 2 3" xfId="20779" xr:uid="{E80673C2-AF81-4847-9BBD-E24C9E2F6E61}"/>
    <cellStyle name="40% - Accent6 4 2 3 2" xfId="43660" xr:uid="{DFFA5388-3F0A-4049-A13B-C807DC4D2A73}"/>
    <cellStyle name="40% - Accent6 4 2 4" xfId="43657" xr:uid="{3CB98A70-D914-4190-B90F-753004399AE0}"/>
    <cellStyle name="40% - Accent6 4 3" xfId="9345" xr:uid="{C452618A-5896-4354-A1AC-48EA44073478}"/>
    <cellStyle name="40% - Accent6 4 3 2" xfId="24758" xr:uid="{7AFF90DA-AA9D-40B2-B727-AC3F3E7E5BE3}"/>
    <cellStyle name="40% - Accent6 4 3 2 2" xfId="43662" xr:uid="{7130D82A-FE7D-487F-BC5F-4F0D78CC4183}"/>
    <cellStyle name="40% - Accent6 4 3 3" xfId="43661" xr:uid="{ECD88792-84F2-443E-8075-C5EC0248178C}"/>
    <cellStyle name="40% - Accent6 4 4" xfId="17053" xr:uid="{0DFF5FCF-6DBA-4950-AA5D-42EE072E9447}"/>
    <cellStyle name="40% - Accent6 4 4 2" xfId="43663" xr:uid="{47E98C31-F0D2-418A-8893-053CB8A55D87}"/>
    <cellStyle name="40% - Accent6 4 5" xfId="43656" xr:uid="{2516CDC2-758E-4431-905C-DD3A826E7283}"/>
    <cellStyle name="40% - Accent6 40" xfId="7724" xr:uid="{DD366F26-F701-4115-9FBE-93B53B94163E}"/>
    <cellStyle name="40% - Accent6 40 2" xfId="15432" xr:uid="{0C119181-2C07-460E-9CAF-8540BE5720C6}"/>
    <cellStyle name="40% - Accent6 40 2 2" xfId="30844" xr:uid="{7602B66F-5C4D-4265-93B3-E19D89FD78A9}"/>
    <cellStyle name="40% - Accent6 40 2 2 2" xfId="43666" xr:uid="{255EF290-F65E-494A-816D-C05D01301451}"/>
    <cellStyle name="40% - Accent6 40 2 3" xfId="43665" xr:uid="{260C0800-C545-4B2E-947F-E31157998086}"/>
    <cellStyle name="40% - Accent6 40 3" xfId="23139" xr:uid="{DC89F490-4D6B-4898-ADFE-074DE6EE0B6C}"/>
    <cellStyle name="40% - Accent6 40 3 2" xfId="43667" xr:uid="{427F84CB-9606-446C-9A10-4094C4E6910F}"/>
    <cellStyle name="40% - Accent6 40 4" xfId="43664" xr:uid="{90C1576A-415D-45E6-BC90-42063E21D530}"/>
    <cellStyle name="40% - Accent6 41" xfId="7744" xr:uid="{1811864A-07B0-44C7-949B-A4C3EDA8BB19}"/>
    <cellStyle name="40% - Accent6 41 2" xfId="15452" xr:uid="{3C96A999-A220-4D69-AB31-908DAE12E524}"/>
    <cellStyle name="40% - Accent6 41 2 2" xfId="30864" xr:uid="{2AD7CF70-E088-4718-AC32-EDEBE41C4DD7}"/>
    <cellStyle name="40% - Accent6 41 2 2 2" xfId="43670" xr:uid="{591EFA72-4DB0-41EF-AE9C-D862BE09D759}"/>
    <cellStyle name="40% - Accent6 41 2 3" xfId="43669" xr:uid="{DAC6434B-ECCB-4B55-938E-059180865458}"/>
    <cellStyle name="40% - Accent6 41 3" xfId="23159" xr:uid="{06861D90-8AA5-4690-8F22-0284B1008E56}"/>
    <cellStyle name="40% - Accent6 41 3 2" xfId="43671" xr:uid="{46B10EFE-BD6F-4728-9F3A-09FA04B95029}"/>
    <cellStyle name="40% - Accent6 41 4" xfId="43668" xr:uid="{76590175-CE2A-41E1-AAA6-E7A85F4EE786}"/>
    <cellStyle name="40% - Accent6 42" xfId="7764" xr:uid="{01C3CF11-D5F2-4392-B233-A31F7D58E3B2}"/>
    <cellStyle name="40% - Accent6 42 2" xfId="15472" xr:uid="{0D0ACC88-41A4-4265-8E3E-9F8C40FA8F45}"/>
    <cellStyle name="40% - Accent6 42 2 2" xfId="30884" xr:uid="{50E9EB99-6A40-4525-98E1-AC173072D1B9}"/>
    <cellStyle name="40% - Accent6 42 2 2 2" xfId="43674" xr:uid="{B90E49B2-DA3E-4AD5-9141-1F640DED0806}"/>
    <cellStyle name="40% - Accent6 42 2 3" xfId="43673" xr:uid="{98560174-79A6-47CF-A5D3-EAC72D6296AB}"/>
    <cellStyle name="40% - Accent6 42 3" xfId="23179" xr:uid="{419EAEBE-A9DF-49BD-8D50-AE8F71C7324E}"/>
    <cellStyle name="40% - Accent6 42 3 2" xfId="43675" xr:uid="{C38D5D34-013A-4CF4-9904-2FF81E3F4DAF}"/>
    <cellStyle name="40% - Accent6 42 4" xfId="43672" xr:uid="{13176928-0E19-40E9-BA6A-5388FF2BC761}"/>
    <cellStyle name="40% - Accent6 43" xfId="7784" xr:uid="{2E619682-3D00-41C6-AD82-B78E48B27820}"/>
    <cellStyle name="40% - Accent6 43 2" xfId="15492" xr:uid="{41E27B72-8B48-4E6D-ACB6-2D90DD44B5EB}"/>
    <cellStyle name="40% - Accent6 43 2 2" xfId="30904" xr:uid="{1546A05E-9EB7-4B99-B56F-C0F4591C62EC}"/>
    <cellStyle name="40% - Accent6 43 2 2 2" xfId="43678" xr:uid="{6FC21290-C3A3-4698-BA12-81773CF559CB}"/>
    <cellStyle name="40% - Accent6 43 2 3" xfId="43677" xr:uid="{3B1AEAD3-46C8-426F-91FF-5EAEBBD460BF}"/>
    <cellStyle name="40% - Accent6 43 3" xfId="23199" xr:uid="{8A823B95-ED43-473A-9892-C8A85E2F1B8A}"/>
    <cellStyle name="40% - Accent6 43 3 2" xfId="43679" xr:uid="{20A58021-7E09-4553-88F8-95BB4961306A}"/>
    <cellStyle name="40% - Accent6 43 4" xfId="43676" xr:uid="{5E2D9A9D-3DBD-478F-B369-59B444EBE380}"/>
    <cellStyle name="40% - Accent6 44" xfId="7804" xr:uid="{D4E82881-61C1-4976-A4B3-077B7B82780B}"/>
    <cellStyle name="40% - Accent6 44 2" xfId="15512" xr:uid="{CA976BB9-C9C0-4DD1-85CC-47E5CF963235}"/>
    <cellStyle name="40% - Accent6 44 2 2" xfId="30924" xr:uid="{9B4F5F96-1012-4B93-BB14-ED388AD447A5}"/>
    <cellStyle name="40% - Accent6 44 2 2 2" xfId="43682" xr:uid="{D0D0569F-6B0B-4EA2-ACE2-9B4F5BE673DA}"/>
    <cellStyle name="40% - Accent6 44 2 3" xfId="43681" xr:uid="{7B3B0DE2-3E03-42D2-BE0A-DCD0F501C8D0}"/>
    <cellStyle name="40% - Accent6 44 3" xfId="23219" xr:uid="{D0143DE1-AB5D-4CA7-B075-0400723B46F2}"/>
    <cellStyle name="40% - Accent6 44 3 2" xfId="43683" xr:uid="{5E7D0912-90EE-4D68-BC56-48866F343AE5}"/>
    <cellStyle name="40% - Accent6 44 4" xfId="43680" xr:uid="{03BCFB69-D075-401C-AFB4-A411F553DB3F}"/>
    <cellStyle name="40% - Accent6 45" xfId="7826" xr:uid="{DEBBEB89-1D5B-4A4B-91E7-9E16DE95B12A}"/>
    <cellStyle name="40% - Accent6 45 2" xfId="15534" xr:uid="{541644FF-DDB3-4D96-97AC-392E20FBC7C2}"/>
    <cellStyle name="40% - Accent6 45 2 2" xfId="30946" xr:uid="{36E266C9-F59A-4C9E-912F-237B6502B286}"/>
    <cellStyle name="40% - Accent6 45 2 2 2" xfId="43686" xr:uid="{4126E386-27D8-4B4E-B0F5-558F03F84F59}"/>
    <cellStyle name="40% - Accent6 45 2 3" xfId="43685" xr:uid="{9354BBD1-3B73-4495-B36B-1BC248EC7898}"/>
    <cellStyle name="40% - Accent6 45 3" xfId="23241" xr:uid="{43A2927C-CB9B-48EF-9938-31BE6EE2ABAF}"/>
    <cellStyle name="40% - Accent6 45 3 2" xfId="43687" xr:uid="{8E05FE7A-EA68-420B-960F-A09608779A09}"/>
    <cellStyle name="40% - Accent6 45 4" xfId="43684" xr:uid="{184EAAA0-038E-4019-8593-AB57001EA463}"/>
    <cellStyle name="40% - Accent6 46" xfId="7847" xr:uid="{05455847-BF74-4A29-8E76-7CA3EFF77E7C}"/>
    <cellStyle name="40% - Accent6 46 2" xfId="15555" xr:uid="{AE63105D-7590-4620-A838-5F2BC02CE957}"/>
    <cellStyle name="40% - Accent6 46 2 2" xfId="30966" xr:uid="{6FE599F0-9CD3-49ED-BDDE-71BAF26664A3}"/>
    <cellStyle name="40% - Accent6 46 2 2 2" xfId="43690" xr:uid="{860D6F23-B6DE-4A4C-B7D0-1F8EAA884B43}"/>
    <cellStyle name="40% - Accent6 46 2 3" xfId="43689" xr:uid="{E8B0CF44-2E10-48ED-9BA5-24938B22214F}"/>
    <cellStyle name="40% - Accent6 46 3" xfId="23261" xr:uid="{B25E8667-8960-4412-B227-6CFE1A722A11}"/>
    <cellStyle name="40% - Accent6 46 3 2" xfId="43691" xr:uid="{3D57D052-A032-48FC-A612-35E5D69155CA}"/>
    <cellStyle name="40% - Accent6 46 4" xfId="43688" xr:uid="{90AB4109-88D9-4D5E-B6D4-0E265929ACF8}"/>
    <cellStyle name="40% - Accent6 47" xfId="7867" xr:uid="{D3CF5860-81BD-49C7-A60D-41484EB2AB64}"/>
    <cellStyle name="40% - Accent6 47 2" xfId="15575" xr:uid="{E97F6800-50DD-48CB-A83A-F979A2C52EC0}"/>
    <cellStyle name="40% - Accent6 47 2 2" xfId="30986" xr:uid="{E153D55E-5995-4961-9607-1613244A114A}"/>
    <cellStyle name="40% - Accent6 47 2 2 2" xfId="43694" xr:uid="{02B61785-3BB9-450E-99A5-602546455968}"/>
    <cellStyle name="40% - Accent6 47 2 3" xfId="43693" xr:uid="{DD0F6A1A-9A70-48AA-99B5-9310AB9DE0C2}"/>
    <cellStyle name="40% - Accent6 47 3" xfId="23281" xr:uid="{C591DA8B-E9CD-4F71-AC36-ED9F485A38B0}"/>
    <cellStyle name="40% - Accent6 47 3 2" xfId="43695" xr:uid="{904817C5-F99E-4255-B027-D5020613CE2B}"/>
    <cellStyle name="40% - Accent6 47 4" xfId="43692" xr:uid="{5FC3C91C-2413-4DAA-8E01-8D569AABCBF5}"/>
    <cellStyle name="40% - Accent6 48" xfId="7920" xr:uid="{0167CB08-9A9F-4974-BC8C-376364EAAB37}"/>
    <cellStyle name="40% - Accent6 48 2" xfId="23333" xr:uid="{2E751850-2815-4BF1-8413-6304A2659BA2}"/>
    <cellStyle name="40% - Accent6 48 2 2" xfId="43697" xr:uid="{90D76259-BF73-4256-8579-85E8EEAFEAAC}"/>
    <cellStyle name="40% - Accent6 48 3" xfId="43696" xr:uid="{6338967A-22E4-4470-98A4-7798D47E64A9}"/>
    <cellStyle name="40% - Accent6 49" xfId="15628" xr:uid="{691EC8D2-5651-4E2F-8732-E56483B9BB5F}"/>
    <cellStyle name="40% - Accent6 49 2" xfId="43698" xr:uid="{8516D0B4-0EB0-4A7B-98EE-C591A646DE71}"/>
    <cellStyle name="40% - Accent6 5" xfId="3312" xr:uid="{02110A5A-B6D8-4B03-9BF8-C508EE8A490D}"/>
    <cellStyle name="40% - Accent6 5 2" xfId="7044" xr:uid="{31662503-3CD7-48E7-BE32-ED488E080155}"/>
    <cellStyle name="40% - Accent6 5 2 2" xfId="14752" xr:uid="{7CE478F3-1205-4871-B754-24AAE4DA2F2D}"/>
    <cellStyle name="40% - Accent6 5 2 2 2" xfId="30164" xr:uid="{E3D10BC5-243E-494E-8D2C-3D9FAF872F3E}"/>
    <cellStyle name="40% - Accent6 5 2 2 2 2" xfId="43702" xr:uid="{B45A8352-90E5-42B0-A1B0-B492BFD66C37}"/>
    <cellStyle name="40% - Accent6 5 2 2 3" xfId="43701" xr:uid="{3EAA24EA-05CF-4CF0-8D79-4AE04AE049E1}"/>
    <cellStyle name="40% - Accent6 5 2 3" xfId="22459" xr:uid="{17335BD4-2063-4F1B-89C9-4505412FB972}"/>
    <cellStyle name="40% - Accent6 5 2 3 2" xfId="43703" xr:uid="{71A2C0FD-4B8D-4E14-891D-A1F2738D4153}"/>
    <cellStyle name="40% - Accent6 5 2 4" xfId="43700" xr:uid="{BCDFF476-58F5-4E14-B288-59BECFEC8B1C}"/>
    <cellStyle name="40% - Accent6 5 3" xfId="11023" xr:uid="{BCD48921-B760-4D29-82CF-F4E50F147B54}"/>
    <cellStyle name="40% - Accent6 5 3 2" xfId="26436" xr:uid="{E5C4D4F4-DA52-45F6-859F-1227D80993D7}"/>
    <cellStyle name="40% - Accent6 5 3 2 2" xfId="43705" xr:uid="{4861BA30-A334-4346-A1AC-E90DA7F0DAB1}"/>
    <cellStyle name="40% - Accent6 5 3 3" xfId="43704" xr:uid="{185E8B10-21A1-4112-A0ED-CA8CAF278398}"/>
    <cellStyle name="40% - Accent6 5 4" xfId="18731" xr:uid="{8D9CF25F-F75C-48A4-A366-9257DDA7C9B4}"/>
    <cellStyle name="40% - Accent6 5 4 2" xfId="43706" xr:uid="{0B5822A2-BA13-4BB1-90EC-509BAEC4068B}"/>
    <cellStyle name="40% - Accent6 5 5" xfId="43699" xr:uid="{CADECBBF-9522-4712-890B-B050C0C34579}"/>
    <cellStyle name="40% - Accent6 50" xfId="31006" xr:uid="{567535E0-49BD-4E79-BB9B-79C6E1BD8520}"/>
    <cellStyle name="40% - Accent6 50 2" xfId="43707" xr:uid="{704C0966-4209-45BA-9E49-08655A1BDBEF}"/>
    <cellStyle name="40% - Accent6 51" xfId="43155" xr:uid="{0EBB24F4-B321-4015-BA2A-29882160DA17}"/>
    <cellStyle name="40% - Accent6 52" xfId="61986" xr:uid="{3DFD630E-9846-4E9A-B930-FA6ACD4A0C51}"/>
    <cellStyle name="40% - Accent6 53" xfId="62006" xr:uid="{4ADC9F1E-8328-4E09-9814-D57C2E12D57C}"/>
    <cellStyle name="40% - Accent6 54" xfId="62026" xr:uid="{F2CBA114-F670-4A7A-992E-F58AF7539249}"/>
    <cellStyle name="40% - Accent6 55" xfId="62040" xr:uid="{0A503FE7-FEB3-4BAB-982F-855F7F49A398}"/>
    <cellStyle name="40% - Accent6 56" xfId="62063" xr:uid="{FC8BD7FE-E06E-4F44-B48B-F258B98EF3DF}"/>
    <cellStyle name="40% - Accent6 57" xfId="62095" xr:uid="{20A8E6A6-46B3-40B7-8286-90FC0E07257A}"/>
    <cellStyle name="40% - Accent6 6" xfId="3332" xr:uid="{0748BFD6-CC1F-4EAA-B18A-B08AF4D35445}"/>
    <cellStyle name="40% - Accent6 6 2" xfId="7064" xr:uid="{36A1C83C-54F1-4626-9770-3FAEE3F5E4E7}"/>
    <cellStyle name="40% - Accent6 6 2 2" xfId="14772" xr:uid="{D53AA18E-9332-42B6-8783-4E6DDB461305}"/>
    <cellStyle name="40% - Accent6 6 2 2 2" xfId="30184" xr:uid="{29C7E557-BD50-4F17-9016-61F44E1CAF5C}"/>
    <cellStyle name="40% - Accent6 6 2 2 2 2" xfId="43711" xr:uid="{FB7BBEAB-21D5-4148-906B-CE1DEC650495}"/>
    <cellStyle name="40% - Accent6 6 2 2 3" xfId="43710" xr:uid="{B56B52F5-FC1B-4B91-8025-12390C10EB0E}"/>
    <cellStyle name="40% - Accent6 6 2 3" xfId="22479" xr:uid="{7BF41161-F583-4E87-996E-5752A8F487DC}"/>
    <cellStyle name="40% - Accent6 6 2 3 2" xfId="43712" xr:uid="{4B2887EB-2E26-4D63-959E-0DA9CB4A098F}"/>
    <cellStyle name="40% - Accent6 6 2 4" xfId="43709" xr:uid="{2212CF24-8E59-4BC8-8BA7-B04B38534725}"/>
    <cellStyle name="40% - Accent6 6 3" xfId="11043" xr:uid="{54C69EE0-9C05-475C-A4EC-C8DB5B9983E8}"/>
    <cellStyle name="40% - Accent6 6 3 2" xfId="26456" xr:uid="{495F6CA5-9849-4BA4-9DA8-F57ED2910179}"/>
    <cellStyle name="40% - Accent6 6 3 2 2" xfId="43714" xr:uid="{103E4724-DF05-429C-BE91-07679819D20D}"/>
    <cellStyle name="40% - Accent6 6 3 3" xfId="43713" xr:uid="{F000CFE2-394C-47AF-A5C3-E41EDD247995}"/>
    <cellStyle name="40% - Accent6 6 4" xfId="18751" xr:uid="{491BC279-B2D2-455D-9430-8292E0EABCD5}"/>
    <cellStyle name="40% - Accent6 6 4 2" xfId="43715" xr:uid="{D46C112C-1BCB-4EFD-8A4F-85903480AB88}"/>
    <cellStyle name="40% - Accent6 6 5" xfId="43708" xr:uid="{BDF43264-FB80-4BE4-A5CF-5151F78A3DF4}"/>
    <cellStyle name="40% - Accent6 7" xfId="3352" xr:uid="{AE43433E-7B39-4B8B-9666-F95CF16D7169}"/>
    <cellStyle name="40% - Accent6 7 2" xfId="7084" xr:uid="{769242A4-DDBE-4E15-BB84-89E915DAC6DB}"/>
    <cellStyle name="40% - Accent6 7 2 2" xfId="14792" xr:uid="{AA2ABB56-A642-4FD1-9BE4-898F15328375}"/>
    <cellStyle name="40% - Accent6 7 2 2 2" xfId="30204" xr:uid="{90CE8FA7-7DB7-4798-851E-288DAF227FCA}"/>
    <cellStyle name="40% - Accent6 7 2 2 2 2" xfId="43719" xr:uid="{8E1FEE4A-135F-45A3-ABFD-EE1B383C4E6A}"/>
    <cellStyle name="40% - Accent6 7 2 2 3" xfId="43718" xr:uid="{416B0389-0371-45E0-A2AD-D919569B8A8A}"/>
    <cellStyle name="40% - Accent6 7 2 3" xfId="22499" xr:uid="{E3F5C080-91A7-4EE9-A34D-9E378FF0723B}"/>
    <cellStyle name="40% - Accent6 7 2 3 2" xfId="43720" xr:uid="{D6FE9C81-D63C-423C-ACF3-1394EEA611F7}"/>
    <cellStyle name="40% - Accent6 7 2 4" xfId="43717" xr:uid="{81555545-7994-45F4-9AC8-18C747CF84E3}"/>
    <cellStyle name="40% - Accent6 7 3" xfId="11063" xr:uid="{AB5596AD-3E80-4743-A067-49F25711B4DF}"/>
    <cellStyle name="40% - Accent6 7 3 2" xfId="26476" xr:uid="{C623F12D-77AD-4012-9A56-18607975F02D}"/>
    <cellStyle name="40% - Accent6 7 3 2 2" xfId="43722" xr:uid="{0A6EC41F-72C3-49F2-9B7A-D3A09C8BFD03}"/>
    <cellStyle name="40% - Accent6 7 3 3" xfId="43721" xr:uid="{25ED5119-A3B3-497D-B553-0F7EC0C379AF}"/>
    <cellStyle name="40% - Accent6 7 4" xfId="18771" xr:uid="{FD0D012B-1F2F-444E-8F3A-268A64B62942}"/>
    <cellStyle name="40% - Accent6 7 4 2" xfId="43723" xr:uid="{9EF42EEE-701D-4E95-AADE-F09509B98904}"/>
    <cellStyle name="40% - Accent6 7 5" xfId="43716" xr:uid="{B4515B3C-ECE6-49A0-92BD-A1A5B45E40F0}"/>
    <cellStyle name="40% - Accent6 8" xfId="3372" xr:uid="{13E551CF-5472-4CB5-A55D-7B5F7EB6E66E}"/>
    <cellStyle name="40% - Accent6 8 2" xfId="7104" xr:uid="{46F370D2-F582-46F0-B592-6504F2F52E3A}"/>
    <cellStyle name="40% - Accent6 8 2 2" xfId="14812" xr:uid="{9C2A9822-D91C-434F-BACA-EE644F5120B1}"/>
    <cellStyle name="40% - Accent6 8 2 2 2" xfId="30224" xr:uid="{DBFF08E8-EF19-4DF2-AAE8-5E409FE7997D}"/>
    <cellStyle name="40% - Accent6 8 2 2 2 2" xfId="43727" xr:uid="{6AD3953F-B36C-4D28-89AA-9085543253F4}"/>
    <cellStyle name="40% - Accent6 8 2 2 3" xfId="43726" xr:uid="{6E80CFF2-6348-448C-85C7-8CC0D78D260D}"/>
    <cellStyle name="40% - Accent6 8 2 3" xfId="22519" xr:uid="{E04AAE54-9270-423A-A71C-3235ED56D254}"/>
    <cellStyle name="40% - Accent6 8 2 3 2" xfId="43728" xr:uid="{00C94A61-B518-4A0F-920A-5A703CB5E58E}"/>
    <cellStyle name="40% - Accent6 8 2 4" xfId="43725" xr:uid="{4DF51E92-64CF-4665-8112-A629B838862E}"/>
    <cellStyle name="40% - Accent6 8 3" xfId="11083" xr:uid="{3A8C525D-9664-417B-9C91-2C9AA1424E73}"/>
    <cellStyle name="40% - Accent6 8 3 2" xfId="26496" xr:uid="{080B3531-0B27-417B-98BB-F402C26E5DA2}"/>
    <cellStyle name="40% - Accent6 8 3 2 2" xfId="43730" xr:uid="{08231545-1598-4BBF-955A-3AE9F58A9194}"/>
    <cellStyle name="40% - Accent6 8 3 3" xfId="43729" xr:uid="{64217A51-FEB7-4E28-A2BC-B2823B83A05F}"/>
    <cellStyle name="40% - Accent6 8 4" xfId="18791" xr:uid="{BC4DCAFD-082C-4D4A-A507-D19704D3AF25}"/>
    <cellStyle name="40% - Accent6 8 4 2" xfId="43731" xr:uid="{5B2A224C-351F-4CFB-84B5-54B4D2C7233D}"/>
    <cellStyle name="40% - Accent6 8 5" xfId="43724" xr:uid="{EC8425F5-BA20-42ED-ACC5-08AB880018D9}"/>
    <cellStyle name="40% - Accent6 9" xfId="3392" xr:uid="{01A91A91-F6C3-4789-A2CD-B459A5B41A39}"/>
    <cellStyle name="40% - Accent6 9 2" xfId="7124" xr:uid="{80F72818-C8DB-438C-B129-1BFFD26E0F85}"/>
    <cellStyle name="40% - Accent6 9 2 2" xfId="14832" xr:uid="{4498FB38-C520-477A-A4E2-3B4797E9F83B}"/>
    <cellStyle name="40% - Accent6 9 2 2 2" xfId="30244" xr:uid="{09E3CD24-76AD-4693-B08E-57932BE4C10E}"/>
    <cellStyle name="40% - Accent6 9 2 2 2 2" xfId="43735" xr:uid="{C5EC246C-68B4-4390-B617-7E318C2E1239}"/>
    <cellStyle name="40% - Accent6 9 2 2 3" xfId="43734" xr:uid="{D00D3B00-D2EB-4BBB-8BD9-AD35AA6C8B07}"/>
    <cellStyle name="40% - Accent6 9 2 3" xfId="22539" xr:uid="{5D3B0684-7480-4DB2-A12C-B959E390DAA6}"/>
    <cellStyle name="40% - Accent6 9 2 3 2" xfId="43736" xr:uid="{14A11D29-7F51-43FC-AAD8-027EDA3B53E9}"/>
    <cellStyle name="40% - Accent6 9 2 4" xfId="43733" xr:uid="{60FE6427-A4D1-4EF9-984D-1FAED89E571C}"/>
    <cellStyle name="40% - Accent6 9 3" xfId="11103" xr:uid="{E43B562A-4E45-4591-A41B-175F9A2F444A}"/>
    <cellStyle name="40% - Accent6 9 3 2" xfId="26516" xr:uid="{E837A812-C5D4-4D44-9FCE-58952EEFE193}"/>
    <cellStyle name="40% - Accent6 9 3 2 2" xfId="43738" xr:uid="{65108434-542B-4783-AC59-3EDC421A79C9}"/>
    <cellStyle name="40% - Accent6 9 3 3" xfId="43737" xr:uid="{E0470F28-DCEB-483D-A4E8-8E23AB979555}"/>
    <cellStyle name="40% - Accent6 9 4" xfId="18811" xr:uid="{D3A56624-3215-4C04-819C-5F8EEC673D9A}"/>
    <cellStyle name="40% - Accent6 9 4 2" xfId="43739" xr:uid="{1B316B01-1AA5-41D1-9D13-C4F94A4E5BE9}"/>
    <cellStyle name="40% - Accent6 9 5" xfId="43732" xr:uid="{2D517E18-A70A-463C-9FAC-7C4228C7D3A5}"/>
    <cellStyle name="40% - Énfasis1" xfId="24" builtinId="31" customBuiltin="1"/>
    <cellStyle name="40% - Énfasis1 10" xfId="585" xr:uid="{0633B4D7-C46E-4D02-9250-A6D71F611AAE}"/>
    <cellStyle name="40% - Énfasis1 10 2" xfId="1246" xr:uid="{A06EF55E-56F2-4115-AE48-F45FDBFE929D}"/>
    <cellStyle name="40% - Énfasis1 10 2 2" xfId="2714" xr:uid="{A3117691-CA02-4345-BA5C-8F3EAF627E88}"/>
    <cellStyle name="40% - Énfasis1 10 2 2 2" xfId="6446" xr:uid="{92DE7DD8-D4D1-4FFF-986C-DF73DF2FF899}"/>
    <cellStyle name="40% - Énfasis1 10 2 2 2 2" xfId="14154" xr:uid="{01EF1399-6CB5-40CE-B19B-105E0F48CCEB}"/>
    <cellStyle name="40% - Énfasis1 10 2 2 2 2 2" xfId="29566" xr:uid="{91387363-835E-4B5F-A1E0-C9ED43E7736A}"/>
    <cellStyle name="40% - Énfasis1 10 2 2 2 2 2 2" xfId="43745" xr:uid="{E78618AC-6BB4-4842-88ED-19A5E5C8F007}"/>
    <cellStyle name="40% - Énfasis1 10 2 2 2 2 3" xfId="43744" xr:uid="{D2358E36-2C93-4977-AFBF-2895031FFB5D}"/>
    <cellStyle name="40% - Énfasis1 10 2 2 2 3" xfId="21861" xr:uid="{841432F8-015A-426D-9FD2-48EA4774656E}"/>
    <cellStyle name="40% - Énfasis1 10 2 2 2 3 2" xfId="43746" xr:uid="{0F075E3B-710D-4778-A7D8-98AF2D6AE8DD}"/>
    <cellStyle name="40% - Énfasis1 10 2 2 2 4" xfId="43743" xr:uid="{B33B4AFD-C965-429B-9EF4-207C4931AA2D}"/>
    <cellStyle name="40% - Énfasis1 10 2 2 3" xfId="10425" xr:uid="{11CF859D-C072-47CF-BC07-485A33B1ABCC}"/>
    <cellStyle name="40% - Énfasis1 10 2 2 3 2" xfId="25838" xr:uid="{C612B7A6-84E8-436D-B2BB-5C8B45A97FB1}"/>
    <cellStyle name="40% - Énfasis1 10 2 2 3 2 2" xfId="43748" xr:uid="{A8070DA7-E697-41A5-9CC9-3C0D1074E7F1}"/>
    <cellStyle name="40% - Énfasis1 10 2 2 3 3" xfId="43747" xr:uid="{D8ACAF0C-F70E-456B-8AAB-404A05AD3ECC}"/>
    <cellStyle name="40% - Énfasis1 10 2 2 4" xfId="18133" xr:uid="{FA1CCFD9-EE16-49C0-ACE4-B32328BAE6B2}"/>
    <cellStyle name="40% - Énfasis1 10 2 2 4 2" xfId="43749" xr:uid="{B40B98E6-51CB-4063-B222-091FA5E9B23B}"/>
    <cellStyle name="40% - Énfasis1 10 2 2 5" xfId="43742" xr:uid="{6D281D2A-C663-4732-97A0-441DDA60496D}"/>
    <cellStyle name="40% - Énfasis1 10 2 3" xfId="4983" xr:uid="{487EDE32-8992-4916-AA25-928393278BE1}"/>
    <cellStyle name="40% - Énfasis1 10 2 3 2" xfId="12691" xr:uid="{71F74879-C8C6-4F42-AD25-CBBC54D1C0FA}"/>
    <cellStyle name="40% - Énfasis1 10 2 3 2 2" xfId="28103" xr:uid="{D0CDB328-4076-4122-99C6-15D5D59C3E52}"/>
    <cellStyle name="40% - Énfasis1 10 2 3 2 2 2" xfId="43752" xr:uid="{318EB4ED-4E7C-4A23-BC9C-4712331689A1}"/>
    <cellStyle name="40% - Énfasis1 10 2 3 2 3" xfId="43751" xr:uid="{2EA66958-E05F-4A96-89E6-A2B16854D1AC}"/>
    <cellStyle name="40% - Énfasis1 10 2 3 3" xfId="20398" xr:uid="{9A7D1C9F-7C2A-4E15-99D2-729FB0A5747C}"/>
    <cellStyle name="40% - Énfasis1 10 2 3 3 2" xfId="43753" xr:uid="{DB86E777-A621-498B-AB3E-0549BADCF1F9}"/>
    <cellStyle name="40% - Énfasis1 10 2 3 4" xfId="43750" xr:uid="{48A9F7D0-C062-4352-8D9C-7A82A9E846D1}"/>
    <cellStyle name="40% - Énfasis1 10 2 4" xfId="8966" xr:uid="{8CF468C5-3027-40BF-A2A7-A1BAE33C8D6A}"/>
    <cellStyle name="40% - Énfasis1 10 2 4 2" xfId="24379" xr:uid="{099514AA-6DE3-4E25-9684-D626C929B242}"/>
    <cellStyle name="40% - Énfasis1 10 2 4 2 2" xfId="43755" xr:uid="{FE5C63B8-B98D-4BD1-8A92-A1ECF1B5D8BB}"/>
    <cellStyle name="40% - Énfasis1 10 2 4 3" xfId="43754" xr:uid="{DC49DBF5-93DA-4041-B3B0-51FFED51642E}"/>
    <cellStyle name="40% - Énfasis1 10 2 5" xfId="16674" xr:uid="{D0E77A4D-4DD4-46D0-8280-BEA1839413F0}"/>
    <cellStyle name="40% - Énfasis1 10 2 5 2" xfId="43756" xr:uid="{4ACB193A-3DAA-4E24-8369-DDBC5773EE82}"/>
    <cellStyle name="40% - Énfasis1 10 2 6" xfId="43741" xr:uid="{57023604-DFF2-43D1-8D13-EB8F0AA90360}"/>
    <cellStyle name="40% - Énfasis1 10 3" xfId="2076" xr:uid="{E92479B4-6012-4F15-B7D9-1E2039409211}"/>
    <cellStyle name="40% - Énfasis1 10 3 2" xfId="5808" xr:uid="{70CF855B-54DC-4FF5-92BB-C9A356A4832B}"/>
    <cellStyle name="40% - Énfasis1 10 3 2 2" xfId="13516" xr:uid="{E2E05F6F-D357-4D69-A739-D76EC3B06236}"/>
    <cellStyle name="40% - Énfasis1 10 3 2 2 2" xfId="28928" xr:uid="{35B09CC5-FA65-49D4-9712-F0D28AC0343F}"/>
    <cellStyle name="40% - Énfasis1 10 3 2 2 2 2" xfId="43760" xr:uid="{26D179D9-227B-4047-BE10-864124103726}"/>
    <cellStyle name="40% - Énfasis1 10 3 2 2 3" xfId="43759" xr:uid="{4B42D198-C926-4D4D-A0F3-F06D37A4B994}"/>
    <cellStyle name="40% - Énfasis1 10 3 2 3" xfId="21223" xr:uid="{C55B4202-398D-4705-BF7B-F562FCC17BBB}"/>
    <cellStyle name="40% - Énfasis1 10 3 2 3 2" xfId="43761" xr:uid="{55BB663B-05FA-4874-8B21-B1513E507BDF}"/>
    <cellStyle name="40% - Énfasis1 10 3 2 4" xfId="43758" xr:uid="{3EA0F05B-B9F5-427F-9FDC-22DF99A96D05}"/>
    <cellStyle name="40% - Énfasis1 10 3 3" xfId="9787" xr:uid="{FA686938-AB81-4954-9EF8-AB13FC4CAAA0}"/>
    <cellStyle name="40% - Énfasis1 10 3 3 2" xfId="25200" xr:uid="{68FC60F1-8E96-4CB7-A613-47A4F7C4DAB4}"/>
    <cellStyle name="40% - Énfasis1 10 3 3 2 2" xfId="43763" xr:uid="{102E7421-2B4A-46F8-ABEF-3400994C03F5}"/>
    <cellStyle name="40% - Énfasis1 10 3 3 3" xfId="43762" xr:uid="{AEB5E03E-66F0-429F-9549-6E675B0FF662}"/>
    <cellStyle name="40% - Énfasis1 10 3 4" xfId="17495" xr:uid="{685F0004-69A6-406A-9A9C-2B59D1208531}"/>
    <cellStyle name="40% - Énfasis1 10 3 4 2" xfId="43764" xr:uid="{FC8E9659-005E-4E5D-BBF0-9A5081567D65}"/>
    <cellStyle name="40% - Énfasis1 10 3 5" xfId="43757" xr:uid="{92DBD47D-E283-4A73-8242-E880C66BE314}"/>
    <cellStyle name="40% - Énfasis1 10 4" xfId="4331" xr:uid="{A8BC6108-0E48-471A-B311-2B8A1167A1E4}"/>
    <cellStyle name="40% - Énfasis1 10 4 2" xfId="12039" xr:uid="{653146BA-C741-4084-BC94-A1E7692CC0FC}"/>
    <cellStyle name="40% - Énfasis1 10 4 2 2" xfId="27451" xr:uid="{8ACC7F08-FB3F-4565-B521-FB24149D11F8}"/>
    <cellStyle name="40% - Énfasis1 10 4 2 2 2" xfId="43767" xr:uid="{9C8113D6-C204-4DD6-83C5-D4603D1D649A}"/>
    <cellStyle name="40% - Énfasis1 10 4 2 3" xfId="43766" xr:uid="{37E8F874-E05C-4259-8C80-01B6966FBCED}"/>
    <cellStyle name="40% - Énfasis1 10 4 3" xfId="19746" xr:uid="{640CFE15-D271-4870-985F-AE0595167E22}"/>
    <cellStyle name="40% - Énfasis1 10 4 3 2" xfId="43768" xr:uid="{EFC0C894-7F5A-4D03-80D2-71ADFCC599F3}"/>
    <cellStyle name="40% - Énfasis1 10 4 4" xfId="43765" xr:uid="{2B1B2539-4259-497D-9118-46525B9E431D}"/>
    <cellStyle name="40% - Énfasis1 10 5" xfId="8328" xr:uid="{227E4EDF-F71E-48E7-A954-F7F1D0E75631}"/>
    <cellStyle name="40% - Énfasis1 10 5 2" xfId="23741" xr:uid="{A72400A1-670F-4700-8E3B-31D2B6BB4900}"/>
    <cellStyle name="40% - Énfasis1 10 5 2 2" xfId="43770" xr:uid="{A82B5170-99CC-4290-913F-CDF0EC6F1EC1}"/>
    <cellStyle name="40% - Énfasis1 10 5 3" xfId="43769" xr:uid="{D8DBB3F3-B02D-4BEC-B019-3F8FCBDFA752}"/>
    <cellStyle name="40% - Énfasis1 10 6" xfId="16036" xr:uid="{10260815-A92B-4F8C-8168-63DB646076EF}"/>
    <cellStyle name="40% - Énfasis1 10 6 2" xfId="43771" xr:uid="{95F3C701-655A-47BA-AF9C-5CC5BD5CF121}"/>
    <cellStyle name="40% - Énfasis1 10 7" xfId="43740" xr:uid="{934D3B80-DD06-41D9-A722-A74BC977F2A7}"/>
    <cellStyle name="40% - Énfasis1 11" xfId="606" xr:uid="{3BE6E166-F459-427B-A271-105CB4AA628C}"/>
    <cellStyle name="40% - Énfasis1 11 2" xfId="1267" xr:uid="{6C95832A-2372-4CF9-BDFC-EC6BB8A18452}"/>
    <cellStyle name="40% - Énfasis1 11 2 2" xfId="2734" xr:uid="{9A546137-E1D3-4BFD-9B2D-B29CD9F89AA4}"/>
    <cellStyle name="40% - Énfasis1 11 2 2 2" xfId="6466" xr:uid="{58BBC5D9-9B24-491A-9B40-FE4FC6D65C14}"/>
    <cellStyle name="40% - Énfasis1 11 2 2 2 2" xfId="14174" xr:uid="{BA77CE30-9BDD-4E87-A52B-73C3ABDD2EE8}"/>
    <cellStyle name="40% - Énfasis1 11 2 2 2 2 2" xfId="29586" xr:uid="{AEF4D85A-1C43-4281-AB50-963ED8E63C1E}"/>
    <cellStyle name="40% - Énfasis1 11 2 2 2 2 2 2" xfId="43777" xr:uid="{4AE53F7F-BBF6-42EC-92FA-27816EC0DB2F}"/>
    <cellStyle name="40% - Énfasis1 11 2 2 2 2 3" xfId="43776" xr:uid="{325F4E18-FB0E-443C-B1CD-A65AA1F3334D}"/>
    <cellStyle name="40% - Énfasis1 11 2 2 2 3" xfId="21881" xr:uid="{F90AFCA1-F278-473D-BCE2-282C365DC5F3}"/>
    <cellStyle name="40% - Énfasis1 11 2 2 2 3 2" xfId="43778" xr:uid="{BAF5BB38-C1AB-4E65-913F-E118B00DFDE8}"/>
    <cellStyle name="40% - Énfasis1 11 2 2 2 4" xfId="43775" xr:uid="{7CEE8D4F-384F-4E5C-8C0A-8EA10D2B1634}"/>
    <cellStyle name="40% - Énfasis1 11 2 2 3" xfId="10445" xr:uid="{994738B4-254F-4B97-9C5A-9BB0E3A0A3A4}"/>
    <cellStyle name="40% - Énfasis1 11 2 2 3 2" xfId="25858" xr:uid="{13C12162-3A58-4BE1-AA23-C5E579D97CD7}"/>
    <cellStyle name="40% - Énfasis1 11 2 2 3 2 2" xfId="43780" xr:uid="{4A0848AB-96E5-4ADA-A0AB-5427AFA1E78C}"/>
    <cellStyle name="40% - Énfasis1 11 2 2 3 3" xfId="43779" xr:uid="{6829EBA8-9B4A-4297-9FB7-8774F7C362A9}"/>
    <cellStyle name="40% - Énfasis1 11 2 2 4" xfId="18153" xr:uid="{E5C6E23C-D941-4EEA-A2F5-521E80F4A1C4}"/>
    <cellStyle name="40% - Énfasis1 11 2 2 4 2" xfId="43781" xr:uid="{84AA0A51-AD65-4D17-817D-3CD867586F8E}"/>
    <cellStyle name="40% - Énfasis1 11 2 2 5" xfId="43774" xr:uid="{D3FC6D85-A8DC-4520-B778-CAFF682FC16C}"/>
    <cellStyle name="40% - Énfasis1 11 2 3" xfId="5003" xr:uid="{9649AD08-874C-4528-A70C-420515D56FA9}"/>
    <cellStyle name="40% - Énfasis1 11 2 3 2" xfId="12711" xr:uid="{FEC478AA-39F2-4B07-8E69-BD2C9AB7CD40}"/>
    <cellStyle name="40% - Énfasis1 11 2 3 2 2" xfId="28123" xr:uid="{254DB4D2-B920-4656-BDBC-6B40E447F347}"/>
    <cellStyle name="40% - Énfasis1 11 2 3 2 2 2" xfId="43784" xr:uid="{23A1AEEB-D97B-4622-A5DF-A935539FDD02}"/>
    <cellStyle name="40% - Énfasis1 11 2 3 2 3" xfId="43783" xr:uid="{AEEA401F-FC65-4992-BD36-ABBE57108335}"/>
    <cellStyle name="40% - Énfasis1 11 2 3 3" xfId="20418" xr:uid="{17956776-CD22-46CC-BFAF-99945A04FFF1}"/>
    <cellStyle name="40% - Énfasis1 11 2 3 3 2" xfId="43785" xr:uid="{3783FD34-A955-49A4-920E-B1E606DE34A8}"/>
    <cellStyle name="40% - Énfasis1 11 2 3 4" xfId="43782" xr:uid="{6CB770F4-EC0B-42AE-9EEB-24E333028A96}"/>
    <cellStyle name="40% - Énfasis1 11 2 4" xfId="8986" xr:uid="{FC4A576F-545C-4AA2-8E87-B6F469E54A52}"/>
    <cellStyle name="40% - Énfasis1 11 2 4 2" xfId="24399" xr:uid="{BDD1B8D0-AE50-4919-95D4-F876B21C7031}"/>
    <cellStyle name="40% - Énfasis1 11 2 4 2 2" xfId="43787" xr:uid="{52014A27-29D3-4EB2-BD92-785E7F127EAA}"/>
    <cellStyle name="40% - Énfasis1 11 2 4 3" xfId="43786" xr:uid="{76401F81-6CE9-4652-8517-A5106C121F78}"/>
    <cellStyle name="40% - Énfasis1 11 2 5" xfId="16694" xr:uid="{B6B072F0-8987-4FED-A698-37302CF65067}"/>
    <cellStyle name="40% - Énfasis1 11 2 5 2" xfId="43788" xr:uid="{3D3210E7-E9DA-4163-8EAD-6C63BBD8B2B7}"/>
    <cellStyle name="40% - Énfasis1 11 2 6" xfId="43773" xr:uid="{5DC9446C-4CEE-43DC-AA4B-8EFE7DA2F280}"/>
    <cellStyle name="40% - Énfasis1 11 3" xfId="2096" xr:uid="{F1349991-10E8-4367-8980-94B3B7244693}"/>
    <cellStyle name="40% - Énfasis1 11 3 2" xfId="5828" xr:uid="{71FB8C4C-4F23-4686-BB39-3998EE5424A7}"/>
    <cellStyle name="40% - Énfasis1 11 3 2 2" xfId="13536" xr:uid="{1E39C49E-A65C-42B7-B841-793C251B1918}"/>
    <cellStyle name="40% - Énfasis1 11 3 2 2 2" xfId="28948" xr:uid="{451197F3-2A50-4266-9188-290E65B03024}"/>
    <cellStyle name="40% - Énfasis1 11 3 2 2 2 2" xfId="43792" xr:uid="{7ECCB803-8A2C-45BA-BB44-B9A81595993E}"/>
    <cellStyle name="40% - Énfasis1 11 3 2 2 3" xfId="43791" xr:uid="{4EDA1157-5F17-4DD9-A77B-0FDDF87322E5}"/>
    <cellStyle name="40% - Énfasis1 11 3 2 3" xfId="21243" xr:uid="{7273D483-D431-43B5-AF2A-2F38E2E35E73}"/>
    <cellStyle name="40% - Énfasis1 11 3 2 3 2" xfId="43793" xr:uid="{7D424EC9-6A04-499D-AD7E-A2D69680B4DA}"/>
    <cellStyle name="40% - Énfasis1 11 3 2 4" xfId="43790" xr:uid="{5722B8EA-7F70-4BB5-9133-9342EF532ECB}"/>
    <cellStyle name="40% - Énfasis1 11 3 3" xfId="9807" xr:uid="{BDB35677-3DC5-4083-A578-1911A05896AD}"/>
    <cellStyle name="40% - Énfasis1 11 3 3 2" xfId="25220" xr:uid="{C0090F96-5B2C-40B9-92D8-7DA3287A4744}"/>
    <cellStyle name="40% - Énfasis1 11 3 3 2 2" xfId="43795" xr:uid="{AADF0507-C525-4432-B1B9-FBE5349E31E4}"/>
    <cellStyle name="40% - Énfasis1 11 3 3 3" xfId="43794" xr:uid="{0ACFDF39-FE94-40CE-8F80-C02BABE343D9}"/>
    <cellStyle name="40% - Énfasis1 11 3 4" xfId="17515" xr:uid="{4B17B412-DF4F-4F05-8D7D-36A20113B216}"/>
    <cellStyle name="40% - Énfasis1 11 3 4 2" xfId="43796" xr:uid="{B137FE40-2B00-4758-B6E0-C5B18B90D979}"/>
    <cellStyle name="40% - Énfasis1 11 3 5" xfId="43789" xr:uid="{CFFD2A6E-3238-4613-9CCC-1E690B5C8069}"/>
    <cellStyle name="40% - Énfasis1 11 4" xfId="4351" xr:uid="{C664D850-03BA-4A36-88DE-628F055994E9}"/>
    <cellStyle name="40% - Énfasis1 11 4 2" xfId="12059" xr:uid="{D7BA9C87-755B-450C-895B-68ED6E7EC1A6}"/>
    <cellStyle name="40% - Énfasis1 11 4 2 2" xfId="27471" xr:uid="{8CE61EB7-BC40-493D-BEAA-81AB2EFCF694}"/>
    <cellStyle name="40% - Énfasis1 11 4 2 2 2" xfId="43799" xr:uid="{C2E95F7A-188D-417F-A1F1-7C2335E6EB44}"/>
    <cellStyle name="40% - Énfasis1 11 4 2 3" xfId="43798" xr:uid="{48BB8539-D746-410A-B0B8-D050522C4FB9}"/>
    <cellStyle name="40% - Énfasis1 11 4 3" xfId="19766" xr:uid="{D1B10532-F022-4054-A393-0EA580AE94B3}"/>
    <cellStyle name="40% - Énfasis1 11 4 3 2" xfId="43800" xr:uid="{D837009E-A172-4109-A694-69DB156AEF98}"/>
    <cellStyle name="40% - Énfasis1 11 4 4" xfId="43797" xr:uid="{69D8A118-729F-41E7-AA93-A9E57687D0B9}"/>
    <cellStyle name="40% - Énfasis1 11 5" xfId="8348" xr:uid="{60A744F5-4BC7-472F-BDB5-2567AE255464}"/>
    <cellStyle name="40% - Énfasis1 11 5 2" xfId="23761" xr:uid="{222F317B-E73A-4F49-8478-EA5D8B8E0484}"/>
    <cellStyle name="40% - Énfasis1 11 5 2 2" xfId="43802" xr:uid="{F3448EC0-8A94-409E-9A02-988554D98C88}"/>
    <cellStyle name="40% - Énfasis1 11 5 3" xfId="43801" xr:uid="{4921C9F3-5BF8-4360-AA94-ED21F6151988}"/>
    <cellStyle name="40% - Énfasis1 11 6" xfId="16056" xr:uid="{B97C87F8-0A32-4C86-849C-BC2A3C13CA21}"/>
    <cellStyle name="40% - Énfasis1 11 6 2" xfId="43803" xr:uid="{E7B4F3B1-DE39-4E94-B52C-AEE34EC8F880}"/>
    <cellStyle name="40% - Énfasis1 11 7" xfId="43772" xr:uid="{D74EF524-FD89-4C91-966F-CE00C8846A45}"/>
    <cellStyle name="40% - Énfasis1 12" xfId="626" xr:uid="{9BE53517-2D3D-4350-8546-723CF62DB753}"/>
    <cellStyle name="40% - Énfasis1 12 2" xfId="1287" xr:uid="{A7F56D63-DEBA-4EA1-8FD8-FA453F1210E8}"/>
    <cellStyle name="40% - Énfasis1 12 2 2" xfId="2754" xr:uid="{A02B21FE-435F-4362-9A2A-4C10C2FD5886}"/>
    <cellStyle name="40% - Énfasis1 12 2 2 2" xfId="6486" xr:uid="{DDDAAA59-693C-46F9-A092-CA22B39275ED}"/>
    <cellStyle name="40% - Énfasis1 12 2 2 2 2" xfId="14194" xr:uid="{E67811C8-C0B2-4F2F-9101-3A426DE8E346}"/>
    <cellStyle name="40% - Énfasis1 12 2 2 2 2 2" xfId="29606" xr:uid="{E2D4C92E-E0EE-44DF-80A1-DEE8A847D364}"/>
    <cellStyle name="40% - Énfasis1 12 2 2 2 2 2 2" xfId="43809" xr:uid="{6E4872CD-82EE-45A5-A0EB-0C295CCD8136}"/>
    <cellStyle name="40% - Énfasis1 12 2 2 2 2 3" xfId="43808" xr:uid="{6D110C9F-9C4D-4374-8017-5C90EE452A94}"/>
    <cellStyle name="40% - Énfasis1 12 2 2 2 3" xfId="21901" xr:uid="{FA11869D-3A4D-45AA-8E35-F3F3496BA24E}"/>
    <cellStyle name="40% - Énfasis1 12 2 2 2 3 2" xfId="43810" xr:uid="{406BF9B5-A4D9-4DBB-B7D9-2685E92DBDE7}"/>
    <cellStyle name="40% - Énfasis1 12 2 2 2 4" xfId="43807" xr:uid="{94AB8C03-92F4-48F3-92EE-74B5CE1E3980}"/>
    <cellStyle name="40% - Énfasis1 12 2 2 3" xfId="10465" xr:uid="{310C824B-DDEF-40BE-B6B8-5C654EDA014B}"/>
    <cellStyle name="40% - Énfasis1 12 2 2 3 2" xfId="25878" xr:uid="{14178F6E-FFEC-4E5C-BA37-9B0067D48533}"/>
    <cellStyle name="40% - Énfasis1 12 2 2 3 2 2" xfId="43812" xr:uid="{219F698E-027C-4371-A102-2FE2009930FB}"/>
    <cellStyle name="40% - Énfasis1 12 2 2 3 3" xfId="43811" xr:uid="{4C13F2C9-C6BC-4340-BC08-C47B1A99FB3D}"/>
    <cellStyle name="40% - Énfasis1 12 2 2 4" xfId="18173" xr:uid="{26182CD4-4979-48C5-A2C4-42F63A6477B8}"/>
    <cellStyle name="40% - Énfasis1 12 2 2 4 2" xfId="43813" xr:uid="{5979EB38-AAE5-479B-BA51-1435F5A51D4F}"/>
    <cellStyle name="40% - Énfasis1 12 2 2 5" xfId="43806" xr:uid="{42138AB9-054D-48B6-A709-A30373415728}"/>
    <cellStyle name="40% - Énfasis1 12 2 3" xfId="5023" xr:uid="{73D275BA-ABD5-45D8-B58B-EBFA6CDA8505}"/>
    <cellStyle name="40% - Énfasis1 12 2 3 2" xfId="12731" xr:uid="{F2988B89-1424-416D-B1AA-CC794D82E3DA}"/>
    <cellStyle name="40% - Énfasis1 12 2 3 2 2" xfId="28143" xr:uid="{7B0A71C3-30E1-4067-831A-A7CFEC9076CF}"/>
    <cellStyle name="40% - Énfasis1 12 2 3 2 2 2" xfId="43816" xr:uid="{11DA8F3A-05E7-47DE-BC6E-EAE085D73F7C}"/>
    <cellStyle name="40% - Énfasis1 12 2 3 2 3" xfId="43815" xr:uid="{E6604262-EB00-4B53-BC46-C0D1A9792B75}"/>
    <cellStyle name="40% - Énfasis1 12 2 3 3" xfId="20438" xr:uid="{A9EAAFC5-D61D-4B0D-8D8F-14D9B08DA915}"/>
    <cellStyle name="40% - Énfasis1 12 2 3 3 2" xfId="43817" xr:uid="{D23F7B87-20E9-41CE-BE1F-DF65D1339BA6}"/>
    <cellStyle name="40% - Énfasis1 12 2 3 4" xfId="43814" xr:uid="{41BB5F15-0366-428C-9BA7-209560059E99}"/>
    <cellStyle name="40% - Énfasis1 12 2 4" xfId="9006" xr:uid="{81E3EA86-C5E8-47A0-B5E6-096B15EE3946}"/>
    <cellStyle name="40% - Énfasis1 12 2 4 2" xfId="24419" xr:uid="{4EF74CBC-169A-4734-B9FE-6F52931CFF11}"/>
    <cellStyle name="40% - Énfasis1 12 2 4 2 2" xfId="43819" xr:uid="{E42D5582-4C36-4DA4-A995-D322232AB3BD}"/>
    <cellStyle name="40% - Énfasis1 12 2 4 3" xfId="43818" xr:uid="{A7AEFED5-65BE-4221-91D9-4BB00F1768AD}"/>
    <cellStyle name="40% - Énfasis1 12 2 5" xfId="16714" xr:uid="{FE4B31B4-F94C-432F-B38F-73239431FBA5}"/>
    <cellStyle name="40% - Énfasis1 12 2 5 2" xfId="43820" xr:uid="{1AD24474-3879-4C36-B78A-8DB334C73670}"/>
    <cellStyle name="40% - Énfasis1 12 2 6" xfId="43805" xr:uid="{A5B3F255-9F26-4743-8DF8-21B685C9ED52}"/>
    <cellStyle name="40% - Énfasis1 12 3" xfId="2116" xr:uid="{7043545D-5776-421C-B545-9AD49EB1E629}"/>
    <cellStyle name="40% - Énfasis1 12 3 2" xfId="5848" xr:uid="{ABB6DEDF-822A-4439-9994-11CF226CA125}"/>
    <cellStyle name="40% - Énfasis1 12 3 2 2" xfId="13556" xr:uid="{1AC0DE4D-8BA9-4222-ABA7-67878D5FFF80}"/>
    <cellStyle name="40% - Énfasis1 12 3 2 2 2" xfId="28968" xr:uid="{F9430D0B-FB4B-40A2-A510-242159D0EFAA}"/>
    <cellStyle name="40% - Énfasis1 12 3 2 2 2 2" xfId="43824" xr:uid="{2B215A17-7D43-4872-9688-95E01299379B}"/>
    <cellStyle name="40% - Énfasis1 12 3 2 2 3" xfId="43823" xr:uid="{E591C497-7578-4BB2-85B7-8DA36878112A}"/>
    <cellStyle name="40% - Énfasis1 12 3 2 3" xfId="21263" xr:uid="{970341F9-4A87-4E5B-8CBF-5EA2B2204BED}"/>
    <cellStyle name="40% - Énfasis1 12 3 2 3 2" xfId="43825" xr:uid="{FA2A8F36-1AAF-4380-B7BD-FA760ABEBECE}"/>
    <cellStyle name="40% - Énfasis1 12 3 2 4" xfId="43822" xr:uid="{DF157FFF-3FA7-491C-98F4-7329AD602E5A}"/>
    <cellStyle name="40% - Énfasis1 12 3 3" xfId="9827" xr:uid="{358D2086-FD45-4633-90B5-22C8F4897F9F}"/>
    <cellStyle name="40% - Énfasis1 12 3 3 2" xfId="25240" xr:uid="{2DB9A2AA-D697-4D01-A4C5-C7C154281522}"/>
    <cellStyle name="40% - Énfasis1 12 3 3 2 2" xfId="43827" xr:uid="{4B8C432F-49B0-412F-9492-32805E67D6AA}"/>
    <cellStyle name="40% - Énfasis1 12 3 3 3" xfId="43826" xr:uid="{117DDAD4-8FDB-482A-8C3C-81428B4B39B8}"/>
    <cellStyle name="40% - Énfasis1 12 3 4" xfId="17535" xr:uid="{19B9DEF2-1C3C-48D5-AB80-FDD5464303BE}"/>
    <cellStyle name="40% - Énfasis1 12 3 4 2" xfId="43828" xr:uid="{5D6BA536-2867-4F78-8E1E-E933193C12FA}"/>
    <cellStyle name="40% - Énfasis1 12 3 5" xfId="43821" xr:uid="{63B4C0AA-7CAC-4D7F-BB2C-CA4216A089E5}"/>
    <cellStyle name="40% - Énfasis1 12 4" xfId="4371" xr:uid="{17C3774D-4E38-4BD1-8ADE-ADF2029AC49A}"/>
    <cellStyle name="40% - Énfasis1 12 4 2" xfId="12079" xr:uid="{3E190F5D-EC4D-4947-888C-410F36C5FA9D}"/>
    <cellStyle name="40% - Énfasis1 12 4 2 2" xfId="27491" xr:uid="{9BBDB1DA-A399-4ED4-B9AF-C2509501FB7E}"/>
    <cellStyle name="40% - Énfasis1 12 4 2 2 2" xfId="43831" xr:uid="{912FB31B-EAE9-4032-9421-0B012EC480ED}"/>
    <cellStyle name="40% - Énfasis1 12 4 2 3" xfId="43830" xr:uid="{DDFE397E-2043-4DAA-94D3-A344F1E710BA}"/>
    <cellStyle name="40% - Énfasis1 12 4 3" xfId="19786" xr:uid="{F29E9D61-0DD0-49D3-AB04-929A6E159FFC}"/>
    <cellStyle name="40% - Énfasis1 12 4 3 2" xfId="43832" xr:uid="{BDDBA08B-E3D1-467A-BB91-EB6A8E2507EE}"/>
    <cellStyle name="40% - Énfasis1 12 4 4" xfId="43829" xr:uid="{3B17A434-449B-42CB-A5C9-2BB7DB4041EE}"/>
    <cellStyle name="40% - Énfasis1 12 5" xfId="8368" xr:uid="{CB14B19D-E1FA-4FF0-B55A-F875D5705E88}"/>
    <cellStyle name="40% - Énfasis1 12 5 2" xfId="23781" xr:uid="{E931EAC3-1CE8-4612-BB78-6F6EEB34F254}"/>
    <cellStyle name="40% - Énfasis1 12 5 2 2" xfId="43834" xr:uid="{6CCEEAFA-014F-4BFB-8F77-D5415FDE4FAB}"/>
    <cellStyle name="40% - Énfasis1 12 5 3" xfId="43833" xr:uid="{55EE0927-BCB6-4858-8D2C-9C2602EB847C}"/>
    <cellStyle name="40% - Énfasis1 12 6" xfId="16076" xr:uid="{9E8F3272-A737-4B7F-99D7-7ABF3C7DA04C}"/>
    <cellStyle name="40% - Énfasis1 12 6 2" xfId="43835" xr:uid="{53C4EBB1-CD1B-484A-ACAE-C18EF3E08A37}"/>
    <cellStyle name="40% - Énfasis1 12 7" xfId="43804" xr:uid="{8DF3AC0F-4EB1-4CD6-8BD8-D90C5DAFC924}"/>
    <cellStyle name="40% - Énfasis1 13" xfId="647" xr:uid="{5BF83DD5-793A-4CDC-9DA3-60F8B4638622}"/>
    <cellStyle name="40% - Énfasis1 13 2" xfId="1308" xr:uid="{3800BB1D-04A3-43EB-B6F2-5B12A0C0DDC6}"/>
    <cellStyle name="40% - Énfasis1 13 2 2" xfId="2775" xr:uid="{3713331C-026B-48BF-B326-8030D4EAEB9E}"/>
    <cellStyle name="40% - Énfasis1 13 2 2 2" xfId="6507" xr:uid="{8AABDD6C-8844-4B52-BE58-A221F3037183}"/>
    <cellStyle name="40% - Énfasis1 13 2 2 2 2" xfId="14215" xr:uid="{02810A9A-8E5B-49F5-9720-0889A9A702D4}"/>
    <cellStyle name="40% - Énfasis1 13 2 2 2 2 2" xfId="29627" xr:uid="{D33D1886-85CA-46D5-9BB2-0037B8AABB30}"/>
    <cellStyle name="40% - Énfasis1 13 2 2 2 2 2 2" xfId="43841" xr:uid="{B56324A4-9489-431D-B563-C1FD5E685BC2}"/>
    <cellStyle name="40% - Énfasis1 13 2 2 2 2 3" xfId="43840" xr:uid="{5250B105-1AC0-443C-907F-298A7E961FC2}"/>
    <cellStyle name="40% - Énfasis1 13 2 2 2 3" xfId="21922" xr:uid="{8EEF12E3-710D-4F26-B671-99DBA5A7744E}"/>
    <cellStyle name="40% - Énfasis1 13 2 2 2 3 2" xfId="43842" xr:uid="{E4A28971-2E34-4561-9D68-5C58368EA378}"/>
    <cellStyle name="40% - Énfasis1 13 2 2 2 4" xfId="43839" xr:uid="{452C2A98-62FD-46BF-8BCF-C9CA10262E6B}"/>
    <cellStyle name="40% - Énfasis1 13 2 2 3" xfId="10486" xr:uid="{9C56030B-3469-43F1-AD1D-BFDA25D8F678}"/>
    <cellStyle name="40% - Énfasis1 13 2 2 3 2" xfId="25899" xr:uid="{02F83D9C-36F1-4835-92DA-4AD20A0DA4F5}"/>
    <cellStyle name="40% - Énfasis1 13 2 2 3 2 2" xfId="43844" xr:uid="{EB9601D1-5440-4A69-BC0F-57B4C8BF7644}"/>
    <cellStyle name="40% - Énfasis1 13 2 2 3 3" xfId="43843" xr:uid="{AD66C352-6EA1-4A42-82C0-438963946F68}"/>
    <cellStyle name="40% - Énfasis1 13 2 2 4" xfId="18194" xr:uid="{5B84A99C-A446-4E34-A747-A2E62E01F62A}"/>
    <cellStyle name="40% - Énfasis1 13 2 2 4 2" xfId="43845" xr:uid="{428D8DA2-1BE4-43AF-906E-71D6A1A633BC}"/>
    <cellStyle name="40% - Énfasis1 13 2 2 5" xfId="43838" xr:uid="{6D1870FA-FE6B-45C5-A4D0-5146F5DCDE20}"/>
    <cellStyle name="40% - Énfasis1 13 2 3" xfId="5044" xr:uid="{8499BA29-6B12-43F6-AD17-BFCAE5755C98}"/>
    <cellStyle name="40% - Énfasis1 13 2 3 2" xfId="12752" xr:uid="{17C67D25-F19B-418F-9AC3-007F55F2B9A2}"/>
    <cellStyle name="40% - Énfasis1 13 2 3 2 2" xfId="28164" xr:uid="{9425A6EB-2BA5-46B9-A624-A8007A0D55FD}"/>
    <cellStyle name="40% - Énfasis1 13 2 3 2 2 2" xfId="43848" xr:uid="{C1E374AD-DC07-4A0B-A25C-C07FD1706B6D}"/>
    <cellStyle name="40% - Énfasis1 13 2 3 2 3" xfId="43847" xr:uid="{27573BC0-50A8-4E9E-96F2-E6B996807F49}"/>
    <cellStyle name="40% - Énfasis1 13 2 3 3" xfId="20459" xr:uid="{F27BD4AD-DDFB-4AF4-88C3-34157E9A8B26}"/>
    <cellStyle name="40% - Énfasis1 13 2 3 3 2" xfId="43849" xr:uid="{579F3E85-2DF2-4CAA-AFDE-0CFE3C938CA4}"/>
    <cellStyle name="40% - Énfasis1 13 2 3 4" xfId="43846" xr:uid="{0950ADA7-215B-42E3-8B43-F1EAB9B5DD67}"/>
    <cellStyle name="40% - Énfasis1 13 2 4" xfId="9027" xr:uid="{05964942-9996-48DD-A02E-239B725E60E2}"/>
    <cellStyle name="40% - Énfasis1 13 2 4 2" xfId="24440" xr:uid="{AF3663E3-5576-4BF0-A1CC-6E1D10C05BBE}"/>
    <cellStyle name="40% - Énfasis1 13 2 4 2 2" xfId="43851" xr:uid="{57E1BAB2-7752-41D2-B43F-DF559809D1BD}"/>
    <cellStyle name="40% - Énfasis1 13 2 4 3" xfId="43850" xr:uid="{4F76E222-4F26-4C83-8214-58C5A9CCFA08}"/>
    <cellStyle name="40% - Énfasis1 13 2 5" xfId="16735" xr:uid="{41E5135F-725B-4E4A-A330-6055D2F31DD1}"/>
    <cellStyle name="40% - Énfasis1 13 2 5 2" xfId="43852" xr:uid="{A6C8C60D-A20E-4C9A-B970-16EC1CCC0ADB}"/>
    <cellStyle name="40% - Énfasis1 13 2 6" xfId="43837" xr:uid="{222E5005-74FC-4CD1-B5E7-F823FD09FD0B}"/>
    <cellStyle name="40% - Énfasis1 13 3" xfId="2137" xr:uid="{AFB196A0-1742-498B-B4C3-8AD88D83C4A3}"/>
    <cellStyle name="40% - Énfasis1 13 3 2" xfId="5869" xr:uid="{EEBB194F-73B8-460D-B2EF-F5A1C176E6C1}"/>
    <cellStyle name="40% - Énfasis1 13 3 2 2" xfId="13577" xr:uid="{A389A54A-891E-4E48-9F9D-6D99865F3B57}"/>
    <cellStyle name="40% - Énfasis1 13 3 2 2 2" xfId="28989" xr:uid="{5D594FB0-A8E5-4206-9553-184D67DCE108}"/>
    <cellStyle name="40% - Énfasis1 13 3 2 2 2 2" xfId="43856" xr:uid="{8E639E8E-8675-4952-82F0-4961DCBC62CF}"/>
    <cellStyle name="40% - Énfasis1 13 3 2 2 3" xfId="43855" xr:uid="{94A2EAC4-A3F7-4D8D-ABC6-89F8F33D11E4}"/>
    <cellStyle name="40% - Énfasis1 13 3 2 3" xfId="21284" xr:uid="{21EC3597-C938-4DC2-85B4-8FDEEF16BBCF}"/>
    <cellStyle name="40% - Énfasis1 13 3 2 3 2" xfId="43857" xr:uid="{DD921795-DF8C-4402-A232-B9006D180B98}"/>
    <cellStyle name="40% - Énfasis1 13 3 2 4" xfId="43854" xr:uid="{57F601D3-45D8-460B-9565-EE2CEA7D095F}"/>
    <cellStyle name="40% - Énfasis1 13 3 3" xfId="9848" xr:uid="{11424628-43F6-4D55-B8D9-3FAD57C5FD8D}"/>
    <cellStyle name="40% - Énfasis1 13 3 3 2" xfId="25261" xr:uid="{012CCA19-0EAA-479A-8A18-EA64F7669F43}"/>
    <cellStyle name="40% - Énfasis1 13 3 3 2 2" xfId="43859" xr:uid="{DCA1FC7B-B0C7-437C-A595-542B6F726B6D}"/>
    <cellStyle name="40% - Énfasis1 13 3 3 3" xfId="43858" xr:uid="{BE05888C-4C29-43EF-8462-DABD85BCB232}"/>
    <cellStyle name="40% - Énfasis1 13 3 4" xfId="17556" xr:uid="{6456FD21-6B27-4D02-BEEE-EEAB3146C90E}"/>
    <cellStyle name="40% - Énfasis1 13 3 4 2" xfId="43860" xr:uid="{A4CCB370-B051-43AB-A385-A6761A923043}"/>
    <cellStyle name="40% - Énfasis1 13 3 5" xfId="43853" xr:uid="{2851FE05-8C26-4AE0-B705-766967499B6C}"/>
    <cellStyle name="40% - Énfasis1 13 4" xfId="4392" xr:uid="{6EC97057-71C6-45D7-80C8-20FA3211257D}"/>
    <cellStyle name="40% - Énfasis1 13 4 2" xfId="12100" xr:uid="{F7D36900-B2A4-4B03-AAC0-BF85D153807B}"/>
    <cellStyle name="40% - Énfasis1 13 4 2 2" xfId="27512" xr:uid="{C9EEBCE3-991D-4977-B9D7-F7DA4618D355}"/>
    <cellStyle name="40% - Énfasis1 13 4 2 2 2" xfId="43863" xr:uid="{5BF3A9AF-80FB-49F8-9FA6-233586EE6F0C}"/>
    <cellStyle name="40% - Énfasis1 13 4 2 3" xfId="43862" xr:uid="{EE7A1A84-CF99-42EB-81C5-ECA65094813B}"/>
    <cellStyle name="40% - Énfasis1 13 4 3" xfId="19807" xr:uid="{F40A2CDE-8F38-45D5-9AE0-ED52161E124E}"/>
    <cellStyle name="40% - Énfasis1 13 4 3 2" xfId="43864" xr:uid="{9D5E3726-17D0-46B2-B1F8-027F4F36CCF9}"/>
    <cellStyle name="40% - Énfasis1 13 4 4" xfId="43861" xr:uid="{5FC38CB2-B951-45F5-90C4-DF7C0F2E1469}"/>
    <cellStyle name="40% - Énfasis1 13 5" xfId="8389" xr:uid="{C4D2E78E-91E7-4294-804A-EB9A48638EA0}"/>
    <cellStyle name="40% - Énfasis1 13 5 2" xfId="23802" xr:uid="{38D3FE78-41D5-41EF-B60F-B62C2C922724}"/>
    <cellStyle name="40% - Énfasis1 13 5 2 2" xfId="43866" xr:uid="{CC0689DE-1E08-418B-ABC0-C7F74CDA2CEB}"/>
    <cellStyle name="40% - Énfasis1 13 5 3" xfId="43865" xr:uid="{05BD8725-80C7-4A3B-8236-C2B42314E349}"/>
    <cellStyle name="40% - Énfasis1 13 6" xfId="16097" xr:uid="{E13D9089-4708-4621-80A3-1355467B4C83}"/>
    <cellStyle name="40% - Énfasis1 13 6 2" xfId="43867" xr:uid="{880F11CD-48BB-43BE-8562-E0FA0F786D83}"/>
    <cellStyle name="40% - Énfasis1 13 7" xfId="43836" xr:uid="{9A54ADC9-03AE-42BC-9ADD-7BF506783976}"/>
    <cellStyle name="40% - Énfasis1 14" xfId="667" xr:uid="{C5FE826C-0A73-482E-98A1-DC3F0F8C09C6}"/>
    <cellStyle name="40% - Énfasis1 14 2" xfId="1328" xr:uid="{B2BB147C-5FF0-48AA-9E39-316AC8BA4439}"/>
    <cellStyle name="40% - Énfasis1 14 2 2" xfId="2795" xr:uid="{626DE168-AC92-47D6-9DA8-43A3EF40FD31}"/>
    <cellStyle name="40% - Énfasis1 14 2 2 2" xfId="6527" xr:uid="{9430B337-58C3-4862-940E-5A7E4F92846D}"/>
    <cellStyle name="40% - Énfasis1 14 2 2 2 2" xfId="14235" xr:uid="{EA3FB9C7-A483-4ACD-9F5F-779425E61C38}"/>
    <cellStyle name="40% - Énfasis1 14 2 2 2 2 2" xfId="29647" xr:uid="{654A0FDA-F5C2-4228-92D3-0AB0CF8123EC}"/>
    <cellStyle name="40% - Énfasis1 14 2 2 2 2 2 2" xfId="43873" xr:uid="{D0A4C309-C1A5-43E8-8229-7DB225616B50}"/>
    <cellStyle name="40% - Énfasis1 14 2 2 2 2 3" xfId="43872" xr:uid="{7AE7C0F0-2180-49C7-AC58-AEC2BF5DFA1C}"/>
    <cellStyle name="40% - Énfasis1 14 2 2 2 3" xfId="21942" xr:uid="{04D24C01-9380-4697-9564-F0F637B700BA}"/>
    <cellStyle name="40% - Énfasis1 14 2 2 2 3 2" xfId="43874" xr:uid="{8A04C517-D0F3-4D5B-9C24-8011FC4EBF01}"/>
    <cellStyle name="40% - Énfasis1 14 2 2 2 4" xfId="43871" xr:uid="{7E2A8261-4DDA-45E1-94F6-258522A7C733}"/>
    <cellStyle name="40% - Énfasis1 14 2 2 3" xfId="10506" xr:uid="{F1075013-699D-4F85-9547-B34C610C78C6}"/>
    <cellStyle name="40% - Énfasis1 14 2 2 3 2" xfId="25919" xr:uid="{54585960-D18F-4BB5-94EF-541ED134E3D9}"/>
    <cellStyle name="40% - Énfasis1 14 2 2 3 2 2" xfId="43876" xr:uid="{B528EED4-D9A2-4490-9E59-F9B1BA26135A}"/>
    <cellStyle name="40% - Énfasis1 14 2 2 3 3" xfId="43875" xr:uid="{DF22DC44-E4E2-4991-BA5B-30844EF4DDEB}"/>
    <cellStyle name="40% - Énfasis1 14 2 2 4" xfId="18214" xr:uid="{49186B3F-080F-4428-B56B-1569719D3807}"/>
    <cellStyle name="40% - Énfasis1 14 2 2 4 2" xfId="43877" xr:uid="{16CEAD80-75C1-4838-A274-D976E3ECD70B}"/>
    <cellStyle name="40% - Énfasis1 14 2 2 5" xfId="43870" xr:uid="{D4579FA1-C9F1-4F18-B2D5-E71A262B67CC}"/>
    <cellStyle name="40% - Énfasis1 14 2 3" xfId="5064" xr:uid="{C33FA469-EB60-4E20-81F1-B74978241DCC}"/>
    <cellStyle name="40% - Énfasis1 14 2 3 2" xfId="12772" xr:uid="{ECD73408-3B5E-4B50-9952-F771A9AD1FC4}"/>
    <cellStyle name="40% - Énfasis1 14 2 3 2 2" xfId="28184" xr:uid="{0E3B61C0-658D-4E48-A642-007775EF8BE1}"/>
    <cellStyle name="40% - Énfasis1 14 2 3 2 2 2" xfId="43880" xr:uid="{838F6146-C749-48DA-B41A-B8365011BAB4}"/>
    <cellStyle name="40% - Énfasis1 14 2 3 2 3" xfId="43879" xr:uid="{CA480420-8775-4B9E-BBD4-69A066D4808F}"/>
    <cellStyle name="40% - Énfasis1 14 2 3 3" xfId="20479" xr:uid="{A4A358BC-DE66-44BE-BBE6-A2A760C392CF}"/>
    <cellStyle name="40% - Énfasis1 14 2 3 3 2" xfId="43881" xr:uid="{3ABD9346-5C62-4E6D-8E38-9D3F800C3C9B}"/>
    <cellStyle name="40% - Énfasis1 14 2 3 4" xfId="43878" xr:uid="{A8810924-9C63-49DA-9124-E738B887221F}"/>
    <cellStyle name="40% - Énfasis1 14 2 4" xfId="9047" xr:uid="{7BC4004E-2D22-49E0-99D9-5AE75D7D155B}"/>
    <cellStyle name="40% - Énfasis1 14 2 4 2" xfId="24460" xr:uid="{FF0920E1-94AE-4572-9724-35D18171CBB4}"/>
    <cellStyle name="40% - Énfasis1 14 2 4 2 2" xfId="43883" xr:uid="{B575AF33-1ABD-4828-A496-3C39B83FB185}"/>
    <cellStyle name="40% - Énfasis1 14 2 4 3" xfId="43882" xr:uid="{8CFF56AC-3C50-4231-9442-3B3A394828F6}"/>
    <cellStyle name="40% - Énfasis1 14 2 5" xfId="16755" xr:uid="{64AEEB44-DBD5-43FC-ADDD-F4E5A7914E83}"/>
    <cellStyle name="40% - Énfasis1 14 2 5 2" xfId="43884" xr:uid="{2BE0C1B1-0381-4ECC-A6F2-DE613CC4CD96}"/>
    <cellStyle name="40% - Énfasis1 14 2 6" xfId="43869" xr:uid="{057E7A12-190E-4D01-AFA0-D98127E66015}"/>
    <cellStyle name="40% - Énfasis1 14 3" xfId="2157" xr:uid="{8B74FAFF-C33C-43CE-BFC0-CD61C07D24C5}"/>
    <cellStyle name="40% - Énfasis1 14 3 2" xfId="5889" xr:uid="{A56D8A50-A074-439F-9336-29EEAF0C5EA9}"/>
    <cellStyle name="40% - Énfasis1 14 3 2 2" xfId="13597" xr:uid="{709458D3-13E4-40FE-A469-2C02350CD822}"/>
    <cellStyle name="40% - Énfasis1 14 3 2 2 2" xfId="29009" xr:uid="{EA317E71-C063-489D-8696-889796DBBC92}"/>
    <cellStyle name="40% - Énfasis1 14 3 2 2 2 2" xfId="43888" xr:uid="{5A1A543D-900C-4858-A79A-726B710668CD}"/>
    <cellStyle name="40% - Énfasis1 14 3 2 2 3" xfId="43887" xr:uid="{B7CB9A61-EA0B-4708-92DC-95CA987AE0A2}"/>
    <cellStyle name="40% - Énfasis1 14 3 2 3" xfId="21304" xr:uid="{CBDBEBB5-91A7-46AB-AC69-E2C4BFE3981A}"/>
    <cellStyle name="40% - Énfasis1 14 3 2 3 2" xfId="43889" xr:uid="{423F2CB1-E48F-492D-B2A1-38103B30F1BD}"/>
    <cellStyle name="40% - Énfasis1 14 3 2 4" xfId="43886" xr:uid="{CA428540-D522-4233-8FC6-DB060E642CB7}"/>
    <cellStyle name="40% - Énfasis1 14 3 3" xfId="9868" xr:uid="{31D52FC6-2B20-4D71-B599-EB36A986AC31}"/>
    <cellStyle name="40% - Énfasis1 14 3 3 2" xfId="25281" xr:uid="{0352E19D-0C14-4E22-B402-C7FA984F2D3A}"/>
    <cellStyle name="40% - Énfasis1 14 3 3 2 2" xfId="43891" xr:uid="{7A8F897B-0782-4B42-8AFC-3D26B2670179}"/>
    <cellStyle name="40% - Énfasis1 14 3 3 3" xfId="43890" xr:uid="{A5CEF3C5-3F4C-4BEE-8B8B-E3202D5A7C8E}"/>
    <cellStyle name="40% - Énfasis1 14 3 4" xfId="17576" xr:uid="{293FA473-FB5C-40C5-ABD4-C6D5964B4190}"/>
    <cellStyle name="40% - Énfasis1 14 3 4 2" xfId="43892" xr:uid="{576FD58A-4677-43D3-BD27-658A07181B9D}"/>
    <cellStyle name="40% - Énfasis1 14 3 5" xfId="43885" xr:uid="{CC37F0CB-17F1-4B91-B637-51667923D9D1}"/>
    <cellStyle name="40% - Énfasis1 14 4" xfId="4412" xr:uid="{1EB2922E-8741-4C30-A7C9-54D172223295}"/>
    <cellStyle name="40% - Énfasis1 14 4 2" xfId="12120" xr:uid="{1CE46BA6-AD7C-4C04-8ECA-FBC00341ADBC}"/>
    <cellStyle name="40% - Énfasis1 14 4 2 2" xfId="27532" xr:uid="{9087BEBA-4C39-48D5-82F3-C833206887BC}"/>
    <cellStyle name="40% - Énfasis1 14 4 2 2 2" xfId="43895" xr:uid="{46C25C0D-8D00-433E-A995-45E744E30A1E}"/>
    <cellStyle name="40% - Énfasis1 14 4 2 3" xfId="43894" xr:uid="{645E43B8-47A3-4857-B9E1-A77A298C7071}"/>
    <cellStyle name="40% - Énfasis1 14 4 3" xfId="19827" xr:uid="{4A632A88-2046-4142-B128-BC18D67D19C3}"/>
    <cellStyle name="40% - Énfasis1 14 4 3 2" xfId="43896" xr:uid="{ABD70E42-E7DB-4665-9C6A-DFADE7C162C6}"/>
    <cellStyle name="40% - Énfasis1 14 4 4" xfId="43893" xr:uid="{E90ACBE8-1523-4390-931B-FCFD22D091A6}"/>
    <cellStyle name="40% - Énfasis1 14 5" xfId="8409" xr:uid="{77964FE4-0908-4E65-8B3D-E8AAF5921EEE}"/>
    <cellStyle name="40% - Énfasis1 14 5 2" xfId="23822" xr:uid="{FCFFFC88-9413-450B-8E3C-F4A2FDB5AF62}"/>
    <cellStyle name="40% - Énfasis1 14 5 2 2" xfId="43898" xr:uid="{A397E4C7-433D-4745-87D0-5D8E01F15B49}"/>
    <cellStyle name="40% - Énfasis1 14 5 3" xfId="43897" xr:uid="{17C23267-BC70-4B96-9F26-C2E36E22E2F1}"/>
    <cellStyle name="40% - Énfasis1 14 6" xfId="16117" xr:uid="{0A2F666E-D584-4C33-8516-AB44FF765F34}"/>
    <cellStyle name="40% - Énfasis1 14 6 2" xfId="43899" xr:uid="{570AC4B7-AABC-4D44-9755-CA98874FE180}"/>
    <cellStyle name="40% - Énfasis1 14 7" xfId="43868" xr:uid="{B6AC396E-9016-45DF-91C7-7779D5006FB1}"/>
    <cellStyle name="40% - Énfasis1 15" xfId="687" xr:uid="{0C87E005-3AF3-4357-996C-77263FE664A4}"/>
    <cellStyle name="40% - Énfasis1 15 2" xfId="1348" xr:uid="{EE4D5E26-489E-4B53-AC15-E3C64CDB3E12}"/>
    <cellStyle name="40% - Énfasis1 15 2 2" xfId="2815" xr:uid="{5C2CB2B7-3C25-4437-8D1B-22CC9C4CEF05}"/>
    <cellStyle name="40% - Énfasis1 15 2 2 2" xfId="6547" xr:uid="{39D06782-8D2E-44D5-BABF-80B8D37999A5}"/>
    <cellStyle name="40% - Énfasis1 15 2 2 2 2" xfId="14255" xr:uid="{673E4B50-A035-40F1-9AD5-C9E660AC1F02}"/>
    <cellStyle name="40% - Énfasis1 15 2 2 2 2 2" xfId="29667" xr:uid="{5B0E9F62-4035-43F6-921E-C52E662DF354}"/>
    <cellStyle name="40% - Énfasis1 15 2 2 2 2 2 2" xfId="43905" xr:uid="{C2189ECD-FFC1-4819-ABC2-27FDA6E7912D}"/>
    <cellStyle name="40% - Énfasis1 15 2 2 2 2 3" xfId="43904" xr:uid="{0E25486A-8B3F-4107-AD92-534F3DDB4DF0}"/>
    <cellStyle name="40% - Énfasis1 15 2 2 2 3" xfId="21962" xr:uid="{85257BF5-D1B0-4BA0-A240-EF988ECF1F3E}"/>
    <cellStyle name="40% - Énfasis1 15 2 2 2 3 2" xfId="43906" xr:uid="{E41FADF0-F180-4226-9DC2-92735DBD600C}"/>
    <cellStyle name="40% - Énfasis1 15 2 2 2 4" xfId="43903" xr:uid="{0E093CCC-B5F0-4FFC-94D8-566338AE19BB}"/>
    <cellStyle name="40% - Énfasis1 15 2 2 3" xfId="10526" xr:uid="{F028B7AC-0E01-480F-9883-3089F25F533E}"/>
    <cellStyle name="40% - Énfasis1 15 2 2 3 2" xfId="25939" xr:uid="{9E5013CB-28A9-464C-94DC-1AB280AD1D61}"/>
    <cellStyle name="40% - Énfasis1 15 2 2 3 2 2" xfId="43908" xr:uid="{B5C6A909-617F-4426-BBC3-47041A5AE627}"/>
    <cellStyle name="40% - Énfasis1 15 2 2 3 3" xfId="43907" xr:uid="{D0322112-7EDF-43D1-8747-218327CA7757}"/>
    <cellStyle name="40% - Énfasis1 15 2 2 4" xfId="18234" xr:uid="{E9C67D1D-2C4E-4FDA-BE46-7C70E4B62357}"/>
    <cellStyle name="40% - Énfasis1 15 2 2 4 2" xfId="43909" xr:uid="{BDA0D47A-BEA8-493D-9F02-AE93B5944294}"/>
    <cellStyle name="40% - Énfasis1 15 2 2 5" xfId="43902" xr:uid="{D7D27ACC-C08D-46C6-93BC-A1A336C1BF13}"/>
    <cellStyle name="40% - Énfasis1 15 2 3" xfId="5084" xr:uid="{CC82B9A5-B91F-4286-8249-BF784A055B4B}"/>
    <cellStyle name="40% - Énfasis1 15 2 3 2" xfId="12792" xr:uid="{74E83921-1F9D-4441-81FB-5EBDCDA0EB69}"/>
    <cellStyle name="40% - Énfasis1 15 2 3 2 2" xfId="28204" xr:uid="{63A387F3-1950-4698-9DC8-798DDEECC084}"/>
    <cellStyle name="40% - Énfasis1 15 2 3 2 2 2" xfId="43912" xr:uid="{BEE9BD0B-B35C-4C8A-B75A-A7DE65FD19A0}"/>
    <cellStyle name="40% - Énfasis1 15 2 3 2 3" xfId="43911" xr:uid="{4678B059-C80B-4AAE-BEAB-BE3C37143DAE}"/>
    <cellStyle name="40% - Énfasis1 15 2 3 3" xfId="20499" xr:uid="{C57EBB05-BEF7-4632-87DB-D9B441CE83DA}"/>
    <cellStyle name="40% - Énfasis1 15 2 3 3 2" xfId="43913" xr:uid="{9E09CC4D-E3BD-445D-B6F8-6AA673748593}"/>
    <cellStyle name="40% - Énfasis1 15 2 3 4" xfId="43910" xr:uid="{CA3EC8A8-1C32-4E64-A019-46C5B4F85411}"/>
    <cellStyle name="40% - Énfasis1 15 2 4" xfId="9067" xr:uid="{357A2D55-68F6-4D63-9D95-17212CAF3CEF}"/>
    <cellStyle name="40% - Énfasis1 15 2 4 2" xfId="24480" xr:uid="{3C2DC6EE-C05B-4CB3-85F8-89AE6926839A}"/>
    <cellStyle name="40% - Énfasis1 15 2 4 2 2" xfId="43915" xr:uid="{707D5F25-1C28-4BC6-A534-920E1CD438B5}"/>
    <cellStyle name="40% - Énfasis1 15 2 4 3" xfId="43914" xr:uid="{9A759F2D-1637-4F0D-B01D-DC3C9DA72B15}"/>
    <cellStyle name="40% - Énfasis1 15 2 5" xfId="16775" xr:uid="{33132E98-FD66-4CE8-AA97-D54603B91F27}"/>
    <cellStyle name="40% - Énfasis1 15 2 5 2" xfId="43916" xr:uid="{94E76F45-676A-4CE4-A8E8-0DF50BC4790B}"/>
    <cellStyle name="40% - Énfasis1 15 2 6" xfId="43901" xr:uid="{7D105CF8-E55A-40EA-8B90-FD84667D26F6}"/>
    <cellStyle name="40% - Énfasis1 15 3" xfId="2177" xr:uid="{67540162-ECFA-415C-B649-9CF63E2CFB86}"/>
    <cellStyle name="40% - Énfasis1 15 3 2" xfId="5909" xr:uid="{4A0294CE-ACCB-4790-84E9-1960505A683C}"/>
    <cellStyle name="40% - Énfasis1 15 3 2 2" xfId="13617" xr:uid="{0978BD7A-5765-4422-A306-0B08EDA8B2EA}"/>
    <cellStyle name="40% - Énfasis1 15 3 2 2 2" xfId="29029" xr:uid="{1F13AE61-F0D3-4CAF-91A8-BD669D58749F}"/>
    <cellStyle name="40% - Énfasis1 15 3 2 2 2 2" xfId="43920" xr:uid="{1C25F689-0612-4C7F-96EA-5FCE4AB23C82}"/>
    <cellStyle name="40% - Énfasis1 15 3 2 2 3" xfId="43919" xr:uid="{00454017-0E5F-4113-B086-0710A4AA8289}"/>
    <cellStyle name="40% - Énfasis1 15 3 2 3" xfId="21324" xr:uid="{26753E95-6D0F-4841-99CB-D5C9E72CA575}"/>
    <cellStyle name="40% - Énfasis1 15 3 2 3 2" xfId="43921" xr:uid="{C35206BC-3E44-4711-B3DA-466181FF8383}"/>
    <cellStyle name="40% - Énfasis1 15 3 2 4" xfId="43918" xr:uid="{35F44A68-FA16-447F-9B2C-57F629429393}"/>
    <cellStyle name="40% - Énfasis1 15 3 3" xfId="9888" xr:uid="{72DEDBEF-F055-4945-A8BD-1BBEB24C2344}"/>
    <cellStyle name="40% - Énfasis1 15 3 3 2" xfId="25301" xr:uid="{26212895-AE6C-413E-8CA8-B6378DC490E6}"/>
    <cellStyle name="40% - Énfasis1 15 3 3 2 2" xfId="43923" xr:uid="{C3C31BF8-1B85-4FB0-AAAB-35C0C80A8010}"/>
    <cellStyle name="40% - Énfasis1 15 3 3 3" xfId="43922" xr:uid="{BF6632E3-E714-467B-B4EE-52A32EB2CC36}"/>
    <cellStyle name="40% - Énfasis1 15 3 4" xfId="17596" xr:uid="{329DFB32-2AD0-42CA-B27B-4D35AF6EDE86}"/>
    <cellStyle name="40% - Énfasis1 15 3 4 2" xfId="43924" xr:uid="{DE8C73FF-EE63-4FF8-8B9C-326AB804C78F}"/>
    <cellStyle name="40% - Énfasis1 15 3 5" xfId="43917" xr:uid="{2547E2DD-D510-413A-93A0-B402DD976F14}"/>
    <cellStyle name="40% - Énfasis1 15 4" xfId="4432" xr:uid="{91B769CB-2C91-470F-BBC0-4587BB70174F}"/>
    <cellStyle name="40% - Énfasis1 15 4 2" xfId="12140" xr:uid="{0E40B14E-CCA5-4E5A-A7CE-FC6882BFAC77}"/>
    <cellStyle name="40% - Énfasis1 15 4 2 2" xfId="27552" xr:uid="{92BB49BB-DCB0-48CA-9AF8-F65DDE1ED307}"/>
    <cellStyle name="40% - Énfasis1 15 4 2 2 2" xfId="43927" xr:uid="{01DC826D-29DB-4B59-8F75-B641A730EC82}"/>
    <cellStyle name="40% - Énfasis1 15 4 2 3" xfId="43926" xr:uid="{8407F0FB-BB67-4750-BAE7-8E91DB3BA7AA}"/>
    <cellStyle name="40% - Énfasis1 15 4 3" xfId="19847" xr:uid="{8905906A-5C5C-4C48-BD2F-6F367B4A8F73}"/>
    <cellStyle name="40% - Énfasis1 15 4 3 2" xfId="43928" xr:uid="{57C1710C-F071-4433-8DA3-DBA686E75E38}"/>
    <cellStyle name="40% - Énfasis1 15 4 4" xfId="43925" xr:uid="{146DFFDD-BABC-4BC5-AE0F-2196C500CD83}"/>
    <cellStyle name="40% - Énfasis1 15 5" xfId="8429" xr:uid="{166FE795-CBA2-4CFB-A3EB-04C1A3F12B3E}"/>
    <cellStyle name="40% - Énfasis1 15 5 2" xfId="23842" xr:uid="{7F2DCC68-90E3-47C0-8261-24A25FB32F9E}"/>
    <cellStyle name="40% - Énfasis1 15 5 2 2" xfId="43930" xr:uid="{E0D96559-36E8-47F4-A76A-C1458047A03C}"/>
    <cellStyle name="40% - Énfasis1 15 5 3" xfId="43929" xr:uid="{D8DAB1BD-E3B3-419B-B848-9E97691792FB}"/>
    <cellStyle name="40% - Énfasis1 15 6" xfId="16137" xr:uid="{67DB7F98-C5D9-436F-840F-FF995D020681}"/>
    <cellStyle name="40% - Énfasis1 15 6 2" xfId="43931" xr:uid="{19F12704-3480-4375-B268-78F984610C86}"/>
    <cellStyle name="40% - Énfasis1 15 7" xfId="43900" xr:uid="{27739B88-A389-4BB6-B8A0-DFB6D99D1F17}"/>
    <cellStyle name="40% - Énfasis1 16" xfId="708" xr:uid="{0110DE30-E4A9-44E2-9735-A95CCCD9D6CE}"/>
    <cellStyle name="40% - Énfasis1 16 2" xfId="1369" xr:uid="{AA71690E-A1CE-457F-8959-A1874786AD45}"/>
    <cellStyle name="40% - Énfasis1 16 2 2" xfId="2836" xr:uid="{E3092A86-B157-437B-BC36-64ABB9D937D5}"/>
    <cellStyle name="40% - Énfasis1 16 2 2 2" xfId="6568" xr:uid="{B71D21E3-6E98-44AD-B6EE-597BE1106A09}"/>
    <cellStyle name="40% - Énfasis1 16 2 2 2 2" xfId="14276" xr:uid="{6DB78678-9902-4538-A745-5C4A5A53A4E0}"/>
    <cellStyle name="40% - Énfasis1 16 2 2 2 2 2" xfId="29688" xr:uid="{DBA15EAC-F23E-4D40-9411-EF1AE9BB37B0}"/>
    <cellStyle name="40% - Énfasis1 16 2 2 2 2 2 2" xfId="43937" xr:uid="{C36AD785-462F-4A7B-AECA-09751CBADA52}"/>
    <cellStyle name="40% - Énfasis1 16 2 2 2 2 3" xfId="43936" xr:uid="{35E2DE9D-5166-46A6-A528-F674439946A7}"/>
    <cellStyle name="40% - Énfasis1 16 2 2 2 3" xfId="21983" xr:uid="{372456C6-AFEE-40B3-AD19-EFFFF29EBA14}"/>
    <cellStyle name="40% - Énfasis1 16 2 2 2 3 2" xfId="43938" xr:uid="{35C0C94B-24D5-462F-B514-9389BD2885B9}"/>
    <cellStyle name="40% - Énfasis1 16 2 2 2 4" xfId="43935" xr:uid="{6899E1D0-1FFB-43DB-8914-BB4B7DE0264E}"/>
    <cellStyle name="40% - Énfasis1 16 2 2 3" xfId="10547" xr:uid="{5C66284B-F701-4B06-AB02-56BEE3E83759}"/>
    <cellStyle name="40% - Énfasis1 16 2 2 3 2" xfId="25960" xr:uid="{829A0F8F-3754-44B3-AACF-839769938924}"/>
    <cellStyle name="40% - Énfasis1 16 2 2 3 2 2" xfId="43940" xr:uid="{4F53D5A0-AC02-4109-9EE7-65387967B689}"/>
    <cellStyle name="40% - Énfasis1 16 2 2 3 3" xfId="43939" xr:uid="{7E65EC0D-0B17-477C-A9DC-180BD1DACBB7}"/>
    <cellStyle name="40% - Énfasis1 16 2 2 4" xfId="18255" xr:uid="{57C0CA1B-0765-4268-9A76-D6080448DB9A}"/>
    <cellStyle name="40% - Énfasis1 16 2 2 4 2" xfId="43941" xr:uid="{38BC9869-761C-4B67-9535-8B78C090DA9D}"/>
    <cellStyle name="40% - Énfasis1 16 2 2 5" xfId="43934" xr:uid="{EB085CD0-71CB-4C61-9C52-49015C14C3B9}"/>
    <cellStyle name="40% - Énfasis1 16 2 3" xfId="5105" xr:uid="{5F88103C-2AEB-4D31-B8C0-6AEC791B0D72}"/>
    <cellStyle name="40% - Énfasis1 16 2 3 2" xfId="12813" xr:uid="{8534BB02-F6D7-486A-AD6D-6F92313788BA}"/>
    <cellStyle name="40% - Énfasis1 16 2 3 2 2" xfId="28225" xr:uid="{BBCFB369-BF52-429C-A133-1C361419DE14}"/>
    <cellStyle name="40% - Énfasis1 16 2 3 2 2 2" xfId="43944" xr:uid="{63757075-4C78-451A-9341-0C4604495042}"/>
    <cellStyle name="40% - Énfasis1 16 2 3 2 3" xfId="43943" xr:uid="{ACCBB90B-E1AC-4AEB-B8BC-C30C8FEC39F5}"/>
    <cellStyle name="40% - Énfasis1 16 2 3 3" xfId="20520" xr:uid="{684BF779-8A26-43A0-908B-5A9A286FAD0A}"/>
    <cellStyle name="40% - Énfasis1 16 2 3 3 2" xfId="43945" xr:uid="{7E99CA5F-B29D-4998-B2E6-A266170ED38C}"/>
    <cellStyle name="40% - Énfasis1 16 2 3 4" xfId="43942" xr:uid="{A42D7531-BDDF-4840-87D4-68F292F195C3}"/>
    <cellStyle name="40% - Énfasis1 16 2 4" xfId="9088" xr:uid="{E006CB20-182C-4BCE-ADB1-2197409282CE}"/>
    <cellStyle name="40% - Énfasis1 16 2 4 2" xfId="24501" xr:uid="{7534BB55-E600-437D-89F3-EDB17C4EF661}"/>
    <cellStyle name="40% - Énfasis1 16 2 4 2 2" xfId="43947" xr:uid="{7A1B42F8-4C49-4A50-9F01-4B7C1E629220}"/>
    <cellStyle name="40% - Énfasis1 16 2 4 3" xfId="43946" xr:uid="{435889F1-EC67-476A-8C8C-4B7F89AC45C1}"/>
    <cellStyle name="40% - Énfasis1 16 2 5" xfId="16796" xr:uid="{992424C6-7FE3-42CC-A977-93B8C9283A43}"/>
    <cellStyle name="40% - Énfasis1 16 2 5 2" xfId="43948" xr:uid="{2F8CA0EF-FD89-4CFF-B772-D90B642194D3}"/>
    <cellStyle name="40% - Énfasis1 16 2 6" xfId="43933" xr:uid="{E244DFF7-F28D-41F3-BAD5-17EF07732989}"/>
    <cellStyle name="40% - Énfasis1 16 3" xfId="2198" xr:uid="{2A3BACA0-3F11-458A-9EB4-6899275BF780}"/>
    <cellStyle name="40% - Énfasis1 16 3 2" xfId="5930" xr:uid="{BB043338-05FB-401E-B314-B1F9692C64CC}"/>
    <cellStyle name="40% - Énfasis1 16 3 2 2" xfId="13638" xr:uid="{3BBE632A-7A56-425B-9D36-9F53A48FB850}"/>
    <cellStyle name="40% - Énfasis1 16 3 2 2 2" xfId="29050" xr:uid="{7A2A0330-90C1-40E2-9F45-89A62753F9AD}"/>
    <cellStyle name="40% - Énfasis1 16 3 2 2 2 2" xfId="43952" xr:uid="{3F812650-B71C-49E6-B7D0-FC5D41EB680E}"/>
    <cellStyle name="40% - Énfasis1 16 3 2 2 3" xfId="43951" xr:uid="{C9FF0B54-C20B-4E66-A784-4E82713AF70D}"/>
    <cellStyle name="40% - Énfasis1 16 3 2 3" xfId="21345" xr:uid="{4A6583D1-BB08-4DB8-931B-6322580A3163}"/>
    <cellStyle name="40% - Énfasis1 16 3 2 3 2" xfId="43953" xr:uid="{EE155CBF-7732-49C2-806A-2081757C6D55}"/>
    <cellStyle name="40% - Énfasis1 16 3 2 4" xfId="43950" xr:uid="{C0B23729-4671-4147-999A-0AD3C5861290}"/>
    <cellStyle name="40% - Énfasis1 16 3 3" xfId="9909" xr:uid="{FCCF70E9-FB9E-46A8-919F-00E271D9D6DC}"/>
    <cellStyle name="40% - Énfasis1 16 3 3 2" xfId="25322" xr:uid="{99CB0E4D-FC93-49B7-B105-769BCC0676A2}"/>
    <cellStyle name="40% - Énfasis1 16 3 3 2 2" xfId="43955" xr:uid="{41DD4F3B-9CA0-405E-9350-881AE733C6BB}"/>
    <cellStyle name="40% - Énfasis1 16 3 3 3" xfId="43954" xr:uid="{9B92CA96-011C-4AD2-91E1-556B7D583384}"/>
    <cellStyle name="40% - Énfasis1 16 3 4" xfId="17617" xr:uid="{5C64736B-D1D1-4F7C-8944-83EE9414CF37}"/>
    <cellStyle name="40% - Énfasis1 16 3 4 2" xfId="43956" xr:uid="{5D1B0C43-4DD6-4EDD-9B14-5C3D29A1FDEF}"/>
    <cellStyle name="40% - Énfasis1 16 3 5" xfId="43949" xr:uid="{EA84D44C-AF78-4943-AD5F-DA8629C5C924}"/>
    <cellStyle name="40% - Énfasis1 16 4" xfId="4453" xr:uid="{9AB27F1F-61DD-43B7-BE95-2FA7F27D2D4E}"/>
    <cellStyle name="40% - Énfasis1 16 4 2" xfId="12161" xr:uid="{600960F4-47EB-4382-9261-BDAD0453A75D}"/>
    <cellStyle name="40% - Énfasis1 16 4 2 2" xfId="27573" xr:uid="{408A442C-E8D7-4DC2-A5EB-29EB2060FA2B}"/>
    <cellStyle name="40% - Énfasis1 16 4 2 2 2" xfId="43959" xr:uid="{83AEC2B1-2386-4393-AD3F-0900850B5CBF}"/>
    <cellStyle name="40% - Énfasis1 16 4 2 3" xfId="43958" xr:uid="{364146B2-C1E6-4BEB-8F26-D0D5A3E3C0BB}"/>
    <cellStyle name="40% - Énfasis1 16 4 3" xfId="19868" xr:uid="{5380E4F0-E1D0-4425-AB2C-0166BF1E5A32}"/>
    <cellStyle name="40% - Énfasis1 16 4 3 2" xfId="43960" xr:uid="{47805502-AA8D-4F59-84B0-4AE45C1192B1}"/>
    <cellStyle name="40% - Énfasis1 16 4 4" xfId="43957" xr:uid="{3C359ED7-8431-4CBE-AF59-40E9475FF456}"/>
    <cellStyle name="40% - Énfasis1 16 5" xfId="8450" xr:uid="{4F3BE9C6-1A8C-4E2A-904A-89B4F4A46B54}"/>
    <cellStyle name="40% - Énfasis1 16 5 2" xfId="23863" xr:uid="{C71DC4B5-1D39-4601-BCA3-B932BD12BEAF}"/>
    <cellStyle name="40% - Énfasis1 16 5 2 2" xfId="43962" xr:uid="{C070486E-89E0-4168-BE02-53F613C98E0B}"/>
    <cellStyle name="40% - Énfasis1 16 5 3" xfId="43961" xr:uid="{07D02AFA-2ADB-48D2-801F-5BBF7426CD2B}"/>
    <cellStyle name="40% - Énfasis1 16 6" xfId="16158" xr:uid="{60B7A351-307D-4DE4-811C-5EC67FDB1976}"/>
    <cellStyle name="40% - Énfasis1 16 6 2" xfId="43963" xr:uid="{B7C2748A-6DB9-4362-BE16-BDB0C7D09A82}"/>
    <cellStyle name="40% - Énfasis1 16 7" xfId="43932" xr:uid="{B5519278-24C6-4EBF-8639-817B957D697A}"/>
    <cellStyle name="40% - Énfasis1 17" xfId="728" xr:uid="{1EFF1945-AC64-4102-8F3C-06823D1E2012}"/>
    <cellStyle name="40% - Énfasis1 17 2" xfId="1389" xr:uid="{10817F4E-EA56-43D9-A6FC-6127D0DDD964}"/>
    <cellStyle name="40% - Énfasis1 17 2 2" xfId="2856" xr:uid="{0DA0C642-3998-4A6B-88D5-E1076E9939DD}"/>
    <cellStyle name="40% - Énfasis1 17 2 2 2" xfId="6588" xr:uid="{55A2D8E4-F234-43CD-BA22-C9EFE04D7A89}"/>
    <cellStyle name="40% - Énfasis1 17 2 2 2 2" xfId="14296" xr:uid="{B1D13AFC-FC4E-4AC9-A8A9-90948DF4B53E}"/>
    <cellStyle name="40% - Énfasis1 17 2 2 2 2 2" xfId="29708" xr:uid="{58EA49B4-CCBE-4F37-B670-94520AE8D9AA}"/>
    <cellStyle name="40% - Énfasis1 17 2 2 2 2 2 2" xfId="43969" xr:uid="{2E243527-E776-4822-B2A7-1AADB78236FF}"/>
    <cellStyle name="40% - Énfasis1 17 2 2 2 2 3" xfId="43968" xr:uid="{5D4A3BBF-FF7A-4612-8E94-84EAF29A0389}"/>
    <cellStyle name="40% - Énfasis1 17 2 2 2 3" xfId="22003" xr:uid="{00A5FCE2-B779-448D-B5BF-461EC4BCEC43}"/>
    <cellStyle name="40% - Énfasis1 17 2 2 2 3 2" xfId="43970" xr:uid="{44D47DEE-8CD3-4B23-B1E5-3E39EB7BDC02}"/>
    <cellStyle name="40% - Énfasis1 17 2 2 2 4" xfId="43967" xr:uid="{7B114D49-557B-4DF3-A281-3918EC032500}"/>
    <cellStyle name="40% - Énfasis1 17 2 2 3" xfId="10567" xr:uid="{C7C49163-384F-4350-9B23-38CF8566ADFC}"/>
    <cellStyle name="40% - Énfasis1 17 2 2 3 2" xfId="25980" xr:uid="{470BDB20-537D-4C64-B734-A716C68A95CD}"/>
    <cellStyle name="40% - Énfasis1 17 2 2 3 2 2" xfId="43972" xr:uid="{A87AD50E-5BD2-40A0-84CD-E5095501F124}"/>
    <cellStyle name="40% - Énfasis1 17 2 2 3 3" xfId="43971" xr:uid="{0955E455-1DBC-41B9-8B38-2E9649AA7D5A}"/>
    <cellStyle name="40% - Énfasis1 17 2 2 4" xfId="18275" xr:uid="{1252F3D2-C1D9-4F5E-8DC4-EAA356403A4C}"/>
    <cellStyle name="40% - Énfasis1 17 2 2 4 2" xfId="43973" xr:uid="{AB55CF82-6D27-4DEE-B12D-CD0FAC4555DD}"/>
    <cellStyle name="40% - Énfasis1 17 2 2 5" xfId="43966" xr:uid="{7066AD8C-E09A-4086-9E51-7B16F4633C2C}"/>
    <cellStyle name="40% - Énfasis1 17 2 3" xfId="5125" xr:uid="{9CE46FEE-BAC8-40B2-B9EF-25DB1664581F}"/>
    <cellStyle name="40% - Énfasis1 17 2 3 2" xfId="12833" xr:uid="{0415F422-A7B2-4EB1-AB8C-16B62AB0B26F}"/>
    <cellStyle name="40% - Énfasis1 17 2 3 2 2" xfId="28245" xr:uid="{E26ADE7A-5224-4061-893F-63F1E9B3F1AA}"/>
    <cellStyle name="40% - Énfasis1 17 2 3 2 2 2" xfId="43976" xr:uid="{2517856F-05E4-4483-8016-CA097B2C637C}"/>
    <cellStyle name="40% - Énfasis1 17 2 3 2 3" xfId="43975" xr:uid="{44F78615-EDFA-49B7-BB80-A4C8EB7C51EE}"/>
    <cellStyle name="40% - Énfasis1 17 2 3 3" xfId="20540" xr:uid="{71320761-0001-49A6-8B52-F469DAEBC7DD}"/>
    <cellStyle name="40% - Énfasis1 17 2 3 3 2" xfId="43977" xr:uid="{30A57C59-6F32-412B-BE4C-85A94156B6E0}"/>
    <cellStyle name="40% - Énfasis1 17 2 3 4" xfId="43974" xr:uid="{6E5AAE6C-2881-4D25-8FFE-A6B9E00F666D}"/>
    <cellStyle name="40% - Énfasis1 17 2 4" xfId="9108" xr:uid="{7D6FA06C-264D-4FB8-BE90-80C8FD8ECD33}"/>
    <cellStyle name="40% - Énfasis1 17 2 4 2" xfId="24521" xr:uid="{2513B13A-452B-4765-8F8A-AAC107C27F7C}"/>
    <cellStyle name="40% - Énfasis1 17 2 4 2 2" xfId="43979" xr:uid="{D489162E-28A1-4AB0-80D7-02D21142CB04}"/>
    <cellStyle name="40% - Énfasis1 17 2 4 3" xfId="43978" xr:uid="{9335C3E2-1F07-448B-A8D2-4201BFBBEC86}"/>
    <cellStyle name="40% - Énfasis1 17 2 5" xfId="16816" xr:uid="{245C2088-3B63-4579-88C9-0506505609FE}"/>
    <cellStyle name="40% - Énfasis1 17 2 5 2" xfId="43980" xr:uid="{B961F738-A886-402A-8334-A70BAB92A1D4}"/>
    <cellStyle name="40% - Énfasis1 17 2 6" xfId="43965" xr:uid="{6D84079E-F44E-416B-9776-BAD1A7DB63DA}"/>
    <cellStyle name="40% - Énfasis1 17 3" xfId="2218" xr:uid="{F347EA9E-CC3D-4B9B-B965-C4AB06670B34}"/>
    <cellStyle name="40% - Énfasis1 17 3 2" xfId="5950" xr:uid="{9F788EF8-6D69-49C5-9684-5084812589DE}"/>
    <cellStyle name="40% - Énfasis1 17 3 2 2" xfId="13658" xr:uid="{A0201F7C-167F-450B-BB48-9EC549871117}"/>
    <cellStyle name="40% - Énfasis1 17 3 2 2 2" xfId="29070" xr:uid="{115AC734-36D7-469A-B556-8E6AB283D5D1}"/>
    <cellStyle name="40% - Énfasis1 17 3 2 2 2 2" xfId="43984" xr:uid="{9E0B3F47-BD63-43D8-9C45-AC4DA6468D4E}"/>
    <cellStyle name="40% - Énfasis1 17 3 2 2 3" xfId="43983" xr:uid="{6F07DA4F-B0D2-4557-87BC-20A08D13E07C}"/>
    <cellStyle name="40% - Énfasis1 17 3 2 3" xfId="21365" xr:uid="{8CF66B25-7DFE-465F-BD15-A837505E7171}"/>
    <cellStyle name="40% - Énfasis1 17 3 2 3 2" xfId="43985" xr:uid="{66A667BE-0BD6-49E3-A1EF-92835937AFC4}"/>
    <cellStyle name="40% - Énfasis1 17 3 2 4" xfId="43982" xr:uid="{0CCC3836-B4C9-4523-A742-B2A2944D3ED2}"/>
    <cellStyle name="40% - Énfasis1 17 3 3" xfId="9929" xr:uid="{6DAD71B7-1B35-4CA5-BC43-E752C3CC2334}"/>
    <cellStyle name="40% - Énfasis1 17 3 3 2" xfId="25342" xr:uid="{071E8CBE-29BB-4070-8211-C8979C352734}"/>
    <cellStyle name="40% - Énfasis1 17 3 3 2 2" xfId="43987" xr:uid="{506F6923-3C31-4FCC-BD86-5F16438B5E1A}"/>
    <cellStyle name="40% - Énfasis1 17 3 3 3" xfId="43986" xr:uid="{33B2AF68-F924-4637-B2C1-915E435EE81B}"/>
    <cellStyle name="40% - Énfasis1 17 3 4" xfId="17637" xr:uid="{1B576706-260F-43E2-95EB-456FD2E0AE25}"/>
    <cellStyle name="40% - Énfasis1 17 3 4 2" xfId="43988" xr:uid="{B8B1CAE7-B022-4BA7-8F99-FAB2F6E8C2AF}"/>
    <cellStyle name="40% - Énfasis1 17 3 5" xfId="43981" xr:uid="{37E7D5CD-A6D7-41D0-8BE2-32B0A310B120}"/>
    <cellStyle name="40% - Énfasis1 17 4" xfId="4473" xr:uid="{26B92280-F37F-4EA6-B407-35D4BD510639}"/>
    <cellStyle name="40% - Énfasis1 17 4 2" xfId="12181" xr:uid="{45803801-2E9F-4ED8-B296-9F31C1B38B83}"/>
    <cellStyle name="40% - Énfasis1 17 4 2 2" xfId="27593" xr:uid="{13CC9D6C-7A68-4D20-B15D-603C12CEDA32}"/>
    <cellStyle name="40% - Énfasis1 17 4 2 2 2" xfId="43991" xr:uid="{F0CD134C-3AB7-4A18-AB6F-3A37AB8D9479}"/>
    <cellStyle name="40% - Énfasis1 17 4 2 3" xfId="43990" xr:uid="{D7603C24-43DA-4878-B822-B32358D9BC5E}"/>
    <cellStyle name="40% - Énfasis1 17 4 3" xfId="19888" xr:uid="{65E489C6-8F60-43D1-8120-B53F24204990}"/>
    <cellStyle name="40% - Énfasis1 17 4 3 2" xfId="43992" xr:uid="{FCE974ED-D59C-4ED6-9FA8-780BB7590502}"/>
    <cellStyle name="40% - Énfasis1 17 4 4" xfId="43989" xr:uid="{B88025EF-6329-4F2C-9D2A-E1ABE8139539}"/>
    <cellStyle name="40% - Énfasis1 17 5" xfId="8470" xr:uid="{24DC8898-B292-469D-A83E-C63D60A364BF}"/>
    <cellStyle name="40% - Énfasis1 17 5 2" xfId="23883" xr:uid="{E85AA259-9515-4113-9B2F-48D5F334AA31}"/>
    <cellStyle name="40% - Énfasis1 17 5 2 2" xfId="43994" xr:uid="{495A1916-0EF1-4060-A260-2EB6407911CB}"/>
    <cellStyle name="40% - Énfasis1 17 5 3" xfId="43993" xr:uid="{9EF17596-65E0-443D-B0B9-E5E561ABDE82}"/>
    <cellStyle name="40% - Énfasis1 17 6" xfId="16178" xr:uid="{9D6AA832-0B28-444F-B80F-E8CDEFB45C19}"/>
    <cellStyle name="40% - Énfasis1 17 6 2" xfId="43995" xr:uid="{C4F01C27-8890-4FEC-B353-D9722689E8AE}"/>
    <cellStyle name="40% - Énfasis1 17 7" xfId="43964" xr:uid="{DFF0F0B8-171B-4DF4-88D4-AD2576161306}"/>
    <cellStyle name="40% - Énfasis1 18" xfId="748" xr:uid="{9A530CD1-B1B7-4AF0-B2A9-0FF0FBC74FFA}"/>
    <cellStyle name="40% - Énfasis1 18 2" xfId="1409" xr:uid="{8CEE0759-61B6-4500-9AEB-2FCED1961569}"/>
    <cellStyle name="40% - Énfasis1 18 2 2" xfId="2876" xr:uid="{2F8E971C-F65A-4A7A-94AB-D1CD33790F0F}"/>
    <cellStyle name="40% - Énfasis1 18 2 2 2" xfId="6608" xr:uid="{318BF28D-F924-4AA2-BAF0-8418F09532EE}"/>
    <cellStyle name="40% - Énfasis1 18 2 2 2 2" xfId="14316" xr:uid="{068D9F60-29A4-4BA5-82BE-2AFEA9A532B4}"/>
    <cellStyle name="40% - Énfasis1 18 2 2 2 2 2" xfId="29728" xr:uid="{4340EDE9-62AA-490C-B16A-DC85CAB86C3C}"/>
    <cellStyle name="40% - Énfasis1 18 2 2 2 2 2 2" xfId="44001" xr:uid="{6A96BF85-F8E4-4644-940E-AE4B519BA388}"/>
    <cellStyle name="40% - Énfasis1 18 2 2 2 2 3" xfId="44000" xr:uid="{7283B5C9-A09B-417F-9E21-543E7FB536BC}"/>
    <cellStyle name="40% - Énfasis1 18 2 2 2 3" xfId="22023" xr:uid="{B2CA1620-E5DD-4FD8-9BE3-C00C7D630E2E}"/>
    <cellStyle name="40% - Énfasis1 18 2 2 2 3 2" xfId="44002" xr:uid="{EECC9EE9-818D-4591-8EBA-0B875F308D5A}"/>
    <cellStyle name="40% - Énfasis1 18 2 2 2 4" xfId="43999" xr:uid="{89238E60-F81F-4253-8540-48876501F5BF}"/>
    <cellStyle name="40% - Énfasis1 18 2 2 3" xfId="10587" xr:uid="{F6B843D3-EBC8-403E-BE42-203EEC7A07DE}"/>
    <cellStyle name="40% - Énfasis1 18 2 2 3 2" xfId="26000" xr:uid="{F17C6A79-7B8F-44C9-9248-536349C106D7}"/>
    <cellStyle name="40% - Énfasis1 18 2 2 3 2 2" xfId="44004" xr:uid="{F2D8FEC6-2BFE-4F24-9AA9-54DAE178477E}"/>
    <cellStyle name="40% - Énfasis1 18 2 2 3 3" xfId="44003" xr:uid="{4AF76AF0-B0AF-4EC5-8010-5CE12563B556}"/>
    <cellStyle name="40% - Énfasis1 18 2 2 4" xfId="18295" xr:uid="{DE3CC80D-B6A6-4D8A-AC5C-2C6AD1E02A32}"/>
    <cellStyle name="40% - Énfasis1 18 2 2 4 2" xfId="44005" xr:uid="{2895B5F0-6E4F-4ECD-8177-B14C8BF39868}"/>
    <cellStyle name="40% - Énfasis1 18 2 2 5" xfId="43998" xr:uid="{2362C2A4-F6E4-4AA6-9C2C-0E00D29082E4}"/>
    <cellStyle name="40% - Énfasis1 18 2 3" xfId="5145" xr:uid="{9827AFC0-142C-4768-8B45-CB0D84CCE790}"/>
    <cellStyle name="40% - Énfasis1 18 2 3 2" xfId="12853" xr:uid="{5B1C68F0-9CCE-404E-9D2B-67490DE1830F}"/>
    <cellStyle name="40% - Énfasis1 18 2 3 2 2" xfId="28265" xr:uid="{E3FD3A46-566F-4532-9082-1159CB4C9C81}"/>
    <cellStyle name="40% - Énfasis1 18 2 3 2 2 2" xfId="44008" xr:uid="{447A2A4D-2EF3-4CF6-92BD-4EA10DA5F519}"/>
    <cellStyle name="40% - Énfasis1 18 2 3 2 3" xfId="44007" xr:uid="{D727AE30-75F3-418F-A584-376EC6DAA104}"/>
    <cellStyle name="40% - Énfasis1 18 2 3 3" xfId="20560" xr:uid="{0ADB9F10-06BD-4BF7-A7D9-6C5C3CEA5C00}"/>
    <cellStyle name="40% - Énfasis1 18 2 3 3 2" xfId="44009" xr:uid="{6BA46486-C902-43CF-904B-549999E23BD0}"/>
    <cellStyle name="40% - Énfasis1 18 2 3 4" xfId="44006" xr:uid="{D7858180-7F89-4E16-A7D3-B0744FA3DB9A}"/>
    <cellStyle name="40% - Énfasis1 18 2 4" xfId="9128" xr:uid="{389F93B6-F615-48B7-AAFA-ED61B44520D8}"/>
    <cellStyle name="40% - Énfasis1 18 2 4 2" xfId="24541" xr:uid="{07D2F91C-8115-41E8-BA4D-535CE8F67434}"/>
    <cellStyle name="40% - Énfasis1 18 2 4 2 2" xfId="44011" xr:uid="{20FCD383-F200-4643-9466-528C92FA69B3}"/>
    <cellStyle name="40% - Énfasis1 18 2 4 3" xfId="44010" xr:uid="{D9F79BF3-1E79-4EB6-A5A6-20C0B6048D47}"/>
    <cellStyle name="40% - Énfasis1 18 2 5" xfId="16836" xr:uid="{FD595E05-3508-421C-9712-52736F0F28D7}"/>
    <cellStyle name="40% - Énfasis1 18 2 5 2" xfId="44012" xr:uid="{5EF9F3A2-1894-4289-A3C9-2F41B5361479}"/>
    <cellStyle name="40% - Énfasis1 18 2 6" xfId="43997" xr:uid="{5662F012-7F6F-47AD-9809-762120AF8472}"/>
    <cellStyle name="40% - Énfasis1 18 3" xfId="2238" xr:uid="{AB1CF65F-7CC3-4BE0-B937-6F45995B1756}"/>
    <cellStyle name="40% - Énfasis1 18 3 2" xfId="5970" xr:uid="{D03EC8B6-0A30-44CC-A5F8-4E7CFF5E5FD4}"/>
    <cellStyle name="40% - Énfasis1 18 3 2 2" xfId="13678" xr:uid="{0A60E9C4-F082-4914-8B75-FB019953654B}"/>
    <cellStyle name="40% - Énfasis1 18 3 2 2 2" xfId="29090" xr:uid="{2AF233ED-4CF8-47FB-8F4A-A91A2F13EF9B}"/>
    <cellStyle name="40% - Énfasis1 18 3 2 2 2 2" xfId="44016" xr:uid="{EE47DC3E-BE4E-4E6C-A0FA-72949620D32B}"/>
    <cellStyle name="40% - Énfasis1 18 3 2 2 3" xfId="44015" xr:uid="{9CC7C06C-2E87-42DE-B6F3-57C0E2706C13}"/>
    <cellStyle name="40% - Énfasis1 18 3 2 3" xfId="21385" xr:uid="{62D8AAEE-C700-4C16-94D4-808912A10B9F}"/>
    <cellStyle name="40% - Énfasis1 18 3 2 3 2" xfId="44017" xr:uid="{2DCB287E-8C1E-4CE4-89D1-F1607CEFE17E}"/>
    <cellStyle name="40% - Énfasis1 18 3 2 4" xfId="44014" xr:uid="{AAF40EA7-ED6D-48AF-91F9-346AB4DAD7DF}"/>
    <cellStyle name="40% - Énfasis1 18 3 3" xfId="9949" xr:uid="{A09282BE-8FA6-49E3-B98B-13E3E918E215}"/>
    <cellStyle name="40% - Énfasis1 18 3 3 2" xfId="25362" xr:uid="{C17A0B76-CCAD-46B3-A119-2B16D1BD1C99}"/>
    <cellStyle name="40% - Énfasis1 18 3 3 2 2" xfId="44019" xr:uid="{7379DECE-1360-4D01-88EE-48CFE40EDB5B}"/>
    <cellStyle name="40% - Énfasis1 18 3 3 3" xfId="44018" xr:uid="{A504EF4D-BE0B-4EEF-B481-A207B6D19E06}"/>
    <cellStyle name="40% - Énfasis1 18 3 4" xfId="17657" xr:uid="{2F56BE08-F109-41D0-8F90-C4AC8B06738C}"/>
    <cellStyle name="40% - Énfasis1 18 3 4 2" xfId="44020" xr:uid="{1C58D1EC-AD36-47E8-9059-8754EA60668D}"/>
    <cellStyle name="40% - Énfasis1 18 3 5" xfId="44013" xr:uid="{C46CDE97-4A36-4CE5-99F4-47A977D62DF6}"/>
    <cellStyle name="40% - Énfasis1 18 4" xfId="4493" xr:uid="{AB4E6500-44E2-4F91-A95C-084DD433BD17}"/>
    <cellStyle name="40% - Énfasis1 18 4 2" xfId="12201" xr:uid="{1195FE62-3E04-431C-B010-4B94BF8AAAC1}"/>
    <cellStyle name="40% - Énfasis1 18 4 2 2" xfId="27613" xr:uid="{95F88595-6817-4E3F-86AA-7B105D5B85B1}"/>
    <cellStyle name="40% - Énfasis1 18 4 2 2 2" xfId="44023" xr:uid="{60E5C42C-E1FF-4A43-B2E0-19383178FDCE}"/>
    <cellStyle name="40% - Énfasis1 18 4 2 3" xfId="44022" xr:uid="{18490DB0-8537-4A34-BF59-0AC9397740B6}"/>
    <cellStyle name="40% - Énfasis1 18 4 3" xfId="19908" xr:uid="{4167B0B9-0AF7-4544-A322-AAFB611ADA94}"/>
    <cellStyle name="40% - Énfasis1 18 4 3 2" xfId="44024" xr:uid="{8FDE544C-8B5D-4752-A84F-63079C5E0534}"/>
    <cellStyle name="40% - Énfasis1 18 4 4" xfId="44021" xr:uid="{18235897-ED4E-48DF-9AC7-3DEE7898AA2D}"/>
    <cellStyle name="40% - Énfasis1 18 5" xfId="8490" xr:uid="{D9D05A6F-A1A6-4264-AC4C-6E7DA8AEF05C}"/>
    <cellStyle name="40% - Énfasis1 18 5 2" xfId="23903" xr:uid="{9F5ABFAF-2B31-4CF7-9B8E-9D0CBD0EF648}"/>
    <cellStyle name="40% - Énfasis1 18 5 2 2" xfId="44026" xr:uid="{1BA5D143-5C1E-40FA-8676-5242E970A9F7}"/>
    <cellStyle name="40% - Énfasis1 18 5 3" xfId="44025" xr:uid="{825F725F-4F93-4170-9963-64FEC7225CFC}"/>
    <cellStyle name="40% - Énfasis1 18 6" xfId="16198" xr:uid="{C30275B9-DF06-4D56-A26A-634A8A2D0EAE}"/>
    <cellStyle name="40% - Énfasis1 18 6 2" xfId="44027" xr:uid="{80E8BA4F-1053-4CD8-8B80-CAFF238E4E4D}"/>
    <cellStyle name="40% - Énfasis1 18 7" xfId="43996" xr:uid="{043DB6B6-2784-44D5-A2BB-AC408BCAD7C2}"/>
    <cellStyle name="40% - Énfasis1 19" xfId="767" xr:uid="{68DB7988-3631-465C-854B-7AE54B983C79}"/>
    <cellStyle name="40% - Énfasis1 19 2" xfId="2257" xr:uid="{7FC60C4F-EB4E-4396-9E2C-A7D3900A7CBA}"/>
    <cellStyle name="40% - Énfasis1 19 2 2" xfId="5989" xr:uid="{5F5931B4-739E-4FDA-AB6C-AE96A5DCC846}"/>
    <cellStyle name="40% - Énfasis1 19 2 2 2" xfId="13697" xr:uid="{82D771F8-3C29-48CD-8898-6EAF4F94F305}"/>
    <cellStyle name="40% - Énfasis1 19 2 2 2 2" xfId="29109" xr:uid="{B2129E6D-FCB7-4076-8D3C-974FBA1CAB3D}"/>
    <cellStyle name="40% - Énfasis1 19 2 2 2 2 2" xfId="44032" xr:uid="{FD3109C4-9675-4336-A394-331F1F20EBD4}"/>
    <cellStyle name="40% - Énfasis1 19 2 2 2 3" xfId="44031" xr:uid="{C24944E6-FB66-4FBC-A8D9-91ADB69355ED}"/>
    <cellStyle name="40% - Énfasis1 19 2 2 3" xfId="21404" xr:uid="{C1852E1C-C4B0-4B3E-919A-1858AEA4B34D}"/>
    <cellStyle name="40% - Énfasis1 19 2 2 3 2" xfId="44033" xr:uid="{8004C287-30E2-4229-BF5E-88530B93CC45}"/>
    <cellStyle name="40% - Énfasis1 19 2 2 4" xfId="44030" xr:uid="{DACF1D1C-CC89-49CD-AAFB-BE9859258BAF}"/>
    <cellStyle name="40% - Énfasis1 19 2 3" xfId="9968" xr:uid="{E05D9E91-25EE-4358-B302-9C3562117898}"/>
    <cellStyle name="40% - Énfasis1 19 2 3 2" xfId="25381" xr:uid="{59E8F6D4-A96F-49B6-A0B9-A1517703CEB8}"/>
    <cellStyle name="40% - Énfasis1 19 2 3 2 2" xfId="44035" xr:uid="{5DBBAD3C-0525-4C19-96E6-0EC14DD00DC6}"/>
    <cellStyle name="40% - Énfasis1 19 2 3 3" xfId="44034" xr:uid="{C267CACB-9447-48CE-A307-DCECAADBB193}"/>
    <cellStyle name="40% - Énfasis1 19 2 4" xfId="17676" xr:uid="{88780B66-A6CD-4164-BD95-E4CA95F0960F}"/>
    <cellStyle name="40% - Énfasis1 19 2 4 2" xfId="44036" xr:uid="{A04E5452-0894-4F1C-BAE6-ACE4B7A1595D}"/>
    <cellStyle name="40% - Énfasis1 19 2 5" xfId="44029" xr:uid="{868E82E9-01CD-4287-94CB-889153FC3E57}"/>
    <cellStyle name="40% - Énfasis1 19 3" xfId="4512" xr:uid="{AD4D782F-9C7E-4257-BFAB-F5CEA0EF5461}"/>
    <cellStyle name="40% - Énfasis1 19 3 2" xfId="12220" xr:uid="{A86620FF-95C9-436D-A4AF-4F15FC1AC0D6}"/>
    <cellStyle name="40% - Énfasis1 19 3 2 2" xfId="27632" xr:uid="{5401130E-E24E-4402-B2B1-FC67E89FEB79}"/>
    <cellStyle name="40% - Énfasis1 19 3 2 2 2" xfId="44039" xr:uid="{04051604-4A4E-4197-A2E3-373A45FBD955}"/>
    <cellStyle name="40% - Énfasis1 19 3 2 3" xfId="44038" xr:uid="{56C7C843-C699-490E-AD4E-A0EC746456A9}"/>
    <cellStyle name="40% - Énfasis1 19 3 3" xfId="19927" xr:uid="{6C8D5627-9F6F-4A5B-9EA0-269746E61F56}"/>
    <cellStyle name="40% - Énfasis1 19 3 3 2" xfId="44040" xr:uid="{C216E0EB-40D5-4C85-ABEE-9F9916099F54}"/>
    <cellStyle name="40% - Énfasis1 19 3 4" xfId="44037" xr:uid="{C044BF21-9941-48F4-B30E-0FE36810BA4A}"/>
    <cellStyle name="40% - Énfasis1 19 4" xfId="8509" xr:uid="{DF20F688-3ADB-43B0-B7A9-1657010CF20A}"/>
    <cellStyle name="40% - Énfasis1 19 4 2" xfId="23922" xr:uid="{0564DF5D-0CD6-4653-9F91-8EE3139F26E3}"/>
    <cellStyle name="40% - Énfasis1 19 4 2 2" xfId="44042" xr:uid="{0AF5AE08-80F6-4826-9EAE-E33D8B289B17}"/>
    <cellStyle name="40% - Énfasis1 19 4 3" xfId="44041" xr:uid="{7C1B19EF-00A7-4294-8528-9ED761EE06FB}"/>
    <cellStyle name="40% - Énfasis1 19 5" xfId="16217" xr:uid="{5C39A39B-4EC5-482C-B1A5-84B366C6CAD5}"/>
    <cellStyle name="40% - Énfasis1 19 5 2" xfId="44043" xr:uid="{EB80DAAF-A1E9-4D15-B5FF-79E5EEB213A2}"/>
    <cellStyle name="40% - Énfasis1 19 6" xfId="44028" xr:uid="{7515591A-9ECA-4FBD-8965-8C8E4F14A802}"/>
    <cellStyle name="40% - Énfasis1 2" xfId="171" xr:uid="{628DA93F-D3C7-4C3E-9C5D-2F8E4FB5611E}"/>
    <cellStyle name="40% - Énfasis1 2 2" xfId="381" xr:uid="{62434ED9-F455-4A0C-93D4-3DA4AAF6FA3A}"/>
    <cellStyle name="40% - Énfasis1 2 2 2" xfId="1043" xr:uid="{C139D7EA-2681-467F-8475-C5345B7E806D}"/>
    <cellStyle name="40% - Énfasis1 2 2 2 2" xfId="2511" xr:uid="{A7914781-738E-471C-BD89-6904E11B659E}"/>
    <cellStyle name="40% - Énfasis1 2 2 2 2 2" xfId="6243" xr:uid="{65BFB442-3680-4AA8-960C-EAF355030C48}"/>
    <cellStyle name="40% - Énfasis1 2 2 2 2 2 2" xfId="13951" xr:uid="{AC407CA3-54FA-4026-8E79-ACF09610B309}"/>
    <cellStyle name="40% - Énfasis1 2 2 2 2 2 2 2" xfId="29363" xr:uid="{FC5E2F3C-CE88-4033-A0DF-4AC29E9FED04}"/>
    <cellStyle name="40% - Énfasis1 2 2 2 2 2 2 2 2" xfId="44050" xr:uid="{E15B5D43-95FA-4368-94A1-AE9A54870AC1}"/>
    <cellStyle name="40% - Énfasis1 2 2 2 2 2 2 3" xfId="44049" xr:uid="{B535235B-E943-4955-8A0C-FE05A3DF704D}"/>
    <cellStyle name="40% - Énfasis1 2 2 2 2 2 3" xfId="21658" xr:uid="{7C1FF3DE-F44B-4556-827F-D94CFD5C7300}"/>
    <cellStyle name="40% - Énfasis1 2 2 2 2 2 3 2" xfId="44051" xr:uid="{8A1A8788-4DD7-49FF-BFD2-EE578A1D5A5B}"/>
    <cellStyle name="40% - Énfasis1 2 2 2 2 2 4" xfId="44048" xr:uid="{7EBD8094-99D2-432D-BFFB-B2C7FBEB383B}"/>
    <cellStyle name="40% - Énfasis1 2 2 2 2 3" xfId="10222" xr:uid="{85F2B562-1C1D-4697-A00A-6D04DFB90088}"/>
    <cellStyle name="40% - Énfasis1 2 2 2 2 3 2" xfId="25635" xr:uid="{10A874D1-919D-4259-B08C-34406E15A5CE}"/>
    <cellStyle name="40% - Énfasis1 2 2 2 2 3 2 2" xfId="44053" xr:uid="{2BED1EA2-242C-445A-8C1A-12451BCB6AD1}"/>
    <cellStyle name="40% - Énfasis1 2 2 2 2 3 3" xfId="44052" xr:uid="{127A51A0-588F-42AB-AD3C-D6E0022C8ACE}"/>
    <cellStyle name="40% - Énfasis1 2 2 2 2 4" xfId="17930" xr:uid="{AB834BB2-5E89-4345-B105-62A940D652AB}"/>
    <cellStyle name="40% - Énfasis1 2 2 2 2 4 2" xfId="44054" xr:uid="{F5227508-B026-4D73-9B69-C32BF4D54FA4}"/>
    <cellStyle name="40% - Énfasis1 2 2 2 2 5" xfId="44047" xr:uid="{7F52048F-D239-4997-B045-30F8E5EE2C15}"/>
    <cellStyle name="40% - Énfasis1 2 2 2 3" xfId="4780" xr:uid="{DFBC56B5-E359-4B44-8514-B922775B0B4C}"/>
    <cellStyle name="40% - Énfasis1 2 2 2 3 2" xfId="12488" xr:uid="{AB9F883F-ACDF-48D8-AAC7-F660310311F0}"/>
    <cellStyle name="40% - Énfasis1 2 2 2 3 2 2" xfId="27900" xr:uid="{EBA4F01E-EB23-4121-8719-76A1721CC131}"/>
    <cellStyle name="40% - Énfasis1 2 2 2 3 2 2 2" xfId="44057" xr:uid="{200807B6-8638-404D-8880-D8D837BF60F7}"/>
    <cellStyle name="40% - Énfasis1 2 2 2 3 2 3" xfId="44056" xr:uid="{089BEF77-70EE-4635-BA12-CD0F58665E02}"/>
    <cellStyle name="40% - Énfasis1 2 2 2 3 3" xfId="20195" xr:uid="{158D0CA8-CB88-4B97-BBBD-ADC816DEA8CB}"/>
    <cellStyle name="40% - Énfasis1 2 2 2 3 3 2" xfId="44058" xr:uid="{1BFEB46B-9982-4FA8-BA22-AA89BF468A6F}"/>
    <cellStyle name="40% - Énfasis1 2 2 2 3 4" xfId="44055" xr:uid="{983BC16F-CA31-425A-810B-09FB36C5D0CA}"/>
    <cellStyle name="40% - Énfasis1 2 2 2 4" xfId="8763" xr:uid="{BB14207F-9827-49A1-9E25-D9E1295BC62E}"/>
    <cellStyle name="40% - Énfasis1 2 2 2 4 2" xfId="24176" xr:uid="{5FE142B1-00B8-4BE5-8621-1CD314B73CD8}"/>
    <cellStyle name="40% - Énfasis1 2 2 2 4 2 2" xfId="44060" xr:uid="{3528A2B3-05B9-4F4F-B6B9-21A3B186C083}"/>
    <cellStyle name="40% - Énfasis1 2 2 2 4 3" xfId="44059" xr:uid="{5C0511D1-4300-44A7-ACC5-599D20609C61}"/>
    <cellStyle name="40% - Énfasis1 2 2 2 5" xfId="16471" xr:uid="{E6A6ED8D-C74A-4C02-982B-38902CF4EF62}"/>
    <cellStyle name="40% - Énfasis1 2 2 2 5 2" xfId="44061" xr:uid="{B7C1BE7E-C79E-4AC6-B081-6857E31FEECE}"/>
    <cellStyle name="40% - Énfasis1 2 2 2 6" xfId="44046" xr:uid="{7F588FBC-9472-415E-9EC8-6EAD38D0A67F}"/>
    <cellStyle name="40% - Énfasis1 2 2 3" xfId="1873" xr:uid="{6FE9BC21-7CCC-4E3A-A9F0-DF848C9EAA5D}"/>
    <cellStyle name="40% - Énfasis1 2 2 3 2" xfId="5605" xr:uid="{0F009E6C-B9F6-4EA3-9DD1-DE776F25AD18}"/>
    <cellStyle name="40% - Énfasis1 2 2 3 2 2" xfId="13313" xr:uid="{D5C397C0-8FC9-4A5F-AC15-6867DF374330}"/>
    <cellStyle name="40% - Énfasis1 2 2 3 2 2 2" xfId="28725" xr:uid="{56667A26-DC8C-456B-B2C0-7CBC83554D7E}"/>
    <cellStyle name="40% - Énfasis1 2 2 3 2 2 2 2" xfId="44065" xr:uid="{5F4035C2-A57E-4F3E-9984-70AFE1C69254}"/>
    <cellStyle name="40% - Énfasis1 2 2 3 2 2 3" xfId="44064" xr:uid="{FD5B075A-1B87-48B8-BB66-F644D99F5C6E}"/>
    <cellStyle name="40% - Énfasis1 2 2 3 2 3" xfId="21020" xr:uid="{47C5AA7D-8C6E-44F0-90FD-35BEF03AB3CA}"/>
    <cellStyle name="40% - Énfasis1 2 2 3 2 3 2" xfId="44066" xr:uid="{494E0CB5-4EFE-4D33-915A-ED77BBF33C01}"/>
    <cellStyle name="40% - Énfasis1 2 2 3 2 4" xfId="44063" xr:uid="{EAC6769B-C38A-41E2-BEA8-D9153894D4B5}"/>
    <cellStyle name="40% - Énfasis1 2 2 3 3" xfId="9584" xr:uid="{E54977C3-511B-4E1B-BE61-E9306798D6DA}"/>
    <cellStyle name="40% - Énfasis1 2 2 3 3 2" xfId="24997" xr:uid="{3979D730-2CBD-4B5F-A139-49D86A36DA73}"/>
    <cellStyle name="40% - Énfasis1 2 2 3 3 2 2" xfId="44068" xr:uid="{CF6F7736-5B29-4110-90F9-52EFD45D0578}"/>
    <cellStyle name="40% - Énfasis1 2 2 3 3 3" xfId="44067" xr:uid="{1C8F3235-3E5D-4781-B416-3F6632A8052B}"/>
    <cellStyle name="40% - Énfasis1 2 2 3 4" xfId="17292" xr:uid="{B0F85794-14A4-4791-8111-0FB9B5180FEB}"/>
    <cellStyle name="40% - Énfasis1 2 2 3 4 2" xfId="44069" xr:uid="{BCE84D32-E161-47FC-A02B-1AC40771EBAE}"/>
    <cellStyle name="40% - Énfasis1 2 2 3 5" xfId="44062" xr:uid="{EA844944-AB93-4502-8795-EAA7C270FA9A}"/>
    <cellStyle name="40% - Énfasis1 2 2 4" xfId="4128" xr:uid="{F1775529-1ABF-4D9B-894D-4891F1A50B16}"/>
    <cellStyle name="40% - Énfasis1 2 2 4 2" xfId="11836" xr:uid="{4C4699F2-17EC-4D04-8C9F-0FB6FD18A1B9}"/>
    <cellStyle name="40% - Énfasis1 2 2 4 2 2" xfId="27248" xr:uid="{913E6AD1-E1BE-4B13-B616-4C5D2017B938}"/>
    <cellStyle name="40% - Énfasis1 2 2 4 2 2 2" xfId="44072" xr:uid="{FC78A623-7CEE-4822-90D1-3DFFF43E9B2C}"/>
    <cellStyle name="40% - Énfasis1 2 2 4 2 3" xfId="44071" xr:uid="{C1E114C7-ADF2-42ED-8976-E2FF8249215F}"/>
    <cellStyle name="40% - Énfasis1 2 2 4 3" xfId="19543" xr:uid="{C058F019-17D8-4458-83B6-220E789C948B}"/>
    <cellStyle name="40% - Énfasis1 2 2 4 3 2" xfId="44073" xr:uid="{2D85161E-7613-4AAB-9410-10A6A50854B1}"/>
    <cellStyle name="40% - Énfasis1 2 2 4 4" xfId="44070" xr:uid="{43F8EF2D-7138-459B-9802-33EC768B4365}"/>
    <cellStyle name="40% - Énfasis1 2 2 5" xfId="8125" xr:uid="{D81DA8F3-02B6-4C1C-BB3F-837B7127C9A4}"/>
    <cellStyle name="40% - Énfasis1 2 2 5 2" xfId="23538" xr:uid="{5F2A235F-83D1-47FA-A92F-9043BFC020C7}"/>
    <cellStyle name="40% - Énfasis1 2 2 5 2 2" xfId="44075" xr:uid="{637BD0E0-5609-4FD5-B1D1-48BC62788502}"/>
    <cellStyle name="40% - Énfasis1 2 2 5 3" xfId="44074" xr:uid="{027C3BEC-ACCF-4383-9FCC-02C452252AA8}"/>
    <cellStyle name="40% - Énfasis1 2 2 6" xfId="15833" xr:uid="{0E63BBFB-FFFF-48CD-B2B9-9A4B10D1942F}"/>
    <cellStyle name="40% - Énfasis1 2 2 6 2" xfId="44076" xr:uid="{5AEDC50B-E169-4D40-8600-6B468E15750D}"/>
    <cellStyle name="40% - Énfasis1 2 2 7" xfId="44045" xr:uid="{9E62E6FF-316C-45CC-A55A-638C56BE3B02}"/>
    <cellStyle name="40% - Énfasis1 2 3" xfId="838" xr:uid="{D1526B6C-DA91-40ED-A790-343D438BFA06}"/>
    <cellStyle name="40% - Énfasis1 2 3 2" xfId="2313" xr:uid="{C5140B3A-4C15-45D9-BF11-D6843896CBD1}"/>
    <cellStyle name="40% - Énfasis1 2 3 2 2" xfId="6045" xr:uid="{F62C2959-38C6-4B91-A852-AD524CDB618A}"/>
    <cellStyle name="40% - Énfasis1 2 3 2 2 2" xfId="13753" xr:uid="{CB7C8E36-F53E-4A83-89AF-BFE68CE22018}"/>
    <cellStyle name="40% - Énfasis1 2 3 2 2 2 2" xfId="29165" xr:uid="{D1F228E7-3E62-455C-84F2-E88E1B07FB69}"/>
    <cellStyle name="40% - Énfasis1 2 3 2 2 2 2 2" xfId="44081" xr:uid="{A24AABCB-D8EE-496A-B342-AC8D43A329B1}"/>
    <cellStyle name="40% - Énfasis1 2 3 2 2 2 3" xfId="44080" xr:uid="{D6E431F8-A29B-43C0-9BB8-B55F9BA26855}"/>
    <cellStyle name="40% - Énfasis1 2 3 2 2 3" xfId="21460" xr:uid="{8DF08BF4-6913-47BE-AE77-EDDF4BDCA153}"/>
    <cellStyle name="40% - Énfasis1 2 3 2 2 3 2" xfId="44082" xr:uid="{3EFACD1B-C032-4C9A-9EDD-A6C23EA420E9}"/>
    <cellStyle name="40% - Énfasis1 2 3 2 2 4" xfId="44079" xr:uid="{B654F40D-2D28-4EEF-8ADA-EAE61E30BED1}"/>
    <cellStyle name="40% - Énfasis1 2 3 2 3" xfId="10024" xr:uid="{17F1E026-D579-44AA-97A0-F2620CA91CD5}"/>
    <cellStyle name="40% - Énfasis1 2 3 2 3 2" xfId="25437" xr:uid="{70371F0E-9096-4713-93DE-7EFEB91A46D7}"/>
    <cellStyle name="40% - Énfasis1 2 3 2 3 2 2" xfId="44084" xr:uid="{F956C07F-378F-435E-94C5-1DAE9D38ECB5}"/>
    <cellStyle name="40% - Énfasis1 2 3 2 3 3" xfId="44083" xr:uid="{D100CC13-EC40-4D98-B560-189D24D1D4BD}"/>
    <cellStyle name="40% - Énfasis1 2 3 2 4" xfId="17732" xr:uid="{DE1E714D-33C4-47DC-B421-AE6BB0C8BE13}"/>
    <cellStyle name="40% - Énfasis1 2 3 2 4 2" xfId="44085" xr:uid="{7CB1612B-3907-49A6-A4CF-2806D4B60CB1}"/>
    <cellStyle name="40% - Énfasis1 2 3 2 5" xfId="44078" xr:uid="{48C3CBE0-03D6-4235-9998-3771D0AD7AE5}"/>
    <cellStyle name="40% - Énfasis1 2 3 3" xfId="4575" xr:uid="{5B4DB31F-73F7-4CBD-8AC1-A2F4F48FFE2C}"/>
    <cellStyle name="40% - Énfasis1 2 3 3 2" xfId="12283" xr:uid="{DB75A74F-B59A-4B1B-B019-B243E1913B96}"/>
    <cellStyle name="40% - Énfasis1 2 3 3 2 2" xfId="27695" xr:uid="{9E8EC4FC-A89B-413C-B803-1B5FC3C0A098}"/>
    <cellStyle name="40% - Énfasis1 2 3 3 2 2 2" xfId="44088" xr:uid="{F945DA59-C9AF-4994-B81A-5E67CFC1E954}"/>
    <cellStyle name="40% - Énfasis1 2 3 3 2 3" xfId="44087" xr:uid="{371DE012-50E4-40B7-905A-4F3F8F550BA2}"/>
    <cellStyle name="40% - Énfasis1 2 3 3 3" xfId="19990" xr:uid="{B8BF3386-00DE-4B23-9DC4-20C326C520E7}"/>
    <cellStyle name="40% - Énfasis1 2 3 3 3 2" xfId="44089" xr:uid="{D049884A-7600-41D9-A877-21F72546736C}"/>
    <cellStyle name="40% - Énfasis1 2 3 3 4" xfId="44086" xr:uid="{6F3D9685-5E04-4849-A19E-49F9F2DA7CC2}"/>
    <cellStyle name="40% - Énfasis1 2 3 4" xfId="8565" xr:uid="{73600DD0-A0FA-4D4A-937D-989B4A4AA733}"/>
    <cellStyle name="40% - Énfasis1 2 3 4 2" xfId="23978" xr:uid="{962EFA89-85A6-4FA4-B0A7-386D0938E444}"/>
    <cellStyle name="40% - Énfasis1 2 3 4 2 2" xfId="44091" xr:uid="{44922BB1-1D5D-4661-B467-1E5912255307}"/>
    <cellStyle name="40% - Énfasis1 2 3 4 3" xfId="44090" xr:uid="{3EE6E3D8-18B7-4458-B39E-EF6E32E47D6D}"/>
    <cellStyle name="40% - Énfasis1 2 3 5" xfId="16273" xr:uid="{65219394-3136-4C34-B16B-0AC5EDDBAABE}"/>
    <cellStyle name="40% - Énfasis1 2 3 5 2" xfId="44092" xr:uid="{CAFD43EE-1AF0-4E52-A0DF-3A3E10E44841}"/>
    <cellStyle name="40% - Énfasis1 2 3 6" xfId="44077" xr:uid="{82A80EB1-735A-4B29-B1EA-3D8CC65CB350}"/>
    <cellStyle name="40% - Énfasis1 2 4" xfId="1675" xr:uid="{DFF6236F-9D49-4756-ACA9-9210F45170D8}"/>
    <cellStyle name="40% - Énfasis1 2 4 2" xfId="5407" xr:uid="{B7B6DD09-71F0-45C8-8EDD-F63F1F5FE27C}"/>
    <cellStyle name="40% - Énfasis1 2 4 2 2" xfId="13115" xr:uid="{855A68E9-29B1-4CED-89A5-AA50A6EA230D}"/>
    <cellStyle name="40% - Énfasis1 2 4 2 2 2" xfId="28527" xr:uid="{484EF8B2-2CE7-443C-97FB-7EAFB03CEF15}"/>
    <cellStyle name="40% - Énfasis1 2 4 2 2 2 2" xfId="44096" xr:uid="{871C5AC6-AA98-422D-85C2-1448616A4FD3}"/>
    <cellStyle name="40% - Énfasis1 2 4 2 2 3" xfId="44095" xr:uid="{BACA7D16-9E9F-4462-878C-5B10A370B9C1}"/>
    <cellStyle name="40% - Énfasis1 2 4 2 3" xfId="20822" xr:uid="{7A0BB2EA-0572-456B-B589-2CD7305DD4BE}"/>
    <cellStyle name="40% - Énfasis1 2 4 2 3 2" xfId="44097" xr:uid="{AD6CB056-A915-4DA5-B7DC-5DD5F4FE1945}"/>
    <cellStyle name="40% - Énfasis1 2 4 2 4" xfId="44094" xr:uid="{5C4085D2-4EE1-423D-94DD-A1ED6A3EEEAF}"/>
    <cellStyle name="40% - Énfasis1 2 4 3" xfId="9386" xr:uid="{8DE1C2BB-C02C-464E-9173-5B6D9779AFB5}"/>
    <cellStyle name="40% - Énfasis1 2 4 3 2" xfId="24799" xr:uid="{CF8E6F6C-2591-419F-A647-17D23DA64510}"/>
    <cellStyle name="40% - Énfasis1 2 4 3 2 2" xfId="44099" xr:uid="{BD7EF559-E4C1-4A37-BA22-1FAAA106DF95}"/>
    <cellStyle name="40% - Énfasis1 2 4 3 3" xfId="44098" xr:uid="{63CC32EA-4941-4747-AFFD-68B8817299FA}"/>
    <cellStyle name="40% - Énfasis1 2 4 4" xfId="17094" xr:uid="{A9574915-0BB1-440B-9D0E-0307329A9068}"/>
    <cellStyle name="40% - Énfasis1 2 4 4 2" xfId="44100" xr:uid="{4B36D1C3-0055-443C-83B2-8D9E095305C5}"/>
    <cellStyle name="40% - Énfasis1 2 4 5" xfId="44093" xr:uid="{55374C72-93CF-4B7E-9514-C16D9E5B0107}"/>
    <cellStyle name="40% - Énfasis1 2 5" xfId="3923" xr:uid="{B765FD95-916B-42DB-B76B-94B0B93E648E}"/>
    <cellStyle name="40% - Énfasis1 2 5 2" xfId="11631" xr:uid="{782C7D5A-BEE1-4927-AE96-F4AA1F1EDBF2}"/>
    <cellStyle name="40% - Énfasis1 2 5 2 2" xfId="27043" xr:uid="{8C0BB98C-1327-4FF1-98D6-19C21F813D66}"/>
    <cellStyle name="40% - Énfasis1 2 5 2 2 2" xfId="44103" xr:uid="{B866BED4-7D54-4849-B7B4-FD77938CBB8A}"/>
    <cellStyle name="40% - Énfasis1 2 5 2 3" xfId="44102" xr:uid="{B4897596-0100-476E-8B4A-6DD53DD72A20}"/>
    <cellStyle name="40% - Énfasis1 2 5 3" xfId="19338" xr:uid="{CE3489CF-B3B4-4025-9A1D-72FEB6309E8B}"/>
    <cellStyle name="40% - Énfasis1 2 5 3 2" xfId="44104" xr:uid="{3F95338C-547D-457D-9269-F2FB078393D3}"/>
    <cellStyle name="40% - Énfasis1 2 5 4" xfId="44101" xr:uid="{5834C921-EAD9-4915-ACAF-1F6B349E7281}"/>
    <cellStyle name="40% - Énfasis1 2 6" xfId="7927" xr:uid="{388DB77F-61BC-485F-B751-D47F45D056A2}"/>
    <cellStyle name="40% - Énfasis1 2 6 2" xfId="23340" xr:uid="{9D780689-7F9A-47DA-B5BA-3D91E2D864C1}"/>
    <cellStyle name="40% - Énfasis1 2 6 2 2" xfId="44106" xr:uid="{671D1E62-D0DF-4685-B18A-8936CFBB11F5}"/>
    <cellStyle name="40% - Énfasis1 2 6 3" xfId="44105" xr:uid="{00C1268E-F87C-4743-978E-4E0503F224BE}"/>
    <cellStyle name="40% - Énfasis1 2 7" xfId="15635" xr:uid="{101B87AF-870A-458A-8718-8CC746273B20}"/>
    <cellStyle name="40% - Énfasis1 2 7 2" xfId="44107" xr:uid="{8ECA5655-A171-4138-9CD7-B608D953BCDC}"/>
    <cellStyle name="40% - Énfasis1 2 8" xfId="44044" xr:uid="{7A25BEEB-31A6-4068-8266-E37A58521B33}"/>
    <cellStyle name="40% - Énfasis1 20" xfId="1431" xr:uid="{519C5B3E-4313-4649-9CC5-292C5FC7371D}"/>
    <cellStyle name="40% - Énfasis1 20 2" xfId="2896" xr:uid="{3EA4A2D8-37A5-449A-BC49-788772438E2F}"/>
    <cellStyle name="40% - Énfasis1 20 2 2" xfId="6628" xr:uid="{CE4C9F8D-8259-4B9C-B6C1-294415F055E4}"/>
    <cellStyle name="40% - Énfasis1 20 2 2 2" xfId="14336" xr:uid="{E0F07B89-DEC8-42AE-9D8E-E2145BF4000F}"/>
    <cellStyle name="40% - Énfasis1 20 2 2 2 2" xfId="29748" xr:uid="{0BF6E689-4AE9-41DF-A7AB-08FB58B1158F}"/>
    <cellStyle name="40% - Énfasis1 20 2 2 2 2 2" xfId="44112" xr:uid="{BB695221-AD1C-42D8-87EA-AB5EAC8D4ABF}"/>
    <cellStyle name="40% - Énfasis1 20 2 2 2 3" xfId="44111" xr:uid="{59CD9C1D-D2FC-4348-B0E6-F3F6B4CC37A3}"/>
    <cellStyle name="40% - Énfasis1 20 2 2 3" xfId="22043" xr:uid="{C6DB4CD6-1A84-4DEC-B0CA-1F6F2ED16DE0}"/>
    <cellStyle name="40% - Énfasis1 20 2 2 3 2" xfId="44113" xr:uid="{DD6C7C67-6180-404A-B6EA-7CB7B72E8E55}"/>
    <cellStyle name="40% - Énfasis1 20 2 2 4" xfId="44110" xr:uid="{139B0616-558C-457F-923A-2AA9B14DE719}"/>
    <cellStyle name="40% - Énfasis1 20 2 3" xfId="10607" xr:uid="{DD2960CA-FCC2-4315-A193-857704F424BC}"/>
    <cellStyle name="40% - Énfasis1 20 2 3 2" xfId="26020" xr:uid="{ECAAFD44-F82E-458D-B684-C5E56AFACE0C}"/>
    <cellStyle name="40% - Énfasis1 20 2 3 2 2" xfId="44115" xr:uid="{4129E592-25C0-45E2-911E-57C2F9D4622A}"/>
    <cellStyle name="40% - Énfasis1 20 2 3 3" xfId="44114" xr:uid="{538F9917-2E77-44AF-89B7-DF2B6D2BC600}"/>
    <cellStyle name="40% - Énfasis1 20 2 4" xfId="18315" xr:uid="{E4C6A612-B90A-451D-9332-458951BE072E}"/>
    <cellStyle name="40% - Énfasis1 20 2 4 2" xfId="44116" xr:uid="{13BDFBE3-9BA8-4413-AF98-6D91158026C0}"/>
    <cellStyle name="40% - Énfasis1 20 2 5" xfId="44109" xr:uid="{C5F7D2CC-2C22-4870-BA8F-838E1AAF6F5A}"/>
    <cellStyle name="40% - Énfasis1 20 3" xfId="5167" xr:uid="{19274A22-0EC7-4664-922E-FA0CEB1D9CFC}"/>
    <cellStyle name="40% - Énfasis1 20 3 2" xfId="12875" xr:uid="{6A9B7E73-9D1D-4678-9338-360DED8A69B7}"/>
    <cellStyle name="40% - Énfasis1 20 3 2 2" xfId="28287" xr:uid="{04360188-AA94-415E-844F-EF35B595F393}"/>
    <cellStyle name="40% - Énfasis1 20 3 2 2 2" xfId="44119" xr:uid="{A53533B1-C819-426D-9F26-28C8972E71A9}"/>
    <cellStyle name="40% - Énfasis1 20 3 2 3" xfId="44118" xr:uid="{D60E6312-0DBA-4588-84DA-8CA0C8DD3585}"/>
    <cellStyle name="40% - Énfasis1 20 3 3" xfId="20582" xr:uid="{2CFE70F1-09D8-4FA9-BE36-06170DFD6B9E}"/>
    <cellStyle name="40% - Énfasis1 20 3 3 2" xfId="44120" xr:uid="{0F2E22A8-83BB-41A1-9126-46489277C9E4}"/>
    <cellStyle name="40% - Énfasis1 20 3 4" xfId="44117" xr:uid="{CEDFE249-DF48-4DCD-BD5B-B10FB291A5AB}"/>
    <cellStyle name="40% - Énfasis1 20 4" xfId="9148" xr:uid="{0437D729-81A2-4921-A3A1-AD3A03426D4F}"/>
    <cellStyle name="40% - Énfasis1 20 4 2" xfId="24561" xr:uid="{34E74EFB-277D-46AC-A94B-A27C18EE7314}"/>
    <cellStyle name="40% - Énfasis1 20 4 2 2" xfId="44122" xr:uid="{4694A64B-99CD-4ED4-B8EB-0410619A90A2}"/>
    <cellStyle name="40% - Énfasis1 20 4 3" xfId="44121" xr:uid="{232E09E4-8574-4243-A186-D83883A87640}"/>
    <cellStyle name="40% - Énfasis1 20 5" xfId="16856" xr:uid="{E2E49A1E-80EB-4CB8-B1CD-6D29B9AD530D}"/>
    <cellStyle name="40% - Énfasis1 20 5 2" xfId="44123" xr:uid="{9526059B-5849-418C-A5E7-CEC31243C761}"/>
    <cellStyle name="40% - Énfasis1 20 6" xfId="44108" xr:uid="{AB5311DC-B65E-4BC3-81E9-132E2017EA59}"/>
    <cellStyle name="40% - Énfasis1 21" xfId="1451" xr:uid="{A34AF0F2-5061-4382-9E9D-09A6400A9220}"/>
    <cellStyle name="40% - Énfasis1 21 2" xfId="2916" xr:uid="{53AB4B3A-B9EC-415D-BA01-7C9DE4C09B42}"/>
    <cellStyle name="40% - Énfasis1 21 2 2" xfId="6648" xr:uid="{E1578FC4-D229-4D40-A97A-D20338385509}"/>
    <cellStyle name="40% - Énfasis1 21 2 2 2" xfId="14356" xr:uid="{6BA98ABC-9881-4E63-AEC7-63F043D036DA}"/>
    <cellStyle name="40% - Énfasis1 21 2 2 2 2" xfId="29768" xr:uid="{02E3B4FF-2E04-447C-91CB-2F1DD9212EAC}"/>
    <cellStyle name="40% - Énfasis1 21 2 2 2 2 2" xfId="44128" xr:uid="{2DB2BBB2-EC52-42B5-9DE7-88BBD58B7398}"/>
    <cellStyle name="40% - Énfasis1 21 2 2 2 3" xfId="44127" xr:uid="{32B09279-775A-467D-A21C-CA88D85667EC}"/>
    <cellStyle name="40% - Énfasis1 21 2 2 3" xfId="22063" xr:uid="{9260C340-A726-497E-A279-F78D4369DE51}"/>
    <cellStyle name="40% - Énfasis1 21 2 2 3 2" xfId="44129" xr:uid="{E37FF377-47E5-45DF-8FE9-9F8ADF29220E}"/>
    <cellStyle name="40% - Énfasis1 21 2 2 4" xfId="44126" xr:uid="{190E30C0-9DD4-4621-AF8D-18B47BF9215F}"/>
    <cellStyle name="40% - Énfasis1 21 2 3" xfId="10627" xr:uid="{868433D4-ACCB-41E3-9D0E-9F8C148065F4}"/>
    <cellStyle name="40% - Énfasis1 21 2 3 2" xfId="26040" xr:uid="{2A05EB9F-44BC-41EE-A79C-D605FB45ED6C}"/>
    <cellStyle name="40% - Énfasis1 21 2 3 2 2" xfId="44131" xr:uid="{6D705A87-6B2E-45CA-85F2-0DC629235E9C}"/>
    <cellStyle name="40% - Énfasis1 21 2 3 3" xfId="44130" xr:uid="{1DFC04CD-4443-46EF-908F-7C46B9EC957D}"/>
    <cellStyle name="40% - Énfasis1 21 2 4" xfId="18335" xr:uid="{9A1AE668-7FC0-4C7C-A571-10EE3A3E6B1B}"/>
    <cellStyle name="40% - Énfasis1 21 2 4 2" xfId="44132" xr:uid="{5B4E6CFF-487F-4AB9-9683-DD0B56CFEC8F}"/>
    <cellStyle name="40% - Énfasis1 21 2 5" xfId="44125" xr:uid="{1F253832-1241-491D-BC44-1DBB05846E52}"/>
    <cellStyle name="40% - Énfasis1 21 3" xfId="5187" xr:uid="{3C408F49-28CC-4F8A-834E-664F2E421DC3}"/>
    <cellStyle name="40% - Énfasis1 21 3 2" xfId="12895" xr:uid="{0B01CB37-26E6-4E5A-9B1B-3B80B71039FF}"/>
    <cellStyle name="40% - Énfasis1 21 3 2 2" xfId="28307" xr:uid="{AAF0D389-8B1B-4D34-A4A3-2D4515381C13}"/>
    <cellStyle name="40% - Énfasis1 21 3 2 2 2" xfId="44135" xr:uid="{20B26553-1722-4D5C-88C2-BF70303D2C0E}"/>
    <cellStyle name="40% - Énfasis1 21 3 2 3" xfId="44134" xr:uid="{64F39CD2-AA6B-493E-97A6-BFBE7D36FF96}"/>
    <cellStyle name="40% - Énfasis1 21 3 3" xfId="20602" xr:uid="{72CEA071-633A-4AE4-BE0B-01991C6049D7}"/>
    <cellStyle name="40% - Énfasis1 21 3 3 2" xfId="44136" xr:uid="{23EF4663-D653-4667-B735-9FF2E3404E0A}"/>
    <cellStyle name="40% - Énfasis1 21 3 4" xfId="44133" xr:uid="{DE52DB31-FC02-4F41-A303-0386E65D6BC3}"/>
    <cellStyle name="40% - Énfasis1 21 4" xfId="9168" xr:uid="{6BA9ED9E-D524-4A9B-A9AA-76D92EAB1ED4}"/>
    <cellStyle name="40% - Énfasis1 21 4 2" xfId="24581" xr:uid="{8B7D1B27-564D-4AD5-A094-302C94352E1B}"/>
    <cellStyle name="40% - Énfasis1 21 4 2 2" xfId="44138" xr:uid="{764D7752-D580-425C-841A-37DA53020C3E}"/>
    <cellStyle name="40% - Énfasis1 21 4 3" xfId="44137" xr:uid="{CD7825E6-4AAC-4D92-AF4B-41538A86CD63}"/>
    <cellStyle name="40% - Énfasis1 21 5" xfId="16876" xr:uid="{5CEF1E6D-5C83-450F-A48C-482F33474C73}"/>
    <cellStyle name="40% - Énfasis1 21 5 2" xfId="44139" xr:uid="{13968EB1-17EA-4DFC-9747-63F4E21F2A5F}"/>
    <cellStyle name="40% - Énfasis1 21 6" xfId="44124" xr:uid="{379B024A-9C53-4988-B63F-1E04CC826858}"/>
    <cellStyle name="40% - Énfasis1 22" xfId="1471" xr:uid="{7A98C0B4-1E31-4D8C-9C3C-A1288D8108DD}"/>
    <cellStyle name="40% - Énfasis1 22 2" xfId="2936" xr:uid="{2A6561DE-2A26-47C6-A0B0-785D9BEA6FC9}"/>
    <cellStyle name="40% - Énfasis1 22 2 2" xfId="6668" xr:uid="{0117A23C-325F-46CB-B0B1-31296214A39D}"/>
    <cellStyle name="40% - Énfasis1 22 2 2 2" xfId="14376" xr:uid="{74F306C2-15C6-4524-98BE-51B9459037E7}"/>
    <cellStyle name="40% - Énfasis1 22 2 2 2 2" xfId="29788" xr:uid="{0E8A2979-A9CC-4549-83C9-FADE58B13526}"/>
    <cellStyle name="40% - Énfasis1 22 2 2 2 2 2" xfId="44144" xr:uid="{C16F18A0-23C4-4B32-915D-61AA8D1E55A2}"/>
    <cellStyle name="40% - Énfasis1 22 2 2 2 3" xfId="44143" xr:uid="{D324E18B-4E4D-4091-88EE-D6772DBAF503}"/>
    <cellStyle name="40% - Énfasis1 22 2 2 3" xfId="22083" xr:uid="{436056C0-2715-4943-957B-522A09848D69}"/>
    <cellStyle name="40% - Énfasis1 22 2 2 3 2" xfId="44145" xr:uid="{046430EA-D004-4781-8F50-79268305BA87}"/>
    <cellStyle name="40% - Énfasis1 22 2 2 4" xfId="44142" xr:uid="{D331E37A-9248-4389-B70C-529808B35969}"/>
    <cellStyle name="40% - Énfasis1 22 2 3" xfId="10647" xr:uid="{393A8F35-316B-42F8-97AE-FC6D7FB40652}"/>
    <cellStyle name="40% - Énfasis1 22 2 3 2" xfId="26060" xr:uid="{02CCF078-61D4-460C-8F9C-2FAE15770BF0}"/>
    <cellStyle name="40% - Énfasis1 22 2 3 2 2" xfId="44147" xr:uid="{4DED56E9-D2C7-4807-ABB0-E56229868C1D}"/>
    <cellStyle name="40% - Énfasis1 22 2 3 3" xfId="44146" xr:uid="{BBB6F076-0D0F-4A87-B1C7-749844B23A86}"/>
    <cellStyle name="40% - Énfasis1 22 2 4" xfId="18355" xr:uid="{5533F246-9352-4733-BF58-594A4125D0DF}"/>
    <cellStyle name="40% - Énfasis1 22 2 4 2" xfId="44148" xr:uid="{D89B7E01-76D6-4F87-8218-E588425C923F}"/>
    <cellStyle name="40% - Énfasis1 22 2 5" xfId="44141" xr:uid="{0C1D02F1-93EF-47A7-AECB-3DB530E573D7}"/>
    <cellStyle name="40% - Énfasis1 22 3" xfId="5207" xr:uid="{CEA8BB0F-CDAF-4F1E-8C14-D73203C9652A}"/>
    <cellStyle name="40% - Énfasis1 22 3 2" xfId="12915" xr:uid="{6FE5FF90-0C38-46B2-B675-CF41CA9F6FB9}"/>
    <cellStyle name="40% - Énfasis1 22 3 2 2" xfId="28327" xr:uid="{9713E2D2-8146-423C-9B80-A7F5735245FD}"/>
    <cellStyle name="40% - Énfasis1 22 3 2 2 2" xfId="44151" xr:uid="{5823C32E-FE46-4047-8BE1-11B6BBE93743}"/>
    <cellStyle name="40% - Énfasis1 22 3 2 3" xfId="44150" xr:uid="{BA3893C0-3F1D-453A-A069-E6DD4DB295FF}"/>
    <cellStyle name="40% - Énfasis1 22 3 3" xfId="20622" xr:uid="{B4EC3DD7-7FD0-498F-9DAC-D3BE8BDD7278}"/>
    <cellStyle name="40% - Énfasis1 22 3 3 2" xfId="44152" xr:uid="{0AEB1C74-9D3A-47AA-92A0-6E2AB8F3CE0E}"/>
    <cellStyle name="40% - Énfasis1 22 3 4" xfId="44149" xr:uid="{67D8E3D6-5F6E-4366-A7EC-3D92E904AB9E}"/>
    <cellStyle name="40% - Énfasis1 22 4" xfId="9188" xr:uid="{F5069E99-BFBB-4ACE-986D-F2D685B34F21}"/>
    <cellStyle name="40% - Énfasis1 22 4 2" xfId="24601" xr:uid="{69246E07-8B71-42C9-971E-2FD024078CE8}"/>
    <cellStyle name="40% - Énfasis1 22 4 2 2" xfId="44154" xr:uid="{C0CE35A5-3F5A-4921-8752-038898CAC6A9}"/>
    <cellStyle name="40% - Énfasis1 22 4 3" xfId="44153" xr:uid="{4030F62B-2E7A-42A8-81CC-60E13BA66247}"/>
    <cellStyle name="40% - Énfasis1 22 5" xfId="16896" xr:uid="{C7869ACF-02E3-45D3-A7AA-A4D4E0D39F18}"/>
    <cellStyle name="40% - Énfasis1 22 5 2" xfId="44155" xr:uid="{C349D340-8C13-48E2-BD1F-D464E191E0EB}"/>
    <cellStyle name="40% - Énfasis1 22 6" xfId="44140" xr:uid="{1CA5EB52-2F44-4A5A-B601-378F8590816F}"/>
    <cellStyle name="40% - Énfasis1 23" xfId="1491" xr:uid="{DEDBC15A-0BFB-4D44-AFFB-00ECECEEA4C2}"/>
    <cellStyle name="40% - Énfasis1 23 2" xfId="2956" xr:uid="{4E8F8B4F-91C2-44C6-A9B6-BC47DA45D601}"/>
    <cellStyle name="40% - Énfasis1 23 2 2" xfId="6688" xr:uid="{C9F113FE-B077-4FF4-B513-DA501A65881D}"/>
    <cellStyle name="40% - Énfasis1 23 2 2 2" xfId="14396" xr:uid="{12329177-3611-4653-9887-79262F2E3006}"/>
    <cellStyle name="40% - Énfasis1 23 2 2 2 2" xfId="29808" xr:uid="{E5063EB6-83E9-488D-A082-FE7AA1F54210}"/>
    <cellStyle name="40% - Énfasis1 23 2 2 2 2 2" xfId="44160" xr:uid="{9E7EEDCF-E3AD-445C-A435-02077FDDF8D7}"/>
    <cellStyle name="40% - Énfasis1 23 2 2 2 3" xfId="44159" xr:uid="{04896B3F-13FC-44AD-8B8C-0A38DD341F46}"/>
    <cellStyle name="40% - Énfasis1 23 2 2 3" xfId="22103" xr:uid="{19C4C5AD-9B02-41DE-A20F-AC4873CE6F85}"/>
    <cellStyle name="40% - Énfasis1 23 2 2 3 2" xfId="44161" xr:uid="{F8994821-C514-4B63-8C2C-2AC89B713683}"/>
    <cellStyle name="40% - Énfasis1 23 2 2 4" xfId="44158" xr:uid="{B74A39EC-27D7-4210-834A-1B63F5B0D0B6}"/>
    <cellStyle name="40% - Énfasis1 23 2 3" xfId="10667" xr:uid="{E6AFB456-3C17-4945-AA88-3FCA78E6BF1E}"/>
    <cellStyle name="40% - Énfasis1 23 2 3 2" xfId="26080" xr:uid="{F292D586-27C3-451A-BFB5-580BDB063EEC}"/>
    <cellStyle name="40% - Énfasis1 23 2 3 2 2" xfId="44163" xr:uid="{2CF70D49-8BCD-4ACA-89BC-7203C015A34E}"/>
    <cellStyle name="40% - Énfasis1 23 2 3 3" xfId="44162" xr:uid="{1451EBC3-B991-4EA7-A390-6303AE646C08}"/>
    <cellStyle name="40% - Énfasis1 23 2 4" xfId="18375" xr:uid="{23E9DAC2-63EB-4DF1-9952-8ABAB9B86466}"/>
    <cellStyle name="40% - Énfasis1 23 2 4 2" xfId="44164" xr:uid="{51A30FD2-B501-46CA-8763-544272ADCD5A}"/>
    <cellStyle name="40% - Énfasis1 23 2 5" xfId="44157" xr:uid="{F8E23498-3701-4D9A-B9DA-C68F9F4CD9F7}"/>
    <cellStyle name="40% - Énfasis1 23 3" xfId="5227" xr:uid="{71303A57-6E8E-4584-AEF9-A5EC63C0F2DD}"/>
    <cellStyle name="40% - Énfasis1 23 3 2" xfId="12935" xr:uid="{EB2F16B6-989E-4EA9-918B-4985039B1533}"/>
    <cellStyle name="40% - Énfasis1 23 3 2 2" xfId="28347" xr:uid="{086EB051-4526-48C3-BFE3-5FEDB190C0CD}"/>
    <cellStyle name="40% - Énfasis1 23 3 2 2 2" xfId="44167" xr:uid="{C0576CA3-269B-44C0-8860-8C39B32503B1}"/>
    <cellStyle name="40% - Énfasis1 23 3 2 3" xfId="44166" xr:uid="{9540D4C0-3A52-48D5-A7FD-5FD6B67B53FF}"/>
    <cellStyle name="40% - Énfasis1 23 3 3" xfId="20642" xr:uid="{AA80FE38-861E-4B26-ACA4-4550AF9BEE48}"/>
    <cellStyle name="40% - Énfasis1 23 3 3 2" xfId="44168" xr:uid="{00E66590-0222-4A3C-AE91-66B3C841A332}"/>
    <cellStyle name="40% - Énfasis1 23 3 4" xfId="44165" xr:uid="{2F4AD60A-B603-42A9-B198-12F02D640530}"/>
    <cellStyle name="40% - Énfasis1 23 4" xfId="9208" xr:uid="{5ACBBAB3-7EE8-44BD-B7CE-5F740F5B3E4A}"/>
    <cellStyle name="40% - Énfasis1 23 4 2" xfId="24621" xr:uid="{B4E5FE2A-823D-4351-BD69-181E0E37B3D4}"/>
    <cellStyle name="40% - Énfasis1 23 4 2 2" xfId="44170" xr:uid="{974A8058-96C2-4DEE-AD78-9D894D6FFF6A}"/>
    <cellStyle name="40% - Énfasis1 23 4 3" xfId="44169" xr:uid="{A00F46DB-B8CB-457D-8F72-EED265ADE80A}"/>
    <cellStyle name="40% - Énfasis1 23 5" xfId="16916" xr:uid="{E6358B34-038E-487E-BE50-17EF26C2F79D}"/>
    <cellStyle name="40% - Énfasis1 23 5 2" xfId="44171" xr:uid="{0083E557-AA2C-48D0-AA7F-924CC2FB9E99}"/>
    <cellStyle name="40% - Énfasis1 23 6" xfId="44156" xr:uid="{99E20B26-8DEC-4764-AE1B-1E7520844AC6}"/>
    <cellStyle name="40% - Énfasis1 24" xfId="1511" xr:uid="{48E2CE8E-C7DE-40FE-926A-BED313324647}"/>
    <cellStyle name="40% - Énfasis1 24 2" xfId="2976" xr:uid="{421CB016-4103-4107-AAF4-36CC0BF00798}"/>
    <cellStyle name="40% - Énfasis1 24 2 2" xfId="6708" xr:uid="{73BDB963-F381-4F54-9BB2-C725251847AC}"/>
    <cellStyle name="40% - Énfasis1 24 2 2 2" xfId="14416" xr:uid="{740FC778-6559-4B51-83F6-8201FB16730D}"/>
    <cellStyle name="40% - Énfasis1 24 2 2 2 2" xfId="29828" xr:uid="{ED3315A7-D0D7-4754-9F86-0F397C9B5D70}"/>
    <cellStyle name="40% - Énfasis1 24 2 2 2 2 2" xfId="44176" xr:uid="{148D1B9E-4981-4783-A9FF-16B20D480C4C}"/>
    <cellStyle name="40% - Énfasis1 24 2 2 2 3" xfId="44175" xr:uid="{E0194682-8385-47C6-BCF9-25FAF27F586C}"/>
    <cellStyle name="40% - Énfasis1 24 2 2 3" xfId="22123" xr:uid="{8B9C469D-6665-4781-9601-CE76991A9FE0}"/>
    <cellStyle name="40% - Énfasis1 24 2 2 3 2" xfId="44177" xr:uid="{B6DB6D0B-FCFA-4453-9D89-226DBB4E1DB8}"/>
    <cellStyle name="40% - Énfasis1 24 2 2 4" xfId="44174" xr:uid="{9BCE4EDE-42E5-45BD-B576-1091A4861A77}"/>
    <cellStyle name="40% - Énfasis1 24 2 3" xfId="10687" xr:uid="{AED1EEBD-B827-4423-B8C5-0ED3B3A8C7D4}"/>
    <cellStyle name="40% - Énfasis1 24 2 3 2" xfId="26100" xr:uid="{CB672768-99CB-4097-8974-BD2B1DBA3730}"/>
    <cellStyle name="40% - Énfasis1 24 2 3 2 2" xfId="44179" xr:uid="{67E73828-8E84-46F6-A879-69D2B0F43A4C}"/>
    <cellStyle name="40% - Énfasis1 24 2 3 3" xfId="44178" xr:uid="{1B3E2CF1-3DFD-4815-A8A5-F04FBD8EAF5E}"/>
    <cellStyle name="40% - Énfasis1 24 2 4" xfId="18395" xr:uid="{DF0FDC49-62FC-46B2-8F53-F69E18220D8C}"/>
    <cellStyle name="40% - Énfasis1 24 2 4 2" xfId="44180" xr:uid="{545ECF3A-D366-45B5-8EB0-EDEE878E3CE1}"/>
    <cellStyle name="40% - Énfasis1 24 2 5" xfId="44173" xr:uid="{BC950C34-ADC7-4B19-86AD-1588F68A7AB7}"/>
    <cellStyle name="40% - Énfasis1 24 3" xfId="5247" xr:uid="{AEF14727-A869-4183-9A47-B851EB6BD5AD}"/>
    <cellStyle name="40% - Énfasis1 24 3 2" xfId="12955" xr:uid="{DA828C11-B5F8-47C2-8C04-6E7081271671}"/>
    <cellStyle name="40% - Énfasis1 24 3 2 2" xfId="28367" xr:uid="{D9FD6DCD-09F0-4311-91C0-E7BFBBA99880}"/>
    <cellStyle name="40% - Énfasis1 24 3 2 2 2" xfId="44183" xr:uid="{1395F875-0EA2-41C2-AFAD-4AE2EBBC0907}"/>
    <cellStyle name="40% - Énfasis1 24 3 2 3" xfId="44182" xr:uid="{E4820276-8B9A-4459-8D3F-CCC68061611C}"/>
    <cellStyle name="40% - Énfasis1 24 3 3" xfId="20662" xr:uid="{F253CA40-3489-4533-A8D9-F33DACC9C70A}"/>
    <cellStyle name="40% - Énfasis1 24 3 3 2" xfId="44184" xr:uid="{CC3B5E58-EA9D-4C1F-9CC3-C39E05B27475}"/>
    <cellStyle name="40% - Énfasis1 24 3 4" xfId="44181" xr:uid="{6C1322E8-AACD-49C0-9294-46C011924D7B}"/>
    <cellStyle name="40% - Énfasis1 24 4" xfId="9228" xr:uid="{B43B44BD-42DE-49E2-9F2F-08C457E03C3B}"/>
    <cellStyle name="40% - Énfasis1 24 4 2" xfId="24641" xr:uid="{C541FC36-14FB-4302-8BC7-470E4D7CA4FA}"/>
    <cellStyle name="40% - Énfasis1 24 4 2 2" xfId="44186" xr:uid="{A3BF89C6-2C3F-4697-A037-940CA6F03F6B}"/>
    <cellStyle name="40% - Énfasis1 24 4 3" xfId="44185" xr:uid="{F05F9BE9-751A-4960-87A6-EF029F5CE451}"/>
    <cellStyle name="40% - Énfasis1 24 5" xfId="16936" xr:uid="{77D031FE-45CA-4378-8753-EB014C53F02B}"/>
    <cellStyle name="40% - Énfasis1 24 5 2" xfId="44187" xr:uid="{4C619E8A-9073-4C43-BC10-8265AF3D611B}"/>
    <cellStyle name="40% - Énfasis1 24 6" xfId="44172" xr:uid="{150BF3D9-667E-4AAB-9A5B-EE28D3A52C5F}"/>
    <cellStyle name="40% - Énfasis1 25" xfId="1531" xr:uid="{3F8BDDAE-F258-4AE6-BB4F-CE314F6FC4FC}"/>
    <cellStyle name="40% - Énfasis1 25 2" xfId="2996" xr:uid="{4B35E909-0134-46A7-B053-CCC54FEAAB25}"/>
    <cellStyle name="40% - Énfasis1 25 2 2" xfId="6728" xr:uid="{B0D945A9-2259-4FF5-AA90-EBD882FDC807}"/>
    <cellStyle name="40% - Énfasis1 25 2 2 2" xfId="14436" xr:uid="{A1EEA3E1-AFFE-4227-80D2-ACE0ADAF98B9}"/>
    <cellStyle name="40% - Énfasis1 25 2 2 2 2" xfId="29848" xr:uid="{59EB5115-980B-4A43-9C7E-EBD66DD34A1A}"/>
    <cellStyle name="40% - Énfasis1 25 2 2 2 2 2" xfId="44192" xr:uid="{13891207-43E2-4A59-8996-310310B50FF1}"/>
    <cellStyle name="40% - Énfasis1 25 2 2 2 3" xfId="44191" xr:uid="{3533CA73-3CBD-4435-85C6-F95DD6882ABE}"/>
    <cellStyle name="40% - Énfasis1 25 2 2 3" xfId="22143" xr:uid="{308CA51F-2C45-4126-8589-140ECF364228}"/>
    <cellStyle name="40% - Énfasis1 25 2 2 3 2" xfId="44193" xr:uid="{3E02EB87-B0FA-4ED2-B5FE-B30468973420}"/>
    <cellStyle name="40% - Énfasis1 25 2 2 4" xfId="44190" xr:uid="{77226E96-1EBD-4BAC-9AAF-DF0A0FE769FD}"/>
    <cellStyle name="40% - Énfasis1 25 2 3" xfId="10707" xr:uid="{BA1364EF-466A-48F8-AA1A-346E1B7836CE}"/>
    <cellStyle name="40% - Énfasis1 25 2 3 2" xfId="26120" xr:uid="{CB8B6F0A-5D45-491F-ADA2-5CEC7B523CAE}"/>
    <cellStyle name="40% - Énfasis1 25 2 3 2 2" xfId="44195" xr:uid="{A43F9935-F37C-4ABC-AA8B-8C7F303A2C2C}"/>
    <cellStyle name="40% - Énfasis1 25 2 3 3" xfId="44194" xr:uid="{C649CFFE-FE40-467E-80B3-4D373D1654FD}"/>
    <cellStyle name="40% - Énfasis1 25 2 4" xfId="18415" xr:uid="{7972766C-0C87-46F4-93CE-4BB8FF483912}"/>
    <cellStyle name="40% - Énfasis1 25 2 4 2" xfId="44196" xr:uid="{E13D38F9-6967-428B-AB54-B5A3A6C475BD}"/>
    <cellStyle name="40% - Énfasis1 25 2 5" xfId="44189" xr:uid="{33BD6ACB-BFAF-4AD3-A575-BA79C13CB186}"/>
    <cellStyle name="40% - Énfasis1 25 3" xfId="5267" xr:uid="{8BD6FD49-09D4-4E11-8CCF-57E82EA01E5D}"/>
    <cellStyle name="40% - Énfasis1 25 3 2" xfId="12975" xr:uid="{FF759742-CC71-4AD2-A325-883EC906C7CE}"/>
    <cellStyle name="40% - Énfasis1 25 3 2 2" xfId="28387" xr:uid="{F8CFFB20-361B-415F-8D43-5312FD16CC44}"/>
    <cellStyle name="40% - Énfasis1 25 3 2 2 2" xfId="44199" xr:uid="{FF291C3A-634C-48E5-A67B-3C830911C620}"/>
    <cellStyle name="40% - Énfasis1 25 3 2 3" xfId="44198" xr:uid="{85A25B7E-5312-4CD7-A44A-DEBE97127EA7}"/>
    <cellStyle name="40% - Énfasis1 25 3 3" xfId="20682" xr:uid="{201A5EF4-FFF3-4F96-A8FC-0AD4A240ED19}"/>
    <cellStyle name="40% - Énfasis1 25 3 3 2" xfId="44200" xr:uid="{3E61E727-A42F-4EB3-935C-3EA402E1BCB5}"/>
    <cellStyle name="40% - Énfasis1 25 3 4" xfId="44197" xr:uid="{F1346DF4-99B2-4F86-9041-BD3D2BB4ADD8}"/>
    <cellStyle name="40% - Énfasis1 25 4" xfId="9248" xr:uid="{0CDD4070-E190-4810-B5F2-FA768341EB29}"/>
    <cellStyle name="40% - Énfasis1 25 4 2" xfId="24661" xr:uid="{F4923903-33D8-432E-96D0-398D6DF19FA3}"/>
    <cellStyle name="40% - Énfasis1 25 4 2 2" xfId="44202" xr:uid="{3F50EA76-6CDE-443E-BBBA-59A4CA322489}"/>
    <cellStyle name="40% - Énfasis1 25 4 3" xfId="44201" xr:uid="{D16DCA8F-FA71-4929-85AF-85325659A8B1}"/>
    <cellStyle name="40% - Énfasis1 25 5" xfId="16956" xr:uid="{4A557204-FDB2-4046-8D24-93442BD89CE9}"/>
    <cellStyle name="40% - Énfasis1 25 5 2" xfId="44203" xr:uid="{35CF8A92-193A-4830-AD5B-679524E90302}"/>
    <cellStyle name="40% - Énfasis1 25 6" xfId="44188" xr:uid="{3EB50120-719D-4F3C-B705-F87B55933976}"/>
    <cellStyle name="40% - Énfasis1 26" xfId="1551" xr:uid="{5E2D88F6-C357-4E43-9DF2-A6261FDAC89D}"/>
    <cellStyle name="40% - Énfasis1 26 2" xfId="3016" xr:uid="{75A41633-51F9-435C-B313-CFFEFC176113}"/>
    <cellStyle name="40% - Énfasis1 26 2 2" xfId="6748" xr:uid="{D0E15AD0-1231-4B0E-AB05-C270097356DB}"/>
    <cellStyle name="40% - Énfasis1 26 2 2 2" xfId="14456" xr:uid="{093C2503-3AFB-4E29-ADDF-FD50171D1695}"/>
    <cellStyle name="40% - Énfasis1 26 2 2 2 2" xfId="29868" xr:uid="{E682CEDC-45B4-40EA-BEFD-DD4F98743431}"/>
    <cellStyle name="40% - Énfasis1 26 2 2 2 2 2" xfId="44208" xr:uid="{FFAB3D04-2E50-41D4-8DF1-3DB42DADA708}"/>
    <cellStyle name="40% - Énfasis1 26 2 2 2 3" xfId="44207" xr:uid="{6BB772F8-B9C0-4469-8579-CD6E20E887EC}"/>
    <cellStyle name="40% - Énfasis1 26 2 2 3" xfId="22163" xr:uid="{E19BAF24-2A28-4FE7-9469-0AF19A2313D1}"/>
    <cellStyle name="40% - Énfasis1 26 2 2 3 2" xfId="44209" xr:uid="{60592329-CC90-4798-B631-AD74F671E4B3}"/>
    <cellStyle name="40% - Énfasis1 26 2 2 4" xfId="44206" xr:uid="{8E3ABBF2-42FC-4015-8217-8DD8031CE838}"/>
    <cellStyle name="40% - Énfasis1 26 2 3" xfId="10727" xr:uid="{923ED393-FCD4-41D7-948D-D1E11BE2E4AD}"/>
    <cellStyle name="40% - Énfasis1 26 2 3 2" xfId="26140" xr:uid="{B3EA4791-302C-47F0-BDF1-9C744E4A2A83}"/>
    <cellStyle name="40% - Énfasis1 26 2 3 2 2" xfId="44211" xr:uid="{50F0A675-6843-4308-8B33-86CD3C980972}"/>
    <cellStyle name="40% - Énfasis1 26 2 3 3" xfId="44210" xr:uid="{B44808DD-C095-4F48-83FD-1C7D1C3C62B6}"/>
    <cellStyle name="40% - Énfasis1 26 2 4" xfId="18435" xr:uid="{7F5A03C1-1712-4072-8EC7-C1139CBD6215}"/>
    <cellStyle name="40% - Énfasis1 26 2 4 2" xfId="44212" xr:uid="{10BFBB3A-28EC-44D0-90FD-D3E70F802ACD}"/>
    <cellStyle name="40% - Énfasis1 26 2 5" xfId="44205" xr:uid="{09338F0C-B4A7-4D42-BBF0-36789E8D9043}"/>
    <cellStyle name="40% - Énfasis1 26 3" xfId="5287" xr:uid="{A2251121-039F-43E5-9788-1C8CBD27B995}"/>
    <cellStyle name="40% - Énfasis1 26 3 2" xfId="12995" xr:uid="{A9F898BB-267E-4899-B9C3-0D6326AC1C88}"/>
    <cellStyle name="40% - Énfasis1 26 3 2 2" xfId="28407" xr:uid="{110A67A2-0D46-4309-BD93-CD82F22226B8}"/>
    <cellStyle name="40% - Énfasis1 26 3 2 2 2" xfId="44215" xr:uid="{7B5F2BCD-76DA-4695-A80B-A462F81427D3}"/>
    <cellStyle name="40% - Énfasis1 26 3 2 3" xfId="44214" xr:uid="{FCB14C03-8D18-41AB-B75B-5DDC0DB9E863}"/>
    <cellStyle name="40% - Énfasis1 26 3 3" xfId="20702" xr:uid="{95C9AE1D-C6F9-41AB-83CF-8F9D884669ED}"/>
    <cellStyle name="40% - Énfasis1 26 3 3 2" xfId="44216" xr:uid="{EB94BBD6-8174-49CE-A0D7-3E35C0E757B6}"/>
    <cellStyle name="40% - Énfasis1 26 3 4" xfId="44213" xr:uid="{9E8D4144-6CF5-41C8-81EA-A3ECE59029CD}"/>
    <cellStyle name="40% - Énfasis1 26 4" xfId="9268" xr:uid="{5B037DFA-1B5B-4B91-A043-3AE807E000E8}"/>
    <cellStyle name="40% - Énfasis1 26 4 2" xfId="24681" xr:uid="{BE25F937-1C51-4E8E-A784-177AA4831A9A}"/>
    <cellStyle name="40% - Énfasis1 26 4 2 2" xfId="44218" xr:uid="{8D1AEA8C-A437-4AF4-BA37-B05E7C874811}"/>
    <cellStyle name="40% - Énfasis1 26 4 3" xfId="44217" xr:uid="{36A89B2A-936F-4B8E-8860-00020DA990EE}"/>
    <cellStyle name="40% - Énfasis1 26 5" xfId="16976" xr:uid="{C13155B5-390F-460D-99E1-73C7F6E09B5A}"/>
    <cellStyle name="40% - Énfasis1 26 5 2" xfId="44219" xr:uid="{2B6F3475-08FD-4144-B6B0-8F765868DAFA}"/>
    <cellStyle name="40% - Énfasis1 26 6" xfId="44204" xr:uid="{95663D82-C35F-4B4F-AC78-283DE16294E9}"/>
    <cellStyle name="40% - Énfasis1 27" xfId="1571" xr:uid="{86FDD35B-820A-4D19-9725-D1811CB9D0ED}"/>
    <cellStyle name="40% - Énfasis1 27 2" xfId="3036" xr:uid="{AD55C759-925E-48A0-B02E-EF886CD6EC79}"/>
    <cellStyle name="40% - Énfasis1 27 2 2" xfId="6768" xr:uid="{7A8749AD-C550-40B9-B18A-C9139E568B8D}"/>
    <cellStyle name="40% - Énfasis1 27 2 2 2" xfId="14476" xr:uid="{258FC739-0603-497D-A06E-A861BA3C3192}"/>
    <cellStyle name="40% - Énfasis1 27 2 2 2 2" xfId="29888" xr:uid="{252321B3-4510-486A-BDE1-89639694D599}"/>
    <cellStyle name="40% - Énfasis1 27 2 2 2 2 2" xfId="44224" xr:uid="{5F34C7BF-5618-42B1-B39F-3D36F2E4E299}"/>
    <cellStyle name="40% - Énfasis1 27 2 2 2 3" xfId="44223" xr:uid="{57064FB9-9CCB-4C01-9A41-02F9C47B2A27}"/>
    <cellStyle name="40% - Énfasis1 27 2 2 3" xfId="22183" xr:uid="{DBB9175D-0D92-430F-8AF6-202A9B1ED0B9}"/>
    <cellStyle name="40% - Énfasis1 27 2 2 3 2" xfId="44225" xr:uid="{1BFC4CC3-EFE1-4FDA-821A-02605BCC9CB2}"/>
    <cellStyle name="40% - Énfasis1 27 2 2 4" xfId="44222" xr:uid="{1AA1C179-F9C0-4751-9CEA-B66BAB91DE58}"/>
    <cellStyle name="40% - Énfasis1 27 2 3" xfId="10747" xr:uid="{0DC7BED1-CE1D-4357-BA97-DE190D54923D}"/>
    <cellStyle name="40% - Énfasis1 27 2 3 2" xfId="26160" xr:uid="{32562C52-1E8B-46B8-8B9A-E7D6CF871644}"/>
    <cellStyle name="40% - Énfasis1 27 2 3 2 2" xfId="44227" xr:uid="{F2FB6485-D018-48AF-AA28-73343361BB3C}"/>
    <cellStyle name="40% - Énfasis1 27 2 3 3" xfId="44226" xr:uid="{BBABB20C-168A-4BB6-AF42-C1E8CC50DDD7}"/>
    <cellStyle name="40% - Énfasis1 27 2 4" xfId="18455" xr:uid="{D9AFAF2E-4F14-4E15-A327-7C63ECBEC303}"/>
    <cellStyle name="40% - Énfasis1 27 2 4 2" xfId="44228" xr:uid="{C0158916-A38C-4316-A5C3-C8C6F6E8A951}"/>
    <cellStyle name="40% - Énfasis1 27 2 5" xfId="44221" xr:uid="{5A5F1665-3EE0-43A5-AE76-A6A2535B74E1}"/>
    <cellStyle name="40% - Énfasis1 27 3" xfId="5307" xr:uid="{4F2771D5-558F-4A54-AF91-B5ADEB576A93}"/>
    <cellStyle name="40% - Énfasis1 27 3 2" xfId="13015" xr:uid="{0A2ECE15-C480-4FF4-8322-837206E04852}"/>
    <cellStyle name="40% - Énfasis1 27 3 2 2" xfId="28427" xr:uid="{6E1AF7B9-C9F6-4FD3-BA5B-BEC0438D893B}"/>
    <cellStyle name="40% - Énfasis1 27 3 2 2 2" xfId="44231" xr:uid="{9D4D3C34-99D0-49EC-AFC1-A606AF04A558}"/>
    <cellStyle name="40% - Énfasis1 27 3 2 3" xfId="44230" xr:uid="{6F75416B-9973-425B-8DEE-C66D1446BBC7}"/>
    <cellStyle name="40% - Énfasis1 27 3 3" xfId="20722" xr:uid="{62DB8FFF-F7D9-4EED-B62C-948560F9750D}"/>
    <cellStyle name="40% - Énfasis1 27 3 3 2" xfId="44232" xr:uid="{3D6EDAEB-28B3-442D-A221-0741C2A5E8F7}"/>
    <cellStyle name="40% - Énfasis1 27 3 4" xfId="44229" xr:uid="{3D98870E-A302-497B-B4AC-0083C6E6CC57}"/>
    <cellStyle name="40% - Énfasis1 27 4" xfId="9288" xr:uid="{F5978DD3-88FB-44D1-9A00-F897AAC6E5D2}"/>
    <cellStyle name="40% - Énfasis1 27 4 2" xfId="24701" xr:uid="{366DC162-4304-46C3-8DD0-FA5787E6BD01}"/>
    <cellStyle name="40% - Énfasis1 27 4 2 2" xfId="44234" xr:uid="{F3D87954-D870-43AE-A2DF-F1E7FACE2B66}"/>
    <cellStyle name="40% - Énfasis1 27 4 3" xfId="44233" xr:uid="{925C42AB-DAC2-43F2-BBEC-24D119699717}"/>
    <cellStyle name="40% - Énfasis1 27 5" xfId="16996" xr:uid="{7A969726-EA40-4FA0-BF20-9350B90ED384}"/>
    <cellStyle name="40% - Énfasis1 27 5 2" xfId="44235" xr:uid="{0E8F7327-A9F4-457F-BE02-3728AE57B29E}"/>
    <cellStyle name="40% - Énfasis1 27 6" xfId="44220" xr:uid="{47454482-40C9-4DFA-BA5B-524BB598877E}"/>
    <cellStyle name="40% - Énfasis1 28" xfId="1592" xr:uid="{8B9E210A-35C4-45EF-B57A-57D5771E042E}"/>
    <cellStyle name="40% - Énfasis1 28 2" xfId="3057" xr:uid="{E6B2D8D4-2E8D-4275-A822-5C2DCC37F6BE}"/>
    <cellStyle name="40% - Énfasis1 28 2 2" xfId="6789" xr:uid="{B92F9524-24D7-4CC3-9FFB-8BCDEC75BD19}"/>
    <cellStyle name="40% - Énfasis1 28 2 2 2" xfId="14497" xr:uid="{31F4FCC3-7D49-474E-BFC9-A8168DCD928A}"/>
    <cellStyle name="40% - Énfasis1 28 2 2 2 2" xfId="29909" xr:uid="{B2A20A5A-C2C8-4704-AEE4-925F402CCC44}"/>
    <cellStyle name="40% - Énfasis1 28 2 2 2 2 2" xfId="44240" xr:uid="{BD868EB8-FF7F-4DF9-8A13-B68D8E785E86}"/>
    <cellStyle name="40% - Énfasis1 28 2 2 2 3" xfId="44239" xr:uid="{243DD2EE-72FA-4653-BC84-8A892D65A279}"/>
    <cellStyle name="40% - Énfasis1 28 2 2 3" xfId="22204" xr:uid="{FDF29313-367B-4A20-B01F-E5A9276D5B9A}"/>
    <cellStyle name="40% - Énfasis1 28 2 2 3 2" xfId="44241" xr:uid="{C61C0934-5742-4173-B3CC-9086D031AB1E}"/>
    <cellStyle name="40% - Énfasis1 28 2 2 4" xfId="44238" xr:uid="{01002DC6-70E4-4831-B59E-F6A462C6A8A8}"/>
    <cellStyle name="40% - Énfasis1 28 2 3" xfId="10768" xr:uid="{71B2C1B1-1AB5-4211-B771-460B33AF0DF6}"/>
    <cellStyle name="40% - Énfasis1 28 2 3 2" xfId="26181" xr:uid="{C146FD11-1E88-43A0-9331-D548A08952FB}"/>
    <cellStyle name="40% - Énfasis1 28 2 3 2 2" xfId="44243" xr:uid="{3BFC8D17-E3DA-465E-A1A9-98A00C6C0CC5}"/>
    <cellStyle name="40% - Énfasis1 28 2 3 3" xfId="44242" xr:uid="{329999E0-CA01-4365-AF75-4DDB7FFCAF9A}"/>
    <cellStyle name="40% - Énfasis1 28 2 4" xfId="18476" xr:uid="{FFA21728-5647-4C92-B143-903810A51012}"/>
    <cellStyle name="40% - Énfasis1 28 2 4 2" xfId="44244" xr:uid="{07A39602-EE7D-462C-AC4D-52E42B1978AE}"/>
    <cellStyle name="40% - Énfasis1 28 2 5" xfId="44237" xr:uid="{4EC4BC0D-2322-45B2-8087-4AE87A1E634A}"/>
    <cellStyle name="40% - Énfasis1 28 3" xfId="5328" xr:uid="{240E9878-3547-41D4-9700-465FCB11A465}"/>
    <cellStyle name="40% - Énfasis1 28 3 2" xfId="13036" xr:uid="{F811F34E-0FFD-49B2-BFD4-9C96C48019D7}"/>
    <cellStyle name="40% - Énfasis1 28 3 2 2" xfId="28448" xr:uid="{0BCAA6DE-B9E8-4E43-8107-590C869FF92D}"/>
    <cellStyle name="40% - Énfasis1 28 3 2 2 2" xfId="44247" xr:uid="{89A83717-2F17-4568-9198-51DA881D7409}"/>
    <cellStyle name="40% - Énfasis1 28 3 2 3" xfId="44246" xr:uid="{EB56E98E-CD3F-46E8-B4CF-532BCD7602D0}"/>
    <cellStyle name="40% - Énfasis1 28 3 3" xfId="20743" xr:uid="{2E23BC20-3AAE-40C1-91D4-687A5550B6F8}"/>
    <cellStyle name="40% - Énfasis1 28 3 3 2" xfId="44248" xr:uid="{2B36A84D-5A70-45F6-A762-A35D679A66DF}"/>
    <cellStyle name="40% - Énfasis1 28 3 4" xfId="44245" xr:uid="{692FFC6B-8B74-4B2A-A841-6C284962ECDE}"/>
    <cellStyle name="40% - Énfasis1 28 4" xfId="9309" xr:uid="{7F8EA8EF-B8BF-467F-BA5F-D1280172205C}"/>
    <cellStyle name="40% - Énfasis1 28 4 2" xfId="24722" xr:uid="{4591E874-3FCA-4076-8E96-82DC3AF19799}"/>
    <cellStyle name="40% - Énfasis1 28 4 2 2" xfId="44250" xr:uid="{8B901018-57F4-4089-AFC6-B4C02D67B859}"/>
    <cellStyle name="40% - Énfasis1 28 4 3" xfId="44249" xr:uid="{3EB8EA23-FDD3-47D5-8B86-9062D9FEE817}"/>
    <cellStyle name="40% - Énfasis1 28 5" xfId="17017" xr:uid="{F98EA941-2862-4AFD-8687-912E720A3C33}"/>
    <cellStyle name="40% - Énfasis1 28 5 2" xfId="44251" xr:uid="{87D9350D-C5D2-4BE5-9025-DD8070648DE9}"/>
    <cellStyle name="40% - Énfasis1 28 6" xfId="44236" xr:uid="{04BDEC7F-9108-4BB7-9276-9789BDB90FBF}"/>
    <cellStyle name="40% - Énfasis1 29" xfId="3077" xr:uid="{73CBEF81-E4EA-4E71-AA58-CDDB836FD489}"/>
    <cellStyle name="40% - Énfasis1 29 2" xfId="6809" xr:uid="{6E32ADBD-6D02-4A41-9862-1B23AE4A5390}"/>
    <cellStyle name="40% - Énfasis1 29 2 2" xfId="14517" xr:uid="{A3D9B2E0-8AFD-48B9-A8A4-1121066F977C}"/>
    <cellStyle name="40% - Énfasis1 29 2 2 2" xfId="29929" xr:uid="{25D19F04-9FF7-413B-A151-B9ADE2547551}"/>
    <cellStyle name="40% - Énfasis1 29 2 2 2 2" xfId="44255" xr:uid="{156CDFFF-D5C3-4F32-AC17-CE687737BDFB}"/>
    <cellStyle name="40% - Énfasis1 29 2 2 3" xfId="44254" xr:uid="{C5B397E7-E7F4-45CD-80FE-0C0ADCD7E64C}"/>
    <cellStyle name="40% - Énfasis1 29 2 3" xfId="22224" xr:uid="{52825BAA-758D-427A-8AEA-278DF473C2DA}"/>
    <cellStyle name="40% - Énfasis1 29 2 3 2" xfId="44256" xr:uid="{E664873E-D951-4910-AC27-43DCAB049B22}"/>
    <cellStyle name="40% - Énfasis1 29 2 4" xfId="44253" xr:uid="{C1838825-C1BB-4234-B2C7-6AA3D80A274E}"/>
    <cellStyle name="40% - Énfasis1 29 3" xfId="10788" xr:uid="{8D6432AD-59AB-499B-AED0-FB2A69BE99BC}"/>
    <cellStyle name="40% - Énfasis1 29 3 2" xfId="26201" xr:uid="{02344C2D-5930-4ACE-856E-4292025D2812}"/>
    <cellStyle name="40% - Énfasis1 29 3 2 2" xfId="44258" xr:uid="{793D9A9F-2942-4B7B-8645-8C076F17DE24}"/>
    <cellStyle name="40% - Énfasis1 29 3 3" xfId="44257" xr:uid="{EB2059A6-466A-4F69-89B5-46C75FE93FA3}"/>
    <cellStyle name="40% - Énfasis1 29 4" xfId="18496" xr:uid="{B42B2D29-73AB-4CA0-B168-F2D3A78D10AC}"/>
    <cellStyle name="40% - Énfasis1 29 4 2" xfId="44259" xr:uid="{8EC81049-DF4A-4471-92EE-EE8F10F0D769}"/>
    <cellStyle name="40% - Énfasis1 29 5" xfId="44252" xr:uid="{EE378D32-DE61-43CE-A3F0-70F1842B4D26}"/>
    <cellStyle name="40% - Énfasis1 3" xfId="239" xr:uid="{61D9FAB8-FDA4-4D11-9E1E-EC4CA8F373D9}"/>
    <cellStyle name="40% - Énfasis1 3 2" xfId="441" xr:uid="{F1CDADFE-FE41-4B6D-B6D4-AE786CB37CF0}"/>
    <cellStyle name="40% - Énfasis1 3 2 2" xfId="1102" xr:uid="{EC62C5A2-689B-404D-B689-BA53570A7D35}"/>
    <cellStyle name="40% - Énfasis1 3 2 2 2" xfId="2570" xr:uid="{D91B0D6F-85F2-49B2-8E6C-D174D8EFBAA6}"/>
    <cellStyle name="40% - Énfasis1 3 2 2 2 2" xfId="6302" xr:uid="{903BCC2D-F180-43C7-AFCB-EC62710D1F87}"/>
    <cellStyle name="40% - Énfasis1 3 2 2 2 2 2" xfId="14010" xr:uid="{3961AE51-9F74-400D-B986-747B0F3CF1E7}"/>
    <cellStyle name="40% - Énfasis1 3 2 2 2 2 2 2" xfId="29422" xr:uid="{E4860B1D-4E56-40EE-964B-B17536B65337}"/>
    <cellStyle name="40% - Énfasis1 3 2 2 2 2 2 2 2" xfId="44266" xr:uid="{8EF1C6FE-A8B7-413B-AD92-623B2C303577}"/>
    <cellStyle name="40% - Énfasis1 3 2 2 2 2 2 3" xfId="44265" xr:uid="{D1A62D5E-FAE0-4060-98F6-B71CDF0E5E1C}"/>
    <cellStyle name="40% - Énfasis1 3 2 2 2 2 3" xfId="21717" xr:uid="{1EFEA276-DA74-4B7C-85A4-703EC0582563}"/>
    <cellStyle name="40% - Énfasis1 3 2 2 2 2 3 2" xfId="44267" xr:uid="{E0F2FDA1-B8BA-46C0-91F6-B710F5F178F8}"/>
    <cellStyle name="40% - Énfasis1 3 2 2 2 2 4" xfId="44264" xr:uid="{679319D8-2CEC-4978-B567-BA00EA6731CF}"/>
    <cellStyle name="40% - Énfasis1 3 2 2 2 3" xfId="10281" xr:uid="{DBCE2EF7-B8A9-4F78-AADA-D21797A2F92D}"/>
    <cellStyle name="40% - Énfasis1 3 2 2 2 3 2" xfId="25694" xr:uid="{8EFCADD8-E8F7-4609-B3E2-73CBF6D75F13}"/>
    <cellStyle name="40% - Énfasis1 3 2 2 2 3 2 2" xfId="44269" xr:uid="{155D1043-2003-4074-8459-604859DB1039}"/>
    <cellStyle name="40% - Énfasis1 3 2 2 2 3 3" xfId="44268" xr:uid="{1A1A44CA-A8E4-4248-AAE9-8B6418F1842B}"/>
    <cellStyle name="40% - Énfasis1 3 2 2 2 4" xfId="17989" xr:uid="{46B5FA2F-0B5A-4ED1-8E2C-B195C0833F92}"/>
    <cellStyle name="40% - Énfasis1 3 2 2 2 4 2" xfId="44270" xr:uid="{5AEE582C-4B2A-41E1-A19B-80D8D1358C71}"/>
    <cellStyle name="40% - Énfasis1 3 2 2 2 5" xfId="44263" xr:uid="{6C86669C-744A-4F2E-B5D7-58C4DD3DE99B}"/>
    <cellStyle name="40% - Énfasis1 3 2 2 3" xfId="4839" xr:uid="{EBA52CFF-B23A-436D-B9C8-42B01BBDAC16}"/>
    <cellStyle name="40% - Énfasis1 3 2 2 3 2" xfId="12547" xr:uid="{444447E2-E13D-463E-B8FD-D0E84093E315}"/>
    <cellStyle name="40% - Énfasis1 3 2 2 3 2 2" xfId="27959" xr:uid="{19878C4D-3F53-4070-920D-D3B731627455}"/>
    <cellStyle name="40% - Énfasis1 3 2 2 3 2 2 2" xfId="44273" xr:uid="{C5D0FE35-E296-4044-B814-EBC6D674B7CE}"/>
    <cellStyle name="40% - Énfasis1 3 2 2 3 2 3" xfId="44272" xr:uid="{FD4ECA47-AF4B-4F28-AA1A-F06D1FE8CE4B}"/>
    <cellStyle name="40% - Énfasis1 3 2 2 3 3" xfId="20254" xr:uid="{24788073-F056-4D84-BBED-C801CD1E8313}"/>
    <cellStyle name="40% - Énfasis1 3 2 2 3 3 2" xfId="44274" xr:uid="{07F03B4B-133B-4016-A4BF-3BCC6668FC2F}"/>
    <cellStyle name="40% - Énfasis1 3 2 2 3 4" xfId="44271" xr:uid="{757EA996-862E-425E-84B4-77DEC560832E}"/>
    <cellStyle name="40% - Énfasis1 3 2 2 4" xfId="8822" xr:uid="{14F23A08-7F4F-46F9-95B2-A97773B0847B}"/>
    <cellStyle name="40% - Énfasis1 3 2 2 4 2" xfId="24235" xr:uid="{C7E06702-0F55-42D5-87F2-191DE8D201C9}"/>
    <cellStyle name="40% - Énfasis1 3 2 2 4 2 2" xfId="44276" xr:uid="{B200F871-DD45-4D53-85A1-76B7520FE1B6}"/>
    <cellStyle name="40% - Énfasis1 3 2 2 4 3" xfId="44275" xr:uid="{A365C9E8-EF6A-4E88-8206-5B314B57C2ED}"/>
    <cellStyle name="40% - Énfasis1 3 2 2 5" xfId="16530" xr:uid="{922AB5AD-F56C-49FF-9B99-A0A877F6C69A}"/>
    <cellStyle name="40% - Énfasis1 3 2 2 5 2" xfId="44277" xr:uid="{1FE70D9D-EDA8-4BB1-ABBB-7412CCAF737D}"/>
    <cellStyle name="40% - Énfasis1 3 2 2 6" xfId="44262" xr:uid="{28A9CD7B-BB40-4CB4-9AF9-4801C4E9CAE0}"/>
    <cellStyle name="40% - Énfasis1 3 2 3" xfId="1932" xr:uid="{194AB50C-9E1D-4C21-9111-A43C1AB50A63}"/>
    <cellStyle name="40% - Énfasis1 3 2 3 2" xfId="5664" xr:uid="{FE705E9A-109A-4D79-9A35-F1258CE3C183}"/>
    <cellStyle name="40% - Énfasis1 3 2 3 2 2" xfId="13372" xr:uid="{A04B9134-02A1-4AD5-A2AA-F7883CA58A2E}"/>
    <cellStyle name="40% - Énfasis1 3 2 3 2 2 2" xfId="28784" xr:uid="{B05BEB7D-F95B-4665-90EC-D6A42B895FD4}"/>
    <cellStyle name="40% - Énfasis1 3 2 3 2 2 2 2" xfId="44281" xr:uid="{7AD868C2-EC16-4C97-B29F-042B220D2ADA}"/>
    <cellStyle name="40% - Énfasis1 3 2 3 2 2 3" xfId="44280" xr:uid="{74F13ACB-5AD5-477D-8A5B-C756AEA0B777}"/>
    <cellStyle name="40% - Énfasis1 3 2 3 2 3" xfId="21079" xr:uid="{229BE597-18C1-46FE-9CF6-64F08C68FDAF}"/>
    <cellStyle name="40% - Énfasis1 3 2 3 2 3 2" xfId="44282" xr:uid="{781BB28C-4E39-411E-8193-B7A8929172FD}"/>
    <cellStyle name="40% - Énfasis1 3 2 3 2 4" xfId="44279" xr:uid="{186DCB8E-F047-4420-A440-D47387B1C6B2}"/>
    <cellStyle name="40% - Énfasis1 3 2 3 3" xfId="9643" xr:uid="{06DCA43F-B5F2-425D-A797-812787463694}"/>
    <cellStyle name="40% - Énfasis1 3 2 3 3 2" xfId="25056" xr:uid="{BDB4E081-A2BD-4DE5-B4CF-18B62788633D}"/>
    <cellStyle name="40% - Énfasis1 3 2 3 3 2 2" xfId="44284" xr:uid="{EDD70014-59F5-4BD0-92AE-B8AC9A4252C1}"/>
    <cellStyle name="40% - Énfasis1 3 2 3 3 3" xfId="44283" xr:uid="{EC75DF8D-3537-4B43-9E84-3109F55375C7}"/>
    <cellStyle name="40% - Énfasis1 3 2 3 4" xfId="17351" xr:uid="{FA0C43D2-F90C-46CA-8E2B-11CF80D59AE8}"/>
    <cellStyle name="40% - Énfasis1 3 2 3 4 2" xfId="44285" xr:uid="{0DA7011E-5634-4B85-900E-687BD8FF4FAB}"/>
    <cellStyle name="40% - Énfasis1 3 2 3 5" xfId="44278" xr:uid="{BA47B247-DA5C-4BC6-B199-487B9E72BDB4}"/>
    <cellStyle name="40% - Énfasis1 3 2 4" xfId="4187" xr:uid="{BD09080E-CCE9-449A-9084-CB4ECFD75824}"/>
    <cellStyle name="40% - Énfasis1 3 2 4 2" xfId="11895" xr:uid="{3BE09CCA-128A-4493-A409-2E6CBFBE904B}"/>
    <cellStyle name="40% - Énfasis1 3 2 4 2 2" xfId="27307" xr:uid="{B99F3446-0400-47FC-844B-193A65C8766A}"/>
    <cellStyle name="40% - Énfasis1 3 2 4 2 2 2" xfId="44288" xr:uid="{78149CEA-0C22-4770-A35F-A99C98658D86}"/>
    <cellStyle name="40% - Énfasis1 3 2 4 2 3" xfId="44287" xr:uid="{5FC14E23-C102-4F4F-952A-74A6E38FF500}"/>
    <cellStyle name="40% - Énfasis1 3 2 4 3" xfId="19602" xr:uid="{4CF7F2C7-FDDF-4798-95AB-632A8DC1B782}"/>
    <cellStyle name="40% - Énfasis1 3 2 4 3 2" xfId="44289" xr:uid="{07395113-3E67-4244-80C3-253F5E845644}"/>
    <cellStyle name="40% - Énfasis1 3 2 4 4" xfId="44286" xr:uid="{2FEEAF73-1030-43EF-A574-89DA533064F1}"/>
    <cellStyle name="40% - Énfasis1 3 2 5" xfId="8184" xr:uid="{0E5E0E0B-25E1-4D17-8CCE-BD37C61A7E86}"/>
    <cellStyle name="40% - Énfasis1 3 2 5 2" xfId="23597" xr:uid="{33116073-677C-4420-8766-67052822DFBC}"/>
    <cellStyle name="40% - Énfasis1 3 2 5 2 2" xfId="44291" xr:uid="{32F92144-F479-4D2A-A000-7A761E0F8372}"/>
    <cellStyle name="40% - Énfasis1 3 2 5 3" xfId="44290" xr:uid="{9B7DB013-6EF3-46DB-9AB4-B86FAE31AAE3}"/>
    <cellStyle name="40% - Énfasis1 3 2 6" xfId="15892" xr:uid="{18818527-E8C6-44B7-9D85-24573B67A047}"/>
    <cellStyle name="40% - Énfasis1 3 2 6 2" xfId="44292" xr:uid="{49B33441-B0E8-4B28-AFA9-1C20F403BDEC}"/>
    <cellStyle name="40% - Énfasis1 3 2 7" xfId="44261" xr:uid="{97E79C76-4B26-450E-B3EA-92578FFA616E}"/>
    <cellStyle name="40% - Énfasis1 3 3" xfId="902" xr:uid="{068AA620-2E42-44E2-A565-C36E7B771011}"/>
    <cellStyle name="40% - Énfasis1 3 3 2" xfId="2372" xr:uid="{29996757-0291-4FAC-B720-0327C6D7832C}"/>
    <cellStyle name="40% - Énfasis1 3 3 2 2" xfId="6104" xr:uid="{133A8B8F-38F3-4F7F-8E35-64690AE64BDB}"/>
    <cellStyle name="40% - Énfasis1 3 3 2 2 2" xfId="13812" xr:uid="{8A6284BF-63E5-4CD0-8B0B-18E9E4052CCE}"/>
    <cellStyle name="40% - Énfasis1 3 3 2 2 2 2" xfId="29224" xr:uid="{0F73E549-F2F2-4890-AA71-5CD2D8E61D7A}"/>
    <cellStyle name="40% - Énfasis1 3 3 2 2 2 2 2" xfId="44297" xr:uid="{468BA769-549D-438C-9C2B-3EE363D705DC}"/>
    <cellStyle name="40% - Énfasis1 3 3 2 2 2 3" xfId="44296" xr:uid="{32D6EC83-FED3-4E92-B93A-6D47EFDD2A83}"/>
    <cellStyle name="40% - Énfasis1 3 3 2 2 3" xfId="21519" xr:uid="{8C0C4B3C-F9F7-4668-B458-CCB332CCB696}"/>
    <cellStyle name="40% - Énfasis1 3 3 2 2 3 2" xfId="44298" xr:uid="{FCC3CA90-8776-4866-8049-7C10CD309E02}"/>
    <cellStyle name="40% - Énfasis1 3 3 2 2 4" xfId="44295" xr:uid="{4F2D6624-5F8C-4DF2-AD70-DA500F78320F}"/>
    <cellStyle name="40% - Énfasis1 3 3 2 3" xfId="10083" xr:uid="{E9FE90CF-8F80-47B9-809A-247AC24B4282}"/>
    <cellStyle name="40% - Énfasis1 3 3 2 3 2" xfId="25496" xr:uid="{2B4FCB0F-2826-4811-9BC5-EB68021EF21E}"/>
    <cellStyle name="40% - Énfasis1 3 3 2 3 2 2" xfId="44300" xr:uid="{3B5DB6DE-C264-4B7F-942F-C589093C47E5}"/>
    <cellStyle name="40% - Énfasis1 3 3 2 3 3" xfId="44299" xr:uid="{D583AE1A-BF43-417C-8E88-AAD0BE7690BD}"/>
    <cellStyle name="40% - Énfasis1 3 3 2 4" xfId="17791" xr:uid="{68B6A5AF-06F7-4148-82DF-BF8F88BFA069}"/>
    <cellStyle name="40% - Énfasis1 3 3 2 4 2" xfId="44301" xr:uid="{FBEE9719-3766-4AF7-BF6E-C47F4BA682BC}"/>
    <cellStyle name="40% - Énfasis1 3 3 2 5" xfId="44294" xr:uid="{E80130B2-FC7C-4D04-865E-D5B7A3BE3AFE}"/>
    <cellStyle name="40% - Énfasis1 3 3 3" xfId="4639" xr:uid="{652FAF09-97BD-4A1C-876C-E777CFBBF87A}"/>
    <cellStyle name="40% - Énfasis1 3 3 3 2" xfId="12347" xr:uid="{F82ACD10-27E8-493F-8EF6-FE125FBD21D2}"/>
    <cellStyle name="40% - Énfasis1 3 3 3 2 2" xfId="27759" xr:uid="{6A2C1ECD-43C9-46E4-9E97-8A38001ADD5B}"/>
    <cellStyle name="40% - Énfasis1 3 3 3 2 2 2" xfId="44304" xr:uid="{965B4D49-1BE0-4549-99FF-DB527D88C3BF}"/>
    <cellStyle name="40% - Énfasis1 3 3 3 2 3" xfId="44303" xr:uid="{54C77B94-8427-45BA-AE6C-D4D5AEAB9C55}"/>
    <cellStyle name="40% - Énfasis1 3 3 3 3" xfId="20054" xr:uid="{00E27C92-96A8-426D-8E6B-50DA94C536A4}"/>
    <cellStyle name="40% - Énfasis1 3 3 3 3 2" xfId="44305" xr:uid="{749F1188-731C-49C5-9207-D2F59D918EC5}"/>
    <cellStyle name="40% - Énfasis1 3 3 3 4" xfId="44302" xr:uid="{A8DB3546-8B76-418B-97CC-0A3D9B8FA28A}"/>
    <cellStyle name="40% - Énfasis1 3 3 4" xfId="8624" xr:uid="{6BB34664-863C-4DDC-9E5A-4B7A15A98034}"/>
    <cellStyle name="40% - Énfasis1 3 3 4 2" xfId="24037" xr:uid="{4B2F0DEB-76E1-4BA6-AEF5-20AF281FB4A3}"/>
    <cellStyle name="40% - Énfasis1 3 3 4 2 2" xfId="44307" xr:uid="{F8243BE6-EE9D-469A-94A8-CB2E64E9614E}"/>
    <cellStyle name="40% - Énfasis1 3 3 4 3" xfId="44306" xr:uid="{0491E7B9-9C41-41CA-BCA6-CD6D7257143C}"/>
    <cellStyle name="40% - Énfasis1 3 3 5" xfId="16332" xr:uid="{4A458B5C-1A8F-4503-9C9E-1936FF2C5287}"/>
    <cellStyle name="40% - Énfasis1 3 3 5 2" xfId="44308" xr:uid="{63A9CC37-8FEF-418E-BC52-62E774859183}"/>
    <cellStyle name="40% - Énfasis1 3 3 6" xfId="44293" xr:uid="{077DD590-7E4B-4F00-A04F-3AC93CAD24FA}"/>
    <cellStyle name="40% - Énfasis1 3 4" xfId="1734" xr:uid="{FD3922A1-9726-44A4-B3A1-79282896F505}"/>
    <cellStyle name="40% - Énfasis1 3 4 2" xfId="5466" xr:uid="{3080FBA9-8D33-4B6B-BDA4-4FCE7CEAEEC0}"/>
    <cellStyle name="40% - Énfasis1 3 4 2 2" xfId="13174" xr:uid="{80DDF0A1-DC09-4BF6-9F41-4391E1AAE7B1}"/>
    <cellStyle name="40% - Énfasis1 3 4 2 2 2" xfId="28586" xr:uid="{C9208FCD-41A3-470B-A4BD-6FB3D144F47B}"/>
    <cellStyle name="40% - Énfasis1 3 4 2 2 2 2" xfId="44312" xr:uid="{FCD19F19-E09E-4AC5-8E89-8AE41DC39592}"/>
    <cellStyle name="40% - Énfasis1 3 4 2 2 3" xfId="44311" xr:uid="{D3F5DAAB-01D2-4006-BBFC-06976535B2F4}"/>
    <cellStyle name="40% - Énfasis1 3 4 2 3" xfId="20881" xr:uid="{D559DCA2-88FE-4B6A-B27D-63454DFEF5D7}"/>
    <cellStyle name="40% - Énfasis1 3 4 2 3 2" xfId="44313" xr:uid="{57CD9378-392D-4A7B-AFAA-7A3ADF09C362}"/>
    <cellStyle name="40% - Énfasis1 3 4 2 4" xfId="44310" xr:uid="{565897D8-900B-443E-B6F5-781AC75F9BD7}"/>
    <cellStyle name="40% - Énfasis1 3 4 3" xfId="9445" xr:uid="{D25625C9-80D5-4622-8697-7F15BA09D584}"/>
    <cellStyle name="40% - Énfasis1 3 4 3 2" xfId="24858" xr:uid="{587BBF26-469D-4DB8-943E-FCC864244D6E}"/>
    <cellStyle name="40% - Énfasis1 3 4 3 2 2" xfId="44315" xr:uid="{826F1DCD-B5CF-4E84-BC28-94E34DC1812F}"/>
    <cellStyle name="40% - Énfasis1 3 4 3 3" xfId="44314" xr:uid="{E83462DF-0FF5-4E25-B8EA-AA504FB2D95E}"/>
    <cellStyle name="40% - Énfasis1 3 4 4" xfId="17153" xr:uid="{C72B9A75-3CCC-49FB-B215-21D028CFF6D8}"/>
    <cellStyle name="40% - Énfasis1 3 4 4 2" xfId="44316" xr:uid="{93A335D3-8AB9-4A19-BE50-4536BA31D00C}"/>
    <cellStyle name="40% - Énfasis1 3 4 5" xfId="44309" xr:uid="{A716CD03-6C94-4D93-904B-391868350C74}"/>
    <cellStyle name="40% - Énfasis1 3 5" xfId="3987" xr:uid="{3985C3CC-7A4A-49D8-8F92-7B37C57EA895}"/>
    <cellStyle name="40% - Énfasis1 3 5 2" xfId="11695" xr:uid="{EE1D48E8-B7E4-463C-9A81-FBFB9A3070D5}"/>
    <cellStyle name="40% - Énfasis1 3 5 2 2" xfId="27107" xr:uid="{A83E610B-503C-4D57-B30F-BC12FD6F220B}"/>
    <cellStyle name="40% - Énfasis1 3 5 2 2 2" xfId="44319" xr:uid="{5A405A22-9409-496C-B8F7-81C7E5B8BCCA}"/>
    <cellStyle name="40% - Énfasis1 3 5 2 3" xfId="44318" xr:uid="{EF85D6E5-B638-4A75-91E2-C78F7CBD557B}"/>
    <cellStyle name="40% - Énfasis1 3 5 3" xfId="19402" xr:uid="{BAFB1D54-980B-4732-ACF9-B68CCFC8FB85}"/>
    <cellStyle name="40% - Énfasis1 3 5 3 2" xfId="44320" xr:uid="{79E59331-C49E-4EC3-A3E1-2C76A9361D70}"/>
    <cellStyle name="40% - Énfasis1 3 5 4" xfId="44317" xr:uid="{4C43BC32-3089-418C-941B-CE4410DF9610}"/>
    <cellStyle name="40% - Énfasis1 3 6" xfId="7986" xr:uid="{60C151F4-980C-43C1-BCF8-28EE250CF61C}"/>
    <cellStyle name="40% - Énfasis1 3 6 2" xfId="23399" xr:uid="{451A6D32-8959-46FB-9A8B-F7B85656E466}"/>
    <cellStyle name="40% - Énfasis1 3 6 2 2" xfId="44322" xr:uid="{310E7096-E425-4842-99CF-64D4469C4470}"/>
    <cellStyle name="40% - Énfasis1 3 6 3" xfId="44321" xr:uid="{6AC9378F-BEBF-432E-AB82-2B463D94205F}"/>
    <cellStyle name="40% - Énfasis1 3 7" xfId="15694" xr:uid="{B9A1756A-76D5-4478-8509-DF01B7A40907}"/>
    <cellStyle name="40% - Énfasis1 3 7 2" xfId="44323" xr:uid="{ED83A06D-176D-470D-B90B-1CE2D8A1A322}"/>
    <cellStyle name="40% - Énfasis1 3 8" xfId="44260" xr:uid="{A2D48A62-3446-4260-AF82-953E3303D564}"/>
    <cellStyle name="40% - Énfasis1 30" xfId="3097" xr:uid="{6CFAA0FC-662A-40A6-BDCA-D3BC2547B529}"/>
    <cellStyle name="40% - Énfasis1 30 2" xfId="6829" xr:uid="{3F69563C-4875-4615-8A25-A69A8CB5BC44}"/>
    <cellStyle name="40% - Énfasis1 30 2 2" xfId="14537" xr:uid="{752142BD-E175-4EDD-9345-EA0F1A3CC741}"/>
    <cellStyle name="40% - Énfasis1 30 2 2 2" xfId="29949" xr:uid="{0CBB836B-835E-416A-ADC6-386B061A42E1}"/>
    <cellStyle name="40% - Énfasis1 30 2 2 2 2" xfId="44327" xr:uid="{C1B2DFAA-32E6-4500-9302-B2A36FC1EABE}"/>
    <cellStyle name="40% - Énfasis1 30 2 2 3" xfId="44326" xr:uid="{E6AE7F0A-634A-4EB3-86AE-0C9FA02647E3}"/>
    <cellStyle name="40% - Énfasis1 30 2 3" xfId="22244" xr:uid="{68A767B4-CA3F-4B52-9739-07C0A5F76EBF}"/>
    <cellStyle name="40% - Énfasis1 30 2 3 2" xfId="44328" xr:uid="{765E277F-B694-43F1-B979-19A5CE028497}"/>
    <cellStyle name="40% - Énfasis1 30 2 4" xfId="44325" xr:uid="{2F4A081E-F83A-40D1-ACFA-E1B66CBA8E3F}"/>
    <cellStyle name="40% - Énfasis1 30 3" xfId="10808" xr:uid="{A79A5650-B16C-4A2F-982D-5652BCF0B4A5}"/>
    <cellStyle name="40% - Énfasis1 30 3 2" xfId="26221" xr:uid="{73CA4125-70AB-4E67-9E4A-ED97AF187F72}"/>
    <cellStyle name="40% - Énfasis1 30 3 2 2" xfId="44330" xr:uid="{B30C5581-482D-4073-8956-3C2E0546FA46}"/>
    <cellStyle name="40% - Énfasis1 30 3 3" xfId="44329" xr:uid="{B6769887-6C0D-4222-8075-8EFEA8092983}"/>
    <cellStyle name="40% - Énfasis1 30 4" xfId="18516" xr:uid="{7D1C9412-B574-4D7B-9DC9-862D6EF6EC47}"/>
    <cellStyle name="40% - Énfasis1 30 4 2" xfId="44331" xr:uid="{BF5A764A-E460-416D-A633-FD8E4DF5DC75}"/>
    <cellStyle name="40% - Énfasis1 30 5" xfId="44324" xr:uid="{E46A265D-D19D-4628-90D2-5AA1DAE69BF3}"/>
    <cellStyle name="40% - Énfasis1 31" xfId="3117" xr:uid="{EE10C808-3020-4AF2-858A-A2062197F50E}"/>
    <cellStyle name="40% - Énfasis1 31 2" xfId="6849" xr:uid="{9A58CDB0-9976-4501-B873-B3F830683F8B}"/>
    <cellStyle name="40% - Énfasis1 31 2 2" xfId="14557" xr:uid="{58868E2C-DF95-495F-8839-FA5F9C38DDD5}"/>
    <cellStyle name="40% - Énfasis1 31 2 2 2" xfId="29969" xr:uid="{A791B31B-B950-4A6C-81FF-7B3DA204B183}"/>
    <cellStyle name="40% - Énfasis1 31 2 2 2 2" xfId="44335" xr:uid="{33500DE2-BC91-43ED-BBA0-BEF11D10AAD8}"/>
    <cellStyle name="40% - Énfasis1 31 2 2 3" xfId="44334" xr:uid="{F40A4E73-F800-4D9E-AEBB-14CB72B0AFE9}"/>
    <cellStyle name="40% - Énfasis1 31 2 3" xfId="22264" xr:uid="{98957E4C-4C9D-4998-9A7F-47BE2AF7527D}"/>
    <cellStyle name="40% - Énfasis1 31 2 3 2" xfId="44336" xr:uid="{D0594405-A98E-48F6-98B8-F757E78F9856}"/>
    <cellStyle name="40% - Énfasis1 31 2 4" xfId="44333" xr:uid="{EA244875-8E51-4E6C-9024-5E0F191532BB}"/>
    <cellStyle name="40% - Énfasis1 31 3" xfId="10828" xr:uid="{9556131B-E95C-4D85-A585-85AAEE154175}"/>
    <cellStyle name="40% - Énfasis1 31 3 2" xfId="26241" xr:uid="{FCA28896-FD07-41B9-A89A-7B773869A3CF}"/>
    <cellStyle name="40% - Énfasis1 31 3 2 2" xfId="44338" xr:uid="{73C97A71-3A58-4B2F-9285-432DFBF7D8CA}"/>
    <cellStyle name="40% - Énfasis1 31 3 3" xfId="44337" xr:uid="{A1FE1B1D-2A1B-4452-AA45-046A8FAD4395}"/>
    <cellStyle name="40% - Énfasis1 31 4" xfId="18536" xr:uid="{DEF75C01-0308-436D-9DC4-E51EB86F2187}"/>
    <cellStyle name="40% - Énfasis1 31 4 2" xfId="44339" xr:uid="{2ECF3B52-4828-4A6A-8A73-BD0BAD990388}"/>
    <cellStyle name="40% - Énfasis1 31 5" xfId="44332" xr:uid="{09BBD49D-AF4B-477E-A23F-7985BFD1B042}"/>
    <cellStyle name="40% - Énfasis1 32" xfId="3137" xr:uid="{040D8DAA-72EA-479F-991C-BBAE6DE12507}"/>
    <cellStyle name="40% - Énfasis1 32 2" xfId="6869" xr:uid="{3E2A7954-D568-488E-B726-345425F48173}"/>
    <cellStyle name="40% - Énfasis1 32 2 2" xfId="14577" xr:uid="{A921801C-41E0-4523-84A8-18DBE225FF80}"/>
    <cellStyle name="40% - Énfasis1 32 2 2 2" xfId="29989" xr:uid="{D30E956A-32DA-47C8-A995-93E90F03AD2D}"/>
    <cellStyle name="40% - Énfasis1 32 2 2 2 2" xfId="44343" xr:uid="{8B2A3B25-B764-46E4-9A03-27CAD7759B22}"/>
    <cellStyle name="40% - Énfasis1 32 2 2 3" xfId="44342" xr:uid="{61366E2D-803E-40EB-AD7E-31B7EBBA1C6D}"/>
    <cellStyle name="40% - Énfasis1 32 2 3" xfId="22284" xr:uid="{400B9380-8545-416A-B656-FE518DD81B4B}"/>
    <cellStyle name="40% - Énfasis1 32 2 3 2" xfId="44344" xr:uid="{233E789A-A417-41EE-9DB2-FCD757590BAE}"/>
    <cellStyle name="40% - Énfasis1 32 2 4" xfId="44341" xr:uid="{AE9A0FCF-9A9A-4F37-8705-C6E5BEFD1195}"/>
    <cellStyle name="40% - Énfasis1 32 3" xfId="10848" xr:uid="{8499452E-CD93-4D3D-B702-40BA8C5C8251}"/>
    <cellStyle name="40% - Énfasis1 32 3 2" xfId="26261" xr:uid="{10E37ADE-C932-4820-A2F7-E4384523EA43}"/>
    <cellStyle name="40% - Énfasis1 32 3 2 2" xfId="44346" xr:uid="{56559038-9C9A-4B88-B27D-AF22B098E36F}"/>
    <cellStyle name="40% - Énfasis1 32 3 3" xfId="44345" xr:uid="{247C724A-CEF2-46E5-9F54-4A8A39F2C15A}"/>
    <cellStyle name="40% - Énfasis1 32 4" xfId="18556" xr:uid="{1F41954C-15EF-4720-AD3D-965A185A9812}"/>
    <cellStyle name="40% - Énfasis1 32 4 2" xfId="44347" xr:uid="{49F76C1D-874F-4598-935B-D6C2469927AE}"/>
    <cellStyle name="40% - Énfasis1 32 5" xfId="44340" xr:uid="{EA730516-E9E9-4962-89C6-6EBD004044CD}"/>
    <cellStyle name="40% - Énfasis1 33" xfId="3157" xr:uid="{1A502862-88AA-4D7E-A2E8-B4C2F144EF27}"/>
    <cellStyle name="40% - Énfasis1 33 2" xfId="6889" xr:uid="{E53D64B5-29B2-4A23-9ACF-C452FEDFCC32}"/>
    <cellStyle name="40% - Énfasis1 33 2 2" xfId="14597" xr:uid="{87821374-336A-451F-8BFF-84C2677B0C62}"/>
    <cellStyle name="40% - Énfasis1 33 2 2 2" xfId="30009" xr:uid="{86485FD2-4D3C-4E74-A78E-E475D373CE6A}"/>
    <cellStyle name="40% - Énfasis1 33 2 2 2 2" xfId="44351" xr:uid="{8E54A67B-C8A7-4468-AFD7-35FB4B54939C}"/>
    <cellStyle name="40% - Énfasis1 33 2 2 3" xfId="44350" xr:uid="{27383E00-0007-4B6B-B4C2-D35090D6E840}"/>
    <cellStyle name="40% - Énfasis1 33 2 3" xfId="22304" xr:uid="{B421286B-C7A0-42E4-ACA9-F5E020CCB722}"/>
    <cellStyle name="40% - Énfasis1 33 2 3 2" xfId="44352" xr:uid="{7A6AA9DE-020B-48BA-883F-AA7238B042C2}"/>
    <cellStyle name="40% - Énfasis1 33 2 4" xfId="44349" xr:uid="{5B4723C8-D8FA-46D9-8D56-5174A4E79D20}"/>
    <cellStyle name="40% - Énfasis1 33 3" xfId="10868" xr:uid="{C69BFCF2-EBD9-4777-8C6D-2CCC85D4A7B4}"/>
    <cellStyle name="40% - Énfasis1 33 3 2" xfId="26281" xr:uid="{D4838047-F688-4EB1-AE37-ACE12E5B5C36}"/>
    <cellStyle name="40% - Énfasis1 33 3 2 2" xfId="44354" xr:uid="{484AB0D1-AB16-4A09-8D47-95F315384214}"/>
    <cellStyle name="40% - Énfasis1 33 3 3" xfId="44353" xr:uid="{437D9AE6-9F30-4058-B256-7C2633680538}"/>
    <cellStyle name="40% - Énfasis1 33 4" xfId="18576" xr:uid="{34FE7521-83AF-4DAC-8134-67CCE9DE2529}"/>
    <cellStyle name="40% - Énfasis1 33 4 2" xfId="44355" xr:uid="{944FF170-7295-47C4-938F-FE5FD6BFBE41}"/>
    <cellStyle name="40% - Énfasis1 33 5" xfId="44348" xr:uid="{ED8072AA-8A89-4F0E-9BB7-95769C3CEF78}"/>
    <cellStyle name="40% - Énfasis1 34" xfId="3177" xr:uid="{B255EA11-AB74-4B5C-B0D6-DACB8619A0F7}"/>
    <cellStyle name="40% - Énfasis1 34 2" xfId="6909" xr:uid="{D6AF90FB-36C3-4D56-9830-1D5D2556502F}"/>
    <cellStyle name="40% - Énfasis1 34 2 2" xfId="14617" xr:uid="{E973A7D3-8942-4D6E-97A8-CADA923236B7}"/>
    <cellStyle name="40% - Énfasis1 34 2 2 2" xfId="30029" xr:uid="{E09FAE9C-2B1A-4774-9862-7AC0E631D999}"/>
    <cellStyle name="40% - Énfasis1 34 2 2 2 2" xfId="44359" xr:uid="{7FA93621-4B05-4DA1-9890-6977F8FB5672}"/>
    <cellStyle name="40% - Énfasis1 34 2 2 3" xfId="44358" xr:uid="{6F4BBCFF-0226-46FB-871D-220A5B4B04E3}"/>
    <cellStyle name="40% - Énfasis1 34 2 3" xfId="22324" xr:uid="{110FBA0B-5571-4C9B-9ED4-6C20A5007E19}"/>
    <cellStyle name="40% - Énfasis1 34 2 3 2" xfId="44360" xr:uid="{08FED6CF-9DB2-496B-8A26-2ABC9AF456D6}"/>
    <cellStyle name="40% - Énfasis1 34 2 4" xfId="44357" xr:uid="{D5C95885-EA4B-4752-BB55-B5383F716988}"/>
    <cellStyle name="40% - Énfasis1 34 3" xfId="10888" xr:uid="{E9588E21-72F3-47BD-ADA4-F6590486C119}"/>
    <cellStyle name="40% - Énfasis1 34 3 2" xfId="26301" xr:uid="{AF3965EA-4F82-4663-A909-5C4671E4B21B}"/>
    <cellStyle name="40% - Énfasis1 34 3 2 2" xfId="44362" xr:uid="{39FB35E2-CF94-4A5F-8C83-23E15AD45822}"/>
    <cellStyle name="40% - Énfasis1 34 3 3" xfId="44361" xr:uid="{FDCADC53-FC04-47D0-B863-8125B3790D14}"/>
    <cellStyle name="40% - Énfasis1 34 4" xfId="18596" xr:uid="{AA7DEE2F-72A3-4F68-B908-4FA3117FFE2B}"/>
    <cellStyle name="40% - Énfasis1 34 4 2" xfId="44363" xr:uid="{6186B484-050F-4355-93B0-E4C9FC445800}"/>
    <cellStyle name="40% - Énfasis1 34 5" xfId="44356" xr:uid="{CDB94490-B422-4EC4-8E51-DAF173952686}"/>
    <cellStyle name="40% - Énfasis1 35" xfId="3197" xr:uid="{77A9B848-C728-4668-A75E-3D6D58EB91F5}"/>
    <cellStyle name="40% - Énfasis1 35 2" xfId="6929" xr:uid="{EBAB5EC5-1CED-4EA6-B87F-C19FB68E5686}"/>
    <cellStyle name="40% - Énfasis1 35 2 2" xfId="14637" xr:uid="{09CD68A2-05C4-43CD-8C35-AB3D4753FE2A}"/>
    <cellStyle name="40% - Énfasis1 35 2 2 2" xfId="30049" xr:uid="{38CBB382-5F19-4BEB-B83F-E0628A671751}"/>
    <cellStyle name="40% - Énfasis1 35 2 2 2 2" xfId="44367" xr:uid="{E6695FA2-F5C2-49E8-9C06-AC0F5AB51D6C}"/>
    <cellStyle name="40% - Énfasis1 35 2 2 3" xfId="44366" xr:uid="{DEA181BF-B016-4335-AF77-A10A06DB63EA}"/>
    <cellStyle name="40% - Énfasis1 35 2 3" xfId="22344" xr:uid="{844591BB-CA0B-4531-90DC-26E6845C76C0}"/>
    <cellStyle name="40% - Énfasis1 35 2 3 2" xfId="44368" xr:uid="{00BF2F28-286D-4A4E-BFE0-F19973A17664}"/>
    <cellStyle name="40% - Énfasis1 35 2 4" xfId="44365" xr:uid="{07701B59-0AC8-4856-924A-A65567756310}"/>
    <cellStyle name="40% - Énfasis1 35 3" xfId="10908" xr:uid="{D47CC978-9288-4764-ABE1-CCA8420D0088}"/>
    <cellStyle name="40% - Énfasis1 35 3 2" xfId="26321" xr:uid="{ED694305-E2F8-4F82-BC66-EA2547F51EAB}"/>
    <cellStyle name="40% - Énfasis1 35 3 2 2" xfId="44370" xr:uid="{19C06435-DE1A-4CAA-8460-29548A592046}"/>
    <cellStyle name="40% - Énfasis1 35 3 3" xfId="44369" xr:uid="{38BE1AB3-5F1F-41AC-967B-98D220680815}"/>
    <cellStyle name="40% - Énfasis1 35 4" xfId="18616" xr:uid="{090A94F3-5C23-4F5D-AA1F-16A83302FB52}"/>
    <cellStyle name="40% - Énfasis1 35 4 2" xfId="44371" xr:uid="{C70870E6-9E01-4302-8DDA-9A8D363B2885}"/>
    <cellStyle name="40% - Énfasis1 35 5" xfId="44364" xr:uid="{A40127E9-BCAE-47E9-A9E7-F57752F493D1}"/>
    <cellStyle name="40% - Énfasis1 36" xfId="3217" xr:uid="{E44EB217-994F-4355-B087-FE2EC4A03BCA}"/>
    <cellStyle name="40% - Énfasis1 36 2" xfId="6949" xr:uid="{71CEB63D-2822-4B30-B7E9-4C0864BCEA4E}"/>
    <cellStyle name="40% - Énfasis1 36 2 2" xfId="14657" xr:uid="{66CFFC36-9659-419F-8CB0-D725625D3FEC}"/>
    <cellStyle name="40% - Énfasis1 36 2 2 2" xfId="30069" xr:uid="{A8EEDF80-ED60-4EAF-8273-BE3A07228D3C}"/>
    <cellStyle name="40% - Énfasis1 36 2 2 2 2" xfId="44375" xr:uid="{F3BB9A8D-769B-4CDD-AB45-B99A7529EC08}"/>
    <cellStyle name="40% - Énfasis1 36 2 2 3" xfId="44374" xr:uid="{3ACC4904-6587-4C06-A50D-7FD791D39F1C}"/>
    <cellStyle name="40% - Énfasis1 36 2 3" xfId="22364" xr:uid="{AB30E521-CD5C-4C4E-9E60-2130994F52D9}"/>
    <cellStyle name="40% - Énfasis1 36 2 3 2" xfId="44376" xr:uid="{66D92293-CE75-41AA-BAFA-9074DB4BEFA0}"/>
    <cellStyle name="40% - Énfasis1 36 2 4" xfId="44373" xr:uid="{ED947558-52B6-4F92-86E2-D1B485D7FA49}"/>
    <cellStyle name="40% - Énfasis1 36 3" xfId="10928" xr:uid="{47F407C0-6FC2-4F51-81AA-FD4848D03237}"/>
    <cellStyle name="40% - Énfasis1 36 3 2" xfId="26341" xr:uid="{4C9E9385-5174-49AE-A3AA-E59C6B5F5D7D}"/>
    <cellStyle name="40% - Énfasis1 36 3 2 2" xfId="44378" xr:uid="{889542DA-577E-4FAE-919F-B2CD9E4C1005}"/>
    <cellStyle name="40% - Énfasis1 36 3 3" xfId="44377" xr:uid="{079E7902-D1A4-4F1F-9D2C-6C3DE708E15A}"/>
    <cellStyle name="40% - Énfasis1 36 4" xfId="18636" xr:uid="{702442A6-E24D-428C-B7EC-5BF8919AC0FC}"/>
    <cellStyle name="40% - Énfasis1 36 4 2" xfId="44379" xr:uid="{56EED3CF-9FD1-4C0A-B2B5-BDC7288C6DE5}"/>
    <cellStyle name="40% - Énfasis1 36 5" xfId="44372" xr:uid="{432415CE-D8E1-4A91-807A-29BF4F3B87A2}"/>
    <cellStyle name="40% - Énfasis1 37" xfId="3237" xr:uid="{04B42663-AF31-48F9-AA6D-417BA6D659B7}"/>
    <cellStyle name="40% - Énfasis1 37 2" xfId="6969" xr:uid="{25DEA182-0FFE-4978-95B9-C80350B549C1}"/>
    <cellStyle name="40% - Énfasis1 37 2 2" xfId="14677" xr:uid="{DB49C4E4-E4AA-45F5-A638-5AA00F36C05A}"/>
    <cellStyle name="40% - Énfasis1 37 2 2 2" xfId="30089" xr:uid="{3CAEA3FB-F049-468C-BD3E-E91B14145822}"/>
    <cellStyle name="40% - Énfasis1 37 2 2 2 2" xfId="44383" xr:uid="{95762F03-B711-4F9F-AE0E-5479DD129147}"/>
    <cellStyle name="40% - Énfasis1 37 2 2 3" xfId="44382" xr:uid="{1AF5ECE0-614C-4D94-B1F0-179F9E2E9E8C}"/>
    <cellStyle name="40% - Énfasis1 37 2 3" xfId="22384" xr:uid="{6BBF7B73-0852-4FE6-AF48-C1CBDCA81671}"/>
    <cellStyle name="40% - Énfasis1 37 2 3 2" xfId="44384" xr:uid="{B1463311-D44E-4D23-B6BD-0FB9633A5CFD}"/>
    <cellStyle name="40% - Énfasis1 37 2 4" xfId="44381" xr:uid="{5D41A0B7-610A-442F-9F52-18523D2E32E6}"/>
    <cellStyle name="40% - Énfasis1 37 3" xfId="10948" xr:uid="{67800AD7-1AF4-40AB-93BC-A0A174D45AEE}"/>
    <cellStyle name="40% - Énfasis1 37 3 2" xfId="26361" xr:uid="{F7305FCD-207F-457A-930B-9C4B4985B6C9}"/>
    <cellStyle name="40% - Énfasis1 37 3 2 2" xfId="44386" xr:uid="{CE0D49D9-EC14-4B30-877A-85C1CAA08EEA}"/>
    <cellStyle name="40% - Énfasis1 37 3 3" xfId="44385" xr:uid="{2B4D6A76-CAC1-4AD3-A671-DA7B4C7EDD6D}"/>
    <cellStyle name="40% - Énfasis1 37 4" xfId="18656" xr:uid="{8C3C7BC8-3D0B-4BAE-97C8-899A50E3FBD7}"/>
    <cellStyle name="40% - Énfasis1 37 4 2" xfId="44387" xr:uid="{4E57D6F0-8C44-4330-B420-54ECA8CEDB16}"/>
    <cellStyle name="40% - Énfasis1 37 5" xfId="44380" xr:uid="{5341E866-1466-44D9-A54B-DB239296B9A9}"/>
    <cellStyle name="40% - Énfasis1 38" xfId="3257" xr:uid="{0A0717C9-B829-408E-8A6E-1C441A578E66}"/>
    <cellStyle name="40% - Énfasis1 38 2" xfId="6989" xr:uid="{8DD53F51-31BA-411B-AED9-3278388CF9D3}"/>
    <cellStyle name="40% - Énfasis1 38 2 2" xfId="14697" xr:uid="{4FC4C5CF-C9D9-4675-B004-49499642C50C}"/>
    <cellStyle name="40% - Énfasis1 38 2 2 2" xfId="30109" xr:uid="{6D71EA5E-24F3-4512-A2A9-5623F26616EA}"/>
    <cellStyle name="40% - Énfasis1 38 2 2 2 2" xfId="44391" xr:uid="{3731F6D5-FD38-4851-ADB9-85E16AA0A688}"/>
    <cellStyle name="40% - Énfasis1 38 2 2 3" xfId="44390" xr:uid="{E6388447-604C-43F7-A6B0-C3959C818910}"/>
    <cellStyle name="40% - Énfasis1 38 2 3" xfId="22404" xr:uid="{AEEA1216-DE40-4167-8DEE-A9D927244CDE}"/>
    <cellStyle name="40% - Énfasis1 38 2 3 2" xfId="44392" xr:uid="{CD4ADA4A-3813-4BB5-BBBE-994F0DDF25AB}"/>
    <cellStyle name="40% - Énfasis1 38 2 4" xfId="44389" xr:uid="{9F1AEF80-1AAB-4B44-923E-606ECB160FA0}"/>
    <cellStyle name="40% - Énfasis1 38 3" xfId="10968" xr:uid="{DB1BC532-BB8D-455F-ACA5-3AA576ACE0E4}"/>
    <cellStyle name="40% - Énfasis1 38 3 2" xfId="26381" xr:uid="{D719FCC6-98D1-477B-989F-E2EA79C9CAE9}"/>
    <cellStyle name="40% - Énfasis1 38 3 2 2" xfId="44394" xr:uid="{518A8D39-3E31-48FF-88D4-A24747578BF7}"/>
    <cellStyle name="40% - Énfasis1 38 3 3" xfId="44393" xr:uid="{FFEC3660-13BC-4253-9519-111BFFB88A01}"/>
    <cellStyle name="40% - Énfasis1 38 4" xfId="18676" xr:uid="{1B7912F0-5CBD-41D8-9473-4DCD0450E141}"/>
    <cellStyle name="40% - Énfasis1 38 4 2" xfId="44395" xr:uid="{1C06B02F-8F74-423B-95F5-4A132B26EA10}"/>
    <cellStyle name="40% - Énfasis1 38 5" xfId="44388" xr:uid="{EE36C1ED-1FEC-4134-A5B6-2C06EF398AEF}"/>
    <cellStyle name="40% - Énfasis1 39" xfId="3277" xr:uid="{88974271-DFA3-4FFA-97D4-AB4622613B84}"/>
    <cellStyle name="40% - Énfasis1 39 2" xfId="7009" xr:uid="{8AE539D4-A498-4350-B7D9-F6B845CC2874}"/>
    <cellStyle name="40% - Énfasis1 39 2 2" xfId="14717" xr:uid="{E95F44ED-B5EF-4365-953B-85DE5AA3F03A}"/>
    <cellStyle name="40% - Énfasis1 39 2 2 2" xfId="30129" xr:uid="{2BA20FAD-2C41-4473-BC26-03C45EF97CC6}"/>
    <cellStyle name="40% - Énfasis1 39 2 2 2 2" xfId="44399" xr:uid="{2D1C37EE-5039-455F-84B1-BF68BB5F7988}"/>
    <cellStyle name="40% - Énfasis1 39 2 2 3" xfId="44398" xr:uid="{18EAB29F-B3AC-433A-89D8-24C825958B0A}"/>
    <cellStyle name="40% - Énfasis1 39 2 3" xfId="22424" xr:uid="{69824F85-EA94-4407-A9B4-417B3AA51193}"/>
    <cellStyle name="40% - Énfasis1 39 2 3 2" xfId="44400" xr:uid="{AF4181B7-3BB9-428F-8F05-F8CEF8066145}"/>
    <cellStyle name="40% - Énfasis1 39 2 4" xfId="44397" xr:uid="{A757350A-4ACF-47DE-85EE-FB7821B3DBC3}"/>
    <cellStyle name="40% - Énfasis1 39 3" xfId="10988" xr:uid="{BE97B10E-1948-4C85-8CDE-5D2D1E608BD0}"/>
    <cellStyle name="40% - Énfasis1 39 3 2" xfId="26401" xr:uid="{429FC55C-2E5D-456E-9039-A8746E6A84C6}"/>
    <cellStyle name="40% - Énfasis1 39 3 2 2" xfId="44402" xr:uid="{B4DFA89F-D0FE-4393-88EE-32C98ED2921C}"/>
    <cellStyle name="40% - Énfasis1 39 3 3" xfId="44401" xr:uid="{92BD66FE-9635-47D0-B89B-3012642B0FC0}"/>
    <cellStyle name="40% - Énfasis1 39 4" xfId="18696" xr:uid="{9DF9EECA-0310-465B-B013-B19E45632F92}"/>
    <cellStyle name="40% - Énfasis1 39 4 2" xfId="44403" xr:uid="{7FB161AB-FC8A-4916-8939-D297E72BE38C}"/>
    <cellStyle name="40% - Énfasis1 39 5" xfId="44396" xr:uid="{D231F3B2-2005-4874-AC94-0568E226E53F}"/>
    <cellStyle name="40% - Énfasis1 4" xfId="259" xr:uid="{9DC55244-53B8-44FC-984B-B785E3417A41}"/>
    <cellStyle name="40% - Énfasis1 4 2" xfId="461" xr:uid="{518361CC-59F9-4944-AF09-A536A98813B4}"/>
    <cellStyle name="40% - Énfasis1 4 2 2" xfId="1122" xr:uid="{43D312A2-86FF-4453-854C-D2F4AC2D6759}"/>
    <cellStyle name="40% - Énfasis1 4 2 2 2" xfId="2590" xr:uid="{9155DA95-AFAE-44F9-9712-E1C71DE4165F}"/>
    <cellStyle name="40% - Énfasis1 4 2 2 2 2" xfId="6322" xr:uid="{5BEA6901-F999-4D22-8261-072C65B945E8}"/>
    <cellStyle name="40% - Énfasis1 4 2 2 2 2 2" xfId="14030" xr:uid="{F3C6A27D-AD29-45D7-97C7-231259D70369}"/>
    <cellStyle name="40% - Énfasis1 4 2 2 2 2 2 2" xfId="29442" xr:uid="{CAFB816C-031E-4F2D-A43B-77FCE6EB3151}"/>
    <cellStyle name="40% - Énfasis1 4 2 2 2 2 2 2 2" xfId="44410" xr:uid="{D3B1A9D6-45C8-4832-9FD6-46CC9C0081B2}"/>
    <cellStyle name="40% - Énfasis1 4 2 2 2 2 2 3" xfId="44409" xr:uid="{F4284B99-09CC-4533-9409-A52D0CE46010}"/>
    <cellStyle name="40% - Énfasis1 4 2 2 2 2 3" xfId="21737" xr:uid="{93906CA1-E063-446A-9058-E9E1AF2231E2}"/>
    <cellStyle name="40% - Énfasis1 4 2 2 2 2 3 2" xfId="44411" xr:uid="{1E23FA9F-110C-439F-81CF-9286267D9F73}"/>
    <cellStyle name="40% - Énfasis1 4 2 2 2 2 4" xfId="44408" xr:uid="{106FBAE9-EFFB-4293-A84B-FB10948EFE62}"/>
    <cellStyle name="40% - Énfasis1 4 2 2 2 3" xfId="10301" xr:uid="{79B9FE7C-E16D-448B-89CF-9A338DC55F23}"/>
    <cellStyle name="40% - Énfasis1 4 2 2 2 3 2" xfId="25714" xr:uid="{605C43F5-D95B-42C3-B5AE-8AA3C762DF6F}"/>
    <cellStyle name="40% - Énfasis1 4 2 2 2 3 2 2" xfId="44413" xr:uid="{CFE921DA-97E2-4825-BD9C-5E9738C17936}"/>
    <cellStyle name="40% - Énfasis1 4 2 2 2 3 3" xfId="44412" xr:uid="{3AF6CCE4-225F-4B7F-8316-5DF168523EFD}"/>
    <cellStyle name="40% - Énfasis1 4 2 2 2 4" xfId="18009" xr:uid="{14A58CA8-112B-4188-9C5A-1797CBE75F93}"/>
    <cellStyle name="40% - Énfasis1 4 2 2 2 4 2" xfId="44414" xr:uid="{76AFF141-C7FD-4341-B3E1-DE41872348D6}"/>
    <cellStyle name="40% - Énfasis1 4 2 2 2 5" xfId="44407" xr:uid="{1C934F98-7950-4D3E-8B89-A9036D48E8BE}"/>
    <cellStyle name="40% - Énfasis1 4 2 2 3" xfId="4859" xr:uid="{21E64368-9FF5-461A-8CB3-7BD6AB33B8B6}"/>
    <cellStyle name="40% - Énfasis1 4 2 2 3 2" xfId="12567" xr:uid="{1D4F24DC-43FC-4B2C-A95A-26F7DE88D8B1}"/>
    <cellStyle name="40% - Énfasis1 4 2 2 3 2 2" xfId="27979" xr:uid="{8BB68FCB-4F43-4BA2-ADF2-BF6A0761DC8F}"/>
    <cellStyle name="40% - Énfasis1 4 2 2 3 2 2 2" xfId="44417" xr:uid="{2141D652-55AA-4CCA-992C-148990C91101}"/>
    <cellStyle name="40% - Énfasis1 4 2 2 3 2 3" xfId="44416" xr:uid="{E640D3C6-EF62-46A3-8D50-157CF77D9495}"/>
    <cellStyle name="40% - Énfasis1 4 2 2 3 3" xfId="20274" xr:uid="{87EC8846-CCD5-4D9B-A726-2A3FE55329E1}"/>
    <cellStyle name="40% - Énfasis1 4 2 2 3 3 2" xfId="44418" xr:uid="{3B7B44BE-0A92-4194-B89C-442F4B473FFE}"/>
    <cellStyle name="40% - Énfasis1 4 2 2 3 4" xfId="44415" xr:uid="{1DF3AA51-1CAD-47EA-BC47-0194587BFCB7}"/>
    <cellStyle name="40% - Énfasis1 4 2 2 4" xfId="8842" xr:uid="{6501FCB1-9428-43A5-B93F-1019D4A4FD06}"/>
    <cellStyle name="40% - Énfasis1 4 2 2 4 2" xfId="24255" xr:uid="{F50E4FF9-7609-4A48-B475-999C880FD13E}"/>
    <cellStyle name="40% - Énfasis1 4 2 2 4 2 2" xfId="44420" xr:uid="{BE5BD171-F4C8-469B-9158-6BE47DD1A4D3}"/>
    <cellStyle name="40% - Énfasis1 4 2 2 4 3" xfId="44419" xr:uid="{6EF5280D-F3CA-43F0-AF72-E7847E1E2257}"/>
    <cellStyle name="40% - Énfasis1 4 2 2 5" xfId="16550" xr:uid="{FABF8494-6FC5-4635-8D52-D79AB9EB0B48}"/>
    <cellStyle name="40% - Énfasis1 4 2 2 5 2" xfId="44421" xr:uid="{0613CDBC-D269-4BB6-9DAB-7D19EE595800}"/>
    <cellStyle name="40% - Énfasis1 4 2 2 6" xfId="44406" xr:uid="{2F402B76-A409-4E5A-993C-80DC03DE983E}"/>
    <cellStyle name="40% - Énfasis1 4 2 3" xfId="1952" xr:uid="{2919A245-61DA-4953-822C-BC2F4A208EA0}"/>
    <cellStyle name="40% - Énfasis1 4 2 3 2" xfId="5684" xr:uid="{F78AFED4-476F-44D1-B4FC-095B74F66098}"/>
    <cellStyle name="40% - Énfasis1 4 2 3 2 2" xfId="13392" xr:uid="{C174779D-453D-4990-B78B-3F0E33F25AC9}"/>
    <cellStyle name="40% - Énfasis1 4 2 3 2 2 2" xfId="28804" xr:uid="{AF4B5AC9-736E-4112-B372-D559A0DBEFD2}"/>
    <cellStyle name="40% - Énfasis1 4 2 3 2 2 2 2" xfId="44425" xr:uid="{512B962E-2424-4B58-B172-87F63751048C}"/>
    <cellStyle name="40% - Énfasis1 4 2 3 2 2 3" xfId="44424" xr:uid="{D7873E89-5BF8-4D0B-B36A-DE68EF213A79}"/>
    <cellStyle name="40% - Énfasis1 4 2 3 2 3" xfId="21099" xr:uid="{C4A956D2-E1A6-4BEE-B380-81B7096A0900}"/>
    <cellStyle name="40% - Énfasis1 4 2 3 2 3 2" xfId="44426" xr:uid="{AABF1B5A-24E1-466E-8D80-C39A323438E3}"/>
    <cellStyle name="40% - Énfasis1 4 2 3 2 4" xfId="44423" xr:uid="{41174DE3-997A-4BA5-809E-39F65096A15E}"/>
    <cellStyle name="40% - Énfasis1 4 2 3 3" xfId="9663" xr:uid="{A35B28DC-F62F-4729-B031-683A969E696B}"/>
    <cellStyle name="40% - Énfasis1 4 2 3 3 2" xfId="25076" xr:uid="{E07F5DB4-04CA-4361-8843-F215FD0F0CCC}"/>
    <cellStyle name="40% - Énfasis1 4 2 3 3 2 2" xfId="44428" xr:uid="{5FE7E055-9BBA-4185-B16E-710D9C33A3AC}"/>
    <cellStyle name="40% - Énfasis1 4 2 3 3 3" xfId="44427" xr:uid="{A7C812B1-1F6D-4253-9CBF-9FC0531CD0B0}"/>
    <cellStyle name="40% - Énfasis1 4 2 3 4" xfId="17371" xr:uid="{F0E31F70-5AC1-433D-BC15-FD7906C285C1}"/>
    <cellStyle name="40% - Énfasis1 4 2 3 4 2" xfId="44429" xr:uid="{63DDAFBA-8573-43C4-B132-D952F2E6AAD4}"/>
    <cellStyle name="40% - Énfasis1 4 2 3 5" xfId="44422" xr:uid="{56D53C0C-DC63-4CE5-A05F-F8631C24B0BB}"/>
    <cellStyle name="40% - Énfasis1 4 2 4" xfId="4207" xr:uid="{3B41A4D9-6025-4F95-AFBA-C527612DCBC1}"/>
    <cellStyle name="40% - Énfasis1 4 2 4 2" xfId="11915" xr:uid="{54FF34F3-6B8F-4148-8AAB-0426DEA7C5A1}"/>
    <cellStyle name="40% - Énfasis1 4 2 4 2 2" xfId="27327" xr:uid="{6AA0B24D-0D93-49FB-93A5-88338988E3C5}"/>
    <cellStyle name="40% - Énfasis1 4 2 4 2 2 2" xfId="44432" xr:uid="{5EE1910F-A3BE-4216-A764-A426C7DF3D55}"/>
    <cellStyle name="40% - Énfasis1 4 2 4 2 3" xfId="44431" xr:uid="{3D3B24CC-9FF1-408B-A61B-62D4A81F4C46}"/>
    <cellStyle name="40% - Énfasis1 4 2 4 3" xfId="19622" xr:uid="{EF53CB76-4748-4CFA-A112-CE12F104B4CF}"/>
    <cellStyle name="40% - Énfasis1 4 2 4 3 2" xfId="44433" xr:uid="{50CFF473-63B2-41A5-BED3-7F337C14CB69}"/>
    <cellStyle name="40% - Énfasis1 4 2 4 4" xfId="44430" xr:uid="{20FF8ABC-51EB-4C10-877A-CA4CF5A9C474}"/>
    <cellStyle name="40% - Énfasis1 4 2 5" xfId="8204" xr:uid="{C22949A2-910A-4FE5-B9C2-72F747136B61}"/>
    <cellStyle name="40% - Énfasis1 4 2 5 2" xfId="23617" xr:uid="{F7C29412-391E-4675-8BDF-4055E6CAA9ED}"/>
    <cellStyle name="40% - Énfasis1 4 2 5 2 2" xfId="44435" xr:uid="{7B73876E-5005-420A-A1FA-B2703704A39D}"/>
    <cellStyle name="40% - Énfasis1 4 2 5 3" xfId="44434" xr:uid="{929EC312-830C-4DA1-A029-BC724288C9ED}"/>
    <cellStyle name="40% - Énfasis1 4 2 6" xfId="15912" xr:uid="{3A450703-8E01-4E4B-8ED8-714885D2ACED}"/>
    <cellStyle name="40% - Énfasis1 4 2 6 2" xfId="44436" xr:uid="{D17E8323-ED90-426A-A4AF-7159C8F0E86D}"/>
    <cellStyle name="40% - Énfasis1 4 2 7" xfId="44405" xr:uid="{16F0589A-6E96-4125-8679-FF8A0D87018E}"/>
    <cellStyle name="40% - Énfasis1 4 3" xfId="922" xr:uid="{1B01EEC3-C800-4C77-8C66-DBF7387C51E2}"/>
    <cellStyle name="40% - Énfasis1 4 3 2" xfId="2392" xr:uid="{AA7CEE4E-B48A-44CD-BFD7-DCB5175C4FCD}"/>
    <cellStyle name="40% - Énfasis1 4 3 2 2" xfId="6124" xr:uid="{87C6F401-6DE4-4B68-9F63-92168099C6DB}"/>
    <cellStyle name="40% - Énfasis1 4 3 2 2 2" xfId="13832" xr:uid="{706B4BC9-ADCC-4A1D-A1D0-291D9D369364}"/>
    <cellStyle name="40% - Énfasis1 4 3 2 2 2 2" xfId="29244" xr:uid="{036F8A08-88C3-40BE-801A-17A283F96003}"/>
    <cellStyle name="40% - Énfasis1 4 3 2 2 2 2 2" xfId="44441" xr:uid="{9528D87F-515D-4D38-9C5A-85DCAB7675D6}"/>
    <cellStyle name="40% - Énfasis1 4 3 2 2 2 3" xfId="44440" xr:uid="{B1739CC8-DF4C-431E-9E22-5BE578963513}"/>
    <cellStyle name="40% - Énfasis1 4 3 2 2 3" xfId="21539" xr:uid="{E2539EC2-F7A6-49F8-A78E-D57877ABF5E6}"/>
    <cellStyle name="40% - Énfasis1 4 3 2 2 3 2" xfId="44442" xr:uid="{18520D5A-9BB8-43D1-BC4B-5803DB534512}"/>
    <cellStyle name="40% - Énfasis1 4 3 2 2 4" xfId="44439" xr:uid="{6E1B8761-F38A-4EA1-9811-D43868D50002}"/>
    <cellStyle name="40% - Énfasis1 4 3 2 3" xfId="10103" xr:uid="{C530639F-B253-4FF9-908D-234C00D1AB0F}"/>
    <cellStyle name="40% - Énfasis1 4 3 2 3 2" xfId="25516" xr:uid="{7C23523E-EC40-442E-984C-F48808891013}"/>
    <cellStyle name="40% - Énfasis1 4 3 2 3 2 2" xfId="44444" xr:uid="{3CF66BAC-1C45-44E6-A202-70684B34BEAB}"/>
    <cellStyle name="40% - Énfasis1 4 3 2 3 3" xfId="44443" xr:uid="{B550C207-B049-4C7C-ADFA-3B459BB50A48}"/>
    <cellStyle name="40% - Énfasis1 4 3 2 4" xfId="17811" xr:uid="{A8742030-ABC5-456B-9142-5C9285A9A78A}"/>
    <cellStyle name="40% - Énfasis1 4 3 2 4 2" xfId="44445" xr:uid="{018E7099-3C45-409C-A300-A1954721145F}"/>
    <cellStyle name="40% - Énfasis1 4 3 2 5" xfId="44438" xr:uid="{32F867EF-0A4A-4A74-A9C6-4E873190BC89}"/>
    <cellStyle name="40% - Énfasis1 4 3 3" xfId="4659" xr:uid="{8D9AEB48-571B-47C7-8ACB-C8A7933AC8DE}"/>
    <cellStyle name="40% - Énfasis1 4 3 3 2" xfId="12367" xr:uid="{F956D46B-F539-4615-AEA0-25D939148A34}"/>
    <cellStyle name="40% - Énfasis1 4 3 3 2 2" xfId="27779" xr:uid="{C0F7AD81-71EA-4F12-9643-B26B3B41BC8C}"/>
    <cellStyle name="40% - Énfasis1 4 3 3 2 2 2" xfId="44448" xr:uid="{A7A9A50F-7B75-4917-A551-183C1DCB3402}"/>
    <cellStyle name="40% - Énfasis1 4 3 3 2 3" xfId="44447" xr:uid="{788E4166-1711-4750-85CD-8E060BF5F0C4}"/>
    <cellStyle name="40% - Énfasis1 4 3 3 3" xfId="20074" xr:uid="{46005F2F-EBA2-4522-9247-AB4BF0F8A585}"/>
    <cellStyle name="40% - Énfasis1 4 3 3 3 2" xfId="44449" xr:uid="{8A446B0F-95F0-4116-9156-A7A266973A0D}"/>
    <cellStyle name="40% - Énfasis1 4 3 3 4" xfId="44446" xr:uid="{4EBF7C92-8286-433D-9FC4-AC1F0FE000EC}"/>
    <cellStyle name="40% - Énfasis1 4 3 4" xfId="8644" xr:uid="{44FFCBAC-0092-4D1A-9C20-AB5D0F697513}"/>
    <cellStyle name="40% - Énfasis1 4 3 4 2" xfId="24057" xr:uid="{48035621-B5BB-4510-AC54-3F1D7B35526F}"/>
    <cellStyle name="40% - Énfasis1 4 3 4 2 2" xfId="44451" xr:uid="{C96115E8-091A-4285-8D6B-5F0925FB4922}"/>
    <cellStyle name="40% - Énfasis1 4 3 4 3" xfId="44450" xr:uid="{7BDC8C41-82D4-4245-9A6F-D6A6B20DB86B}"/>
    <cellStyle name="40% - Énfasis1 4 3 5" xfId="16352" xr:uid="{C95837F7-BF73-4B1A-B2A2-88D8B99594CC}"/>
    <cellStyle name="40% - Énfasis1 4 3 5 2" xfId="44452" xr:uid="{7934C7C6-119F-4CAA-A619-13C9B5E92D88}"/>
    <cellStyle name="40% - Énfasis1 4 3 6" xfId="44437" xr:uid="{CF6C3BEF-CD9E-4904-A105-3B8AC9210E78}"/>
    <cellStyle name="40% - Énfasis1 4 4" xfId="1754" xr:uid="{54F644EE-771B-49AD-876D-2475F609B6A2}"/>
    <cellStyle name="40% - Énfasis1 4 4 2" xfId="5486" xr:uid="{19E69192-EACB-44F3-B9FA-E8A0A2BCE4C4}"/>
    <cellStyle name="40% - Énfasis1 4 4 2 2" xfId="13194" xr:uid="{06927626-589C-4B02-8840-9372DDB8EE70}"/>
    <cellStyle name="40% - Énfasis1 4 4 2 2 2" xfId="28606" xr:uid="{D1D4D1D3-1D1E-4914-B369-2DC895EDF911}"/>
    <cellStyle name="40% - Énfasis1 4 4 2 2 2 2" xfId="44456" xr:uid="{3DEDA2D9-6E3B-4CD7-A0F7-92D061C4476D}"/>
    <cellStyle name="40% - Énfasis1 4 4 2 2 3" xfId="44455" xr:uid="{06341070-DCF7-491C-882B-5EC9340B730A}"/>
    <cellStyle name="40% - Énfasis1 4 4 2 3" xfId="20901" xr:uid="{761C1515-033F-4E50-8619-9C581CDEF46D}"/>
    <cellStyle name="40% - Énfasis1 4 4 2 3 2" xfId="44457" xr:uid="{ABAB8839-70BE-42CC-9588-8079E5289DF5}"/>
    <cellStyle name="40% - Énfasis1 4 4 2 4" xfId="44454" xr:uid="{A7851714-40DB-49E8-886E-2CFDA28733D6}"/>
    <cellStyle name="40% - Énfasis1 4 4 3" xfId="9465" xr:uid="{F027BB46-DB6C-4DF3-9A39-3032930BFB55}"/>
    <cellStyle name="40% - Énfasis1 4 4 3 2" xfId="24878" xr:uid="{1383BD22-BCB2-4254-969A-FECE28E5EF00}"/>
    <cellStyle name="40% - Énfasis1 4 4 3 2 2" xfId="44459" xr:uid="{3ABD5057-11AA-4AD9-9CF2-29EDD35AD361}"/>
    <cellStyle name="40% - Énfasis1 4 4 3 3" xfId="44458" xr:uid="{921EBC85-5564-4493-A0CA-14EECDFF63AD}"/>
    <cellStyle name="40% - Énfasis1 4 4 4" xfId="17173" xr:uid="{1A20E25F-BD6F-430A-BC54-AF1595DC9AD8}"/>
    <cellStyle name="40% - Énfasis1 4 4 4 2" xfId="44460" xr:uid="{F642C8D4-BE45-4E87-BFC1-A1B53FD673D9}"/>
    <cellStyle name="40% - Énfasis1 4 4 5" xfId="44453" xr:uid="{0E4FA71C-2487-4FAE-BC86-5FC91751E5CC}"/>
    <cellStyle name="40% - Énfasis1 4 5" xfId="4007" xr:uid="{D67D9132-E853-4324-A0AF-A77F14977157}"/>
    <cellStyle name="40% - Énfasis1 4 5 2" xfId="11715" xr:uid="{D715E104-6D1B-4408-BA31-1A770EFFFEA7}"/>
    <cellStyle name="40% - Énfasis1 4 5 2 2" xfId="27127" xr:uid="{97C97D1E-9499-41D5-9F63-D713A720A17C}"/>
    <cellStyle name="40% - Énfasis1 4 5 2 2 2" xfId="44463" xr:uid="{E0294BFB-309B-452C-B7D2-0FFE1873AA36}"/>
    <cellStyle name="40% - Énfasis1 4 5 2 3" xfId="44462" xr:uid="{F64BCF1C-53F4-4714-B592-A6955ADCA1F5}"/>
    <cellStyle name="40% - Énfasis1 4 5 3" xfId="19422" xr:uid="{B7633EEA-C973-49C9-B33C-BC3C4EEF4AEA}"/>
    <cellStyle name="40% - Énfasis1 4 5 3 2" xfId="44464" xr:uid="{080ADFEA-1493-48B1-90C3-C5916EC093CB}"/>
    <cellStyle name="40% - Énfasis1 4 5 4" xfId="44461" xr:uid="{233B29B1-2472-4433-B0A1-FD532DDFAD9C}"/>
    <cellStyle name="40% - Énfasis1 4 6" xfId="8006" xr:uid="{9B2B0E1F-8C54-4A3A-A62A-A1EEFDE4B4BE}"/>
    <cellStyle name="40% - Énfasis1 4 6 2" xfId="23419" xr:uid="{E85716CA-A9F6-4E18-9AB0-C6F811B6B4B3}"/>
    <cellStyle name="40% - Énfasis1 4 6 2 2" xfId="44466" xr:uid="{AA11CE41-B128-4C1A-BBF4-90699B39698E}"/>
    <cellStyle name="40% - Énfasis1 4 6 3" xfId="44465" xr:uid="{B54213F1-7938-4028-9C33-A1F9732C417B}"/>
    <cellStyle name="40% - Énfasis1 4 7" xfId="15714" xr:uid="{30C497FC-8358-4AEE-8E26-8152833CDEBF}"/>
    <cellStyle name="40% - Énfasis1 4 7 2" xfId="44467" xr:uid="{53FE6CE6-7277-43DF-B236-6647498209C0}"/>
    <cellStyle name="40% - Énfasis1 4 8" xfId="44404" xr:uid="{B71C2971-EEA2-4C4F-A02A-DF360BFDB8ED}"/>
    <cellStyle name="40% - Énfasis1 5" xfId="282" xr:uid="{345AAD0C-40D8-43D1-9212-EFF9483D1C78}"/>
    <cellStyle name="40% - Énfasis1 5 2" xfId="485" xr:uid="{5EEA4F1B-254D-4AEC-B5B1-7AB6AB8C8DDD}"/>
    <cellStyle name="40% - Énfasis1 5 2 2" xfId="1146" xr:uid="{4B9649FE-4FA3-4F43-A6F1-621EC75BC01A}"/>
    <cellStyle name="40% - Énfasis1 5 2 2 2" xfId="2614" xr:uid="{D70031F8-6226-439B-BEC3-C3A28948E8EF}"/>
    <cellStyle name="40% - Énfasis1 5 2 2 2 2" xfId="6346" xr:uid="{A9FFBF7B-F0C1-46B6-AB31-50F6BC51AF83}"/>
    <cellStyle name="40% - Énfasis1 5 2 2 2 2 2" xfId="14054" xr:uid="{9D3ED6DC-B1AD-4DE7-9EDC-D190AFDE134A}"/>
    <cellStyle name="40% - Énfasis1 5 2 2 2 2 2 2" xfId="29466" xr:uid="{C517672C-4974-4025-B2D3-AF59DB241545}"/>
    <cellStyle name="40% - Énfasis1 5 2 2 2 2 2 2 2" xfId="44474" xr:uid="{A9757ABB-3F21-4F12-9FF4-9C3602AA0072}"/>
    <cellStyle name="40% - Énfasis1 5 2 2 2 2 2 3" xfId="44473" xr:uid="{87BD2422-CE4A-4CA4-BE88-F7ABB193D28A}"/>
    <cellStyle name="40% - Énfasis1 5 2 2 2 2 3" xfId="21761" xr:uid="{067DFC09-8F48-4B9E-8EFA-A3875B0D7CB8}"/>
    <cellStyle name="40% - Énfasis1 5 2 2 2 2 3 2" xfId="44475" xr:uid="{8D199237-547D-4012-9C97-AB29526A4A70}"/>
    <cellStyle name="40% - Énfasis1 5 2 2 2 2 4" xfId="44472" xr:uid="{6E0C2E65-4D11-4B3D-943D-1648E795B457}"/>
    <cellStyle name="40% - Énfasis1 5 2 2 2 3" xfId="10325" xr:uid="{4B2FC22B-CFF3-4DAA-B1CE-3323BCA94C9A}"/>
    <cellStyle name="40% - Énfasis1 5 2 2 2 3 2" xfId="25738" xr:uid="{D09A7EC9-B94F-40DC-84DE-5FABFA4204C4}"/>
    <cellStyle name="40% - Énfasis1 5 2 2 2 3 2 2" xfId="44477" xr:uid="{639D0533-07A1-4C3D-8436-D3A5B1949682}"/>
    <cellStyle name="40% - Énfasis1 5 2 2 2 3 3" xfId="44476" xr:uid="{8DB2ACCF-79C9-422D-9CF6-FF5FF30D0DF9}"/>
    <cellStyle name="40% - Énfasis1 5 2 2 2 4" xfId="18033" xr:uid="{B266993B-9146-44E6-A01B-6F24091675A9}"/>
    <cellStyle name="40% - Énfasis1 5 2 2 2 4 2" xfId="44478" xr:uid="{2F5FCBB8-D1B6-43F1-AD46-79428A25F20B}"/>
    <cellStyle name="40% - Énfasis1 5 2 2 2 5" xfId="44471" xr:uid="{C7CBDB42-1A81-42C6-A8D0-726847846831}"/>
    <cellStyle name="40% - Énfasis1 5 2 2 3" xfId="4883" xr:uid="{CBB101E7-4FB5-4290-8EA3-F58F3731EC9C}"/>
    <cellStyle name="40% - Énfasis1 5 2 2 3 2" xfId="12591" xr:uid="{1CE3C730-A901-4341-9A9C-DE38FC54AD52}"/>
    <cellStyle name="40% - Énfasis1 5 2 2 3 2 2" xfId="28003" xr:uid="{E50F894F-8462-4F8A-95C8-AE344855CED3}"/>
    <cellStyle name="40% - Énfasis1 5 2 2 3 2 2 2" xfId="44481" xr:uid="{B68C3A7B-27E9-4823-9EBA-C8F25E3AEC18}"/>
    <cellStyle name="40% - Énfasis1 5 2 2 3 2 3" xfId="44480" xr:uid="{E1D53603-8F86-4C07-88C5-53566BDF8F3A}"/>
    <cellStyle name="40% - Énfasis1 5 2 2 3 3" xfId="20298" xr:uid="{946B8DA9-4288-46CB-8C57-FD675FCBA00B}"/>
    <cellStyle name="40% - Énfasis1 5 2 2 3 3 2" xfId="44482" xr:uid="{FC4606A2-B6A3-4770-A24D-1D08C8361D83}"/>
    <cellStyle name="40% - Énfasis1 5 2 2 3 4" xfId="44479" xr:uid="{6F7B3831-F4B5-4E2C-B627-B7F7D7F2BF97}"/>
    <cellStyle name="40% - Énfasis1 5 2 2 4" xfId="8866" xr:uid="{8557BEF0-5C88-49DB-BB50-C6581E0EBB8B}"/>
    <cellStyle name="40% - Énfasis1 5 2 2 4 2" xfId="24279" xr:uid="{CEA48290-36DC-490F-858A-2962FEFCBB64}"/>
    <cellStyle name="40% - Énfasis1 5 2 2 4 2 2" xfId="44484" xr:uid="{E0DAED32-A163-46C1-9303-13BA4EE8EAC8}"/>
    <cellStyle name="40% - Énfasis1 5 2 2 4 3" xfId="44483" xr:uid="{DAEA71E3-EDF4-4381-8379-5C43625E1CB8}"/>
    <cellStyle name="40% - Énfasis1 5 2 2 5" xfId="16574" xr:uid="{A3F9EFE4-AD54-4FA4-BB58-F353E9F8759C}"/>
    <cellStyle name="40% - Énfasis1 5 2 2 5 2" xfId="44485" xr:uid="{84350C88-4931-403B-9DF6-04FF5FE81F23}"/>
    <cellStyle name="40% - Énfasis1 5 2 2 6" xfId="44470" xr:uid="{DAD19ED1-DEC4-42E7-9453-461886EC1869}"/>
    <cellStyle name="40% - Énfasis1 5 2 3" xfId="1976" xr:uid="{C30E58D7-08F9-4539-B1B8-AC17F27AAB4C}"/>
    <cellStyle name="40% - Énfasis1 5 2 3 2" xfId="5708" xr:uid="{1B38EC08-22BA-4FF6-B6C9-C968A9F59276}"/>
    <cellStyle name="40% - Énfasis1 5 2 3 2 2" xfId="13416" xr:uid="{125A3872-0BC4-4FAF-9B3A-464ADCFB6CF5}"/>
    <cellStyle name="40% - Énfasis1 5 2 3 2 2 2" xfId="28828" xr:uid="{D754BD97-8584-4B28-B952-B8DE4E7122B5}"/>
    <cellStyle name="40% - Énfasis1 5 2 3 2 2 2 2" xfId="44489" xr:uid="{F38845DF-1F70-47BF-BD1A-35219C36CBB4}"/>
    <cellStyle name="40% - Énfasis1 5 2 3 2 2 3" xfId="44488" xr:uid="{20308C2E-1EB3-485B-821F-6C7D1A8B4639}"/>
    <cellStyle name="40% - Énfasis1 5 2 3 2 3" xfId="21123" xr:uid="{98F72D1A-8FC5-409A-B501-C461FDEE1FA8}"/>
    <cellStyle name="40% - Énfasis1 5 2 3 2 3 2" xfId="44490" xr:uid="{71A8C644-8141-4E82-A5B7-8F7C7FC3561D}"/>
    <cellStyle name="40% - Énfasis1 5 2 3 2 4" xfId="44487" xr:uid="{8A20A857-8B7B-4D0D-B0CA-790E4F5F1B4F}"/>
    <cellStyle name="40% - Énfasis1 5 2 3 3" xfId="9687" xr:uid="{20B98EF4-BF18-4A21-8A29-1916B05314C6}"/>
    <cellStyle name="40% - Énfasis1 5 2 3 3 2" xfId="25100" xr:uid="{EB61B737-BBE5-4911-9818-3BA1C029314A}"/>
    <cellStyle name="40% - Énfasis1 5 2 3 3 2 2" xfId="44492" xr:uid="{72D5AEFF-0F4D-4D53-A4BA-B89E5AA142A7}"/>
    <cellStyle name="40% - Énfasis1 5 2 3 3 3" xfId="44491" xr:uid="{60A05454-AF69-4D98-9688-E0C012B3376B}"/>
    <cellStyle name="40% - Énfasis1 5 2 3 4" xfId="17395" xr:uid="{66E78EC9-8119-4B93-ADA2-CA5DB8FBC38F}"/>
    <cellStyle name="40% - Énfasis1 5 2 3 4 2" xfId="44493" xr:uid="{76539695-AF8E-4A27-8DE9-8EA85F50395E}"/>
    <cellStyle name="40% - Énfasis1 5 2 3 5" xfId="44486" xr:uid="{06075D56-9C3F-4EC9-BFD7-0BC1E82DB23C}"/>
    <cellStyle name="40% - Énfasis1 5 2 4" xfId="4231" xr:uid="{50BD18EA-F10F-4292-A844-B14AEB7106B3}"/>
    <cellStyle name="40% - Énfasis1 5 2 4 2" xfId="11939" xr:uid="{AF2BD3D0-C8AC-4162-B361-A60F7252307C}"/>
    <cellStyle name="40% - Énfasis1 5 2 4 2 2" xfId="27351" xr:uid="{8FC095FB-3937-49DE-B206-A099971CD974}"/>
    <cellStyle name="40% - Énfasis1 5 2 4 2 2 2" xfId="44496" xr:uid="{0D3CD352-1836-4343-998E-9F856CB24AE8}"/>
    <cellStyle name="40% - Énfasis1 5 2 4 2 3" xfId="44495" xr:uid="{D641F557-12ED-46D0-B039-312226518E47}"/>
    <cellStyle name="40% - Énfasis1 5 2 4 3" xfId="19646" xr:uid="{47531984-C821-4C37-8DA4-2A850635D412}"/>
    <cellStyle name="40% - Énfasis1 5 2 4 3 2" xfId="44497" xr:uid="{1302F010-89AB-4E71-8871-1E91EF295A51}"/>
    <cellStyle name="40% - Énfasis1 5 2 4 4" xfId="44494" xr:uid="{C6B4CEC1-ABE6-4180-BC37-B4130475B60A}"/>
    <cellStyle name="40% - Énfasis1 5 2 5" xfId="8228" xr:uid="{4E58D4DE-F6F7-4643-B544-5BAF7438060C}"/>
    <cellStyle name="40% - Énfasis1 5 2 5 2" xfId="23641" xr:uid="{BB5969C2-EAB6-44CA-BE28-076C9570F821}"/>
    <cellStyle name="40% - Énfasis1 5 2 5 2 2" xfId="44499" xr:uid="{AB181010-2DC7-4B63-837A-60BD93F33028}"/>
    <cellStyle name="40% - Énfasis1 5 2 5 3" xfId="44498" xr:uid="{9E93D718-33FB-4EC3-983E-2E399CE36367}"/>
    <cellStyle name="40% - Énfasis1 5 2 6" xfId="15936" xr:uid="{3FF64E1B-5F90-4BF0-B481-5CEA4E1A9471}"/>
    <cellStyle name="40% - Énfasis1 5 2 6 2" xfId="44500" xr:uid="{4F182C5F-3942-466A-84FB-7CA4959CE1E0}"/>
    <cellStyle name="40% - Énfasis1 5 2 7" xfId="44469" xr:uid="{97E4EE48-2C43-4AFC-92C3-B239CE2C6C57}"/>
    <cellStyle name="40% - Énfasis1 5 3" xfId="946" xr:uid="{85CE8717-A688-4430-A215-338C259A0ECF}"/>
    <cellStyle name="40% - Énfasis1 5 3 2" xfId="2416" xr:uid="{4C81F718-A8E6-4159-8583-1B78D411FA04}"/>
    <cellStyle name="40% - Énfasis1 5 3 2 2" xfId="6148" xr:uid="{EE28A8ED-6912-4763-9E5F-F0045B2AD695}"/>
    <cellStyle name="40% - Énfasis1 5 3 2 2 2" xfId="13856" xr:uid="{8E2304A9-3BBA-49DA-A0CF-EC8EAC1CA940}"/>
    <cellStyle name="40% - Énfasis1 5 3 2 2 2 2" xfId="29268" xr:uid="{33E237CF-D266-488A-AA67-568604336FC9}"/>
    <cellStyle name="40% - Énfasis1 5 3 2 2 2 2 2" xfId="44505" xr:uid="{B89D7607-22A3-4578-A852-A6AF6315686D}"/>
    <cellStyle name="40% - Énfasis1 5 3 2 2 2 3" xfId="44504" xr:uid="{126DE041-E0C0-4A92-9FF8-721AB0110A59}"/>
    <cellStyle name="40% - Énfasis1 5 3 2 2 3" xfId="21563" xr:uid="{66BA19F2-D633-43FE-927F-1C34C42A32A3}"/>
    <cellStyle name="40% - Énfasis1 5 3 2 2 3 2" xfId="44506" xr:uid="{FF505A7D-2F82-495E-9E95-633C1CF4BBFA}"/>
    <cellStyle name="40% - Énfasis1 5 3 2 2 4" xfId="44503" xr:uid="{FF91820E-5819-455B-8006-A89E30E157BD}"/>
    <cellStyle name="40% - Énfasis1 5 3 2 3" xfId="10127" xr:uid="{FD0BD89C-EF82-4279-8109-2B34892B4F1E}"/>
    <cellStyle name="40% - Énfasis1 5 3 2 3 2" xfId="25540" xr:uid="{087F2E6A-EB0C-4FBF-9830-FA6740B12AF0}"/>
    <cellStyle name="40% - Énfasis1 5 3 2 3 2 2" xfId="44508" xr:uid="{38ED8B3C-D6BA-4799-9B2B-821D7A96A804}"/>
    <cellStyle name="40% - Énfasis1 5 3 2 3 3" xfId="44507" xr:uid="{AE06D761-0225-4BE0-9D4A-F7C7E7ED4A5A}"/>
    <cellStyle name="40% - Énfasis1 5 3 2 4" xfId="17835" xr:uid="{494C0EF4-CECF-4000-B418-D5B427CBF90C}"/>
    <cellStyle name="40% - Énfasis1 5 3 2 4 2" xfId="44509" xr:uid="{E1C78F67-20DA-4875-BC37-F2031E6A211A}"/>
    <cellStyle name="40% - Énfasis1 5 3 2 5" xfId="44502" xr:uid="{76F9A297-5BE4-4951-814D-B501C0B3C15F}"/>
    <cellStyle name="40% - Énfasis1 5 3 3" xfId="4683" xr:uid="{2FC9A407-AC19-48C6-A3A9-7FB5A98557B0}"/>
    <cellStyle name="40% - Énfasis1 5 3 3 2" xfId="12391" xr:uid="{538F5E44-E39F-405D-8762-8B328BE9F8DB}"/>
    <cellStyle name="40% - Énfasis1 5 3 3 2 2" xfId="27803" xr:uid="{473682B4-2E40-4CF9-8A43-3572A9671A8D}"/>
    <cellStyle name="40% - Énfasis1 5 3 3 2 2 2" xfId="44512" xr:uid="{C3584D4F-0EE1-46A8-AE3D-2C980DDEB45D}"/>
    <cellStyle name="40% - Énfasis1 5 3 3 2 3" xfId="44511" xr:uid="{30003187-6D2F-45C5-AB64-A1ED5C0486C8}"/>
    <cellStyle name="40% - Énfasis1 5 3 3 3" xfId="20098" xr:uid="{05C126E0-5C58-4610-ADEF-F2D032AF4DC2}"/>
    <cellStyle name="40% - Énfasis1 5 3 3 3 2" xfId="44513" xr:uid="{4D9A1DEE-235F-4FDB-813E-975EB17A093F}"/>
    <cellStyle name="40% - Énfasis1 5 3 3 4" xfId="44510" xr:uid="{D32E787E-7BEC-4E72-B206-82D4E1E2592E}"/>
    <cellStyle name="40% - Énfasis1 5 3 4" xfId="8668" xr:uid="{E39896EF-BA0E-4D69-B27E-C20F9D0AB86A}"/>
    <cellStyle name="40% - Énfasis1 5 3 4 2" xfId="24081" xr:uid="{5C55B283-013C-4B34-A3F8-D08E2D518E1A}"/>
    <cellStyle name="40% - Énfasis1 5 3 4 2 2" xfId="44515" xr:uid="{EEF1B1A1-C2A5-4828-B6D7-6C30A73AD0AA}"/>
    <cellStyle name="40% - Énfasis1 5 3 4 3" xfId="44514" xr:uid="{61839992-F8BC-46F1-B9FE-205F74C50C60}"/>
    <cellStyle name="40% - Énfasis1 5 3 5" xfId="16376" xr:uid="{3A3AD3F4-ED01-44A0-B716-4EF6A4B1D99B}"/>
    <cellStyle name="40% - Énfasis1 5 3 5 2" xfId="44516" xr:uid="{EF9314F5-7A1D-4B5E-8F39-A4BC6F2DDAE5}"/>
    <cellStyle name="40% - Énfasis1 5 3 6" xfId="44501" xr:uid="{1558AD7B-2697-4B9E-A9C9-604C0A9F8769}"/>
    <cellStyle name="40% - Énfasis1 5 4" xfId="1778" xr:uid="{4D67DCFE-9E53-4BB2-8C28-641EDA5884CE}"/>
    <cellStyle name="40% - Énfasis1 5 4 2" xfId="5510" xr:uid="{A5F2FD32-4863-42EC-8672-65F47DEC543B}"/>
    <cellStyle name="40% - Énfasis1 5 4 2 2" xfId="13218" xr:uid="{BD104439-8DE5-4EA9-B9F8-0D9E3EA65944}"/>
    <cellStyle name="40% - Énfasis1 5 4 2 2 2" xfId="28630" xr:uid="{F0A7A07A-9645-4E99-8D07-513B3BE67F67}"/>
    <cellStyle name="40% - Énfasis1 5 4 2 2 2 2" xfId="44520" xr:uid="{56190791-ED50-4E49-85E0-71ADF3F26078}"/>
    <cellStyle name="40% - Énfasis1 5 4 2 2 3" xfId="44519" xr:uid="{6E2994A4-580E-4DE9-9190-B13BADED278A}"/>
    <cellStyle name="40% - Énfasis1 5 4 2 3" xfId="20925" xr:uid="{1BE03461-E8E7-4E24-8439-F37B96D568BE}"/>
    <cellStyle name="40% - Énfasis1 5 4 2 3 2" xfId="44521" xr:uid="{19891902-25B8-45EC-AB60-F3EA79C70305}"/>
    <cellStyle name="40% - Énfasis1 5 4 2 4" xfId="44518" xr:uid="{49DA66CB-1F9D-4EBA-942B-68090722128A}"/>
    <cellStyle name="40% - Énfasis1 5 4 3" xfId="9489" xr:uid="{84816216-1B7A-4313-A74D-923460570D5D}"/>
    <cellStyle name="40% - Énfasis1 5 4 3 2" xfId="24902" xr:uid="{52732BFA-5FCA-4F83-84D2-1CF13A16A3D5}"/>
    <cellStyle name="40% - Énfasis1 5 4 3 2 2" xfId="44523" xr:uid="{61E7C8F9-6280-4789-8C7B-D71A82C3ACEA}"/>
    <cellStyle name="40% - Énfasis1 5 4 3 3" xfId="44522" xr:uid="{EC0B8B38-8E2D-4137-9478-963D68D94D90}"/>
    <cellStyle name="40% - Énfasis1 5 4 4" xfId="17197" xr:uid="{2718E7BB-701B-482D-8BCA-A93DEB3CEE44}"/>
    <cellStyle name="40% - Énfasis1 5 4 4 2" xfId="44524" xr:uid="{E1BBEFA6-C9F4-48B0-8984-D89DD48A61F8}"/>
    <cellStyle name="40% - Énfasis1 5 4 5" xfId="44517" xr:uid="{07D93954-E508-403D-8C74-DEEA50F84828}"/>
    <cellStyle name="40% - Énfasis1 5 5" xfId="4031" xr:uid="{0043CB23-0443-49E6-BAFC-8A720051797A}"/>
    <cellStyle name="40% - Énfasis1 5 5 2" xfId="11739" xr:uid="{45AE2C76-3399-4BF9-9031-8D1D3C227F1C}"/>
    <cellStyle name="40% - Énfasis1 5 5 2 2" xfId="27151" xr:uid="{A83AEAF4-4FC4-4616-BC4F-916CBEFC1EC1}"/>
    <cellStyle name="40% - Énfasis1 5 5 2 2 2" xfId="44527" xr:uid="{C5E08F12-B440-4D33-851A-50395B6408E7}"/>
    <cellStyle name="40% - Énfasis1 5 5 2 3" xfId="44526" xr:uid="{4BAB2608-DC35-40DA-BD2A-834F3A315AF8}"/>
    <cellStyle name="40% - Énfasis1 5 5 3" xfId="19446" xr:uid="{6B78233D-FA4F-46CE-9829-B22CA19B4FAF}"/>
    <cellStyle name="40% - Énfasis1 5 5 3 2" xfId="44528" xr:uid="{545ED9CC-28F9-45EE-8A4E-034A6E480C1E}"/>
    <cellStyle name="40% - Énfasis1 5 5 4" xfId="44525" xr:uid="{77FAF2C3-0629-4833-B7AF-9B5891A617AA}"/>
    <cellStyle name="40% - Énfasis1 5 6" xfId="8030" xr:uid="{0AE33EBB-7C17-45A8-B501-44DFA0AAF2DE}"/>
    <cellStyle name="40% - Énfasis1 5 6 2" xfId="23443" xr:uid="{37650F51-7AD5-4305-8E4D-D16B4909EFF8}"/>
    <cellStyle name="40% - Énfasis1 5 6 2 2" xfId="44530" xr:uid="{50F43F71-0717-4DDC-B3E4-54146D721946}"/>
    <cellStyle name="40% - Énfasis1 5 6 3" xfId="44529" xr:uid="{341B1F54-956F-43C6-ACB4-319E616903AE}"/>
    <cellStyle name="40% - Énfasis1 5 7" xfId="15738" xr:uid="{CD4038FB-5CBE-4595-9A48-793903BC6EE9}"/>
    <cellStyle name="40% - Énfasis1 5 7 2" xfId="44531" xr:uid="{C3F02350-23A9-487D-BAB6-AA59F89D14C2}"/>
    <cellStyle name="40% - Énfasis1 5 8" xfId="44468" xr:uid="{0BBE7D71-D715-421D-8040-777036543C74}"/>
    <cellStyle name="40% - Énfasis1 6" xfId="302" xr:uid="{700DEC2B-B7A1-4B77-9DD7-B2872EAABB97}"/>
    <cellStyle name="40% - Énfasis1 6 2" xfId="505" xr:uid="{6DDF758B-708E-4537-88CB-532C0E609F57}"/>
    <cellStyle name="40% - Énfasis1 6 2 2" xfId="1166" xr:uid="{0630DA71-39AF-490D-BB54-2740CCD540A9}"/>
    <cellStyle name="40% - Énfasis1 6 2 2 2" xfId="2634" xr:uid="{84B9CDE6-73A1-4675-9ADA-8AB70920B4C0}"/>
    <cellStyle name="40% - Énfasis1 6 2 2 2 2" xfId="6366" xr:uid="{082C54F2-59B7-4C9C-BD6B-1A026D346310}"/>
    <cellStyle name="40% - Énfasis1 6 2 2 2 2 2" xfId="14074" xr:uid="{1D281361-D75B-4568-BA7D-8CCAACADC2D3}"/>
    <cellStyle name="40% - Énfasis1 6 2 2 2 2 2 2" xfId="29486" xr:uid="{7DB4A5D4-2512-417D-8F00-AF1498DC8E42}"/>
    <cellStyle name="40% - Énfasis1 6 2 2 2 2 2 2 2" xfId="44538" xr:uid="{21DB6C47-C3FF-453F-B2AA-BF768AD46609}"/>
    <cellStyle name="40% - Énfasis1 6 2 2 2 2 2 3" xfId="44537" xr:uid="{7938B6B9-F0C7-46AB-A9B8-1F549D2C7461}"/>
    <cellStyle name="40% - Énfasis1 6 2 2 2 2 3" xfId="21781" xr:uid="{74EE83A7-7C55-4663-A61F-BBD34404148E}"/>
    <cellStyle name="40% - Énfasis1 6 2 2 2 2 3 2" xfId="44539" xr:uid="{D1A97D0E-180E-4C34-A21C-279B6F366077}"/>
    <cellStyle name="40% - Énfasis1 6 2 2 2 2 4" xfId="44536" xr:uid="{9C4E6DA6-EA0B-4764-BCF7-C355BEAD3CD8}"/>
    <cellStyle name="40% - Énfasis1 6 2 2 2 3" xfId="10345" xr:uid="{682D4240-5B66-4AB7-9BEA-45BE6CEA9E49}"/>
    <cellStyle name="40% - Énfasis1 6 2 2 2 3 2" xfId="25758" xr:uid="{3A82A064-D665-4D0C-ABC1-D8320F131234}"/>
    <cellStyle name="40% - Énfasis1 6 2 2 2 3 2 2" xfId="44541" xr:uid="{DFCC6405-189E-4B46-8FBC-3F4EA960FDAD}"/>
    <cellStyle name="40% - Énfasis1 6 2 2 2 3 3" xfId="44540" xr:uid="{54100891-49B4-4DC3-AE17-A41E4B63593D}"/>
    <cellStyle name="40% - Énfasis1 6 2 2 2 4" xfId="18053" xr:uid="{0E8E02C8-5B43-4785-A2EF-1CBAAE22E8CF}"/>
    <cellStyle name="40% - Énfasis1 6 2 2 2 4 2" xfId="44542" xr:uid="{6CC524A8-5761-49A3-88E6-F144DCA49410}"/>
    <cellStyle name="40% - Énfasis1 6 2 2 2 5" xfId="44535" xr:uid="{3FC0B238-6C25-43D4-9ACF-496281021563}"/>
    <cellStyle name="40% - Énfasis1 6 2 2 3" xfId="4903" xr:uid="{621CF948-B5DB-419A-9B7A-A4CF2A5C2ABF}"/>
    <cellStyle name="40% - Énfasis1 6 2 2 3 2" xfId="12611" xr:uid="{B8BCBA1B-AD3E-4A56-99CF-19B08BBB7455}"/>
    <cellStyle name="40% - Énfasis1 6 2 2 3 2 2" xfId="28023" xr:uid="{EBED01D8-F102-42BF-A313-B2A761A5CC75}"/>
    <cellStyle name="40% - Énfasis1 6 2 2 3 2 2 2" xfId="44545" xr:uid="{D264F373-A584-4D33-889E-509DE8AA387F}"/>
    <cellStyle name="40% - Énfasis1 6 2 2 3 2 3" xfId="44544" xr:uid="{37B66E17-5480-4978-9967-FDB3471E17DA}"/>
    <cellStyle name="40% - Énfasis1 6 2 2 3 3" xfId="20318" xr:uid="{8AB114EE-B434-4F98-A31C-FFB7E1F821FB}"/>
    <cellStyle name="40% - Énfasis1 6 2 2 3 3 2" xfId="44546" xr:uid="{16266E50-AEE3-4FB7-BCE8-DC104510D620}"/>
    <cellStyle name="40% - Énfasis1 6 2 2 3 4" xfId="44543" xr:uid="{E3561184-16B1-43C7-94EA-AB2D6A4AE757}"/>
    <cellStyle name="40% - Énfasis1 6 2 2 4" xfId="8886" xr:uid="{1847664B-C647-48AC-A9A1-6D039395AFCA}"/>
    <cellStyle name="40% - Énfasis1 6 2 2 4 2" xfId="24299" xr:uid="{BC868507-E09B-48A3-BB95-EA5BAE3613AD}"/>
    <cellStyle name="40% - Énfasis1 6 2 2 4 2 2" xfId="44548" xr:uid="{D26DF86A-8A1D-4F5F-BC1E-64C6567FB0ED}"/>
    <cellStyle name="40% - Énfasis1 6 2 2 4 3" xfId="44547" xr:uid="{66EA85DA-A9BD-40F5-A1F6-D1467CEEC5EA}"/>
    <cellStyle name="40% - Énfasis1 6 2 2 5" xfId="16594" xr:uid="{7B780553-F3F8-4474-A637-F5016DD93379}"/>
    <cellStyle name="40% - Énfasis1 6 2 2 5 2" xfId="44549" xr:uid="{98005B58-5418-4E46-9CDD-D441BBD31302}"/>
    <cellStyle name="40% - Énfasis1 6 2 2 6" xfId="44534" xr:uid="{F003D850-A9AF-422B-B1BE-CD35C8F053E9}"/>
    <cellStyle name="40% - Énfasis1 6 2 3" xfId="1996" xr:uid="{121B2C1F-8990-41D9-8A03-5F9B01A406DB}"/>
    <cellStyle name="40% - Énfasis1 6 2 3 2" xfId="5728" xr:uid="{B19D764D-71CA-4B35-8D05-3DC66D9D5613}"/>
    <cellStyle name="40% - Énfasis1 6 2 3 2 2" xfId="13436" xr:uid="{6577491B-6AB2-4533-818D-0E7BD055A9ED}"/>
    <cellStyle name="40% - Énfasis1 6 2 3 2 2 2" xfId="28848" xr:uid="{7539C057-5FDF-4CE5-B002-1C0F99EFE974}"/>
    <cellStyle name="40% - Énfasis1 6 2 3 2 2 2 2" xfId="44553" xr:uid="{9EFA01AA-F6A9-4CE1-AB63-F26902C6A7CA}"/>
    <cellStyle name="40% - Énfasis1 6 2 3 2 2 3" xfId="44552" xr:uid="{8D75B53F-38AC-4C3D-8B40-6E126ABE8BB7}"/>
    <cellStyle name="40% - Énfasis1 6 2 3 2 3" xfId="21143" xr:uid="{B961F6C5-B6DA-40D3-9083-750703F98011}"/>
    <cellStyle name="40% - Énfasis1 6 2 3 2 3 2" xfId="44554" xr:uid="{DC864964-EFDE-41D6-9BB6-96A44A5D212C}"/>
    <cellStyle name="40% - Énfasis1 6 2 3 2 4" xfId="44551" xr:uid="{23566655-7845-42F9-B0ED-02D4CA4C3D2E}"/>
    <cellStyle name="40% - Énfasis1 6 2 3 3" xfId="9707" xr:uid="{C8415FCE-51DD-4BD9-B519-B6DF63DBE8B5}"/>
    <cellStyle name="40% - Énfasis1 6 2 3 3 2" xfId="25120" xr:uid="{E98DDCF0-83C2-45FE-BAFC-00387ACD2D52}"/>
    <cellStyle name="40% - Énfasis1 6 2 3 3 2 2" xfId="44556" xr:uid="{D306C70F-6D7E-4A22-8904-4315A0DCEA45}"/>
    <cellStyle name="40% - Énfasis1 6 2 3 3 3" xfId="44555" xr:uid="{82708DE8-A61D-47A5-B281-231A6B0045EB}"/>
    <cellStyle name="40% - Énfasis1 6 2 3 4" xfId="17415" xr:uid="{089EC190-0821-48D7-9430-BA59E8EB28C1}"/>
    <cellStyle name="40% - Énfasis1 6 2 3 4 2" xfId="44557" xr:uid="{55B9EF1D-E9A1-4D40-8DB1-F31EA78550EF}"/>
    <cellStyle name="40% - Énfasis1 6 2 3 5" xfId="44550" xr:uid="{8487D2BC-A863-47DA-A7E7-1C37FE8FD577}"/>
    <cellStyle name="40% - Énfasis1 6 2 4" xfId="4251" xr:uid="{05E57098-6508-419D-A52B-A49F8EEAF2B7}"/>
    <cellStyle name="40% - Énfasis1 6 2 4 2" xfId="11959" xr:uid="{23CD9953-8060-461F-89C5-4EEA9A12E897}"/>
    <cellStyle name="40% - Énfasis1 6 2 4 2 2" xfId="27371" xr:uid="{01656F6C-04D4-4B17-9919-D364869A5CFF}"/>
    <cellStyle name="40% - Énfasis1 6 2 4 2 2 2" xfId="44560" xr:uid="{8BF7BD2D-3C37-4BB9-993C-171077E787AD}"/>
    <cellStyle name="40% - Énfasis1 6 2 4 2 3" xfId="44559" xr:uid="{E901D2BB-77DD-4631-ACCA-AB61924EDE72}"/>
    <cellStyle name="40% - Énfasis1 6 2 4 3" xfId="19666" xr:uid="{0E99799D-35DE-4DFC-B620-BC01A8AF6C4A}"/>
    <cellStyle name="40% - Énfasis1 6 2 4 3 2" xfId="44561" xr:uid="{E13C9EBC-2698-4A56-85C6-1907070EA0A3}"/>
    <cellStyle name="40% - Énfasis1 6 2 4 4" xfId="44558" xr:uid="{23F2EBCE-E243-478D-BBB6-BDE1E07FEEC2}"/>
    <cellStyle name="40% - Énfasis1 6 2 5" xfId="8248" xr:uid="{1BE89489-35C3-4EB0-823A-9D1F22C05C48}"/>
    <cellStyle name="40% - Énfasis1 6 2 5 2" xfId="23661" xr:uid="{6C57596D-5A77-433F-A6AF-B2829EDEC0C2}"/>
    <cellStyle name="40% - Énfasis1 6 2 5 2 2" xfId="44563" xr:uid="{E64714D0-30AB-4F8B-B910-668747994EB0}"/>
    <cellStyle name="40% - Énfasis1 6 2 5 3" xfId="44562" xr:uid="{F0CAD786-979B-4DC8-9565-957B0A2D9FDB}"/>
    <cellStyle name="40% - Énfasis1 6 2 6" xfId="15956" xr:uid="{8E679023-2F7E-4E1B-95F6-3CE6C163A14C}"/>
    <cellStyle name="40% - Énfasis1 6 2 6 2" xfId="44564" xr:uid="{DC43BFF4-D8BE-4417-B492-4873CF7032F0}"/>
    <cellStyle name="40% - Énfasis1 6 2 7" xfId="44533" xr:uid="{5B531DD5-FD9F-4C61-B6B5-CFB60433C431}"/>
    <cellStyle name="40% - Énfasis1 6 3" xfId="966" xr:uid="{EB94CD47-F1EE-4321-8A84-4CE5BD1EAFCF}"/>
    <cellStyle name="40% - Énfasis1 6 3 2" xfId="2436" xr:uid="{B33A3378-BFA0-4862-BEAC-A40FD8942F22}"/>
    <cellStyle name="40% - Énfasis1 6 3 2 2" xfId="6168" xr:uid="{E4A0CAA3-7C29-464F-94C0-9D7D1210D083}"/>
    <cellStyle name="40% - Énfasis1 6 3 2 2 2" xfId="13876" xr:uid="{6CC21779-1106-469B-8369-C4F589CE775E}"/>
    <cellStyle name="40% - Énfasis1 6 3 2 2 2 2" xfId="29288" xr:uid="{9DA83297-99F5-47D4-B31C-F2F256AB3A11}"/>
    <cellStyle name="40% - Énfasis1 6 3 2 2 2 2 2" xfId="44569" xr:uid="{050872C2-57EF-4DDD-87F0-844BCAE0F324}"/>
    <cellStyle name="40% - Énfasis1 6 3 2 2 2 3" xfId="44568" xr:uid="{543765DF-A3E4-4DCF-B377-9A6E296C14CE}"/>
    <cellStyle name="40% - Énfasis1 6 3 2 2 3" xfId="21583" xr:uid="{FE53602A-6D94-4D46-9DB6-77AB509922E5}"/>
    <cellStyle name="40% - Énfasis1 6 3 2 2 3 2" xfId="44570" xr:uid="{580A3075-B188-4FC4-9B7B-268E5C0D4D3F}"/>
    <cellStyle name="40% - Énfasis1 6 3 2 2 4" xfId="44567" xr:uid="{3BBFD6F7-29D9-4BE7-AB6F-76E4FF4C69BA}"/>
    <cellStyle name="40% - Énfasis1 6 3 2 3" xfId="10147" xr:uid="{B585CCC9-1CEC-4E31-9B16-B231F458F711}"/>
    <cellStyle name="40% - Énfasis1 6 3 2 3 2" xfId="25560" xr:uid="{0ABD8EBB-0D48-4CAF-A146-0277388A0FE9}"/>
    <cellStyle name="40% - Énfasis1 6 3 2 3 2 2" xfId="44572" xr:uid="{B7DC56D6-33A9-4BAF-A743-67AE4955B75C}"/>
    <cellStyle name="40% - Énfasis1 6 3 2 3 3" xfId="44571" xr:uid="{C88289DB-9BB7-432C-8C69-80DA1A395283}"/>
    <cellStyle name="40% - Énfasis1 6 3 2 4" xfId="17855" xr:uid="{B5C8A06D-7B0A-40CD-9D24-004BADDD73C2}"/>
    <cellStyle name="40% - Énfasis1 6 3 2 4 2" xfId="44573" xr:uid="{8489A08F-3FF1-4107-940C-6644829D3006}"/>
    <cellStyle name="40% - Énfasis1 6 3 2 5" xfId="44566" xr:uid="{5A5A3E3B-E976-452B-82C3-F5DB499DB4F4}"/>
    <cellStyle name="40% - Énfasis1 6 3 3" xfId="4703" xr:uid="{97963BEA-0B34-4AFF-9314-9229F5CD2A0E}"/>
    <cellStyle name="40% - Énfasis1 6 3 3 2" xfId="12411" xr:uid="{C097AEAD-6185-4602-9C9D-F667FD861489}"/>
    <cellStyle name="40% - Énfasis1 6 3 3 2 2" xfId="27823" xr:uid="{E185B945-C09B-4206-9A5B-97E3AAA445A8}"/>
    <cellStyle name="40% - Énfasis1 6 3 3 2 2 2" xfId="44576" xr:uid="{6EAD4CB1-B909-4D00-A3CB-274A77E66AE8}"/>
    <cellStyle name="40% - Énfasis1 6 3 3 2 3" xfId="44575" xr:uid="{53793715-1478-4737-8E73-F1534E13C576}"/>
    <cellStyle name="40% - Énfasis1 6 3 3 3" xfId="20118" xr:uid="{A1A50BD3-2184-49CC-BEE0-9399E99D3204}"/>
    <cellStyle name="40% - Énfasis1 6 3 3 3 2" xfId="44577" xr:uid="{EC9666EA-2985-4276-986F-2568672B14BA}"/>
    <cellStyle name="40% - Énfasis1 6 3 3 4" xfId="44574" xr:uid="{2C8CB975-C8B1-427E-AECF-8BC09C5158A8}"/>
    <cellStyle name="40% - Énfasis1 6 3 4" xfId="8688" xr:uid="{CEA97DF8-AEB3-41A7-BC74-6CB7D1407717}"/>
    <cellStyle name="40% - Énfasis1 6 3 4 2" xfId="24101" xr:uid="{560D9F3C-9BE5-4CAB-A1BE-172E5F33C403}"/>
    <cellStyle name="40% - Énfasis1 6 3 4 2 2" xfId="44579" xr:uid="{91DB8644-7A4D-4A3C-820B-75FD9755FF9A}"/>
    <cellStyle name="40% - Énfasis1 6 3 4 3" xfId="44578" xr:uid="{38FED906-02DA-408D-9BFD-808A700AD913}"/>
    <cellStyle name="40% - Énfasis1 6 3 5" xfId="16396" xr:uid="{465E8EC9-1EAF-452E-9424-AC96496134E5}"/>
    <cellStyle name="40% - Énfasis1 6 3 5 2" xfId="44580" xr:uid="{C4444046-7DF9-4ABE-9540-4A405DD48D1E}"/>
    <cellStyle name="40% - Énfasis1 6 3 6" xfId="44565" xr:uid="{A97C9D13-45BA-4C9F-805C-22D432CCD799}"/>
    <cellStyle name="40% - Énfasis1 6 4" xfId="1798" xr:uid="{3095350C-99B3-4201-8587-EFE1AC35DBC2}"/>
    <cellStyle name="40% - Énfasis1 6 4 2" xfId="5530" xr:uid="{F8B687C0-0036-4C26-A327-7B0DBAD695FC}"/>
    <cellStyle name="40% - Énfasis1 6 4 2 2" xfId="13238" xr:uid="{A0CA8E25-D042-40F8-8C7A-AF4DAAB01930}"/>
    <cellStyle name="40% - Énfasis1 6 4 2 2 2" xfId="28650" xr:uid="{E2E07320-8BF8-49FD-A798-4522DB30CE3A}"/>
    <cellStyle name="40% - Énfasis1 6 4 2 2 2 2" xfId="44584" xr:uid="{07F4C51B-CB00-4E72-97CC-49684357274E}"/>
    <cellStyle name="40% - Énfasis1 6 4 2 2 3" xfId="44583" xr:uid="{81361EE0-E200-45CF-AE1E-FA875EDDC96B}"/>
    <cellStyle name="40% - Énfasis1 6 4 2 3" xfId="20945" xr:uid="{D69D0D6D-C67D-4999-85E4-E50600139185}"/>
    <cellStyle name="40% - Énfasis1 6 4 2 3 2" xfId="44585" xr:uid="{A10BAFE8-D565-45B2-B0B6-6C18B7BF0FBF}"/>
    <cellStyle name="40% - Énfasis1 6 4 2 4" xfId="44582" xr:uid="{7FF6F257-8EA0-444B-B57F-848A2C103813}"/>
    <cellStyle name="40% - Énfasis1 6 4 3" xfId="9509" xr:uid="{8BAD6DC9-CCC4-47AF-B609-5FD81330294E}"/>
    <cellStyle name="40% - Énfasis1 6 4 3 2" xfId="24922" xr:uid="{59247E2E-609E-4F88-B767-92F80341B680}"/>
    <cellStyle name="40% - Énfasis1 6 4 3 2 2" xfId="44587" xr:uid="{6BA1868F-D058-4B60-8565-469131FF5192}"/>
    <cellStyle name="40% - Énfasis1 6 4 3 3" xfId="44586" xr:uid="{FAA44389-E961-4B8A-927B-F368F11E0539}"/>
    <cellStyle name="40% - Énfasis1 6 4 4" xfId="17217" xr:uid="{1DEA945D-3F67-4A97-BC54-5F9B7DD61A5E}"/>
    <cellStyle name="40% - Énfasis1 6 4 4 2" xfId="44588" xr:uid="{06FE1459-64B5-43D8-BF57-613D1F8FFD16}"/>
    <cellStyle name="40% - Énfasis1 6 4 5" xfId="44581" xr:uid="{D0271AF6-AF04-4C29-AEBD-CCE3ECCBA908}"/>
    <cellStyle name="40% - Énfasis1 6 5" xfId="4051" xr:uid="{87B21800-1EE0-4F62-8914-1FB0CDB071B5}"/>
    <cellStyle name="40% - Énfasis1 6 5 2" xfId="11759" xr:uid="{2AF1CB4D-97AD-4718-9FA0-7F6C910A2A3C}"/>
    <cellStyle name="40% - Énfasis1 6 5 2 2" xfId="27171" xr:uid="{941DE2B5-DC9E-4BEA-8273-9B4D1250C8AD}"/>
    <cellStyle name="40% - Énfasis1 6 5 2 2 2" xfId="44591" xr:uid="{452EAB66-FE7F-41DD-A55E-DB4702F45903}"/>
    <cellStyle name="40% - Énfasis1 6 5 2 3" xfId="44590" xr:uid="{34B87BCC-F5A4-4994-84ED-4CD3BEFB2983}"/>
    <cellStyle name="40% - Énfasis1 6 5 3" xfId="19466" xr:uid="{6C355FEC-5093-4375-9750-9A2136E928FC}"/>
    <cellStyle name="40% - Énfasis1 6 5 3 2" xfId="44592" xr:uid="{5AE5A91F-279B-43D8-88D6-3BDC46267AA6}"/>
    <cellStyle name="40% - Énfasis1 6 5 4" xfId="44589" xr:uid="{544DC11B-5B7B-4BDA-BAD2-0C7B02BFA094}"/>
    <cellStyle name="40% - Énfasis1 6 6" xfId="8050" xr:uid="{AE10A18D-845F-48BC-9506-95B81A750E6A}"/>
    <cellStyle name="40% - Énfasis1 6 6 2" xfId="23463" xr:uid="{669F602D-4918-49F8-968E-61D9DD9C3AFC}"/>
    <cellStyle name="40% - Énfasis1 6 6 2 2" xfId="44594" xr:uid="{527354AB-5965-4583-8805-BB62B3820BEC}"/>
    <cellStyle name="40% - Énfasis1 6 6 3" xfId="44593" xr:uid="{2A51883D-F97C-4899-8F03-178726E9E3F7}"/>
    <cellStyle name="40% - Énfasis1 6 7" xfId="15758" xr:uid="{43FA3DCB-7E8D-46BA-A706-1DC412FDFF0F}"/>
    <cellStyle name="40% - Énfasis1 6 7 2" xfId="44595" xr:uid="{06FCF635-C3F7-4BDC-882C-3901FBAC27F9}"/>
    <cellStyle name="40% - Énfasis1 6 8" xfId="44532" xr:uid="{510E1703-A6CF-4852-888C-39440DA59BD6}"/>
    <cellStyle name="40% - Énfasis1 7" xfId="525" xr:uid="{5FC06986-D957-449C-8303-87B308B15B3D}"/>
    <cellStyle name="40% - Énfasis1 7 2" xfId="1186" xr:uid="{045257AD-F455-483D-A26B-08544487CB53}"/>
    <cellStyle name="40% - Énfasis1 7 2 2" xfId="2654" xr:uid="{7635B6EB-3DD5-4F49-B461-754E541210A8}"/>
    <cellStyle name="40% - Énfasis1 7 2 2 2" xfId="6386" xr:uid="{EEF496E5-2F91-4ABE-941D-0A16F8BCA9E8}"/>
    <cellStyle name="40% - Énfasis1 7 2 2 2 2" xfId="14094" xr:uid="{53E6F723-213F-4F07-A7CD-DA18312C82C6}"/>
    <cellStyle name="40% - Énfasis1 7 2 2 2 2 2" xfId="29506" xr:uid="{E8669A76-E657-4109-9722-097E78520DEC}"/>
    <cellStyle name="40% - Énfasis1 7 2 2 2 2 2 2" xfId="44601" xr:uid="{1CF8D5B8-7FD1-4672-BB04-D94BB95059EA}"/>
    <cellStyle name="40% - Énfasis1 7 2 2 2 2 3" xfId="44600" xr:uid="{049067D1-0C93-4A13-8DCF-A246C412B5E5}"/>
    <cellStyle name="40% - Énfasis1 7 2 2 2 3" xfId="21801" xr:uid="{C38F6DE1-C4CB-4FD4-966F-B2581C5602C8}"/>
    <cellStyle name="40% - Énfasis1 7 2 2 2 3 2" xfId="44602" xr:uid="{808F4423-9EAB-417E-AAE9-DB591F027F03}"/>
    <cellStyle name="40% - Énfasis1 7 2 2 2 4" xfId="44599" xr:uid="{1DA35559-256E-4B29-8DEE-EC4BA28DA91C}"/>
    <cellStyle name="40% - Énfasis1 7 2 2 3" xfId="10365" xr:uid="{62C6C0C9-A4C5-4E14-B4BE-43C99E370611}"/>
    <cellStyle name="40% - Énfasis1 7 2 2 3 2" xfId="25778" xr:uid="{2C71267B-0514-48E4-AA25-2D27202EC340}"/>
    <cellStyle name="40% - Énfasis1 7 2 2 3 2 2" xfId="44604" xr:uid="{27971A05-3091-4BBD-A727-36572918468F}"/>
    <cellStyle name="40% - Énfasis1 7 2 2 3 3" xfId="44603" xr:uid="{F78674CE-666D-4B19-8D57-52BC4B017534}"/>
    <cellStyle name="40% - Énfasis1 7 2 2 4" xfId="18073" xr:uid="{7A2A9951-E8F3-421C-B0BC-BD2260CA9C81}"/>
    <cellStyle name="40% - Énfasis1 7 2 2 4 2" xfId="44605" xr:uid="{848AEF25-B12B-4891-9E26-DEE1FC690F6F}"/>
    <cellStyle name="40% - Énfasis1 7 2 2 5" xfId="44598" xr:uid="{14CDD1B5-D882-48DB-BCDE-08646AE271C8}"/>
    <cellStyle name="40% - Énfasis1 7 2 3" xfId="4923" xr:uid="{9FB35262-B6C3-4310-887E-777FFA51EE36}"/>
    <cellStyle name="40% - Énfasis1 7 2 3 2" xfId="12631" xr:uid="{AB049A37-A8BD-4003-93D7-CDB25CE9C836}"/>
    <cellStyle name="40% - Énfasis1 7 2 3 2 2" xfId="28043" xr:uid="{8DB85B3B-C734-4919-B595-C30B50EEDAEE}"/>
    <cellStyle name="40% - Énfasis1 7 2 3 2 2 2" xfId="44608" xr:uid="{5610C7BF-66C1-45FA-9765-09FAA93359C4}"/>
    <cellStyle name="40% - Énfasis1 7 2 3 2 3" xfId="44607" xr:uid="{14215881-3A1E-4C33-AEFB-B023E9EC83C5}"/>
    <cellStyle name="40% - Énfasis1 7 2 3 3" xfId="20338" xr:uid="{7607A02A-07B4-431E-96B3-8D0696ADAAE6}"/>
    <cellStyle name="40% - Énfasis1 7 2 3 3 2" xfId="44609" xr:uid="{BB4CCA55-B60D-406F-BA7E-0B9FFFCA9182}"/>
    <cellStyle name="40% - Énfasis1 7 2 3 4" xfId="44606" xr:uid="{5EDDA960-FC33-4CA8-9C25-78D508D7AB51}"/>
    <cellStyle name="40% - Énfasis1 7 2 4" xfId="8906" xr:uid="{7403B277-94A6-4C1D-AC0F-130681CAFDBA}"/>
    <cellStyle name="40% - Énfasis1 7 2 4 2" xfId="24319" xr:uid="{1A9A703F-A3DC-4E7F-9193-1033F3B3AB14}"/>
    <cellStyle name="40% - Énfasis1 7 2 4 2 2" xfId="44611" xr:uid="{D096FA77-D306-4D94-BDC8-3DEEECC5DD54}"/>
    <cellStyle name="40% - Énfasis1 7 2 4 3" xfId="44610" xr:uid="{1D115A98-26D7-4B29-9C74-D2571F5BBE2E}"/>
    <cellStyle name="40% - Énfasis1 7 2 5" xfId="16614" xr:uid="{5357FF02-BCBF-44EF-BC4D-4503AD4E6DDC}"/>
    <cellStyle name="40% - Énfasis1 7 2 5 2" xfId="44612" xr:uid="{EB840F58-9A36-444D-8C8F-725CBCEEF28A}"/>
    <cellStyle name="40% - Énfasis1 7 2 6" xfId="44597" xr:uid="{700310FA-59C8-4F36-8C52-0B7EDF28EDAD}"/>
    <cellStyle name="40% - Énfasis1 7 3" xfId="2016" xr:uid="{A65ABB76-94C5-448E-ADDF-620D2F29FC24}"/>
    <cellStyle name="40% - Énfasis1 7 3 2" xfId="5748" xr:uid="{0CA5350D-FFD4-43AB-BF0B-6C3859CB75CE}"/>
    <cellStyle name="40% - Énfasis1 7 3 2 2" xfId="13456" xr:uid="{365FDADA-904A-44F6-9D15-48AB2D179773}"/>
    <cellStyle name="40% - Énfasis1 7 3 2 2 2" xfId="28868" xr:uid="{B12E1FF3-76BA-493B-87DA-2493077D8A45}"/>
    <cellStyle name="40% - Énfasis1 7 3 2 2 2 2" xfId="44616" xr:uid="{601ECED5-3C38-4ECD-95C6-8F5CFE889705}"/>
    <cellStyle name="40% - Énfasis1 7 3 2 2 3" xfId="44615" xr:uid="{438B669B-25D7-42E2-825B-A1FEE057BB1A}"/>
    <cellStyle name="40% - Énfasis1 7 3 2 3" xfId="21163" xr:uid="{E4757577-1356-4190-ACE5-348B96383876}"/>
    <cellStyle name="40% - Énfasis1 7 3 2 3 2" xfId="44617" xr:uid="{55E6585D-0080-4B4A-B7CB-13C3CB8A6FBC}"/>
    <cellStyle name="40% - Énfasis1 7 3 2 4" xfId="44614" xr:uid="{02182F39-931F-4C4A-9CF6-664CED0797F0}"/>
    <cellStyle name="40% - Énfasis1 7 3 3" xfId="9727" xr:uid="{79B81875-17FF-4B04-ABE0-580219453B14}"/>
    <cellStyle name="40% - Énfasis1 7 3 3 2" xfId="25140" xr:uid="{CD07F8E1-4B3B-4EEB-8EA9-3A937121F538}"/>
    <cellStyle name="40% - Énfasis1 7 3 3 2 2" xfId="44619" xr:uid="{885B360D-BBF5-42C5-9107-703E3144E76C}"/>
    <cellStyle name="40% - Énfasis1 7 3 3 3" xfId="44618" xr:uid="{2C5714B8-DEA9-4EE6-B357-599A018B08A5}"/>
    <cellStyle name="40% - Énfasis1 7 3 4" xfId="17435" xr:uid="{76A81374-C978-4B23-AF49-2782E5D333DE}"/>
    <cellStyle name="40% - Énfasis1 7 3 4 2" xfId="44620" xr:uid="{C4C7B452-8CAD-4E58-A0D5-BA894FF6FFD9}"/>
    <cellStyle name="40% - Énfasis1 7 3 5" xfId="44613" xr:uid="{D81C0400-2ED1-4B04-85FE-96900073A72F}"/>
    <cellStyle name="40% - Énfasis1 7 4" xfId="4271" xr:uid="{C44C7410-FB3C-47FD-BF31-5D399B2D0F25}"/>
    <cellStyle name="40% - Énfasis1 7 4 2" xfId="11979" xr:uid="{6E9E7635-A721-411F-90E1-432807D076FC}"/>
    <cellStyle name="40% - Énfasis1 7 4 2 2" xfId="27391" xr:uid="{BC9DCA2B-3428-4A3D-8AA7-FF354E148D12}"/>
    <cellStyle name="40% - Énfasis1 7 4 2 2 2" xfId="44623" xr:uid="{935645EB-84FB-4C81-A831-5EF23DA26B12}"/>
    <cellStyle name="40% - Énfasis1 7 4 2 3" xfId="44622" xr:uid="{FC73B84A-60F9-40EB-9781-D32E7616DB10}"/>
    <cellStyle name="40% - Énfasis1 7 4 3" xfId="19686" xr:uid="{D711DB84-F365-4959-8352-0464FD20062B}"/>
    <cellStyle name="40% - Énfasis1 7 4 3 2" xfId="44624" xr:uid="{68A79AC2-970B-4AA3-AC2F-F945C06E00B5}"/>
    <cellStyle name="40% - Énfasis1 7 4 4" xfId="44621" xr:uid="{1262CB64-FAC0-4A1D-AE62-71EA44870DC7}"/>
    <cellStyle name="40% - Énfasis1 7 5" xfId="8268" xr:uid="{D09707BB-F483-4704-A62D-507FB2159187}"/>
    <cellStyle name="40% - Énfasis1 7 5 2" xfId="23681" xr:uid="{A41507D8-03DB-4CAB-AF09-508C143BFED4}"/>
    <cellStyle name="40% - Énfasis1 7 5 2 2" xfId="44626" xr:uid="{131A0065-335E-4C45-A8DF-41B1579B6C0A}"/>
    <cellStyle name="40% - Énfasis1 7 5 3" xfId="44625" xr:uid="{91CEE71D-C538-4B20-85D6-5299354F0BCB}"/>
    <cellStyle name="40% - Énfasis1 7 6" xfId="15976" xr:uid="{8C82783A-BC12-47F8-9159-94D66375F593}"/>
    <cellStyle name="40% - Énfasis1 7 6 2" xfId="44627" xr:uid="{AFDD26C6-1E4D-480E-83B0-9644A03FBF3B}"/>
    <cellStyle name="40% - Énfasis1 7 7" xfId="44596" xr:uid="{118B7820-EFEC-4A67-8A8A-804FFF409352}"/>
    <cellStyle name="40% - Énfasis1 8" xfId="545" xr:uid="{7B031152-96FB-4989-8599-3020E9D8D06C}"/>
    <cellStyle name="40% - Énfasis1 8 2" xfId="1206" xr:uid="{28224527-2E96-4E7E-940B-36DD1FAA0272}"/>
    <cellStyle name="40% - Énfasis1 8 2 2" xfId="2674" xr:uid="{89ABA12F-0B9B-4816-8772-675B56B4D3C0}"/>
    <cellStyle name="40% - Énfasis1 8 2 2 2" xfId="6406" xr:uid="{5ADF7C0E-3E09-4C21-A29B-0B13A2E6324E}"/>
    <cellStyle name="40% - Énfasis1 8 2 2 2 2" xfId="14114" xr:uid="{61C112E1-BC1E-4898-90DE-99996BC5A4B0}"/>
    <cellStyle name="40% - Énfasis1 8 2 2 2 2 2" xfId="29526" xr:uid="{0E4CCDB8-F19C-499B-85BA-98A483A7800C}"/>
    <cellStyle name="40% - Énfasis1 8 2 2 2 2 2 2" xfId="44633" xr:uid="{B022CD3F-9F24-41E0-8374-FB5A9E11658D}"/>
    <cellStyle name="40% - Énfasis1 8 2 2 2 2 3" xfId="44632" xr:uid="{EF1F5019-D69A-4AAC-891D-FAA0728F6C34}"/>
    <cellStyle name="40% - Énfasis1 8 2 2 2 3" xfId="21821" xr:uid="{A21D5084-778D-447E-969F-F17F8B0E760F}"/>
    <cellStyle name="40% - Énfasis1 8 2 2 2 3 2" xfId="44634" xr:uid="{8887CA28-08FE-4AB8-9135-C9F81E6866AD}"/>
    <cellStyle name="40% - Énfasis1 8 2 2 2 4" xfId="44631" xr:uid="{BBA90348-4EE2-40A1-92BD-13DE56C76B97}"/>
    <cellStyle name="40% - Énfasis1 8 2 2 3" xfId="10385" xr:uid="{582BE1C8-4868-4CE8-81AF-0D40C3748A2C}"/>
    <cellStyle name="40% - Énfasis1 8 2 2 3 2" xfId="25798" xr:uid="{15544CE5-A960-4EBA-BC88-300B6F01388B}"/>
    <cellStyle name="40% - Énfasis1 8 2 2 3 2 2" xfId="44636" xr:uid="{17953034-AEBC-4E73-BC43-3E0FF4820EC3}"/>
    <cellStyle name="40% - Énfasis1 8 2 2 3 3" xfId="44635" xr:uid="{3A1DD621-D71D-45EF-BB66-D34D08235632}"/>
    <cellStyle name="40% - Énfasis1 8 2 2 4" xfId="18093" xr:uid="{0A86B389-E5D0-4825-B67D-E2E2ACD734CB}"/>
    <cellStyle name="40% - Énfasis1 8 2 2 4 2" xfId="44637" xr:uid="{25331BBD-3C44-4FA5-8FD0-9058CF587CE0}"/>
    <cellStyle name="40% - Énfasis1 8 2 2 5" xfId="44630" xr:uid="{9353C6D4-5B00-4591-88D9-E8A296F3BE96}"/>
    <cellStyle name="40% - Énfasis1 8 2 3" xfId="4943" xr:uid="{CB520C1C-84DA-4144-A7EE-5225668E93F5}"/>
    <cellStyle name="40% - Énfasis1 8 2 3 2" xfId="12651" xr:uid="{FF5227A2-1DB1-4B94-964D-C0E9B5F3F58C}"/>
    <cellStyle name="40% - Énfasis1 8 2 3 2 2" xfId="28063" xr:uid="{78AF1525-2C10-4CEF-AEFD-E6B15737EED0}"/>
    <cellStyle name="40% - Énfasis1 8 2 3 2 2 2" xfId="44640" xr:uid="{4068B382-2E7E-4CE4-8ABF-C1212FCD9067}"/>
    <cellStyle name="40% - Énfasis1 8 2 3 2 3" xfId="44639" xr:uid="{D751CD45-50CD-4811-B480-AF5B074BF1AF}"/>
    <cellStyle name="40% - Énfasis1 8 2 3 3" xfId="20358" xr:uid="{84787BB3-E182-4BB3-AA38-D40296697086}"/>
    <cellStyle name="40% - Énfasis1 8 2 3 3 2" xfId="44641" xr:uid="{0382B878-8FBC-4ABF-98E6-1F5CE4534074}"/>
    <cellStyle name="40% - Énfasis1 8 2 3 4" xfId="44638" xr:uid="{E464B6D2-3FB6-4605-A7FE-CA709146139E}"/>
    <cellStyle name="40% - Énfasis1 8 2 4" xfId="8926" xr:uid="{4EFC8195-0817-493F-945B-15D6293D73D2}"/>
    <cellStyle name="40% - Énfasis1 8 2 4 2" xfId="24339" xr:uid="{BD44B9B0-581A-47B3-95B8-3FC0B0FE5CD8}"/>
    <cellStyle name="40% - Énfasis1 8 2 4 2 2" xfId="44643" xr:uid="{83E67CC1-AAAA-4B12-B849-3986525893E2}"/>
    <cellStyle name="40% - Énfasis1 8 2 4 3" xfId="44642" xr:uid="{5C76A706-1330-4A8A-99DE-E692AF18541D}"/>
    <cellStyle name="40% - Énfasis1 8 2 5" xfId="16634" xr:uid="{844EF0E2-3503-48C1-A8E2-F4893DEB2832}"/>
    <cellStyle name="40% - Énfasis1 8 2 5 2" xfId="44644" xr:uid="{3C7DC36A-DE00-4D36-B446-D388500E20E0}"/>
    <cellStyle name="40% - Énfasis1 8 2 6" xfId="44629" xr:uid="{E8EB133D-0ABC-4AC6-9CE4-C0573381531D}"/>
    <cellStyle name="40% - Énfasis1 8 3" xfId="2036" xr:uid="{AD1FE202-8FA7-4CB8-B53B-C2F3DBEACA7E}"/>
    <cellStyle name="40% - Énfasis1 8 3 2" xfId="5768" xr:uid="{BE8059B8-1DFA-4B3E-A928-312818B7B443}"/>
    <cellStyle name="40% - Énfasis1 8 3 2 2" xfId="13476" xr:uid="{B41354A9-4351-4081-9C51-8042410D22A6}"/>
    <cellStyle name="40% - Énfasis1 8 3 2 2 2" xfId="28888" xr:uid="{5C18D1DC-B7D7-4862-BD93-F5A864A6B658}"/>
    <cellStyle name="40% - Énfasis1 8 3 2 2 2 2" xfId="44648" xr:uid="{E676D0D3-1D0E-44E8-8E56-62BF8E7BCB6C}"/>
    <cellStyle name="40% - Énfasis1 8 3 2 2 3" xfId="44647" xr:uid="{215A6A7E-66E6-4E22-B0E1-AB8EC40E1598}"/>
    <cellStyle name="40% - Énfasis1 8 3 2 3" xfId="21183" xr:uid="{189A282E-8308-4CE5-A09F-23410CB63DE7}"/>
    <cellStyle name="40% - Énfasis1 8 3 2 3 2" xfId="44649" xr:uid="{083CFE65-2ADF-49D6-8C47-7D2566D0D0A0}"/>
    <cellStyle name="40% - Énfasis1 8 3 2 4" xfId="44646" xr:uid="{2B20E832-7956-4279-9824-AEA78C6DEC8A}"/>
    <cellStyle name="40% - Énfasis1 8 3 3" xfId="9747" xr:uid="{2D0340DC-A503-4A0B-AABB-9CC5C10721A0}"/>
    <cellStyle name="40% - Énfasis1 8 3 3 2" xfId="25160" xr:uid="{475E911C-728B-4553-85E2-74CEA59F2744}"/>
    <cellStyle name="40% - Énfasis1 8 3 3 2 2" xfId="44651" xr:uid="{582F63CA-A4B1-44C0-90F3-2D77DD97CD31}"/>
    <cellStyle name="40% - Énfasis1 8 3 3 3" xfId="44650" xr:uid="{9556E961-CBEF-4489-9750-43C49A146BD6}"/>
    <cellStyle name="40% - Énfasis1 8 3 4" xfId="17455" xr:uid="{2A61CA51-9036-4545-83FA-CE4C8A0D005C}"/>
    <cellStyle name="40% - Énfasis1 8 3 4 2" xfId="44652" xr:uid="{083C00F8-0C6E-4EB0-92E9-CD1D658DFE07}"/>
    <cellStyle name="40% - Énfasis1 8 3 5" xfId="44645" xr:uid="{02C15494-50EF-4B74-BAA3-4BF812E6DB13}"/>
    <cellStyle name="40% - Énfasis1 8 4" xfId="4291" xr:uid="{D1060F64-F44A-433C-9014-98044E2F661D}"/>
    <cellStyle name="40% - Énfasis1 8 4 2" xfId="11999" xr:uid="{7B1B4C28-B055-48B5-AB68-F773C731898A}"/>
    <cellStyle name="40% - Énfasis1 8 4 2 2" xfId="27411" xr:uid="{63A230F2-BFD8-4D03-BAF5-83AA7F244FA4}"/>
    <cellStyle name="40% - Énfasis1 8 4 2 2 2" xfId="44655" xr:uid="{3948C273-073C-4F7F-8F05-D3ED4D3BF712}"/>
    <cellStyle name="40% - Énfasis1 8 4 2 3" xfId="44654" xr:uid="{5F6C1861-3260-4EEA-9FCC-B905B73E003E}"/>
    <cellStyle name="40% - Énfasis1 8 4 3" xfId="19706" xr:uid="{C5DB8EE3-B3BD-4F28-9576-73AD1A84E797}"/>
    <cellStyle name="40% - Énfasis1 8 4 3 2" xfId="44656" xr:uid="{3F595EF0-861A-4DB1-B77E-07B824FC7B19}"/>
    <cellStyle name="40% - Énfasis1 8 4 4" xfId="44653" xr:uid="{577B8B79-6791-4EB5-AD7C-F5829DA9C40D}"/>
    <cellStyle name="40% - Énfasis1 8 5" xfId="8288" xr:uid="{540433F1-53CD-4911-B334-25CC06DB967C}"/>
    <cellStyle name="40% - Énfasis1 8 5 2" xfId="23701" xr:uid="{C219F75F-7113-48E0-922B-F3C698B383C7}"/>
    <cellStyle name="40% - Énfasis1 8 5 2 2" xfId="44658" xr:uid="{8BBAAAB7-C338-4764-B173-5CB24CA4537C}"/>
    <cellStyle name="40% - Énfasis1 8 5 3" xfId="44657" xr:uid="{70D8570C-AFE7-458A-926F-C24E1CB769C5}"/>
    <cellStyle name="40% - Énfasis1 8 6" xfId="15996" xr:uid="{8025E008-834B-44EE-A0DB-F33E512D2DB0}"/>
    <cellStyle name="40% - Énfasis1 8 6 2" xfId="44659" xr:uid="{1D79BC81-4D6A-4DDE-A975-C10CC7D7F118}"/>
    <cellStyle name="40% - Énfasis1 8 7" xfId="44628" xr:uid="{EF8A2F3A-489F-47E4-9F29-D2AE8EB52DBC}"/>
    <cellStyle name="40% - Énfasis1 9" xfId="565" xr:uid="{96788AD2-2E6C-4E0E-A92C-2DA0D3FA26C4}"/>
    <cellStyle name="40% - Énfasis1 9 2" xfId="1226" xr:uid="{E7BE6D19-313D-4DD8-9BA9-E98D0BF15AC9}"/>
    <cellStyle name="40% - Énfasis1 9 2 2" xfId="2694" xr:uid="{72AB2B1E-F3AA-4B0B-8D00-774C5BEFD093}"/>
    <cellStyle name="40% - Énfasis1 9 2 2 2" xfId="6426" xr:uid="{540AD6FE-8982-4E39-9A9A-1B4AA710BCD4}"/>
    <cellStyle name="40% - Énfasis1 9 2 2 2 2" xfId="14134" xr:uid="{89D4D34E-ACC2-4A8B-8781-292147AFE49D}"/>
    <cellStyle name="40% - Énfasis1 9 2 2 2 2 2" xfId="29546" xr:uid="{0113C21C-AA62-4C25-BA1A-8EB7F98C00FB}"/>
    <cellStyle name="40% - Énfasis1 9 2 2 2 2 2 2" xfId="44665" xr:uid="{A9044B71-1C70-46EC-83A4-F85CB99D479B}"/>
    <cellStyle name="40% - Énfasis1 9 2 2 2 2 3" xfId="44664" xr:uid="{CA7A2ADA-AEF2-42A9-8B4C-515703E4D70C}"/>
    <cellStyle name="40% - Énfasis1 9 2 2 2 3" xfId="21841" xr:uid="{CA6ED2C9-FAFC-425C-B89B-BC49EDF0D7A8}"/>
    <cellStyle name="40% - Énfasis1 9 2 2 2 3 2" xfId="44666" xr:uid="{720C8595-BA52-4DB7-A126-2096659DE520}"/>
    <cellStyle name="40% - Énfasis1 9 2 2 2 4" xfId="44663" xr:uid="{BFE74462-E849-45D6-91B9-7357789984FC}"/>
    <cellStyle name="40% - Énfasis1 9 2 2 3" xfId="10405" xr:uid="{0310192E-8C3A-4CB5-9AC9-0A6EFD817C82}"/>
    <cellStyle name="40% - Énfasis1 9 2 2 3 2" xfId="25818" xr:uid="{A5ED2CBC-CF83-4D41-AA47-7EFA1C02426C}"/>
    <cellStyle name="40% - Énfasis1 9 2 2 3 2 2" xfId="44668" xr:uid="{845671B8-7F2C-40C2-A48B-112AA368FAF4}"/>
    <cellStyle name="40% - Énfasis1 9 2 2 3 3" xfId="44667" xr:uid="{0766EB83-BBF7-4933-8950-78CC712D4002}"/>
    <cellStyle name="40% - Énfasis1 9 2 2 4" xfId="18113" xr:uid="{C73D80B3-64AF-4363-996B-BF002A63CD91}"/>
    <cellStyle name="40% - Énfasis1 9 2 2 4 2" xfId="44669" xr:uid="{6C511CE5-3CE0-4329-9014-162D59BDF4A4}"/>
    <cellStyle name="40% - Énfasis1 9 2 2 5" xfId="44662" xr:uid="{50914D9D-DB95-4FFC-A74C-2E5739E13694}"/>
    <cellStyle name="40% - Énfasis1 9 2 3" xfId="4963" xr:uid="{62CF3A92-13FC-49C4-AF77-B6B1E18725EB}"/>
    <cellStyle name="40% - Énfasis1 9 2 3 2" xfId="12671" xr:uid="{0CC94DE8-C506-421F-8469-6B9871FA78CE}"/>
    <cellStyle name="40% - Énfasis1 9 2 3 2 2" xfId="28083" xr:uid="{241D740A-9026-4C34-AC4C-E9D7BF55D580}"/>
    <cellStyle name="40% - Énfasis1 9 2 3 2 2 2" xfId="44672" xr:uid="{2D4EE844-5368-479F-A555-E843B172E5B5}"/>
    <cellStyle name="40% - Énfasis1 9 2 3 2 3" xfId="44671" xr:uid="{06A21650-2ADB-4879-B721-EAC8E8D0E3C6}"/>
    <cellStyle name="40% - Énfasis1 9 2 3 3" xfId="20378" xr:uid="{7E4566E3-8485-44BF-BFA6-847CA66A0ED8}"/>
    <cellStyle name="40% - Énfasis1 9 2 3 3 2" xfId="44673" xr:uid="{37EDBAB6-EE2C-4108-867F-6DD2F6AD7911}"/>
    <cellStyle name="40% - Énfasis1 9 2 3 4" xfId="44670" xr:uid="{3C703ACA-D1B7-4284-9A0F-E3376F0CDF5F}"/>
    <cellStyle name="40% - Énfasis1 9 2 4" xfId="8946" xr:uid="{C8CC8481-1AE2-411A-8A66-0CCA74B7ACA6}"/>
    <cellStyle name="40% - Énfasis1 9 2 4 2" xfId="24359" xr:uid="{1462AF97-6DD3-4F75-9ECB-EB335033D875}"/>
    <cellStyle name="40% - Énfasis1 9 2 4 2 2" xfId="44675" xr:uid="{0F5BA7B3-A3E4-4395-9426-B240EB3E78A9}"/>
    <cellStyle name="40% - Énfasis1 9 2 4 3" xfId="44674" xr:uid="{58DCD6EE-0BBB-4F74-A736-330DFC257CCD}"/>
    <cellStyle name="40% - Énfasis1 9 2 5" xfId="16654" xr:uid="{B520F8D1-BBDA-4094-8105-B5A95BA9FA0F}"/>
    <cellStyle name="40% - Énfasis1 9 2 5 2" xfId="44676" xr:uid="{6BE3AEC1-37B3-4B13-BDBF-6E7C9423947D}"/>
    <cellStyle name="40% - Énfasis1 9 2 6" xfId="44661" xr:uid="{88E7F3BD-AEFD-4A83-9CD1-4568F7098E83}"/>
    <cellStyle name="40% - Énfasis1 9 3" xfId="2056" xr:uid="{67176882-B3A6-4ED6-8FBE-977234DBE33C}"/>
    <cellStyle name="40% - Énfasis1 9 3 2" xfId="5788" xr:uid="{FBABD1E4-2C09-4355-9E8D-CC0972E49B74}"/>
    <cellStyle name="40% - Énfasis1 9 3 2 2" xfId="13496" xr:uid="{059B02B8-C0AA-41AD-9D0F-4F149F585C73}"/>
    <cellStyle name="40% - Énfasis1 9 3 2 2 2" xfId="28908" xr:uid="{B809006E-C76B-44C8-9A8F-92064CA7735A}"/>
    <cellStyle name="40% - Énfasis1 9 3 2 2 2 2" xfId="44680" xr:uid="{184EF5DC-2A09-496C-971B-BD93BB7AD2DD}"/>
    <cellStyle name="40% - Énfasis1 9 3 2 2 3" xfId="44679" xr:uid="{B476BE94-5630-4F4E-B195-6C33454F2DD2}"/>
    <cellStyle name="40% - Énfasis1 9 3 2 3" xfId="21203" xr:uid="{512375F2-B6A9-4112-984A-98E257B05DCF}"/>
    <cellStyle name="40% - Énfasis1 9 3 2 3 2" xfId="44681" xr:uid="{05752F2B-4C22-4EAD-8329-50FE35FF7BFB}"/>
    <cellStyle name="40% - Énfasis1 9 3 2 4" xfId="44678" xr:uid="{27BC5EDC-38AD-498E-90A0-0B52204F25FA}"/>
    <cellStyle name="40% - Énfasis1 9 3 3" xfId="9767" xr:uid="{B2C03A95-250C-4D5B-ADCB-CAA4604DD78B}"/>
    <cellStyle name="40% - Énfasis1 9 3 3 2" xfId="25180" xr:uid="{9E4BA9DD-D3FD-4374-A96E-BD8C616C3558}"/>
    <cellStyle name="40% - Énfasis1 9 3 3 2 2" xfId="44683" xr:uid="{5D4AC011-0DCD-4349-9D39-73E2E296D079}"/>
    <cellStyle name="40% - Énfasis1 9 3 3 3" xfId="44682" xr:uid="{58717841-0B8E-451C-BA40-DB9FE7AC3425}"/>
    <cellStyle name="40% - Énfasis1 9 3 4" xfId="17475" xr:uid="{38C404EF-4800-4E67-8140-D5C27B3A4C97}"/>
    <cellStyle name="40% - Énfasis1 9 3 4 2" xfId="44684" xr:uid="{192370B9-12DE-4A88-977F-0D68C6854BFC}"/>
    <cellStyle name="40% - Énfasis1 9 3 5" xfId="44677" xr:uid="{62939C32-9363-490B-BD89-D7CAC59D63F3}"/>
    <cellStyle name="40% - Énfasis1 9 4" xfId="4311" xr:uid="{D23A193F-6ABC-4017-B976-FE96455A47FA}"/>
    <cellStyle name="40% - Énfasis1 9 4 2" xfId="12019" xr:uid="{5A0957DA-5A5E-4B72-9D26-BB2FD6CE4B4B}"/>
    <cellStyle name="40% - Énfasis1 9 4 2 2" xfId="27431" xr:uid="{69E92914-A460-4066-8EBF-5AC846439552}"/>
    <cellStyle name="40% - Énfasis1 9 4 2 2 2" xfId="44687" xr:uid="{F1640D3F-7456-4F49-A91D-1F6332FE4160}"/>
    <cellStyle name="40% - Énfasis1 9 4 2 3" xfId="44686" xr:uid="{BA3A8AD7-97EE-4315-BFCC-7714268DF606}"/>
    <cellStyle name="40% - Énfasis1 9 4 3" xfId="19726" xr:uid="{46F19D48-76B2-455D-9E58-185734A0EB2E}"/>
    <cellStyle name="40% - Énfasis1 9 4 3 2" xfId="44688" xr:uid="{BF5FC8FF-7553-467A-8925-ED6A12EC5DC9}"/>
    <cellStyle name="40% - Énfasis1 9 4 4" xfId="44685" xr:uid="{56EBD1A9-8C53-43A5-AE19-D2A3728F4F32}"/>
    <cellStyle name="40% - Énfasis1 9 5" xfId="8308" xr:uid="{E90B89D5-E277-4365-A5E2-45F37F14E708}"/>
    <cellStyle name="40% - Énfasis1 9 5 2" xfId="23721" xr:uid="{A65532E4-D866-4FDD-BC0C-92F5C4EB5621}"/>
    <cellStyle name="40% - Énfasis1 9 5 2 2" xfId="44690" xr:uid="{9E649B5A-707C-4A61-9FC3-CF87A5B10953}"/>
    <cellStyle name="40% - Énfasis1 9 5 3" xfId="44689" xr:uid="{FEDC9E18-7EC7-4282-AD71-F04DAA5D049F}"/>
    <cellStyle name="40% - Énfasis1 9 6" xfId="16016" xr:uid="{F92481D7-3C1B-41F9-B2FB-5089836DD9CC}"/>
    <cellStyle name="40% - Énfasis1 9 6 2" xfId="44691" xr:uid="{361C0E98-A255-4DD4-ACAF-1071A54426E9}"/>
    <cellStyle name="40% - Énfasis1 9 7" xfId="44660" xr:uid="{B610A073-BEA9-4E5A-AF85-0C4A10976CA4}"/>
    <cellStyle name="40% - Énfasis2" xfId="26" builtinId="35" customBuiltin="1"/>
    <cellStyle name="40% - Énfasis2 10" xfId="588" xr:uid="{AD1558D7-74E9-4D49-AEDF-704247BB06DF}"/>
    <cellStyle name="40% - Énfasis2 10 2" xfId="1249" xr:uid="{33AB537C-AC6E-4927-914D-DEC1E366C49B}"/>
    <cellStyle name="40% - Énfasis2 10 2 2" xfId="2717" xr:uid="{40BEFA56-835D-4CB9-905A-E4143BEC6320}"/>
    <cellStyle name="40% - Énfasis2 10 2 2 2" xfId="6449" xr:uid="{0094E8CF-E8FB-4E6E-9E59-F19EA4331CA3}"/>
    <cellStyle name="40% - Énfasis2 10 2 2 2 2" xfId="14157" xr:uid="{818D0978-A74C-4185-B5B0-EF5E91A69043}"/>
    <cellStyle name="40% - Énfasis2 10 2 2 2 2 2" xfId="29569" xr:uid="{A8A1A8D5-D801-49E4-ACD7-1771E9681CE6}"/>
    <cellStyle name="40% - Énfasis2 10 2 2 2 2 2 2" xfId="44697" xr:uid="{50CDD481-51AA-4714-A581-4A8744F8FDA4}"/>
    <cellStyle name="40% - Énfasis2 10 2 2 2 2 3" xfId="44696" xr:uid="{4B81DF25-0579-49C5-8A96-E67E9FF99C9A}"/>
    <cellStyle name="40% - Énfasis2 10 2 2 2 3" xfId="21864" xr:uid="{331BC4DC-F9B4-4533-AFBA-DE125D89FB86}"/>
    <cellStyle name="40% - Énfasis2 10 2 2 2 3 2" xfId="44698" xr:uid="{CC69E1BB-3023-43F8-8C65-E47E123B3E8D}"/>
    <cellStyle name="40% - Énfasis2 10 2 2 2 4" xfId="44695" xr:uid="{F25BD0DF-38EF-4172-A6BA-6DD55FB7D5C5}"/>
    <cellStyle name="40% - Énfasis2 10 2 2 3" xfId="10428" xr:uid="{3DC39D96-DFD9-4E22-A3E1-753649F57FA2}"/>
    <cellStyle name="40% - Énfasis2 10 2 2 3 2" xfId="25841" xr:uid="{23ABA05D-BFE2-4787-B8EE-053BC5BFDA8E}"/>
    <cellStyle name="40% - Énfasis2 10 2 2 3 2 2" xfId="44700" xr:uid="{539467B4-B3AE-4C9D-B230-D8315C00FF92}"/>
    <cellStyle name="40% - Énfasis2 10 2 2 3 3" xfId="44699" xr:uid="{BD1128E5-1004-4F18-9CA4-24F1F147204D}"/>
    <cellStyle name="40% - Énfasis2 10 2 2 4" xfId="18136" xr:uid="{9D12380F-03D8-4E6A-AC5C-F3A06DC41700}"/>
    <cellStyle name="40% - Énfasis2 10 2 2 4 2" xfId="44701" xr:uid="{8CBB82CC-4672-4AEF-BA4B-1EB881967C1A}"/>
    <cellStyle name="40% - Énfasis2 10 2 2 5" xfId="44694" xr:uid="{46747CD4-177B-4968-A8F7-09D717E5B164}"/>
    <cellStyle name="40% - Énfasis2 10 2 3" xfId="4986" xr:uid="{25BD3E5D-CED8-421A-96AE-50C685484A5D}"/>
    <cellStyle name="40% - Énfasis2 10 2 3 2" xfId="12694" xr:uid="{10D27534-10A0-46D0-BFBC-1653063F19A0}"/>
    <cellStyle name="40% - Énfasis2 10 2 3 2 2" xfId="28106" xr:uid="{6AD9B3FA-1BDD-40AF-8DB4-2FF9AD31534F}"/>
    <cellStyle name="40% - Énfasis2 10 2 3 2 2 2" xfId="44704" xr:uid="{2BFE3535-DA9B-46FA-ABCE-42439BBE2FDA}"/>
    <cellStyle name="40% - Énfasis2 10 2 3 2 3" xfId="44703" xr:uid="{F6043C83-393B-48D4-AA12-171E69C03C0E}"/>
    <cellStyle name="40% - Énfasis2 10 2 3 3" xfId="20401" xr:uid="{BDE623F8-E5C4-4B4B-A035-E468AB8866DD}"/>
    <cellStyle name="40% - Énfasis2 10 2 3 3 2" xfId="44705" xr:uid="{777F51F4-C738-4453-BA9F-66FA648616FF}"/>
    <cellStyle name="40% - Énfasis2 10 2 3 4" xfId="44702" xr:uid="{8430E734-C85C-4758-B52E-6A1809DE51A0}"/>
    <cellStyle name="40% - Énfasis2 10 2 4" xfId="8969" xr:uid="{B708A476-637E-4E19-9DCD-DEFBD723D3A2}"/>
    <cellStyle name="40% - Énfasis2 10 2 4 2" xfId="24382" xr:uid="{A18F6767-1FE9-4093-965E-87E1B6ADB360}"/>
    <cellStyle name="40% - Énfasis2 10 2 4 2 2" xfId="44707" xr:uid="{08021889-E94F-434B-92FD-E9F17D7CF245}"/>
    <cellStyle name="40% - Énfasis2 10 2 4 3" xfId="44706" xr:uid="{4A08E64C-BF6D-4674-BAC4-E78886718350}"/>
    <cellStyle name="40% - Énfasis2 10 2 5" xfId="16677" xr:uid="{19982B8B-7969-4FB4-948B-306EF6239861}"/>
    <cellStyle name="40% - Énfasis2 10 2 5 2" xfId="44708" xr:uid="{FB46EC81-F596-4973-948D-42418E6551C2}"/>
    <cellStyle name="40% - Énfasis2 10 2 6" xfId="44693" xr:uid="{F3942AEC-D587-44E6-9F85-0301510AF440}"/>
    <cellStyle name="40% - Énfasis2 10 3" xfId="2079" xr:uid="{76F544E0-CBC9-40F2-B0F8-ABA2DCF0ECE7}"/>
    <cellStyle name="40% - Énfasis2 10 3 2" xfId="5811" xr:uid="{CA07AA0F-CF3C-4F1E-92DE-61724DF548EB}"/>
    <cellStyle name="40% - Énfasis2 10 3 2 2" xfId="13519" xr:uid="{2223F00F-15C4-40FA-A770-6D02D2D0CA26}"/>
    <cellStyle name="40% - Énfasis2 10 3 2 2 2" xfId="28931" xr:uid="{058B14B8-F804-46C6-8E78-2DA89089580C}"/>
    <cellStyle name="40% - Énfasis2 10 3 2 2 2 2" xfId="44712" xr:uid="{539F38DF-5F29-4532-B0B7-AA2AD8C2B774}"/>
    <cellStyle name="40% - Énfasis2 10 3 2 2 3" xfId="44711" xr:uid="{80E05DAB-162D-49B9-8829-7A7BD2497992}"/>
    <cellStyle name="40% - Énfasis2 10 3 2 3" xfId="21226" xr:uid="{D32B89AF-2787-4235-87CD-F4AC968CCA15}"/>
    <cellStyle name="40% - Énfasis2 10 3 2 3 2" xfId="44713" xr:uid="{DA0DD25F-6999-45E8-87AC-FD7699471F37}"/>
    <cellStyle name="40% - Énfasis2 10 3 2 4" xfId="44710" xr:uid="{33E7F602-E0E1-47F7-B865-52BCDAFA2D26}"/>
    <cellStyle name="40% - Énfasis2 10 3 3" xfId="9790" xr:uid="{AABE48AB-7D09-473B-B1F9-B40F88B899BE}"/>
    <cellStyle name="40% - Énfasis2 10 3 3 2" xfId="25203" xr:uid="{E19D4F75-E5AE-4F1C-9ED6-7173190A0BBC}"/>
    <cellStyle name="40% - Énfasis2 10 3 3 2 2" xfId="44715" xr:uid="{6DFE551B-3FDB-4F1F-AC68-DDB273E9690C}"/>
    <cellStyle name="40% - Énfasis2 10 3 3 3" xfId="44714" xr:uid="{931644FF-E8A6-4D83-A665-FB7318008B13}"/>
    <cellStyle name="40% - Énfasis2 10 3 4" xfId="17498" xr:uid="{B04E8FA9-51A4-4328-8B40-42E14DDD333D}"/>
    <cellStyle name="40% - Énfasis2 10 3 4 2" xfId="44716" xr:uid="{9CF12918-70BA-440A-834B-3404885D34B3}"/>
    <cellStyle name="40% - Énfasis2 10 3 5" xfId="44709" xr:uid="{6F15AF6F-B2E8-46B5-8B70-5FC0FB72E295}"/>
    <cellStyle name="40% - Énfasis2 10 4" xfId="4334" xr:uid="{5139B285-3E48-41CD-9439-C18620B970D7}"/>
    <cellStyle name="40% - Énfasis2 10 4 2" xfId="12042" xr:uid="{3F15AF85-C6F9-4038-97E3-5C105CF9F90B}"/>
    <cellStyle name="40% - Énfasis2 10 4 2 2" xfId="27454" xr:uid="{E9755C5D-DEF2-4989-AF47-E6BB135168E6}"/>
    <cellStyle name="40% - Énfasis2 10 4 2 2 2" xfId="44719" xr:uid="{9EF25168-4413-467C-8D90-A17E67D59F45}"/>
    <cellStyle name="40% - Énfasis2 10 4 2 3" xfId="44718" xr:uid="{B9719375-6A4E-4C8E-8DD0-1D6DE0906B9F}"/>
    <cellStyle name="40% - Énfasis2 10 4 3" xfId="19749" xr:uid="{121DDC95-BDE3-4EF0-9723-EB5648606775}"/>
    <cellStyle name="40% - Énfasis2 10 4 3 2" xfId="44720" xr:uid="{9A85772C-A745-4761-A017-55C111B693B3}"/>
    <cellStyle name="40% - Énfasis2 10 4 4" xfId="44717" xr:uid="{01C1BBEE-E8DE-4679-B70A-71A300D19541}"/>
    <cellStyle name="40% - Énfasis2 10 5" xfId="8331" xr:uid="{0F2F50DA-A3BE-430A-AAE4-098ECF65EB4D}"/>
    <cellStyle name="40% - Énfasis2 10 5 2" xfId="23744" xr:uid="{82A6296D-CA18-42B6-8E8C-B4134FF4AC5D}"/>
    <cellStyle name="40% - Énfasis2 10 5 2 2" xfId="44722" xr:uid="{7701D656-4245-4CAB-AE24-CC1C39C6DB95}"/>
    <cellStyle name="40% - Énfasis2 10 5 3" xfId="44721" xr:uid="{7E0F4EDF-231E-4C4E-9F90-89FE6D6CEA41}"/>
    <cellStyle name="40% - Énfasis2 10 6" xfId="16039" xr:uid="{9286319F-72CF-4800-BE36-8B42FC5FE91C}"/>
    <cellStyle name="40% - Énfasis2 10 6 2" xfId="44723" xr:uid="{491B271D-1D2C-4759-8961-120B1452C664}"/>
    <cellStyle name="40% - Énfasis2 10 7" xfId="44692" xr:uid="{10DEB79B-487E-48F5-8066-E486E8E828E2}"/>
    <cellStyle name="40% - Énfasis2 11" xfId="609" xr:uid="{B7862DB9-D8A3-42A9-8D77-DD29E28071BD}"/>
    <cellStyle name="40% - Énfasis2 11 2" xfId="1270" xr:uid="{1CF8D6A8-96EA-49B2-9F17-0C1A9F81B89F}"/>
    <cellStyle name="40% - Énfasis2 11 2 2" xfId="2737" xr:uid="{2D1676D7-6F93-42F0-850D-D9049035BE4A}"/>
    <cellStyle name="40% - Énfasis2 11 2 2 2" xfId="6469" xr:uid="{B6473FA9-F8A8-4C72-9966-4CA65A87550B}"/>
    <cellStyle name="40% - Énfasis2 11 2 2 2 2" xfId="14177" xr:uid="{01C7DB80-BBF7-4468-AF89-C326F1E43076}"/>
    <cellStyle name="40% - Énfasis2 11 2 2 2 2 2" xfId="29589" xr:uid="{D69565D0-0003-44B1-A7B1-612A0825774B}"/>
    <cellStyle name="40% - Énfasis2 11 2 2 2 2 2 2" xfId="44729" xr:uid="{FFCE0578-E7DF-4377-8228-31979DF7903E}"/>
    <cellStyle name="40% - Énfasis2 11 2 2 2 2 3" xfId="44728" xr:uid="{2FF3A7B1-57D0-452C-9C32-330A4FBCD329}"/>
    <cellStyle name="40% - Énfasis2 11 2 2 2 3" xfId="21884" xr:uid="{95C19A43-7C62-431C-9913-5474C29FE275}"/>
    <cellStyle name="40% - Énfasis2 11 2 2 2 3 2" xfId="44730" xr:uid="{53BC5C5E-FF8F-4CA8-B37B-2DC60085BB4D}"/>
    <cellStyle name="40% - Énfasis2 11 2 2 2 4" xfId="44727" xr:uid="{3B6F6796-B97D-4E64-8D62-3C97BA77C50E}"/>
    <cellStyle name="40% - Énfasis2 11 2 2 3" xfId="10448" xr:uid="{F74FE8C7-9BCA-4281-980E-3ED33D03C319}"/>
    <cellStyle name="40% - Énfasis2 11 2 2 3 2" xfId="25861" xr:uid="{46AC60DD-ABDA-47D5-AA17-A7700F5ACEE4}"/>
    <cellStyle name="40% - Énfasis2 11 2 2 3 2 2" xfId="44732" xr:uid="{A5DC352C-42B6-4BC1-B4EE-FB3A21CF36E3}"/>
    <cellStyle name="40% - Énfasis2 11 2 2 3 3" xfId="44731" xr:uid="{81405F2B-DC95-400B-8C09-24C8C30E58AC}"/>
    <cellStyle name="40% - Énfasis2 11 2 2 4" xfId="18156" xr:uid="{56D36665-77C3-49F8-A494-33B78A2BA0A2}"/>
    <cellStyle name="40% - Énfasis2 11 2 2 4 2" xfId="44733" xr:uid="{6F715E16-C9B2-49DA-90B4-C69F510A781A}"/>
    <cellStyle name="40% - Énfasis2 11 2 2 5" xfId="44726" xr:uid="{ABE04754-1ADB-480E-B55D-53911FCF83D7}"/>
    <cellStyle name="40% - Énfasis2 11 2 3" xfId="5006" xr:uid="{7AE4A39E-38DB-478F-95E2-55AC45A4A31F}"/>
    <cellStyle name="40% - Énfasis2 11 2 3 2" xfId="12714" xr:uid="{F1E7A999-2DA9-4751-9560-2C9AEEA279D0}"/>
    <cellStyle name="40% - Énfasis2 11 2 3 2 2" xfId="28126" xr:uid="{179A2B85-D4BA-4210-8E07-FEECE04210D9}"/>
    <cellStyle name="40% - Énfasis2 11 2 3 2 2 2" xfId="44736" xr:uid="{032166B2-3676-48F3-B518-C378964BFB87}"/>
    <cellStyle name="40% - Énfasis2 11 2 3 2 3" xfId="44735" xr:uid="{2C0B6D99-123E-47C0-9257-101C712A7B97}"/>
    <cellStyle name="40% - Énfasis2 11 2 3 3" xfId="20421" xr:uid="{889B544A-A7C4-49D5-B858-CAC4623EBE6A}"/>
    <cellStyle name="40% - Énfasis2 11 2 3 3 2" xfId="44737" xr:uid="{0A98FBC3-D319-43E9-8E81-5ED1E86091D6}"/>
    <cellStyle name="40% - Énfasis2 11 2 3 4" xfId="44734" xr:uid="{17983DEC-C286-48EE-83DD-BD3C1033C8C3}"/>
    <cellStyle name="40% - Énfasis2 11 2 4" xfId="8989" xr:uid="{72882E08-8B89-455B-BB42-BC3765163C60}"/>
    <cellStyle name="40% - Énfasis2 11 2 4 2" xfId="24402" xr:uid="{20DBE356-A3E2-49CF-A1F4-0DD0310177EC}"/>
    <cellStyle name="40% - Énfasis2 11 2 4 2 2" xfId="44739" xr:uid="{596CB30D-874A-4413-97AC-F89C3F00753F}"/>
    <cellStyle name="40% - Énfasis2 11 2 4 3" xfId="44738" xr:uid="{547B5249-31BA-4C70-AC89-8F5E08020A4E}"/>
    <cellStyle name="40% - Énfasis2 11 2 5" xfId="16697" xr:uid="{C3775C3F-DF66-4936-B87C-70EBA7BD7C5E}"/>
    <cellStyle name="40% - Énfasis2 11 2 5 2" xfId="44740" xr:uid="{645B0B83-2A90-4A1A-BDD7-149E6BDB1095}"/>
    <cellStyle name="40% - Énfasis2 11 2 6" xfId="44725" xr:uid="{CDF2E8E4-F233-44C1-97BD-BBADAE5295CC}"/>
    <cellStyle name="40% - Énfasis2 11 3" xfId="2099" xr:uid="{E1132B24-39F1-45B2-9333-F5EC8AD1380B}"/>
    <cellStyle name="40% - Énfasis2 11 3 2" xfId="5831" xr:uid="{066767FE-8481-483B-8EF3-CD685EB47EDF}"/>
    <cellStyle name="40% - Énfasis2 11 3 2 2" xfId="13539" xr:uid="{FFF017AD-4A51-4A68-9580-FD9F5EA16B55}"/>
    <cellStyle name="40% - Énfasis2 11 3 2 2 2" xfId="28951" xr:uid="{48B70BA6-A299-4EED-8DBC-5967AF242B01}"/>
    <cellStyle name="40% - Énfasis2 11 3 2 2 2 2" xfId="44744" xr:uid="{FDDC1F19-6A88-4487-A6FD-458CF87F8AF1}"/>
    <cellStyle name="40% - Énfasis2 11 3 2 2 3" xfId="44743" xr:uid="{DD5621CA-3BBF-4584-8D01-0C78629570EB}"/>
    <cellStyle name="40% - Énfasis2 11 3 2 3" xfId="21246" xr:uid="{6CFEF3E9-2912-404C-89FF-7E3693F6624A}"/>
    <cellStyle name="40% - Énfasis2 11 3 2 3 2" xfId="44745" xr:uid="{30A3F015-06F0-4BBD-9696-262C522F804B}"/>
    <cellStyle name="40% - Énfasis2 11 3 2 4" xfId="44742" xr:uid="{C015FBB3-FC54-4CC8-B781-82EBD3A9E7A8}"/>
    <cellStyle name="40% - Énfasis2 11 3 3" xfId="9810" xr:uid="{BC411756-AFA1-43CF-A6F5-E45086478B4B}"/>
    <cellStyle name="40% - Énfasis2 11 3 3 2" xfId="25223" xr:uid="{FE277F64-1611-4169-ACD4-F4445206C536}"/>
    <cellStyle name="40% - Énfasis2 11 3 3 2 2" xfId="44747" xr:uid="{625C8488-005B-4BD5-BD3D-FD9BAB5FEB97}"/>
    <cellStyle name="40% - Énfasis2 11 3 3 3" xfId="44746" xr:uid="{D41D8FF9-F453-4E4D-BECA-2C361F0FDE8F}"/>
    <cellStyle name="40% - Énfasis2 11 3 4" xfId="17518" xr:uid="{13E61827-1A27-4D0E-9EE6-92AADD3039D6}"/>
    <cellStyle name="40% - Énfasis2 11 3 4 2" xfId="44748" xr:uid="{A6FDFA09-6182-40EE-B22B-1B0512113B3E}"/>
    <cellStyle name="40% - Énfasis2 11 3 5" xfId="44741" xr:uid="{52B0D36C-19C4-472C-81BD-4ACF1EBF9051}"/>
    <cellStyle name="40% - Énfasis2 11 4" xfId="4354" xr:uid="{A570F259-EEBB-4C29-93C4-7CC39BEA4768}"/>
    <cellStyle name="40% - Énfasis2 11 4 2" xfId="12062" xr:uid="{2B58C12F-C5C3-45A5-B4FE-D329AC530A9E}"/>
    <cellStyle name="40% - Énfasis2 11 4 2 2" xfId="27474" xr:uid="{79F6E7F4-DBAF-47C1-9E54-9F78D291C4C1}"/>
    <cellStyle name="40% - Énfasis2 11 4 2 2 2" xfId="44751" xr:uid="{BC5DB339-2EC6-4DA1-9344-AED38FD36AEA}"/>
    <cellStyle name="40% - Énfasis2 11 4 2 3" xfId="44750" xr:uid="{AF3D4E2C-2317-480D-AC41-E49D360463BF}"/>
    <cellStyle name="40% - Énfasis2 11 4 3" xfId="19769" xr:uid="{28A4019F-325F-4BF1-87A0-0D064B9FBB82}"/>
    <cellStyle name="40% - Énfasis2 11 4 3 2" xfId="44752" xr:uid="{DB1E87F8-16AC-4D05-A064-FF649D164328}"/>
    <cellStyle name="40% - Énfasis2 11 4 4" xfId="44749" xr:uid="{E0CBECA4-EDDE-4E1B-8A56-8DF1D592FBCA}"/>
    <cellStyle name="40% - Énfasis2 11 5" xfId="8351" xr:uid="{057E4A93-E7FD-4A14-9421-6439DB6CF2BC}"/>
    <cellStyle name="40% - Énfasis2 11 5 2" xfId="23764" xr:uid="{976D1687-667E-4CB5-B88C-EF7BEDA1C783}"/>
    <cellStyle name="40% - Énfasis2 11 5 2 2" xfId="44754" xr:uid="{87952A3C-D2E8-4C11-BD11-28A27ECDE220}"/>
    <cellStyle name="40% - Énfasis2 11 5 3" xfId="44753" xr:uid="{D009B63E-28CE-4D7E-AB4A-D9D1903FD494}"/>
    <cellStyle name="40% - Énfasis2 11 6" xfId="16059" xr:uid="{3EB2BB60-107E-457E-8CB7-284D644CF6DA}"/>
    <cellStyle name="40% - Énfasis2 11 6 2" xfId="44755" xr:uid="{E8853DAC-3FC0-4921-BB10-983B053D0A62}"/>
    <cellStyle name="40% - Énfasis2 11 7" xfId="44724" xr:uid="{EFB068A8-EA54-4535-B722-F18EFD5BCA61}"/>
    <cellStyle name="40% - Énfasis2 12" xfId="629" xr:uid="{DCF8BEB4-3C57-444B-B5AF-73C72F9D5353}"/>
    <cellStyle name="40% - Énfasis2 12 2" xfId="1290" xr:uid="{E6BCB687-39BB-4274-8FF5-704E12EA1851}"/>
    <cellStyle name="40% - Énfasis2 12 2 2" xfId="2757" xr:uid="{A7429C38-7EB0-4A0B-A346-2D532FB30C0C}"/>
    <cellStyle name="40% - Énfasis2 12 2 2 2" xfId="6489" xr:uid="{D6C7754C-B426-41D1-B772-6AE7927675C4}"/>
    <cellStyle name="40% - Énfasis2 12 2 2 2 2" xfId="14197" xr:uid="{0F8FC0CB-9D5E-48FC-A70B-84BFCA7E280E}"/>
    <cellStyle name="40% - Énfasis2 12 2 2 2 2 2" xfId="29609" xr:uid="{6625D0F8-0CF6-420F-8000-54CF34A5E257}"/>
    <cellStyle name="40% - Énfasis2 12 2 2 2 2 2 2" xfId="44761" xr:uid="{E7B2003D-54B1-45EE-952E-76084A4AD1FD}"/>
    <cellStyle name="40% - Énfasis2 12 2 2 2 2 3" xfId="44760" xr:uid="{DCE83265-6294-4BC0-936A-86A1FF08CAA3}"/>
    <cellStyle name="40% - Énfasis2 12 2 2 2 3" xfId="21904" xr:uid="{AB6D9554-11DD-4E63-96C9-CF6730130533}"/>
    <cellStyle name="40% - Énfasis2 12 2 2 2 3 2" xfId="44762" xr:uid="{07E92709-512A-479A-8660-5585A1D1E2E2}"/>
    <cellStyle name="40% - Énfasis2 12 2 2 2 4" xfId="44759" xr:uid="{A527B9EE-B854-46F7-B945-8C71EFF560E7}"/>
    <cellStyle name="40% - Énfasis2 12 2 2 3" xfId="10468" xr:uid="{320F94F8-1263-48AA-8D87-F99C80BFCB86}"/>
    <cellStyle name="40% - Énfasis2 12 2 2 3 2" xfId="25881" xr:uid="{EDF83AD0-942D-4354-861A-5B56AB8C28B9}"/>
    <cellStyle name="40% - Énfasis2 12 2 2 3 2 2" xfId="44764" xr:uid="{4BD9FAF6-8DFE-47A0-9757-FE66F411F25F}"/>
    <cellStyle name="40% - Énfasis2 12 2 2 3 3" xfId="44763" xr:uid="{9FAA06F8-5AE6-41D5-A160-0122C656B539}"/>
    <cellStyle name="40% - Énfasis2 12 2 2 4" xfId="18176" xr:uid="{EF64E956-D230-4841-B47B-8C54D298A2A1}"/>
    <cellStyle name="40% - Énfasis2 12 2 2 4 2" xfId="44765" xr:uid="{B7444DC2-CB43-4A6C-AC7F-E79AD5CCA973}"/>
    <cellStyle name="40% - Énfasis2 12 2 2 5" xfId="44758" xr:uid="{543D317E-D69A-423F-A205-97B8D82E6136}"/>
    <cellStyle name="40% - Énfasis2 12 2 3" xfId="5026" xr:uid="{09033E27-C15E-4189-883A-507EDFA253E0}"/>
    <cellStyle name="40% - Énfasis2 12 2 3 2" xfId="12734" xr:uid="{92678071-EC03-4B1D-A6CF-E06EF8A9255D}"/>
    <cellStyle name="40% - Énfasis2 12 2 3 2 2" xfId="28146" xr:uid="{A6869BC9-0544-4D62-8514-3D1EE96B63A3}"/>
    <cellStyle name="40% - Énfasis2 12 2 3 2 2 2" xfId="44768" xr:uid="{2247EC47-3DED-4125-9956-76707751F0C2}"/>
    <cellStyle name="40% - Énfasis2 12 2 3 2 3" xfId="44767" xr:uid="{10B994BA-4E67-4E70-A06F-1FF2E6F4CBC0}"/>
    <cellStyle name="40% - Énfasis2 12 2 3 3" xfId="20441" xr:uid="{2E2ABBA6-8DA0-4FD1-8E14-568C1901048A}"/>
    <cellStyle name="40% - Énfasis2 12 2 3 3 2" xfId="44769" xr:uid="{A40EB222-007B-47E1-9FA9-A53BCB2E9E32}"/>
    <cellStyle name="40% - Énfasis2 12 2 3 4" xfId="44766" xr:uid="{3F6D073F-2803-45A3-8464-558DD539D4FA}"/>
    <cellStyle name="40% - Énfasis2 12 2 4" xfId="9009" xr:uid="{0BB73441-B3DD-4E41-A592-E1361015E6F2}"/>
    <cellStyle name="40% - Énfasis2 12 2 4 2" xfId="24422" xr:uid="{2CBED853-F3C4-4BDD-806F-F5E335B85C6C}"/>
    <cellStyle name="40% - Énfasis2 12 2 4 2 2" xfId="44771" xr:uid="{3AEC1BB7-AC2F-4C14-8286-81F95A56E392}"/>
    <cellStyle name="40% - Énfasis2 12 2 4 3" xfId="44770" xr:uid="{E80E8F98-ADED-4736-88C8-88BAD6F0625A}"/>
    <cellStyle name="40% - Énfasis2 12 2 5" xfId="16717" xr:uid="{BE184A72-2BD0-4871-9C36-DB98520D0181}"/>
    <cellStyle name="40% - Énfasis2 12 2 5 2" xfId="44772" xr:uid="{12E66E14-4E2F-4F0E-96F1-431F683739FB}"/>
    <cellStyle name="40% - Énfasis2 12 2 6" xfId="44757" xr:uid="{80C21FD3-CE8A-444A-A4A8-591374427389}"/>
    <cellStyle name="40% - Énfasis2 12 3" xfId="2119" xr:uid="{1464C70E-07CB-487E-B450-7A756F965E9E}"/>
    <cellStyle name="40% - Énfasis2 12 3 2" xfId="5851" xr:uid="{C9697CC0-BC85-42A6-AF2C-7E9D88106AB7}"/>
    <cellStyle name="40% - Énfasis2 12 3 2 2" xfId="13559" xr:uid="{BCB52790-356D-4DB5-86B9-EF4C39F5CC41}"/>
    <cellStyle name="40% - Énfasis2 12 3 2 2 2" xfId="28971" xr:uid="{D478280B-B67E-4722-9673-A35A53E174E1}"/>
    <cellStyle name="40% - Énfasis2 12 3 2 2 2 2" xfId="44776" xr:uid="{F6ADB187-AA70-48B7-9C86-5BE70B0C0527}"/>
    <cellStyle name="40% - Énfasis2 12 3 2 2 3" xfId="44775" xr:uid="{A6E8E3B5-F38C-442E-978B-60A875B57C97}"/>
    <cellStyle name="40% - Énfasis2 12 3 2 3" xfId="21266" xr:uid="{4C0B4535-6D52-486F-B3F6-21CE532B5AD8}"/>
    <cellStyle name="40% - Énfasis2 12 3 2 3 2" xfId="44777" xr:uid="{825DDC7A-BB14-46D2-A146-584442598013}"/>
    <cellStyle name="40% - Énfasis2 12 3 2 4" xfId="44774" xr:uid="{E2FD6787-3BD1-4069-A1BB-1BBD17171A2B}"/>
    <cellStyle name="40% - Énfasis2 12 3 3" xfId="9830" xr:uid="{F05CE80E-9F38-40FE-BDCA-8FC0E38B0053}"/>
    <cellStyle name="40% - Énfasis2 12 3 3 2" xfId="25243" xr:uid="{50E1C29F-0CE5-4F47-A28B-A278D0E2A52D}"/>
    <cellStyle name="40% - Énfasis2 12 3 3 2 2" xfId="44779" xr:uid="{C3967354-0150-49EF-9DF0-7E3CB4E8C15A}"/>
    <cellStyle name="40% - Énfasis2 12 3 3 3" xfId="44778" xr:uid="{E250463D-02DA-4F8A-AAC5-E3303AB08930}"/>
    <cellStyle name="40% - Énfasis2 12 3 4" xfId="17538" xr:uid="{B322AC12-2D03-4F94-96F6-E4A5A84BE2A2}"/>
    <cellStyle name="40% - Énfasis2 12 3 4 2" xfId="44780" xr:uid="{39EB324A-2A41-408C-9950-253DB285286E}"/>
    <cellStyle name="40% - Énfasis2 12 3 5" xfId="44773" xr:uid="{4808CE50-F048-488E-8D5F-232E7BB033DC}"/>
    <cellStyle name="40% - Énfasis2 12 4" xfId="4374" xr:uid="{E9F90F67-9F80-47BC-8A0B-4A6701D02767}"/>
    <cellStyle name="40% - Énfasis2 12 4 2" xfId="12082" xr:uid="{34A9CEB5-BDD5-4DEC-885E-190EA4C810E9}"/>
    <cellStyle name="40% - Énfasis2 12 4 2 2" xfId="27494" xr:uid="{D9B77B7E-E32A-4DC8-88A7-4A108B23F518}"/>
    <cellStyle name="40% - Énfasis2 12 4 2 2 2" xfId="44783" xr:uid="{3D1A3F76-314C-4F8A-91EB-D7ACB9798032}"/>
    <cellStyle name="40% - Énfasis2 12 4 2 3" xfId="44782" xr:uid="{2C025513-6A26-4F22-A632-FD0F9C3EEFAC}"/>
    <cellStyle name="40% - Énfasis2 12 4 3" xfId="19789" xr:uid="{191CB942-2239-4A9C-93BE-022B515F79ED}"/>
    <cellStyle name="40% - Énfasis2 12 4 3 2" xfId="44784" xr:uid="{09296493-43BF-42AE-AB01-4BCFFEE35A44}"/>
    <cellStyle name="40% - Énfasis2 12 4 4" xfId="44781" xr:uid="{930B4FB7-6A8C-4FD8-8EEF-03639BCBCA3E}"/>
    <cellStyle name="40% - Énfasis2 12 5" xfId="8371" xr:uid="{D7222031-5FD6-47F1-A409-4E963BBC3FD8}"/>
    <cellStyle name="40% - Énfasis2 12 5 2" xfId="23784" xr:uid="{54E9A835-5F2D-4D27-9605-67899516D590}"/>
    <cellStyle name="40% - Énfasis2 12 5 2 2" xfId="44786" xr:uid="{C7FC7313-8F06-4270-846C-DD72BCBC14F0}"/>
    <cellStyle name="40% - Énfasis2 12 5 3" xfId="44785" xr:uid="{47BBD57B-E233-4EBA-8352-FFF3C3D1266A}"/>
    <cellStyle name="40% - Énfasis2 12 6" xfId="16079" xr:uid="{B0CFD6EA-E007-4DE4-9BDC-45BE33471633}"/>
    <cellStyle name="40% - Énfasis2 12 6 2" xfId="44787" xr:uid="{5E887F0B-2A22-4B0C-9841-4650EEF8E5F8}"/>
    <cellStyle name="40% - Énfasis2 12 7" xfId="44756" xr:uid="{1DCC5156-0E7B-46AF-A66B-6810747B41B5}"/>
    <cellStyle name="40% - Énfasis2 13" xfId="650" xr:uid="{23B04406-A0FE-4331-8948-20FCB7674C41}"/>
    <cellStyle name="40% - Énfasis2 13 2" xfId="1311" xr:uid="{F2CDDD8B-1914-4783-A4AB-3EC8FAFE0B6A}"/>
    <cellStyle name="40% - Énfasis2 13 2 2" xfId="2778" xr:uid="{93D7E180-DFF2-4384-BE81-403ADF4AF2A5}"/>
    <cellStyle name="40% - Énfasis2 13 2 2 2" xfId="6510" xr:uid="{12362238-717F-4655-91BF-71FA44E722D9}"/>
    <cellStyle name="40% - Énfasis2 13 2 2 2 2" xfId="14218" xr:uid="{7C18E292-5236-43BE-8A05-078D88E750CE}"/>
    <cellStyle name="40% - Énfasis2 13 2 2 2 2 2" xfId="29630" xr:uid="{CA81337D-F54D-4673-B82E-B33DD9FDB854}"/>
    <cellStyle name="40% - Énfasis2 13 2 2 2 2 2 2" xfId="44793" xr:uid="{6DD29A40-EB53-4F43-A30F-9BF51CA81FE4}"/>
    <cellStyle name="40% - Énfasis2 13 2 2 2 2 3" xfId="44792" xr:uid="{CEA48F8B-5422-4A48-8DD7-0F06432D43EE}"/>
    <cellStyle name="40% - Énfasis2 13 2 2 2 3" xfId="21925" xr:uid="{ACE1843C-EE5D-40AF-B616-1823C7AF63CF}"/>
    <cellStyle name="40% - Énfasis2 13 2 2 2 3 2" xfId="44794" xr:uid="{7567FA48-9FD2-424D-B2D1-80921F6FC857}"/>
    <cellStyle name="40% - Énfasis2 13 2 2 2 4" xfId="44791" xr:uid="{B0BBEC2C-A3C3-4DEA-8C8D-2450FBCF30A2}"/>
    <cellStyle name="40% - Énfasis2 13 2 2 3" xfId="10489" xr:uid="{566D9F86-5020-4118-98D3-005284BB3939}"/>
    <cellStyle name="40% - Énfasis2 13 2 2 3 2" xfId="25902" xr:uid="{6006C9BA-B292-4EA1-B1A6-EDB419942816}"/>
    <cellStyle name="40% - Énfasis2 13 2 2 3 2 2" xfId="44796" xr:uid="{DCFF27B7-7C48-481C-A605-F474D2F28149}"/>
    <cellStyle name="40% - Énfasis2 13 2 2 3 3" xfId="44795" xr:uid="{C4C60AD4-945D-4A51-A3DE-0EE597477EC5}"/>
    <cellStyle name="40% - Énfasis2 13 2 2 4" xfId="18197" xr:uid="{F27F4066-062B-4931-92E4-2A4A7C6E75B2}"/>
    <cellStyle name="40% - Énfasis2 13 2 2 4 2" xfId="44797" xr:uid="{E6C480D5-E5AE-44E4-8A94-C14B100BB231}"/>
    <cellStyle name="40% - Énfasis2 13 2 2 5" xfId="44790" xr:uid="{C840A23B-454C-48CA-A70A-C02FFD899B23}"/>
    <cellStyle name="40% - Énfasis2 13 2 3" xfId="5047" xr:uid="{6A208BDB-F7D8-4235-B786-4035FFF85B5E}"/>
    <cellStyle name="40% - Énfasis2 13 2 3 2" xfId="12755" xr:uid="{421C7B93-0FE3-40B2-A1A3-D54189141DE0}"/>
    <cellStyle name="40% - Énfasis2 13 2 3 2 2" xfId="28167" xr:uid="{E6ABC5D8-4031-4882-AD6F-AF1ADF309F2A}"/>
    <cellStyle name="40% - Énfasis2 13 2 3 2 2 2" xfId="44800" xr:uid="{78137588-335A-431B-A5BF-C0B312394E39}"/>
    <cellStyle name="40% - Énfasis2 13 2 3 2 3" xfId="44799" xr:uid="{26912DBE-2802-45BE-B619-C94E8D27672D}"/>
    <cellStyle name="40% - Énfasis2 13 2 3 3" xfId="20462" xr:uid="{DBB2E6E8-9B73-4847-BA99-19628921808D}"/>
    <cellStyle name="40% - Énfasis2 13 2 3 3 2" xfId="44801" xr:uid="{DD9CE859-1AE5-473D-BB5C-FAD7134D8B43}"/>
    <cellStyle name="40% - Énfasis2 13 2 3 4" xfId="44798" xr:uid="{6F839650-1249-42F9-88DC-A0E4AAB0FBB6}"/>
    <cellStyle name="40% - Énfasis2 13 2 4" xfId="9030" xr:uid="{9433CE48-CF5F-465D-B1EC-4A186700269B}"/>
    <cellStyle name="40% - Énfasis2 13 2 4 2" xfId="24443" xr:uid="{9E98650F-00F1-4DAA-A3C2-21C0EFB29EB9}"/>
    <cellStyle name="40% - Énfasis2 13 2 4 2 2" xfId="44803" xr:uid="{8BEA5AE2-9793-4AE4-BC11-B6BF82CEB18D}"/>
    <cellStyle name="40% - Énfasis2 13 2 4 3" xfId="44802" xr:uid="{CF90EA64-7755-4185-9BC5-E82EBD37E321}"/>
    <cellStyle name="40% - Énfasis2 13 2 5" xfId="16738" xr:uid="{5A7E00F0-E17D-486D-AED5-92C82719B049}"/>
    <cellStyle name="40% - Énfasis2 13 2 5 2" xfId="44804" xr:uid="{6734E850-F24A-4612-808D-F6F37DC9C554}"/>
    <cellStyle name="40% - Énfasis2 13 2 6" xfId="44789" xr:uid="{B56BD0E1-B306-4BCB-B86C-9C53F42BBBFF}"/>
    <cellStyle name="40% - Énfasis2 13 3" xfId="2140" xr:uid="{56267BD2-F62D-4C93-9E0F-3372AC27EBE9}"/>
    <cellStyle name="40% - Énfasis2 13 3 2" xfId="5872" xr:uid="{29E2DA4C-47E5-453D-A845-D9A4494AB1C5}"/>
    <cellStyle name="40% - Énfasis2 13 3 2 2" xfId="13580" xr:uid="{08D239D5-9979-4FC4-B188-FB601A0D4F6C}"/>
    <cellStyle name="40% - Énfasis2 13 3 2 2 2" xfId="28992" xr:uid="{CAA6FF68-2F22-4E14-B50F-40D25227B7FD}"/>
    <cellStyle name="40% - Énfasis2 13 3 2 2 2 2" xfId="44808" xr:uid="{4B227AFA-5586-41DD-89BA-CF40731ED0F2}"/>
    <cellStyle name="40% - Énfasis2 13 3 2 2 3" xfId="44807" xr:uid="{B6F21A9F-7E0D-45AB-9FB7-D3EBB3227463}"/>
    <cellStyle name="40% - Énfasis2 13 3 2 3" xfId="21287" xr:uid="{BF54CE79-37E0-47A9-AE6E-3FDC3D482172}"/>
    <cellStyle name="40% - Énfasis2 13 3 2 3 2" xfId="44809" xr:uid="{A0E8829C-D941-41B8-A00E-D1AEA74DF8CB}"/>
    <cellStyle name="40% - Énfasis2 13 3 2 4" xfId="44806" xr:uid="{5309B5E6-7F2F-40E3-82AF-1040328D2F8D}"/>
    <cellStyle name="40% - Énfasis2 13 3 3" xfId="9851" xr:uid="{4E42CF99-995A-48E4-86A9-58029062AB56}"/>
    <cellStyle name="40% - Énfasis2 13 3 3 2" xfId="25264" xr:uid="{D6967A83-5436-45F5-BFCB-59759B0A6573}"/>
    <cellStyle name="40% - Énfasis2 13 3 3 2 2" xfId="44811" xr:uid="{06DB0EF1-8FC8-4A39-A37D-E26835B0C8AF}"/>
    <cellStyle name="40% - Énfasis2 13 3 3 3" xfId="44810" xr:uid="{39878975-D6B3-4ECC-8F31-F66E805306C3}"/>
    <cellStyle name="40% - Énfasis2 13 3 4" xfId="17559" xr:uid="{3E3095EA-AD1F-4FDB-B405-12CC2B332D67}"/>
    <cellStyle name="40% - Énfasis2 13 3 4 2" xfId="44812" xr:uid="{3F5B295F-E254-4B57-926C-53782B305C8D}"/>
    <cellStyle name="40% - Énfasis2 13 3 5" xfId="44805" xr:uid="{D4965415-456A-4D8E-8E44-CB566FFC866E}"/>
    <cellStyle name="40% - Énfasis2 13 4" xfId="4395" xr:uid="{76E6B345-A1FE-48A2-9D12-4D93AA53099D}"/>
    <cellStyle name="40% - Énfasis2 13 4 2" xfId="12103" xr:uid="{0246325C-058A-4323-8986-0BF25347ECD6}"/>
    <cellStyle name="40% - Énfasis2 13 4 2 2" xfId="27515" xr:uid="{A076A61F-7282-4CAB-82EC-266A9FA0C2A9}"/>
    <cellStyle name="40% - Énfasis2 13 4 2 2 2" xfId="44815" xr:uid="{B1003D53-1CB1-47EE-A356-031C82AB7E7B}"/>
    <cellStyle name="40% - Énfasis2 13 4 2 3" xfId="44814" xr:uid="{B992B6D4-EEB5-48FF-B61A-4641DD33FFE7}"/>
    <cellStyle name="40% - Énfasis2 13 4 3" xfId="19810" xr:uid="{B2336903-0F72-42B8-B309-F8232464104C}"/>
    <cellStyle name="40% - Énfasis2 13 4 3 2" xfId="44816" xr:uid="{4B3C388E-3ABA-4CCA-85E2-09AC92F9AE9F}"/>
    <cellStyle name="40% - Énfasis2 13 4 4" xfId="44813" xr:uid="{75479FC8-5DF4-4C65-9309-9B54A385DD11}"/>
    <cellStyle name="40% - Énfasis2 13 5" xfId="8392" xr:uid="{903788EB-CD2A-4F6B-AD78-BDFD50977853}"/>
    <cellStyle name="40% - Énfasis2 13 5 2" xfId="23805" xr:uid="{C1B38883-755F-4862-9F95-6E5644538E4D}"/>
    <cellStyle name="40% - Énfasis2 13 5 2 2" xfId="44818" xr:uid="{97B8F195-A07D-4199-A5C8-482F2D227F1C}"/>
    <cellStyle name="40% - Énfasis2 13 5 3" xfId="44817" xr:uid="{A62178A5-8780-4671-BE13-85E6781F8FBF}"/>
    <cellStyle name="40% - Énfasis2 13 6" xfId="16100" xr:uid="{4A692EC4-9BE0-416E-A97C-4A9421A65597}"/>
    <cellStyle name="40% - Énfasis2 13 6 2" xfId="44819" xr:uid="{5C045DFE-30D5-40A6-A608-77FCA6496C63}"/>
    <cellStyle name="40% - Énfasis2 13 7" xfId="44788" xr:uid="{5BFF2EEA-48EF-4D06-83A0-8768FF9A6454}"/>
    <cellStyle name="40% - Énfasis2 14" xfId="670" xr:uid="{AA0564BA-D506-4BDA-A8D0-56D48094936A}"/>
    <cellStyle name="40% - Énfasis2 14 2" xfId="1331" xr:uid="{232C9FDE-E4C3-4120-BD2E-AEC392842124}"/>
    <cellStyle name="40% - Énfasis2 14 2 2" xfId="2798" xr:uid="{A2BED670-A63E-4E18-B8A3-CE988EEA6FFE}"/>
    <cellStyle name="40% - Énfasis2 14 2 2 2" xfId="6530" xr:uid="{B1778C2E-8055-4C5C-86D1-EF0B3504FD3C}"/>
    <cellStyle name="40% - Énfasis2 14 2 2 2 2" xfId="14238" xr:uid="{FB6CB93B-1F3B-40F2-9CC1-8B7FE84944FE}"/>
    <cellStyle name="40% - Énfasis2 14 2 2 2 2 2" xfId="29650" xr:uid="{9875BD08-A765-4FA4-BC46-814CEDD49190}"/>
    <cellStyle name="40% - Énfasis2 14 2 2 2 2 2 2" xfId="44825" xr:uid="{CAAC4262-6D5B-4F00-A439-28355496E981}"/>
    <cellStyle name="40% - Énfasis2 14 2 2 2 2 3" xfId="44824" xr:uid="{347C814B-EE69-407C-A9C6-6DE6D9D97488}"/>
    <cellStyle name="40% - Énfasis2 14 2 2 2 3" xfId="21945" xr:uid="{3B901FA1-B9E0-4652-B429-EFE7FEE01971}"/>
    <cellStyle name="40% - Énfasis2 14 2 2 2 3 2" xfId="44826" xr:uid="{AC4FE1DE-3B26-4319-841C-69E07C96D610}"/>
    <cellStyle name="40% - Énfasis2 14 2 2 2 4" xfId="44823" xr:uid="{8B95FB3A-DBB3-4027-A1CF-1A9C55F8D359}"/>
    <cellStyle name="40% - Énfasis2 14 2 2 3" xfId="10509" xr:uid="{E9D245F3-11A3-45AB-810D-39DD7510D379}"/>
    <cellStyle name="40% - Énfasis2 14 2 2 3 2" xfId="25922" xr:uid="{3A911332-C244-4352-9E2A-F296B4B30900}"/>
    <cellStyle name="40% - Énfasis2 14 2 2 3 2 2" xfId="44828" xr:uid="{05FAA7AD-C292-4F09-BB78-7D2E78738882}"/>
    <cellStyle name="40% - Énfasis2 14 2 2 3 3" xfId="44827" xr:uid="{7E7C1037-F090-4BB1-9BF1-1C2AE1916760}"/>
    <cellStyle name="40% - Énfasis2 14 2 2 4" xfId="18217" xr:uid="{51C2C21D-E100-4176-ABB6-61F93B483886}"/>
    <cellStyle name="40% - Énfasis2 14 2 2 4 2" xfId="44829" xr:uid="{FD08D153-2769-49F0-BEB8-A7DB302EDBB3}"/>
    <cellStyle name="40% - Énfasis2 14 2 2 5" xfId="44822" xr:uid="{43048C55-95EC-4EC0-8D78-00E0EEC2B2FD}"/>
    <cellStyle name="40% - Énfasis2 14 2 3" xfId="5067" xr:uid="{A4BAFF4E-B338-4E62-9460-E5920799E3A2}"/>
    <cellStyle name="40% - Énfasis2 14 2 3 2" xfId="12775" xr:uid="{F443DB97-F4B5-4B0E-9C62-8EA0B3A07481}"/>
    <cellStyle name="40% - Énfasis2 14 2 3 2 2" xfId="28187" xr:uid="{7DA5BF87-598D-45C1-9A06-156E99C053EE}"/>
    <cellStyle name="40% - Énfasis2 14 2 3 2 2 2" xfId="44832" xr:uid="{4CEA523E-ABA3-46FF-846C-91B76352B6D3}"/>
    <cellStyle name="40% - Énfasis2 14 2 3 2 3" xfId="44831" xr:uid="{B30D08BE-0709-4915-ADE9-775971859ECD}"/>
    <cellStyle name="40% - Énfasis2 14 2 3 3" xfId="20482" xr:uid="{D1CDB7D7-E013-4A08-884B-71F0AD36BE6A}"/>
    <cellStyle name="40% - Énfasis2 14 2 3 3 2" xfId="44833" xr:uid="{86B7B5EB-A83B-4D71-9495-414DE7D455BD}"/>
    <cellStyle name="40% - Énfasis2 14 2 3 4" xfId="44830" xr:uid="{7C959E6D-45AF-4A2F-BC28-38BDB67B5E26}"/>
    <cellStyle name="40% - Énfasis2 14 2 4" xfId="9050" xr:uid="{05BCBC9D-11B4-47F8-9A32-46CE8BFAABFB}"/>
    <cellStyle name="40% - Énfasis2 14 2 4 2" xfId="24463" xr:uid="{C58370E8-FE46-4BF1-8715-25CA97F71FFA}"/>
    <cellStyle name="40% - Énfasis2 14 2 4 2 2" xfId="44835" xr:uid="{90FBB716-4339-4DE7-B745-6A77D9C75322}"/>
    <cellStyle name="40% - Énfasis2 14 2 4 3" xfId="44834" xr:uid="{A22FBDEE-A0E4-4899-8A36-F17FDC5BD2F6}"/>
    <cellStyle name="40% - Énfasis2 14 2 5" xfId="16758" xr:uid="{C24B9EEF-AAF8-4C4C-B33F-EFC989710FC2}"/>
    <cellStyle name="40% - Énfasis2 14 2 5 2" xfId="44836" xr:uid="{D60105F8-AA38-4B15-871A-ACA0873887D6}"/>
    <cellStyle name="40% - Énfasis2 14 2 6" xfId="44821" xr:uid="{2F388B81-A030-4AE6-898A-F84710AB67AC}"/>
    <cellStyle name="40% - Énfasis2 14 3" xfId="2160" xr:uid="{91F65AA6-ECE4-4617-8CE8-21E6E26A04AE}"/>
    <cellStyle name="40% - Énfasis2 14 3 2" xfId="5892" xr:uid="{E69182FB-5704-45F0-84E0-59AF5B730D3E}"/>
    <cellStyle name="40% - Énfasis2 14 3 2 2" xfId="13600" xr:uid="{00F495BD-071B-4813-BFA3-4E3AD114F4AF}"/>
    <cellStyle name="40% - Énfasis2 14 3 2 2 2" xfId="29012" xr:uid="{47D83C81-02B6-4276-85C2-CB994E6D7762}"/>
    <cellStyle name="40% - Énfasis2 14 3 2 2 2 2" xfId="44840" xr:uid="{EAEEF811-20B3-4D15-9791-BBA6F6DC5EA1}"/>
    <cellStyle name="40% - Énfasis2 14 3 2 2 3" xfId="44839" xr:uid="{CCD49DC4-D909-4B82-8969-EF5749790406}"/>
    <cellStyle name="40% - Énfasis2 14 3 2 3" xfId="21307" xr:uid="{1D5634D2-66AF-4951-B816-0DBC45926F6D}"/>
    <cellStyle name="40% - Énfasis2 14 3 2 3 2" xfId="44841" xr:uid="{77ABCFFE-73E5-43AD-87FC-7FA0F46DCD44}"/>
    <cellStyle name="40% - Énfasis2 14 3 2 4" xfId="44838" xr:uid="{B71132BE-49C2-462C-8577-5D54755A056D}"/>
    <cellStyle name="40% - Énfasis2 14 3 3" xfId="9871" xr:uid="{8AB959E0-5DFD-4355-8F7F-CF9D1493DF79}"/>
    <cellStyle name="40% - Énfasis2 14 3 3 2" xfId="25284" xr:uid="{62714699-7510-4395-9BF2-4BE1F8C4BCAA}"/>
    <cellStyle name="40% - Énfasis2 14 3 3 2 2" xfId="44843" xr:uid="{BB725B3E-3CDD-4C00-9BF8-FF128D509D81}"/>
    <cellStyle name="40% - Énfasis2 14 3 3 3" xfId="44842" xr:uid="{F1382770-B9F2-4F14-BDCB-8B320054D1A1}"/>
    <cellStyle name="40% - Énfasis2 14 3 4" xfId="17579" xr:uid="{252104A3-64E1-4C9D-9273-A81001E95F78}"/>
    <cellStyle name="40% - Énfasis2 14 3 4 2" xfId="44844" xr:uid="{2772CA8C-8E0D-43E7-B9DD-2028E06A4EB5}"/>
    <cellStyle name="40% - Énfasis2 14 3 5" xfId="44837" xr:uid="{77DE0A64-4BCD-4CE0-8073-9EBC82473A1E}"/>
    <cellStyle name="40% - Énfasis2 14 4" xfId="4415" xr:uid="{D09DC61B-B3D2-462B-B26B-2D6C5DE495AB}"/>
    <cellStyle name="40% - Énfasis2 14 4 2" xfId="12123" xr:uid="{D4613BDB-1196-4346-8341-87E091F37CED}"/>
    <cellStyle name="40% - Énfasis2 14 4 2 2" xfId="27535" xr:uid="{BC8D9C68-E987-4361-80EF-5A3B991DC726}"/>
    <cellStyle name="40% - Énfasis2 14 4 2 2 2" xfId="44847" xr:uid="{45B2283C-12EE-475F-AD3B-9CD525A24246}"/>
    <cellStyle name="40% - Énfasis2 14 4 2 3" xfId="44846" xr:uid="{68F27B91-8E93-4962-B378-CCEB9D1CC560}"/>
    <cellStyle name="40% - Énfasis2 14 4 3" xfId="19830" xr:uid="{DB60EA4F-EABC-4C74-88DC-0E5190286FD8}"/>
    <cellStyle name="40% - Énfasis2 14 4 3 2" xfId="44848" xr:uid="{68A97DCD-D9B7-45F1-90E1-C236F7A77720}"/>
    <cellStyle name="40% - Énfasis2 14 4 4" xfId="44845" xr:uid="{4A90869F-AD35-4945-ABB7-329BB29ED723}"/>
    <cellStyle name="40% - Énfasis2 14 5" xfId="8412" xr:uid="{841D1D05-5791-4C78-9E09-0FEC2D297EA2}"/>
    <cellStyle name="40% - Énfasis2 14 5 2" xfId="23825" xr:uid="{E29861BB-CB75-466F-8CE7-9C7137F4C2D5}"/>
    <cellStyle name="40% - Énfasis2 14 5 2 2" xfId="44850" xr:uid="{78528464-A38E-45B6-BC00-83E9EB9ACBA6}"/>
    <cellStyle name="40% - Énfasis2 14 5 3" xfId="44849" xr:uid="{9A3D91D1-0A88-40B2-9286-F6B1740B47F4}"/>
    <cellStyle name="40% - Énfasis2 14 6" xfId="16120" xr:uid="{1AE6FBB9-E8CE-4FEE-AFF5-63CA401981FB}"/>
    <cellStyle name="40% - Énfasis2 14 6 2" xfId="44851" xr:uid="{C9DF8D86-EF2E-430B-BA27-FCD74931E3A4}"/>
    <cellStyle name="40% - Énfasis2 14 7" xfId="44820" xr:uid="{0B4A1E1B-A6C1-4D44-A447-03AC6A7E9A9B}"/>
    <cellStyle name="40% - Énfasis2 15" xfId="690" xr:uid="{23B4B62B-D6DE-4E61-864C-CC8CE5B08644}"/>
    <cellStyle name="40% - Énfasis2 15 2" xfId="1351" xr:uid="{FF6C90AF-B7E4-4EB7-A30E-ED9BEBFCFAE1}"/>
    <cellStyle name="40% - Énfasis2 15 2 2" xfId="2818" xr:uid="{A9E79141-EC17-481A-A469-C4F9D942369A}"/>
    <cellStyle name="40% - Énfasis2 15 2 2 2" xfId="6550" xr:uid="{59251236-8089-44C8-B91C-5EE3413B32A4}"/>
    <cellStyle name="40% - Énfasis2 15 2 2 2 2" xfId="14258" xr:uid="{FB068FD1-C6B5-430E-92B1-727DD55DFB02}"/>
    <cellStyle name="40% - Énfasis2 15 2 2 2 2 2" xfId="29670" xr:uid="{C1D9445E-7C50-4ADE-9443-029F4A673AF8}"/>
    <cellStyle name="40% - Énfasis2 15 2 2 2 2 2 2" xfId="44857" xr:uid="{1F5599BF-2188-4698-B136-B7DF1B582DEF}"/>
    <cellStyle name="40% - Énfasis2 15 2 2 2 2 3" xfId="44856" xr:uid="{DA127B1C-BD62-4B1D-801C-6E375D3FA701}"/>
    <cellStyle name="40% - Énfasis2 15 2 2 2 3" xfId="21965" xr:uid="{B9F27F53-8C77-4956-BE87-072992B25953}"/>
    <cellStyle name="40% - Énfasis2 15 2 2 2 3 2" xfId="44858" xr:uid="{55027E7A-3F0E-4766-A214-E31B80483600}"/>
    <cellStyle name="40% - Énfasis2 15 2 2 2 4" xfId="44855" xr:uid="{2BABAA1C-DAFF-4BF1-86F4-1B15AEDF15F5}"/>
    <cellStyle name="40% - Énfasis2 15 2 2 3" xfId="10529" xr:uid="{F1FAFF08-9A21-4936-BC05-6FCD367B9BCC}"/>
    <cellStyle name="40% - Énfasis2 15 2 2 3 2" xfId="25942" xr:uid="{04C6042A-A9D0-42F3-A34D-13913570740A}"/>
    <cellStyle name="40% - Énfasis2 15 2 2 3 2 2" xfId="44860" xr:uid="{F121575E-48A0-4B21-882A-C6FA3C6D562F}"/>
    <cellStyle name="40% - Énfasis2 15 2 2 3 3" xfId="44859" xr:uid="{DB9C3FA4-C9A2-4A55-9086-04BFDAFE2061}"/>
    <cellStyle name="40% - Énfasis2 15 2 2 4" xfId="18237" xr:uid="{8DC205C5-F4E3-49DB-81DE-EB35BB6AFD1F}"/>
    <cellStyle name="40% - Énfasis2 15 2 2 4 2" xfId="44861" xr:uid="{5C65D36D-9138-491D-9F8C-10D4AFC0D21A}"/>
    <cellStyle name="40% - Énfasis2 15 2 2 5" xfId="44854" xr:uid="{4889239F-C737-4829-8F97-95DD59E9BC5E}"/>
    <cellStyle name="40% - Énfasis2 15 2 3" xfId="5087" xr:uid="{3BEEAFDA-ABDE-4D87-979D-1A39668345F1}"/>
    <cellStyle name="40% - Énfasis2 15 2 3 2" xfId="12795" xr:uid="{2570FE0B-3F20-446F-AF58-110CDF3BEA3C}"/>
    <cellStyle name="40% - Énfasis2 15 2 3 2 2" xfId="28207" xr:uid="{7C012665-74D5-4E04-9FE5-036F70520802}"/>
    <cellStyle name="40% - Énfasis2 15 2 3 2 2 2" xfId="44864" xr:uid="{14403488-1976-4EC4-9ADB-DFE7B85DFBC8}"/>
    <cellStyle name="40% - Énfasis2 15 2 3 2 3" xfId="44863" xr:uid="{41BF8EB2-01B8-41C2-BED9-CB96ABC45A62}"/>
    <cellStyle name="40% - Énfasis2 15 2 3 3" xfId="20502" xr:uid="{8EA90636-7268-42E8-83BA-0C29F7117B75}"/>
    <cellStyle name="40% - Énfasis2 15 2 3 3 2" xfId="44865" xr:uid="{8B792F2E-C118-4147-A458-1DF7FD302A36}"/>
    <cellStyle name="40% - Énfasis2 15 2 3 4" xfId="44862" xr:uid="{8976B768-F894-4CDE-B96A-EDA41DC9FCBC}"/>
    <cellStyle name="40% - Énfasis2 15 2 4" xfId="9070" xr:uid="{BCC164AE-B28E-4210-919D-E59F69B539E8}"/>
    <cellStyle name="40% - Énfasis2 15 2 4 2" xfId="24483" xr:uid="{78D514DB-F6E3-4DDD-BF25-08999E25D4A4}"/>
    <cellStyle name="40% - Énfasis2 15 2 4 2 2" xfId="44867" xr:uid="{957EECBA-3604-42A5-8ACB-F4098047393A}"/>
    <cellStyle name="40% - Énfasis2 15 2 4 3" xfId="44866" xr:uid="{3FDC958D-DE63-44BA-B6BC-E9E69D971F62}"/>
    <cellStyle name="40% - Énfasis2 15 2 5" xfId="16778" xr:uid="{B2B562B8-E952-44A7-9E3C-8DEFAF7A882E}"/>
    <cellStyle name="40% - Énfasis2 15 2 5 2" xfId="44868" xr:uid="{E8D338A6-1429-4111-9BDB-CA46D4344B2E}"/>
    <cellStyle name="40% - Énfasis2 15 2 6" xfId="44853" xr:uid="{3527BDB6-30FD-43A0-8861-D6D65ECBD328}"/>
    <cellStyle name="40% - Énfasis2 15 3" xfId="2180" xr:uid="{E028DB22-923A-4A6D-A7D2-0D59999E2C54}"/>
    <cellStyle name="40% - Énfasis2 15 3 2" xfId="5912" xr:uid="{20B1257B-0F99-4B6D-B202-2C3446B8DB60}"/>
    <cellStyle name="40% - Énfasis2 15 3 2 2" xfId="13620" xr:uid="{B9FDFDB5-554F-4F96-999C-E3C5DCF3B762}"/>
    <cellStyle name="40% - Énfasis2 15 3 2 2 2" xfId="29032" xr:uid="{AF9A65B5-52CF-4FE9-B49B-1D5EEF7ACFC6}"/>
    <cellStyle name="40% - Énfasis2 15 3 2 2 2 2" xfId="44872" xr:uid="{76C1ED85-B834-43C1-B275-CE9113EFBE3E}"/>
    <cellStyle name="40% - Énfasis2 15 3 2 2 3" xfId="44871" xr:uid="{48A7FAF8-41F6-4A05-A403-E53C233586CB}"/>
    <cellStyle name="40% - Énfasis2 15 3 2 3" xfId="21327" xr:uid="{B9734733-4602-458D-8F87-87EF41EEC385}"/>
    <cellStyle name="40% - Énfasis2 15 3 2 3 2" xfId="44873" xr:uid="{D5FBBFDC-8E44-4A5E-99D0-7C36232C1F06}"/>
    <cellStyle name="40% - Énfasis2 15 3 2 4" xfId="44870" xr:uid="{646E5980-5EFC-459F-8306-A12CD5218D6C}"/>
    <cellStyle name="40% - Énfasis2 15 3 3" xfId="9891" xr:uid="{4335E8D3-1433-416A-A40F-CCE3D53879C3}"/>
    <cellStyle name="40% - Énfasis2 15 3 3 2" xfId="25304" xr:uid="{E9C23521-E988-47D6-A705-0D52C48F3DEC}"/>
    <cellStyle name="40% - Énfasis2 15 3 3 2 2" xfId="44875" xr:uid="{5D7216D7-3A74-439F-B666-8CD140FD4CC7}"/>
    <cellStyle name="40% - Énfasis2 15 3 3 3" xfId="44874" xr:uid="{3435E8FA-C70B-4BAF-B7A9-31BAE389EE11}"/>
    <cellStyle name="40% - Énfasis2 15 3 4" xfId="17599" xr:uid="{DA39BE42-D674-4DDD-9D11-C5EDBAF603C1}"/>
    <cellStyle name="40% - Énfasis2 15 3 4 2" xfId="44876" xr:uid="{749E060B-B588-46E5-95D0-744D126014FC}"/>
    <cellStyle name="40% - Énfasis2 15 3 5" xfId="44869" xr:uid="{D4AD7359-E938-422A-8BD7-12974954FA3C}"/>
    <cellStyle name="40% - Énfasis2 15 4" xfId="4435" xr:uid="{97CBACFB-9C82-43AA-B3D3-82FC9EB92B26}"/>
    <cellStyle name="40% - Énfasis2 15 4 2" xfId="12143" xr:uid="{89FEF80D-FBE5-4DE3-935C-21EC7DCA1E47}"/>
    <cellStyle name="40% - Énfasis2 15 4 2 2" xfId="27555" xr:uid="{F4EE12A7-F20F-4776-B257-EA5C2781A75E}"/>
    <cellStyle name="40% - Énfasis2 15 4 2 2 2" xfId="44879" xr:uid="{331D4137-9BAE-46CC-AA28-3DE727877637}"/>
    <cellStyle name="40% - Énfasis2 15 4 2 3" xfId="44878" xr:uid="{0EC7DE54-953A-4D07-9376-900BF94AFD16}"/>
    <cellStyle name="40% - Énfasis2 15 4 3" xfId="19850" xr:uid="{B61A2602-F68F-4C4F-BB75-8B60A2CC5D16}"/>
    <cellStyle name="40% - Énfasis2 15 4 3 2" xfId="44880" xr:uid="{BC6A5AF0-2F7F-4D5A-9FCA-C2774103F991}"/>
    <cellStyle name="40% - Énfasis2 15 4 4" xfId="44877" xr:uid="{69FE1FFB-0654-46FB-B29A-C77E6BA70976}"/>
    <cellStyle name="40% - Énfasis2 15 5" xfId="8432" xr:uid="{E76377CD-6CA2-45D7-9994-EEE3305B23D0}"/>
    <cellStyle name="40% - Énfasis2 15 5 2" xfId="23845" xr:uid="{1BE4CD13-A32D-4FA7-916A-CF67EFBECDF1}"/>
    <cellStyle name="40% - Énfasis2 15 5 2 2" xfId="44882" xr:uid="{036BF8F6-B511-4E81-A445-CE05D220DC21}"/>
    <cellStyle name="40% - Énfasis2 15 5 3" xfId="44881" xr:uid="{AF41A453-E76D-4AF5-AB47-E984367E4086}"/>
    <cellStyle name="40% - Énfasis2 15 6" xfId="16140" xr:uid="{222B0A57-C66B-4318-97B2-20811417EE81}"/>
    <cellStyle name="40% - Énfasis2 15 6 2" xfId="44883" xr:uid="{84BABBF7-2C9E-4967-BB0E-2AAF4529587B}"/>
    <cellStyle name="40% - Énfasis2 15 7" xfId="44852" xr:uid="{27C8CE62-5993-4BF4-A476-B6A8B142FF45}"/>
    <cellStyle name="40% - Énfasis2 16" xfId="711" xr:uid="{9F65AFBD-1C52-4158-A67B-E2C4F5A667A7}"/>
    <cellStyle name="40% - Énfasis2 16 2" xfId="1372" xr:uid="{283FB5FA-B6A2-4053-9F47-F6A5934A2A43}"/>
    <cellStyle name="40% - Énfasis2 16 2 2" xfId="2839" xr:uid="{570CF905-9935-4DE0-A080-382099A328EF}"/>
    <cellStyle name="40% - Énfasis2 16 2 2 2" xfId="6571" xr:uid="{31930482-1759-4631-92B0-8D9C2F06A2F0}"/>
    <cellStyle name="40% - Énfasis2 16 2 2 2 2" xfId="14279" xr:uid="{AC79C848-6F77-4030-B217-4AFF001C7DB0}"/>
    <cellStyle name="40% - Énfasis2 16 2 2 2 2 2" xfId="29691" xr:uid="{5B69CEF5-D55D-4903-BE04-9B5A93DE35EF}"/>
    <cellStyle name="40% - Énfasis2 16 2 2 2 2 2 2" xfId="44889" xr:uid="{D2B37A6B-5F0A-4048-B705-7AF174D8D2E3}"/>
    <cellStyle name="40% - Énfasis2 16 2 2 2 2 3" xfId="44888" xr:uid="{D43BE227-7515-4790-9E2A-622B26C5B414}"/>
    <cellStyle name="40% - Énfasis2 16 2 2 2 3" xfId="21986" xr:uid="{3CF02B85-9556-4DE0-A716-4DDED3615401}"/>
    <cellStyle name="40% - Énfasis2 16 2 2 2 3 2" xfId="44890" xr:uid="{3E0DCC53-D34E-46FB-9DD4-82B441921820}"/>
    <cellStyle name="40% - Énfasis2 16 2 2 2 4" xfId="44887" xr:uid="{BD0A449E-F55A-4F3D-8DA7-6C5DB8486C66}"/>
    <cellStyle name="40% - Énfasis2 16 2 2 3" xfId="10550" xr:uid="{5295A3F3-BF46-43BE-9891-72C66ADBB5E1}"/>
    <cellStyle name="40% - Énfasis2 16 2 2 3 2" xfId="25963" xr:uid="{184D72CC-52D1-4289-BE18-154022C3E44B}"/>
    <cellStyle name="40% - Énfasis2 16 2 2 3 2 2" xfId="44892" xr:uid="{CBD3EF11-7ABC-413A-B00A-9EEFD4706BA3}"/>
    <cellStyle name="40% - Énfasis2 16 2 2 3 3" xfId="44891" xr:uid="{ACFF6F95-3FBF-4475-82CB-AC6B2C9E8BAA}"/>
    <cellStyle name="40% - Énfasis2 16 2 2 4" xfId="18258" xr:uid="{A8245F6E-7F80-4DA9-A6BE-56DB72738230}"/>
    <cellStyle name="40% - Énfasis2 16 2 2 4 2" xfId="44893" xr:uid="{2171D31B-8D8A-4614-8EE6-C71ACBE9E380}"/>
    <cellStyle name="40% - Énfasis2 16 2 2 5" xfId="44886" xr:uid="{3E77CB29-3337-4287-95DF-84B82CFFAFF8}"/>
    <cellStyle name="40% - Énfasis2 16 2 3" xfId="5108" xr:uid="{D22A5C4C-963F-447C-AEE8-93FD552A5EBF}"/>
    <cellStyle name="40% - Énfasis2 16 2 3 2" xfId="12816" xr:uid="{EED5CB08-693F-44EC-BA21-5F710C3B8AF4}"/>
    <cellStyle name="40% - Énfasis2 16 2 3 2 2" xfId="28228" xr:uid="{F1FDFBFB-8BA0-43A6-8070-73E5EF3E1B95}"/>
    <cellStyle name="40% - Énfasis2 16 2 3 2 2 2" xfId="44896" xr:uid="{C9528936-733D-4BBC-BDD1-21A5134494B8}"/>
    <cellStyle name="40% - Énfasis2 16 2 3 2 3" xfId="44895" xr:uid="{8201F74F-61ED-4AB1-AD38-8685ECDD16A3}"/>
    <cellStyle name="40% - Énfasis2 16 2 3 3" xfId="20523" xr:uid="{897AE2F9-AACC-4FE0-B86B-CFF5695E2237}"/>
    <cellStyle name="40% - Énfasis2 16 2 3 3 2" xfId="44897" xr:uid="{2FF13687-1C6F-47AB-A75D-8CFA7FD63A3C}"/>
    <cellStyle name="40% - Énfasis2 16 2 3 4" xfId="44894" xr:uid="{3A750875-DC48-4149-93B3-143E48AEBAEE}"/>
    <cellStyle name="40% - Énfasis2 16 2 4" xfId="9091" xr:uid="{7B1A3974-8C66-4F04-B833-0DF10DD19E2B}"/>
    <cellStyle name="40% - Énfasis2 16 2 4 2" xfId="24504" xr:uid="{02C6989A-7C09-4854-A414-899C7E83C03C}"/>
    <cellStyle name="40% - Énfasis2 16 2 4 2 2" xfId="44899" xr:uid="{88F85808-15E9-413C-803A-54D385D19250}"/>
    <cellStyle name="40% - Énfasis2 16 2 4 3" xfId="44898" xr:uid="{8C5C0313-2077-436E-8CA8-C93C72281AA7}"/>
    <cellStyle name="40% - Énfasis2 16 2 5" xfId="16799" xr:uid="{938CF2E2-1164-4C2E-83E1-748E5E6D5C83}"/>
    <cellStyle name="40% - Énfasis2 16 2 5 2" xfId="44900" xr:uid="{2DC048A6-09C9-4F5B-8764-90A2827A56E3}"/>
    <cellStyle name="40% - Énfasis2 16 2 6" xfId="44885" xr:uid="{FEE5100A-BB5F-4EF0-999D-F6AA8BE1ABFA}"/>
    <cellStyle name="40% - Énfasis2 16 3" xfId="2201" xr:uid="{BF819824-F5A5-48E5-96A2-860998243469}"/>
    <cellStyle name="40% - Énfasis2 16 3 2" xfId="5933" xr:uid="{D1E7C01E-519E-448B-9D79-68C3F3E45DE1}"/>
    <cellStyle name="40% - Énfasis2 16 3 2 2" xfId="13641" xr:uid="{8EADED9E-2FB0-4887-A798-5BCC2B114AE3}"/>
    <cellStyle name="40% - Énfasis2 16 3 2 2 2" xfId="29053" xr:uid="{CB5E74B7-6203-437E-8C59-567F4062F060}"/>
    <cellStyle name="40% - Énfasis2 16 3 2 2 2 2" xfId="44904" xr:uid="{D2E8C82C-C905-49C9-BB88-56922484346D}"/>
    <cellStyle name="40% - Énfasis2 16 3 2 2 3" xfId="44903" xr:uid="{51666D20-1AA2-40C6-AC42-D013BC716BBA}"/>
    <cellStyle name="40% - Énfasis2 16 3 2 3" xfId="21348" xr:uid="{84072102-097A-4D28-8151-4606AB890425}"/>
    <cellStyle name="40% - Énfasis2 16 3 2 3 2" xfId="44905" xr:uid="{B3BD757B-AD4F-4AD0-842A-819FCEEBFF86}"/>
    <cellStyle name="40% - Énfasis2 16 3 2 4" xfId="44902" xr:uid="{882AB6D0-2BC8-4B4D-8B3C-00A8A1926C0B}"/>
    <cellStyle name="40% - Énfasis2 16 3 3" xfId="9912" xr:uid="{009A2B7D-51C0-4B10-BAFD-7CD1E8B450E6}"/>
    <cellStyle name="40% - Énfasis2 16 3 3 2" xfId="25325" xr:uid="{447F7CDB-4562-4B71-9ACE-D243A4C50092}"/>
    <cellStyle name="40% - Énfasis2 16 3 3 2 2" xfId="44907" xr:uid="{B64D0E68-573E-4BF1-85AA-66611553241D}"/>
    <cellStyle name="40% - Énfasis2 16 3 3 3" xfId="44906" xr:uid="{AEEF5928-7B39-4C15-B4EF-528206AC848C}"/>
    <cellStyle name="40% - Énfasis2 16 3 4" xfId="17620" xr:uid="{C1E6475B-4F9B-486E-BE49-6C6D15978269}"/>
    <cellStyle name="40% - Énfasis2 16 3 4 2" xfId="44908" xr:uid="{8B9789AC-1AF5-482A-BF93-EA94262F743D}"/>
    <cellStyle name="40% - Énfasis2 16 3 5" xfId="44901" xr:uid="{AD1BCF6B-C9BB-4B9C-962A-D5BCF8D9136C}"/>
    <cellStyle name="40% - Énfasis2 16 4" xfId="4456" xr:uid="{F5D7C0D0-8966-4751-81C0-4DAE1414C819}"/>
    <cellStyle name="40% - Énfasis2 16 4 2" xfId="12164" xr:uid="{44EFE38E-B925-4122-8229-6F1EEBF69B6B}"/>
    <cellStyle name="40% - Énfasis2 16 4 2 2" xfId="27576" xr:uid="{56FCD7EB-E94A-4774-A8E1-2352407262A7}"/>
    <cellStyle name="40% - Énfasis2 16 4 2 2 2" xfId="44911" xr:uid="{E43999EC-94F8-4C61-BDF8-002A84A60D49}"/>
    <cellStyle name="40% - Énfasis2 16 4 2 3" xfId="44910" xr:uid="{AB7A8D12-9F71-4407-8AD0-C64AD028A5C9}"/>
    <cellStyle name="40% - Énfasis2 16 4 3" xfId="19871" xr:uid="{A3416954-3450-4A40-8C39-B1BAB8A1CC5A}"/>
    <cellStyle name="40% - Énfasis2 16 4 3 2" xfId="44912" xr:uid="{CCBBB742-12BB-489E-A48F-3A8D05BCC20F}"/>
    <cellStyle name="40% - Énfasis2 16 4 4" xfId="44909" xr:uid="{1F087A78-3E72-489B-B77C-7E707A5E3CBB}"/>
    <cellStyle name="40% - Énfasis2 16 5" xfId="8453" xr:uid="{55A21134-11FF-4BA2-BDD0-010A3A416EF0}"/>
    <cellStyle name="40% - Énfasis2 16 5 2" xfId="23866" xr:uid="{6D69BFC5-AB0F-4286-A2D1-827B39C28F42}"/>
    <cellStyle name="40% - Énfasis2 16 5 2 2" xfId="44914" xr:uid="{AA8120F0-776C-4315-8AA8-54A03330AD4E}"/>
    <cellStyle name="40% - Énfasis2 16 5 3" xfId="44913" xr:uid="{D100F2AE-F9E2-4F43-8D77-E7637C8A2D9D}"/>
    <cellStyle name="40% - Énfasis2 16 6" xfId="16161" xr:uid="{DA2D075A-68A3-4998-9843-F05EE8C6052E}"/>
    <cellStyle name="40% - Énfasis2 16 6 2" xfId="44915" xr:uid="{B311B294-D749-4B7E-82E7-B7B2D74E6AAB}"/>
    <cellStyle name="40% - Énfasis2 16 7" xfId="44884" xr:uid="{6E37D539-24B1-43C6-A82B-3FC72EB83B65}"/>
    <cellStyle name="40% - Énfasis2 17" xfId="731" xr:uid="{58D8BD06-6AF6-4EC0-9CEB-063DDA3F83E6}"/>
    <cellStyle name="40% - Énfasis2 17 2" xfId="1392" xr:uid="{810C1C43-1A79-45D3-9217-6D173D7A377D}"/>
    <cellStyle name="40% - Énfasis2 17 2 2" xfId="2859" xr:uid="{A3E82576-340C-4D9A-AB9E-D0E9C9CF2524}"/>
    <cellStyle name="40% - Énfasis2 17 2 2 2" xfId="6591" xr:uid="{32377D67-5C6D-4B2E-A4D5-252D724FD1CD}"/>
    <cellStyle name="40% - Énfasis2 17 2 2 2 2" xfId="14299" xr:uid="{7A4DFCC3-BE46-401E-BEE9-C36644BDD77B}"/>
    <cellStyle name="40% - Énfasis2 17 2 2 2 2 2" xfId="29711" xr:uid="{424917B7-ED32-4CE1-9610-31020C217416}"/>
    <cellStyle name="40% - Énfasis2 17 2 2 2 2 2 2" xfId="44921" xr:uid="{52100485-E2C6-4FD3-B328-B2E8750D89D8}"/>
    <cellStyle name="40% - Énfasis2 17 2 2 2 2 3" xfId="44920" xr:uid="{B65D0C99-2BC0-4171-93B6-D04007B886E1}"/>
    <cellStyle name="40% - Énfasis2 17 2 2 2 3" xfId="22006" xr:uid="{B852618F-4DC1-4118-830C-B585A5FE8150}"/>
    <cellStyle name="40% - Énfasis2 17 2 2 2 3 2" xfId="44922" xr:uid="{C92B9A53-BA52-49EC-8A99-D2D0F947C707}"/>
    <cellStyle name="40% - Énfasis2 17 2 2 2 4" xfId="44919" xr:uid="{ACFA09A8-E0FD-4822-B3FA-DA60CC347611}"/>
    <cellStyle name="40% - Énfasis2 17 2 2 3" xfId="10570" xr:uid="{4F5BB46F-E578-4F8F-AA7D-B73122F9BAED}"/>
    <cellStyle name="40% - Énfasis2 17 2 2 3 2" xfId="25983" xr:uid="{A747B410-C978-46A4-9CCB-F0F6FD6074D5}"/>
    <cellStyle name="40% - Énfasis2 17 2 2 3 2 2" xfId="44924" xr:uid="{43126083-3AFC-41C2-879F-8828980EAA4C}"/>
    <cellStyle name="40% - Énfasis2 17 2 2 3 3" xfId="44923" xr:uid="{F40CD121-E418-49E8-AA20-1825F8C3E5D2}"/>
    <cellStyle name="40% - Énfasis2 17 2 2 4" xfId="18278" xr:uid="{3D755609-1D1C-47BE-82A9-28CE53A10F84}"/>
    <cellStyle name="40% - Énfasis2 17 2 2 4 2" xfId="44925" xr:uid="{323BACC1-92D6-4911-871E-49D5E78AA739}"/>
    <cellStyle name="40% - Énfasis2 17 2 2 5" xfId="44918" xr:uid="{D96A51E1-1BB0-45D2-B797-D56E539FC73E}"/>
    <cellStyle name="40% - Énfasis2 17 2 3" xfId="5128" xr:uid="{14FDEAF9-5E2E-46B9-83B7-A014155B0494}"/>
    <cellStyle name="40% - Énfasis2 17 2 3 2" xfId="12836" xr:uid="{20EE2C3D-DA36-45D4-AA09-23847E349EE4}"/>
    <cellStyle name="40% - Énfasis2 17 2 3 2 2" xfId="28248" xr:uid="{50BBF7C7-B43B-4DF7-B1F9-5A4504FBCBA1}"/>
    <cellStyle name="40% - Énfasis2 17 2 3 2 2 2" xfId="44928" xr:uid="{572AE82B-6B1A-43E7-AD0E-34657621A8CF}"/>
    <cellStyle name="40% - Énfasis2 17 2 3 2 3" xfId="44927" xr:uid="{A961CD6C-C297-4B41-9A1D-9AC2879E46BF}"/>
    <cellStyle name="40% - Énfasis2 17 2 3 3" xfId="20543" xr:uid="{E6261ABB-EA2B-4C51-9A5B-30D48B27B8EE}"/>
    <cellStyle name="40% - Énfasis2 17 2 3 3 2" xfId="44929" xr:uid="{DF2E7B98-F63C-42C4-BCFD-E159EE0504AF}"/>
    <cellStyle name="40% - Énfasis2 17 2 3 4" xfId="44926" xr:uid="{68BC6655-6369-4BDD-B98C-2CCF90D2F04D}"/>
    <cellStyle name="40% - Énfasis2 17 2 4" xfId="9111" xr:uid="{4D8795B6-316F-400B-8D8F-F19FDDF371D1}"/>
    <cellStyle name="40% - Énfasis2 17 2 4 2" xfId="24524" xr:uid="{E45F2D89-1BD3-4CED-8E9E-E0D635ACDCCD}"/>
    <cellStyle name="40% - Énfasis2 17 2 4 2 2" xfId="44931" xr:uid="{411C6CA6-A184-4E4E-A7EB-9E9D0794AF3D}"/>
    <cellStyle name="40% - Énfasis2 17 2 4 3" xfId="44930" xr:uid="{63EFF665-3E56-404D-BE62-501EB957B48C}"/>
    <cellStyle name="40% - Énfasis2 17 2 5" xfId="16819" xr:uid="{9F0A1798-5E4B-4B86-8C03-42190F87E430}"/>
    <cellStyle name="40% - Énfasis2 17 2 5 2" xfId="44932" xr:uid="{2DAE09EB-C1F0-4374-B37A-AB14D2ED83B5}"/>
    <cellStyle name="40% - Énfasis2 17 2 6" xfId="44917" xr:uid="{B61E036A-5CE5-4D27-9919-077CDBAF91A6}"/>
    <cellStyle name="40% - Énfasis2 17 3" xfId="2221" xr:uid="{7C7D74F9-4A53-4F36-B471-703232D4BFB3}"/>
    <cellStyle name="40% - Énfasis2 17 3 2" xfId="5953" xr:uid="{FA51D5CA-4A73-4549-B030-B4E6B0C6181D}"/>
    <cellStyle name="40% - Énfasis2 17 3 2 2" xfId="13661" xr:uid="{D8C018EC-AD6D-4CF7-8F3F-8F6C748503C8}"/>
    <cellStyle name="40% - Énfasis2 17 3 2 2 2" xfId="29073" xr:uid="{427D1415-1F01-4B0F-B4D1-EB9060F76D53}"/>
    <cellStyle name="40% - Énfasis2 17 3 2 2 2 2" xfId="44936" xr:uid="{81F34282-97E8-4E1D-9357-9D4302B2594C}"/>
    <cellStyle name="40% - Énfasis2 17 3 2 2 3" xfId="44935" xr:uid="{D5C88A49-32B6-43DF-B5A2-CEDF5C7EA26A}"/>
    <cellStyle name="40% - Énfasis2 17 3 2 3" xfId="21368" xr:uid="{0A0052AE-A07D-407F-984C-D343664C4947}"/>
    <cellStyle name="40% - Énfasis2 17 3 2 3 2" xfId="44937" xr:uid="{28C4897F-148E-47CE-8009-66B2528090EA}"/>
    <cellStyle name="40% - Énfasis2 17 3 2 4" xfId="44934" xr:uid="{C6302671-1757-4270-B1C7-DE29F8553DAB}"/>
    <cellStyle name="40% - Énfasis2 17 3 3" xfId="9932" xr:uid="{05DE81E1-BF05-476B-B8DD-6C3FE5E9DFFC}"/>
    <cellStyle name="40% - Énfasis2 17 3 3 2" xfId="25345" xr:uid="{EBFA6BBD-A104-4FE4-B96A-6AE7E78EF0BB}"/>
    <cellStyle name="40% - Énfasis2 17 3 3 2 2" xfId="44939" xr:uid="{B7C8CA2D-9735-411C-BD68-7F067EBDDF87}"/>
    <cellStyle name="40% - Énfasis2 17 3 3 3" xfId="44938" xr:uid="{14060844-82A8-49EA-B8E3-11B1D95393DB}"/>
    <cellStyle name="40% - Énfasis2 17 3 4" xfId="17640" xr:uid="{38E50E1F-652A-44FA-B380-D84C742CC5A1}"/>
    <cellStyle name="40% - Énfasis2 17 3 4 2" xfId="44940" xr:uid="{246686F6-B864-4B89-9C6B-6D1B64EDF608}"/>
    <cellStyle name="40% - Énfasis2 17 3 5" xfId="44933" xr:uid="{C86E5C16-395D-4451-91AB-7CAEAEE54709}"/>
    <cellStyle name="40% - Énfasis2 17 4" xfId="4476" xr:uid="{30969FFD-1144-418A-84E6-A9B6A599CD6F}"/>
    <cellStyle name="40% - Énfasis2 17 4 2" xfId="12184" xr:uid="{0525F561-D8CC-4B19-BA24-E00D9947653C}"/>
    <cellStyle name="40% - Énfasis2 17 4 2 2" xfId="27596" xr:uid="{87D988FD-1F6F-43DB-8A21-6FB484A7DFB6}"/>
    <cellStyle name="40% - Énfasis2 17 4 2 2 2" xfId="44943" xr:uid="{A850F34A-2990-4F38-8C72-796D6BFA6CF1}"/>
    <cellStyle name="40% - Énfasis2 17 4 2 3" xfId="44942" xr:uid="{8C808038-E1F8-4AFC-B25F-D46ADF9F22DF}"/>
    <cellStyle name="40% - Énfasis2 17 4 3" xfId="19891" xr:uid="{61221344-F726-4920-B8A4-8873FB7F6458}"/>
    <cellStyle name="40% - Énfasis2 17 4 3 2" xfId="44944" xr:uid="{FBD38C45-9B14-4E36-BE05-B9A5210E8322}"/>
    <cellStyle name="40% - Énfasis2 17 4 4" xfId="44941" xr:uid="{7BEE0A11-0359-4537-92A7-4F0977789AE9}"/>
    <cellStyle name="40% - Énfasis2 17 5" xfId="8473" xr:uid="{A7A6C088-7803-4473-9ACE-E9A0F1AD825C}"/>
    <cellStyle name="40% - Énfasis2 17 5 2" xfId="23886" xr:uid="{B42E09F6-19F6-408D-B02F-EF4F9944E312}"/>
    <cellStyle name="40% - Énfasis2 17 5 2 2" xfId="44946" xr:uid="{91B6044D-982F-4A57-AAB2-35CB8736CE30}"/>
    <cellStyle name="40% - Énfasis2 17 5 3" xfId="44945" xr:uid="{F7272A40-CF7E-4C66-A491-29EBC891B968}"/>
    <cellStyle name="40% - Énfasis2 17 6" xfId="16181" xr:uid="{B9B7A3BF-6ECD-46FC-9F17-6E22BC31E407}"/>
    <cellStyle name="40% - Énfasis2 17 6 2" xfId="44947" xr:uid="{79A027CB-5982-40BA-ACE6-83F1081B20E8}"/>
    <cellStyle name="40% - Énfasis2 17 7" xfId="44916" xr:uid="{C684CC7A-22D5-4725-BB3B-FF6D35EA3F36}"/>
    <cellStyle name="40% - Énfasis2 18" xfId="751" xr:uid="{33DD66CD-FD2C-4A78-9641-C9A55CEB15FB}"/>
    <cellStyle name="40% - Énfasis2 18 2" xfId="1412" xr:uid="{09D85FFB-C00A-4B88-901E-54A6326ECFBC}"/>
    <cellStyle name="40% - Énfasis2 18 2 2" xfId="2879" xr:uid="{247CECBF-4C8F-4A56-AB94-D692D0DD3176}"/>
    <cellStyle name="40% - Énfasis2 18 2 2 2" xfId="6611" xr:uid="{A5456405-99DF-44E0-829C-52CDFC27BF39}"/>
    <cellStyle name="40% - Énfasis2 18 2 2 2 2" xfId="14319" xr:uid="{9184DA00-2D20-45CE-A4CE-DCE223806B34}"/>
    <cellStyle name="40% - Énfasis2 18 2 2 2 2 2" xfId="29731" xr:uid="{83480FCC-212F-4DEB-9AC6-365A2B1B3B5A}"/>
    <cellStyle name="40% - Énfasis2 18 2 2 2 2 2 2" xfId="44953" xr:uid="{2CC450AD-3E64-4B89-AE8E-F06532696449}"/>
    <cellStyle name="40% - Énfasis2 18 2 2 2 2 3" xfId="44952" xr:uid="{4D11037A-686B-4F73-A0CA-8580BAC28D4C}"/>
    <cellStyle name="40% - Énfasis2 18 2 2 2 3" xfId="22026" xr:uid="{D422D44F-4225-40F9-8ACE-CBC0358FA2BD}"/>
    <cellStyle name="40% - Énfasis2 18 2 2 2 3 2" xfId="44954" xr:uid="{C4205470-4BEC-4A9A-B09D-D09C43D01164}"/>
    <cellStyle name="40% - Énfasis2 18 2 2 2 4" xfId="44951" xr:uid="{991070F1-BB85-4645-8907-A8F9A0872402}"/>
    <cellStyle name="40% - Énfasis2 18 2 2 3" xfId="10590" xr:uid="{592B2777-7C92-4801-8D12-8F049BE7C7D9}"/>
    <cellStyle name="40% - Énfasis2 18 2 2 3 2" xfId="26003" xr:uid="{C32234B8-4488-49A5-8170-1A9D6CDEA3B2}"/>
    <cellStyle name="40% - Énfasis2 18 2 2 3 2 2" xfId="44956" xr:uid="{CBBE9E34-0A46-4C26-BBB9-4982FD74BBB2}"/>
    <cellStyle name="40% - Énfasis2 18 2 2 3 3" xfId="44955" xr:uid="{7675B799-ADB5-4562-B957-E58118A7DA59}"/>
    <cellStyle name="40% - Énfasis2 18 2 2 4" xfId="18298" xr:uid="{5934A3E2-5B9B-42F1-A6DD-26CFB227480F}"/>
    <cellStyle name="40% - Énfasis2 18 2 2 4 2" xfId="44957" xr:uid="{ED8AD4F0-8C93-41C5-A7DB-BF2EA1CB2852}"/>
    <cellStyle name="40% - Énfasis2 18 2 2 5" xfId="44950" xr:uid="{2E7007DF-2F5B-4306-9DE1-F04FD24F92CB}"/>
    <cellStyle name="40% - Énfasis2 18 2 3" xfId="5148" xr:uid="{327DDD52-9D52-476E-B5D8-88D4D62B9265}"/>
    <cellStyle name="40% - Énfasis2 18 2 3 2" xfId="12856" xr:uid="{395D4EFB-8A06-416F-BBA1-BA28848187BE}"/>
    <cellStyle name="40% - Énfasis2 18 2 3 2 2" xfId="28268" xr:uid="{A3246C2B-38B6-47EA-BB8A-C8255DE3A36C}"/>
    <cellStyle name="40% - Énfasis2 18 2 3 2 2 2" xfId="44960" xr:uid="{45E1CA7D-AD53-4ED2-BE85-D5C1218C91A7}"/>
    <cellStyle name="40% - Énfasis2 18 2 3 2 3" xfId="44959" xr:uid="{EAF455AB-01F5-4575-B562-13FF3D4E23E6}"/>
    <cellStyle name="40% - Énfasis2 18 2 3 3" xfId="20563" xr:uid="{81D9B5EE-8B0E-4AEF-8BC5-3D2C262D1A17}"/>
    <cellStyle name="40% - Énfasis2 18 2 3 3 2" xfId="44961" xr:uid="{81EF99EE-AA1E-4986-8FD4-13D1924B74E3}"/>
    <cellStyle name="40% - Énfasis2 18 2 3 4" xfId="44958" xr:uid="{78D87BBC-94D1-415B-8E67-73D41E0DE512}"/>
    <cellStyle name="40% - Énfasis2 18 2 4" xfId="9131" xr:uid="{B9A88049-FC28-4125-BC8C-5D69D7CF7282}"/>
    <cellStyle name="40% - Énfasis2 18 2 4 2" xfId="24544" xr:uid="{4FF57BDC-877E-451E-AC7D-FA3D20B9FC00}"/>
    <cellStyle name="40% - Énfasis2 18 2 4 2 2" xfId="44963" xr:uid="{39A40CF6-C984-4EAF-9615-43704203C948}"/>
    <cellStyle name="40% - Énfasis2 18 2 4 3" xfId="44962" xr:uid="{2FD3FB96-A717-48F0-A448-C833C9062908}"/>
    <cellStyle name="40% - Énfasis2 18 2 5" xfId="16839" xr:uid="{C2815D53-62C9-4712-A4D5-467332450379}"/>
    <cellStyle name="40% - Énfasis2 18 2 5 2" xfId="44964" xr:uid="{50E4587D-D447-46C1-8177-AFEA525A24F0}"/>
    <cellStyle name="40% - Énfasis2 18 2 6" xfId="44949" xr:uid="{6D125543-3E70-4ED3-AFE4-037C285275A4}"/>
    <cellStyle name="40% - Énfasis2 18 3" xfId="2241" xr:uid="{056E3A7D-82D7-419F-8B67-7A80435B55F0}"/>
    <cellStyle name="40% - Énfasis2 18 3 2" xfId="5973" xr:uid="{524E3129-FB07-41E3-A901-3DBF863B4218}"/>
    <cellStyle name="40% - Énfasis2 18 3 2 2" xfId="13681" xr:uid="{6B1CE103-5979-4368-A843-4ABE1552D7AE}"/>
    <cellStyle name="40% - Énfasis2 18 3 2 2 2" xfId="29093" xr:uid="{A43696EB-5CA2-4805-B70F-FDCE972EF1F1}"/>
    <cellStyle name="40% - Énfasis2 18 3 2 2 2 2" xfId="44968" xr:uid="{58DF8E79-28B5-4486-9C2A-FCF9FE375EDB}"/>
    <cellStyle name="40% - Énfasis2 18 3 2 2 3" xfId="44967" xr:uid="{5F7C67D1-CE0F-4397-8742-3FB9D0444C46}"/>
    <cellStyle name="40% - Énfasis2 18 3 2 3" xfId="21388" xr:uid="{5166FCA5-7ABC-41DC-8EBE-5B81CCEAAB17}"/>
    <cellStyle name="40% - Énfasis2 18 3 2 3 2" xfId="44969" xr:uid="{9A92DCB7-7014-4C95-A317-1EB7E1BB8E5F}"/>
    <cellStyle name="40% - Énfasis2 18 3 2 4" xfId="44966" xr:uid="{D51AD2B6-148D-4A8E-8EAF-D824FB4294B4}"/>
    <cellStyle name="40% - Énfasis2 18 3 3" xfId="9952" xr:uid="{EF24E240-691C-4BC4-872C-154076E787E6}"/>
    <cellStyle name="40% - Énfasis2 18 3 3 2" xfId="25365" xr:uid="{226238D7-12D6-4688-A46D-33F392D51E1B}"/>
    <cellStyle name="40% - Énfasis2 18 3 3 2 2" xfId="44971" xr:uid="{F738BB73-BC74-4E52-9283-63039EFE00F4}"/>
    <cellStyle name="40% - Énfasis2 18 3 3 3" xfId="44970" xr:uid="{910C8BB5-7BAB-4097-BD5D-BA9BDEA176A7}"/>
    <cellStyle name="40% - Énfasis2 18 3 4" xfId="17660" xr:uid="{D80DD972-3896-4B04-A642-2747E1E8B325}"/>
    <cellStyle name="40% - Énfasis2 18 3 4 2" xfId="44972" xr:uid="{7478DB10-16EC-494B-9E04-5413477F4E54}"/>
    <cellStyle name="40% - Énfasis2 18 3 5" xfId="44965" xr:uid="{42951E85-76B1-4CD9-AAA0-7034E84CFAEF}"/>
    <cellStyle name="40% - Énfasis2 18 4" xfId="4496" xr:uid="{B066F4C6-8779-4C3F-9264-2B8E16775210}"/>
    <cellStyle name="40% - Énfasis2 18 4 2" xfId="12204" xr:uid="{31421707-2181-4C72-B1E4-D57404F7C86A}"/>
    <cellStyle name="40% - Énfasis2 18 4 2 2" xfId="27616" xr:uid="{D0CB3A20-E164-4D38-8909-08FB3CC8CC43}"/>
    <cellStyle name="40% - Énfasis2 18 4 2 2 2" xfId="44975" xr:uid="{FF925559-14F7-469A-859D-C2032047411D}"/>
    <cellStyle name="40% - Énfasis2 18 4 2 3" xfId="44974" xr:uid="{158ECDF6-EC76-437C-88AC-067E181014D8}"/>
    <cellStyle name="40% - Énfasis2 18 4 3" xfId="19911" xr:uid="{74592682-F8B8-4BAE-8DA4-DCE6DD665554}"/>
    <cellStyle name="40% - Énfasis2 18 4 3 2" xfId="44976" xr:uid="{1CE99EB5-B341-4A94-8DBA-BE85C7651C49}"/>
    <cellStyle name="40% - Énfasis2 18 4 4" xfId="44973" xr:uid="{9281C541-9107-4E89-8AEE-4EAAA67D447A}"/>
    <cellStyle name="40% - Énfasis2 18 5" xfId="8493" xr:uid="{8C7C4A9F-E72A-412C-BFD3-9654074FD767}"/>
    <cellStyle name="40% - Énfasis2 18 5 2" xfId="23906" xr:uid="{7E4B9119-14C5-4E0C-AB87-79A46CBDCB75}"/>
    <cellStyle name="40% - Énfasis2 18 5 2 2" xfId="44978" xr:uid="{0CE3A2E9-067C-4A4B-A8C5-39383D20665D}"/>
    <cellStyle name="40% - Énfasis2 18 5 3" xfId="44977" xr:uid="{D073510F-08E2-48BB-919D-939C600211C0}"/>
    <cellStyle name="40% - Énfasis2 18 6" xfId="16201" xr:uid="{AFDF8A8C-BF9E-4BA8-8CDC-8DB334E3074B}"/>
    <cellStyle name="40% - Énfasis2 18 6 2" xfId="44979" xr:uid="{8825DDBA-BEDF-4677-962F-1D4D8E8DE1C9}"/>
    <cellStyle name="40% - Énfasis2 18 7" xfId="44948" xr:uid="{17F2A75A-7643-4194-B140-DF1FA0C32231}"/>
    <cellStyle name="40% - Énfasis2 19" xfId="770" xr:uid="{B29A8016-507C-42C9-86BD-B37801637684}"/>
    <cellStyle name="40% - Énfasis2 19 2" xfId="2260" xr:uid="{52891BD1-BBC3-495D-A875-9B335460FE1C}"/>
    <cellStyle name="40% - Énfasis2 19 2 2" xfId="5992" xr:uid="{E639A262-BC1B-4EAF-8EDA-334989BA34B2}"/>
    <cellStyle name="40% - Énfasis2 19 2 2 2" xfId="13700" xr:uid="{A87C752E-47D8-4A25-942B-F571D0484980}"/>
    <cellStyle name="40% - Énfasis2 19 2 2 2 2" xfId="29112" xr:uid="{DBA7B8CE-5A5B-4479-BD6D-7B9D02BD92EE}"/>
    <cellStyle name="40% - Énfasis2 19 2 2 2 2 2" xfId="44984" xr:uid="{30C6BE35-8D3B-4415-9DA6-5696577D01FE}"/>
    <cellStyle name="40% - Énfasis2 19 2 2 2 3" xfId="44983" xr:uid="{846AB0A8-903C-4A36-8BE6-B2A24902F87D}"/>
    <cellStyle name="40% - Énfasis2 19 2 2 3" xfId="21407" xr:uid="{2837123B-3D87-4E4E-BAE1-EAFA9F6E26AE}"/>
    <cellStyle name="40% - Énfasis2 19 2 2 3 2" xfId="44985" xr:uid="{7BDDE3FC-C824-404E-B41E-A8231250E1DC}"/>
    <cellStyle name="40% - Énfasis2 19 2 2 4" xfId="44982" xr:uid="{52C67788-8AF8-4C2C-A867-F08DC573341D}"/>
    <cellStyle name="40% - Énfasis2 19 2 3" xfId="9971" xr:uid="{16D6624D-6B4E-4721-8BFD-BADFB699AAA5}"/>
    <cellStyle name="40% - Énfasis2 19 2 3 2" xfId="25384" xr:uid="{F295EDA8-7FB6-44BB-9A2D-AFA51BE3B77B}"/>
    <cellStyle name="40% - Énfasis2 19 2 3 2 2" xfId="44987" xr:uid="{73BE9365-4C3B-4CCA-986C-3981E6D9FAD1}"/>
    <cellStyle name="40% - Énfasis2 19 2 3 3" xfId="44986" xr:uid="{EA88FCE5-E759-48B1-8E70-14C0A2825D7F}"/>
    <cellStyle name="40% - Énfasis2 19 2 4" xfId="17679" xr:uid="{7C196912-48DB-4A99-8575-D1C2A12AFBAE}"/>
    <cellStyle name="40% - Énfasis2 19 2 4 2" xfId="44988" xr:uid="{6E231B74-02EF-415E-A503-35212442AC42}"/>
    <cellStyle name="40% - Énfasis2 19 2 5" xfId="44981" xr:uid="{3A6961FF-C809-4999-889A-453A552DEB96}"/>
    <cellStyle name="40% - Énfasis2 19 3" xfId="4515" xr:uid="{1DB0BF2D-77BC-4860-80D0-0314788AF509}"/>
    <cellStyle name="40% - Énfasis2 19 3 2" xfId="12223" xr:uid="{B12E4D85-A455-49AA-8BB0-20F7A3844C08}"/>
    <cellStyle name="40% - Énfasis2 19 3 2 2" xfId="27635" xr:uid="{ACD8747A-D558-4088-A917-A523598BDD3C}"/>
    <cellStyle name="40% - Énfasis2 19 3 2 2 2" xfId="44991" xr:uid="{D1B76CA8-85DB-47D1-89C5-8576C8AB8B9F}"/>
    <cellStyle name="40% - Énfasis2 19 3 2 3" xfId="44990" xr:uid="{D45B4356-B515-417D-BC10-B8AC10F28057}"/>
    <cellStyle name="40% - Énfasis2 19 3 3" xfId="19930" xr:uid="{32672E04-5F6B-4279-A0E8-E68E7885BA82}"/>
    <cellStyle name="40% - Énfasis2 19 3 3 2" xfId="44992" xr:uid="{F83CBE96-4B6E-4B03-938F-ED5A2A713B31}"/>
    <cellStyle name="40% - Énfasis2 19 3 4" xfId="44989" xr:uid="{FD0380E6-EF77-4B90-ADC7-FEFE0C0A3AE5}"/>
    <cellStyle name="40% - Énfasis2 19 4" xfId="8512" xr:uid="{E0223D1A-E9CB-4F7F-9AEF-88C399264751}"/>
    <cellStyle name="40% - Énfasis2 19 4 2" xfId="23925" xr:uid="{349157D8-71C9-4DE4-B012-28EB026ED9C2}"/>
    <cellStyle name="40% - Énfasis2 19 4 2 2" xfId="44994" xr:uid="{8D71A925-7D35-4988-9FAA-E6984F4BCD4B}"/>
    <cellStyle name="40% - Énfasis2 19 4 3" xfId="44993" xr:uid="{2D3EC491-BEC2-4026-9726-DB95E1D65EDB}"/>
    <cellStyle name="40% - Énfasis2 19 5" xfId="16220" xr:uid="{991A7D34-5F90-4FEF-A877-65AF975C88FF}"/>
    <cellStyle name="40% - Énfasis2 19 5 2" xfId="44995" xr:uid="{7C81520C-7B19-4C48-B70D-D9C162C9EB85}"/>
    <cellStyle name="40% - Énfasis2 19 6" xfId="44980" xr:uid="{4653B846-ED95-4096-80E4-F17DA0B89438}"/>
    <cellStyle name="40% - Énfasis2 2" xfId="173" xr:uid="{D06E2BA6-5BAA-4940-9FDA-4CC51E6C0186}"/>
    <cellStyle name="40% - Énfasis2 2 2" xfId="383" xr:uid="{711F4240-0EB5-4B36-8412-268ED806BBC8}"/>
    <cellStyle name="40% - Énfasis2 2 2 2" xfId="1045" xr:uid="{B84B12D5-11B9-4EE6-89F3-0F3D1B66161B}"/>
    <cellStyle name="40% - Énfasis2 2 2 2 2" xfId="2513" xr:uid="{FCAE9AB6-E521-4A2F-AFBE-769B392246BD}"/>
    <cellStyle name="40% - Énfasis2 2 2 2 2 2" xfId="6245" xr:uid="{B0323D4A-3CCE-423C-AA77-2FFC3E312B07}"/>
    <cellStyle name="40% - Énfasis2 2 2 2 2 2 2" xfId="13953" xr:uid="{0B3108B3-56B9-4CB9-9287-400405F9E217}"/>
    <cellStyle name="40% - Énfasis2 2 2 2 2 2 2 2" xfId="29365" xr:uid="{BE9A1A7B-6FD4-4110-BCA6-C0F81EAF4626}"/>
    <cellStyle name="40% - Énfasis2 2 2 2 2 2 2 2 2" xfId="45002" xr:uid="{31A6965A-DBD3-44FB-BA5A-57BED01E9027}"/>
    <cellStyle name="40% - Énfasis2 2 2 2 2 2 2 3" xfId="45001" xr:uid="{C6342175-40BE-42AF-AE17-766CEBAAD9D8}"/>
    <cellStyle name="40% - Énfasis2 2 2 2 2 2 3" xfId="21660" xr:uid="{A7EE4408-ADAF-4ABD-86F3-7FE33106470F}"/>
    <cellStyle name="40% - Énfasis2 2 2 2 2 2 3 2" xfId="45003" xr:uid="{CCE556FA-790B-4E02-911C-FBE1476A71FE}"/>
    <cellStyle name="40% - Énfasis2 2 2 2 2 2 4" xfId="45000" xr:uid="{EF912348-40CF-4F51-ACE9-393B7A282B8B}"/>
    <cellStyle name="40% - Énfasis2 2 2 2 2 3" xfId="10224" xr:uid="{324CCA67-1FF6-4FB5-BA8A-0B88ACDEECDE}"/>
    <cellStyle name="40% - Énfasis2 2 2 2 2 3 2" xfId="25637" xr:uid="{35B9DCE6-66C7-4632-BB86-48EC4C5832AE}"/>
    <cellStyle name="40% - Énfasis2 2 2 2 2 3 2 2" xfId="45005" xr:uid="{17E24338-DD38-4D3A-8DA0-65820A2F71CA}"/>
    <cellStyle name="40% - Énfasis2 2 2 2 2 3 3" xfId="45004" xr:uid="{39E008EA-8C62-477F-B287-0A8F2EF2997C}"/>
    <cellStyle name="40% - Énfasis2 2 2 2 2 4" xfId="17932" xr:uid="{E898877F-5FF9-43BC-BFCF-92EE526163EF}"/>
    <cellStyle name="40% - Énfasis2 2 2 2 2 4 2" xfId="45006" xr:uid="{EF9AB438-C34B-48C7-9121-22C8944CAD12}"/>
    <cellStyle name="40% - Énfasis2 2 2 2 2 5" xfId="44999" xr:uid="{BFB05471-B874-4DF8-BE5E-40B5A21D8E36}"/>
    <cellStyle name="40% - Énfasis2 2 2 2 3" xfId="4782" xr:uid="{D0424943-C5B5-44FA-9B56-89A38DAE32F0}"/>
    <cellStyle name="40% - Énfasis2 2 2 2 3 2" xfId="12490" xr:uid="{E867970A-5AF3-4BD2-A3A6-9AEF4F1EBC1C}"/>
    <cellStyle name="40% - Énfasis2 2 2 2 3 2 2" xfId="27902" xr:uid="{FBB8E904-93F0-44FC-BF6B-70758DD54F18}"/>
    <cellStyle name="40% - Énfasis2 2 2 2 3 2 2 2" xfId="45009" xr:uid="{E8C59B87-5A14-404D-AC4F-8DD1153B2948}"/>
    <cellStyle name="40% - Énfasis2 2 2 2 3 2 3" xfId="45008" xr:uid="{61025FA6-9DFD-48A2-BEE0-D228CDF2E2AC}"/>
    <cellStyle name="40% - Énfasis2 2 2 2 3 3" xfId="20197" xr:uid="{F4817369-C83D-4964-8C80-3BB6B2C4A0AF}"/>
    <cellStyle name="40% - Énfasis2 2 2 2 3 3 2" xfId="45010" xr:uid="{5F15483C-C07C-4583-AFBB-3C92E13CD165}"/>
    <cellStyle name="40% - Énfasis2 2 2 2 3 4" xfId="45007" xr:uid="{F35C243B-34D9-408A-852E-2023FB6502AB}"/>
    <cellStyle name="40% - Énfasis2 2 2 2 4" xfId="8765" xr:uid="{FD87E03A-C212-4C25-A980-E84AF67CA5CF}"/>
    <cellStyle name="40% - Énfasis2 2 2 2 4 2" xfId="24178" xr:uid="{7D6B0091-98EB-4E1D-98CE-BC7881569307}"/>
    <cellStyle name="40% - Énfasis2 2 2 2 4 2 2" xfId="45012" xr:uid="{FEB12569-C3E2-4DC9-91DA-5E581CFE632C}"/>
    <cellStyle name="40% - Énfasis2 2 2 2 4 3" xfId="45011" xr:uid="{CE2968B5-4C7B-49FC-ADF7-A333620B39AA}"/>
    <cellStyle name="40% - Énfasis2 2 2 2 5" xfId="16473" xr:uid="{C73A67EB-E18A-45D1-954D-7EAD6C72EDE9}"/>
    <cellStyle name="40% - Énfasis2 2 2 2 5 2" xfId="45013" xr:uid="{165871E9-DB25-41EC-8C91-39ED76D94EF8}"/>
    <cellStyle name="40% - Énfasis2 2 2 2 6" xfId="44998" xr:uid="{F50424D0-EB3C-4078-86B9-6CEBF5EDD89D}"/>
    <cellStyle name="40% - Énfasis2 2 2 3" xfId="1875" xr:uid="{9B894B90-791F-4F62-8E00-770CA3B853A6}"/>
    <cellStyle name="40% - Énfasis2 2 2 3 2" xfId="5607" xr:uid="{3194A627-81CF-46BC-8F6B-963D9A01201C}"/>
    <cellStyle name="40% - Énfasis2 2 2 3 2 2" xfId="13315" xr:uid="{F5F4F848-708F-43C8-ACAF-8BBDFED6829F}"/>
    <cellStyle name="40% - Énfasis2 2 2 3 2 2 2" xfId="28727" xr:uid="{96178E27-AE6E-444F-A205-C9BD4923C768}"/>
    <cellStyle name="40% - Énfasis2 2 2 3 2 2 2 2" xfId="45017" xr:uid="{D0BB3869-8742-484A-BE48-55D4DAB8547B}"/>
    <cellStyle name="40% - Énfasis2 2 2 3 2 2 3" xfId="45016" xr:uid="{28501E61-3D93-4695-A1B3-8806131EC5B2}"/>
    <cellStyle name="40% - Énfasis2 2 2 3 2 3" xfId="21022" xr:uid="{76B9522E-DC20-4143-9659-616C46906ECA}"/>
    <cellStyle name="40% - Énfasis2 2 2 3 2 3 2" xfId="45018" xr:uid="{7CB1DE79-3152-4DBA-AA24-A5070F724C36}"/>
    <cellStyle name="40% - Énfasis2 2 2 3 2 4" xfId="45015" xr:uid="{02D0C7BB-7639-4B34-956D-29BB2277DA28}"/>
    <cellStyle name="40% - Énfasis2 2 2 3 3" xfId="9586" xr:uid="{E1A57B03-D2C9-4749-BD09-F7AAFEE89EE6}"/>
    <cellStyle name="40% - Énfasis2 2 2 3 3 2" xfId="24999" xr:uid="{0501F6D4-3F71-444B-AF15-0E447E339D9B}"/>
    <cellStyle name="40% - Énfasis2 2 2 3 3 2 2" xfId="45020" xr:uid="{EABCF38F-2C97-419A-BE8B-0794A0B3CEEC}"/>
    <cellStyle name="40% - Énfasis2 2 2 3 3 3" xfId="45019" xr:uid="{4D4FEAA1-AA27-4E3A-A125-A41E217708D3}"/>
    <cellStyle name="40% - Énfasis2 2 2 3 4" xfId="17294" xr:uid="{8B6D7FF7-10CF-4973-8868-2286DCE52082}"/>
    <cellStyle name="40% - Énfasis2 2 2 3 4 2" xfId="45021" xr:uid="{D1D9E17B-232E-409D-9635-789BA9E40938}"/>
    <cellStyle name="40% - Énfasis2 2 2 3 5" xfId="45014" xr:uid="{5F7C2AEA-5271-4066-BEFC-6DAFDF703D46}"/>
    <cellStyle name="40% - Énfasis2 2 2 4" xfId="4130" xr:uid="{795EB61D-AE87-48D2-80BC-31AB98644AE1}"/>
    <cellStyle name="40% - Énfasis2 2 2 4 2" xfId="11838" xr:uid="{3A6D1D56-4ABC-4CAA-B5D0-E8420A8F7A05}"/>
    <cellStyle name="40% - Énfasis2 2 2 4 2 2" xfId="27250" xr:uid="{E47662D4-3B9F-4925-9679-14DD96E68D2D}"/>
    <cellStyle name="40% - Énfasis2 2 2 4 2 2 2" xfId="45024" xr:uid="{1A757700-6104-4F8D-8930-E26FF1720693}"/>
    <cellStyle name="40% - Énfasis2 2 2 4 2 3" xfId="45023" xr:uid="{DBABAA43-D3EB-49BA-A0BD-B4AAC8D98B9D}"/>
    <cellStyle name="40% - Énfasis2 2 2 4 3" xfId="19545" xr:uid="{FE7C6441-78BC-4891-A568-ECE81F07821B}"/>
    <cellStyle name="40% - Énfasis2 2 2 4 3 2" xfId="45025" xr:uid="{6770757E-E663-4BC4-A1F7-0BD0228E944C}"/>
    <cellStyle name="40% - Énfasis2 2 2 4 4" xfId="45022" xr:uid="{67FF59F1-4A5A-40D6-8BF4-05E104A4CD1D}"/>
    <cellStyle name="40% - Énfasis2 2 2 5" xfId="8127" xr:uid="{1F335B7D-4B79-495E-9BBB-5B7ABE71FFD6}"/>
    <cellStyle name="40% - Énfasis2 2 2 5 2" xfId="23540" xr:uid="{81A34CF5-F159-46F8-B31C-DC7249C3EB68}"/>
    <cellStyle name="40% - Énfasis2 2 2 5 2 2" xfId="45027" xr:uid="{C07ACD93-7CB0-45C6-BCB5-6559F9416B5F}"/>
    <cellStyle name="40% - Énfasis2 2 2 5 3" xfId="45026" xr:uid="{C7C60416-4AE5-48FA-A98E-1D7E23A2ED71}"/>
    <cellStyle name="40% - Énfasis2 2 2 6" xfId="15835" xr:uid="{B235E81C-D60C-4985-8A91-88031C218BB8}"/>
    <cellStyle name="40% - Énfasis2 2 2 6 2" xfId="45028" xr:uid="{AB534955-7A89-47D7-A004-D949F2830249}"/>
    <cellStyle name="40% - Énfasis2 2 2 7" xfId="44997" xr:uid="{78251CF6-DC16-4069-A340-52A0CAC13BAE}"/>
    <cellStyle name="40% - Énfasis2 2 3" xfId="840" xr:uid="{B88001AD-6DE8-4436-A9A9-744669964AAB}"/>
    <cellStyle name="40% - Énfasis2 2 3 2" xfId="2315" xr:uid="{CC90D978-9669-4A52-A693-E326FD6E543D}"/>
    <cellStyle name="40% - Énfasis2 2 3 2 2" xfId="6047" xr:uid="{240CAD71-8A7B-4AAC-AC57-2F9589AD2913}"/>
    <cellStyle name="40% - Énfasis2 2 3 2 2 2" xfId="13755" xr:uid="{A8F93F86-8D6C-4A1B-A162-46D2D53DCC41}"/>
    <cellStyle name="40% - Énfasis2 2 3 2 2 2 2" xfId="29167" xr:uid="{4C6C63E4-7157-4193-9D92-04933B22BB46}"/>
    <cellStyle name="40% - Énfasis2 2 3 2 2 2 2 2" xfId="45033" xr:uid="{2371563D-3C6E-4271-AD7F-E4E3D4B618C2}"/>
    <cellStyle name="40% - Énfasis2 2 3 2 2 2 3" xfId="45032" xr:uid="{E1D932DA-494E-40AC-A828-79760C9AC5C0}"/>
    <cellStyle name="40% - Énfasis2 2 3 2 2 3" xfId="21462" xr:uid="{C788096B-7E07-4C6F-8748-B16AEF77B645}"/>
    <cellStyle name="40% - Énfasis2 2 3 2 2 3 2" xfId="45034" xr:uid="{20B1C645-AC5D-43F5-A027-3A1E38415D61}"/>
    <cellStyle name="40% - Énfasis2 2 3 2 2 4" xfId="45031" xr:uid="{28199FC6-4D94-4729-AD3F-0D5C986443C3}"/>
    <cellStyle name="40% - Énfasis2 2 3 2 3" xfId="10026" xr:uid="{7AC9CD17-34D5-477F-8CCB-8CB9C49362B2}"/>
    <cellStyle name="40% - Énfasis2 2 3 2 3 2" xfId="25439" xr:uid="{43F6A6B0-5E19-4C05-AE0F-6B9AED8F9456}"/>
    <cellStyle name="40% - Énfasis2 2 3 2 3 2 2" xfId="45036" xr:uid="{9210020B-EDDC-4710-A494-79CCD3295FD9}"/>
    <cellStyle name="40% - Énfasis2 2 3 2 3 3" xfId="45035" xr:uid="{44C89A6C-6E00-4C4F-8AFC-C6A0296EBF67}"/>
    <cellStyle name="40% - Énfasis2 2 3 2 4" xfId="17734" xr:uid="{36B52F81-3470-46FE-B9BC-3AC402034C41}"/>
    <cellStyle name="40% - Énfasis2 2 3 2 4 2" xfId="45037" xr:uid="{CF8CFF18-1ED1-424B-8305-27B51963C5C2}"/>
    <cellStyle name="40% - Énfasis2 2 3 2 5" xfId="45030" xr:uid="{C5781853-004A-455C-8673-EE3515784DBF}"/>
    <cellStyle name="40% - Énfasis2 2 3 3" xfId="4577" xr:uid="{C18530C7-CE9F-4C8B-9EC6-3B280C98F5A1}"/>
    <cellStyle name="40% - Énfasis2 2 3 3 2" xfId="12285" xr:uid="{80F826BA-08E0-4CDA-A76A-0790A4EB0160}"/>
    <cellStyle name="40% - Énfasis2 2 3 3 2 2" xfId="27697" xr:uid="{73DFC835-C5F8-4891-A8EA-FEDB9DF923E0}"/>
    <cellStyle name="40% - Énfasis2 2 3 3 2 2 2" xfId="45040" xr:uid="{111D6D2D-A231-45E3-BCF2-22701BF704D7}"/>
    <cellStyle name="40% - Énfasis2 2 3 3 2 3" xfId="45039" xr:uid="{A20F97F6-D024-4D03-8F73-4EED6D676A3E}"/>
    <cellStyle name="40% - Énfasis2 2 3 3 3" xfId="19992" xr:uid="{A11D30A4-8260-4B46-BA9E-025C705B3B25}"/>
    <cellStyle name="40% - Énfasis2 2 3 3 3 2" xfId="45041" xr:uid="{AFBA0A0B-38CD-4DCD-8959-84116F5C4CE7}"/>
    <cellStyle name="40% - Énfasis2 2 3 3 4" xfId="45038" xr:uid="{5961B847-5EA2-43A5-97B3-9F3123139A64}"/>
    <cellStyle name="40% - Énfasis2 2 3 4" xfId="8567" xr:uid="{414349DD-62D2-44A3-A0C6-4F081D80CFAA}"/>
    <cellStyle name="40% - Énfasis2 2 3 4 2" xfId="23980" xr:uid="{468F5047-2DAD-43CA-B872-D997D5DC6ABC}"/>
    <cellStyle name="40% - Énfasis2 2 3 4 2 2" xfId="45043" xr:uid="{D4332274-EEA3-423D-89A4-53453C6872F0}"/>
    <cellStyle name="40% - Énfasis2 2 3 4 3" xfId="45042" xr:uid="{523FD500-5E07-4DEC-9F3C-AF5E091B37FE}"/>
    <cellStyle name="40% - Énfasis2 2 3 5" xfId="16275" xr:uid="{D7FB2144-89A0-45BA-8B75-8BE27FF74B19}"/>
    <cellStyle name="40% - Énfasis2 2 3 5 2" xfId="45044" xr:uid="{BF00B7F5-A88C-4213-8BA3-BC5CE90AAD04}"/>
    <cellStyle name="40% - Énfasis2 2 3 6" xfId="45029" xr:uid="{91F82296-8758-4F16-950C-4DA99CA0881A}"/>
    <cellStyle name="40% - Énfasis2 2 4" xfId="1677" xr:uid="{4C78D414-1CF8-419D-8077-9DFFDF1169BD}"/>
    <cellStyle name="40% - Énfasis2 2 4 2" xfId="5409" xr:uid="{58E03BB9-A3F6-4D64-BAC4-782E3342345E}"/>
    <cellStyle name="40% - Énfasis2 2 4 2 2" xfId="13117" xr:uid="{B2A42097-E5F5-40EB-9AFF-BDC63629D323}"/>
    <cellStyle name="40% - Énfasis2 2 4 2 2 2" xfId="28529" xr:uid="{B89CC924-BAB4-4F14-A495-BCDF8DE9E503}"/>
    <cellStyle name="40% - Énfasis2 2 4 2 2 2 2" xfId="45048" xr:uid="{E736D39B-F64D-4F10-9C3B-A1179A99769D}"/>
    <cellStyle name="40% - Énfasis2 2 4 2 2 3" xfId="45047" xr:uid="{B8BC22C5-4A1D-4326-9E18-60BEEE7AED47}"/>
    <cellStyle name="40% - Énfasis2 2 4 2 3" xfId="20824" xr:uid="{CF1D2561-AF58-45AE-BCDE-8D9265359E8F}"/>
    <cellStyle name="40% - Énfasis2 2 4 2 3 2" xfId="45049" xr:uid="{A36ABA05-9E8C-4220-82A1-FE0EB710C3F3}"/>
    <cellStyle name="40% - Énfasis2 2 4 2 4" xfId="45046" xr:uid="{C6196F98-30DF-4723-8B1F-66E5EDE14FB6}"/>
    <cellStyle name="40% - Énfasis2 2 4 3" xfId="9388" xr:uid="{7A6CC3B4-795F-4CE9-9845-31AF55915E83}"/>
    <cellStyle name="40% - Énfasis2 2 4 3 2" xfId="24801" xr:uid="{7EC90B42-D83B-47B3-A666-494CF96EB06F}"/>
    <cellStyle name="40% - Énfasis2 2 4 3 2 2" xfId="45051" xr:uid="{DA97DADA-125F-4060-826C-2E81827D07AD}"/>
    <cellStyle name="40% - Énfasis2 2 4 3 3" xfId="45050" xr:uid="{8BD308C5-4072-4069-87BE-B947973B5D0E}"/>
    <cellStyle name="40% - Énfasis2 2 4 4" xfId="17096" xr:uid="{D1871FDE-C52D-455C-857A-1F79C1170C78}"/>
    <cellStyle name="40% - Énfasis2 2 4 4 2" xfId="45052" xr:uid="{ADE60DDC-BA92-4847-A982-E2CCEBCB49A2}"/>
    <cellStyle name="40% - Énfasis2 2 4 5" xfId="45045" xr:uid="{1A13B6E1-1255-483A-8E75-BD11A681030C}"/>
    <cellStyle name="40% - Énfasis2 2 5" xfId="3925" xr:uid="{4D62C63F-C5D0-42C3-875C-4C06B93858D2}"/>
    <cellStyle name="40% - Énfasis2 2 5 2" xfId="11633" xr:uid="{E27D3E84-8A9F-49E5-9A5B-AB513AA49EBC}"/>
    <cellStyle name="40% - Énfasis2 2 5 2 2" xfId="27045" xr:uid="{7692648C-86A6-4312-A06F-8D6B78B2E294}"/>
    <cellStyle name="40% - Énfasis2 2 5 2 2 2" xfId="45055" xr:uid="{2BE6E189-752B-412F-9E8F-58AABE23516B}"/>
    <cellStyle name="40% - Énfasis2 2 5 2 3" xfId="45054" xr:uid="{61BF91E5-98D9-409C-85E3-E8ED2F36D15A}"/>
    <cellStyle name="40% - Énfasis2 2 5 3" xfId="19340" xr:uid="{4B55BF6D-8C35-491E-A948-868606D72313}"/>
    <cellStyle name="40% - Énfasis2 2 5 3 2" xfId="45056" xr:uid="{802DD1FD-3EF4-44F3-8AE2-78339773924C}"/>
    <cellStyle name="40% - Énfasis2 2 5 4" xfId="45053" xr:uid="{584D009D-A338-4906-A239-DDF0A38767C1}"/>
    <cellStyle name="40% - Énfasis2 2 6" xfId="7929" xr:uid="{41E37DB2-0738-44C6-A5BC-3E1394BD198C}"/>
    <cellStyle name="40% - Énfasis2 2 6 2" xfId="23342" xr:uid="{4CB839A4-9887-48FB-BFC5-EDCEF560A384}"/>
    <cellStyle name="40% - Énfasis2 2 6 2 2" xfId="45058" xr:uid="{3E9827C3-ADF2-45C4-B7B8-A2A8CAD3DFA3}"/>
    <cellStyle name="40% - Énfasis2 2 6 3" xfId="45057" xr:uid="{828EB2A3-C863-49D2-9E75-7E62EA5161D0}"/>
    <cellStyle name="40% - Énfasis2 2 7" xfId="15637" xr:uid="{90D97960-CCB9-4A90-B5A8-1F636EF15A3A}"/>
    <cellStyle name="40% - Énfasis2 2 7 2" xfId="45059" xr:uid="{FED0D084-DFF2-4E22-918F-27C449DEFE63}"/>
    <cellStyle name="40% - Énfasis2 2 8" xfId="44996" xr:uid="{0C27CBD3-C0CF-4128-BD36-008AC420C00F}"/>
    <cellStyle name="40% - Énfasis2 20" xfId="1434" xr:uid="{9D5DF823-3062-482D-BA57-DFF97154CBB5}"/>
    <cellStyle name="40% - Énfasis2 20 2" xfId="2899" xr:uid="{97DD533A-450C-4D8F-922D-6FD882124A1B}"/>
    <cellStyle name="40% - Énfasis2 20 2 2" xfId="6631" xr:uid="{93F42AE6-0B81-4111-8806-71B67E0FB7B1}"/>
    <cellStyle name="40% - Énfasis2 20 2 2 2" xfId="14339" xr:uid="{1904AEE1-574E-405A-B4D1-C0946704C420}"/>
    <cellStyle name="40% - Énfasis2 20 2 2 2 2" xfId="29751" xr:uid="{933BCDAB-F62D-4649-A185-570A79C3C951}"/>
    <cellStyle name="40% - Énfasis2 20 2 2 2 2 2" xfId="45064" xr:uid="{1A15D567-EEE0-48CF-9A50-5CF7F902693A}"/>
    <cellStyle name="40% - Énfasis2 20 2 2 2 3" xfId="45063" xr:uid="{0F1834A6-BA03-41BB-98CA-5E6807FC0B77}"/>
    <cellStyle name="40% - Énfasis2 20 2 2 3" xfId="22046" xr:uid="{1D21AD4B-987D-48C1-912D-3D9767F5CE84}"/>
    <cellStyle name="40% - Énfasis2 20 2 2 3 2" xfId="45065" xr:uid="{4596E6C1-C5AD-43B7-817C-FD89ED6F3362}"/>
    <cellStyle name="40% - Énfasis2 20 2 2 4" xfId="45062" xr:uid="{F30C112D-9BDB-4090-A569-8098BC753AC6}"/>
    <cellStyle name="40% - Énfasis2 20 2 3" xfId="10610" xr:uid="{72A81676-D803-495B-AB66-A475056C9F35}"/>
    <cellStyle name="40% - Énfasis2 20 2 3 2" xfId="26023" xr:uid="{FB62A82C-BD00-4043-8091-F1877C03B6F3}"/>
    <cellStyle name="40% - Énfasis2 20 2 3 2 2" xfId="45067" xr:uid="{E38C7BA1-49D8-4D4E-8448-D55444D5D038}"/>
    <cellStyle name="40% - Énfasis2 20 2 3 3" xfId="45066" xr:uid="{CF3ADD53-9235-4736-B775-AEFBD5B5369E}"/>
    <cellStyle name="40% - Énfasis2 20 2 4" xfId="18318" xr:uid="{E8D0C928-E401-4C68-A0F9-A51F3E0AB304}"/>
    <cellStyle name="40% - Énfasis2 20 2 4 2" xfId="45068" xr:uid="{00AAAA8F-C5A0-4CC3-8F41-2B776C802959}"/>
    <cellStyle name="40% - Énfasis2 20 2 5" xfId="45061" xr:uid="{61A3073F-96DA-427D-8B9D-DF1ADFC71DEA}"/>
    <cellStyle name="40% - Énfasis2 20 3" xfId="5170" xr:uid="{BF7AAB37-EAC2-4A0E-8209-092590F022A4}"/>
    <cellStyle name="40% - Énfasis2 20 3 2" xfId="12878" xr:uid="{C993DD07-8615-4FEC-A3D6-1EB216167912}"/>
    <cellStyle name="40% - Énfasis2 20 3 2 2" xfId="28290" xr:uid="{CE051FF1-952A-4773-8F06-4C817EC5884F}"/>
    <cellStyle name="40% - Énfasis2 20 3 2 2 2" xfId="45071" xr:uid="{6A9706DA-3614-4789-8176-7BA87FC4B8DA}"/>
    <cellStyle name="40% - Énfasis2 20 3 2 3" xfId="45070" xr:uid="{52B7417E-6CEF-4FE2-8A92-04713DE652F0}"/>
    <cellStyle name="40% - Énfasis2 20 3 3" xfId="20585" xr:uid="{725E150C-00E0-4B08-A04D-15ED81A4789F}"/>
    <cellStyle name="40% - Énfasis2 20 3 3 2" xfId="45072" xr:uid="{C6BC7DE7-F48D-4BAB-AA09-B8FA71159108}"/>
    <cellStyle name="40% - Énfasis2 20 3 4" xfId="45069" xr:uid="{80E24D7A-C152-47FE-81B0-2E85E993F4E7}"/>
    <cellStyle name="40% - Énfasis2 20 4" xfId="9151" xr:uid="{686FF6FC-3956-4986-AEDD-6B09FEF51749}"/>
    <cellStyle name="40% - Énfasis2 20 4 2" xfId="24564" xr:uid="{85EBC681-AA9E-4950-AC10-FC4019BFCAA6}"/>
    <cellStyle name="40% - Énfasis2 20 4 2 2" xfId="45074" xr:uid="{93662ED0-CAB5-4CAA-8CC2-C91202628DBD}"/>
    <cellStyle name="40% - Énfasis2 20 4 3" xfId="45073" xr:uid="{49D2E905-65D5-43D7-889A-CEAC08B24913}"/>
    <cellStyle name="40% - Énfasis2 20 5" xfId="16859" xr:uid="{33820E31-DE22-4370-B29A-0D7295ACBA38}"/>
    <cellStyle name="40% - Énfasis2 20 5 2" xfId="45075" xr:uid="{8A5E84CA-FF1F-452D-9D57-8BD37E32EA25}"/>
    <cellStyle name="40% - Énfasis2 20 6" xfId="45060" xr:uid="{2D31660C-D605-484D-B261-A3C4174522F6}"/>
    <cellStyle name="40% - Énfasis2 21" xfId="1454" xr:uid="{0B56E756-9ECC-48D5-9369-27AAAB3A9873}"/>
    <cellStyle name="40% - Énfasis2 21 2" xfId="2919" xr:uid="{76C8082C-EBB8-43D4-8E5D-D219DE015CE9}"/>
    <cellStyle name="40% - Énfasis2 21 2 2" xfId="6651" xr:uid="{FC4FDE3E-8AE3-4F44-B615-3B942CE11F99}"/>
    <cellStyle name="40% - Énfasis2 21 2 2 2" xfId="14359" xr:uid="{2ABD6099-6852-40D9-A609-12365F5EF497}"/>
    <cellStyle name="40% - Énfasis2 21 2 2 2 2" xfId="29771" xr:uid="{F0843CC2-21BB-488F-9006-4CCBD8F62488}"/>
    <cellStyle name="40% - Énfasis2 21 2 2 2 2 2" xfId="45080" xr:uid="{FB974BD2-5249-4588-9C7C-4A7A2E0B2173}"/>
    <cellStyle name="40% - Énfasis2 21 2 2 2 3" xfId="45079" xr:uid="{2984CEAF-DC47-478B-B4CE-720C3D43D435}"/>
    <cellStyle name="40% - Énfasis2 21 2 2 3" xfId="22066" xr:uid="{823B4366-6BE9-4DFF-8F37-E83A4B0EF147}"/>
    <cellStyle name="40% - Énfasis2 21 2 2 3 2" xfId="45081" xr:uid="{9CC0615C-8474-4EBB-A19E-07A8ABE98BF2}"/>
    <cellStyle name="40% - Énfasis2 21 2 2 4" xfId="45078" xr:uid="{624E2FB5-D2FD-4BA9-8438-FD6349EC9136}"/>
    <cellStyle name="40% - Énfasis2 21 2 3" xfId="10630" xr:uid="{1F50B240-5BBF-4436-AE96-5EB3EB6860C1}"/>
    <cellStyle name="40% - Énfasis2 21 2 3 2" xfId="26043" xr:uid="{E297EE27-F5D4-49A5-A83A-B7098900156E}"/>
    <cellStyle name="40% - Énfasis2 21 2 3 2 2" xfId="45083" xr:uid="{E32460F7-C53D-4E46-9C8F-4A8390E8FDFD}"/>
    <cellStyle name="40% - Énfasis2 21 2 3 3" xfId="45082" xr:uid="{4773E410-764A-4382-BF16-CCB3195D9FF6}"/>
    <cellStyle name="40% - Énfasis2 21 2 4" xfId="18338" xr:uid="{2EEF34C5-3DAF-4712-AC91-22F318D7D994}"/>
    <cellStyle name="40% - Énfasis2 21 2 4 2" xfId="45084" xr:uid="{22C44BED-2A8D-45C5-9F4C-EEF7722E366E}"/>
    <cellStyle name="40% - Énfasis2 21 2 5" xfId="45077" xr:uid="{9F7C89A4-CF59-4EEC-9B7F-61DA91E44D1C}"/>
    <cellStyle name="40% - Énfasis2 21 3" xfId="5190" xr:uid="{5FE6B66D-071F-4297-9D60-F0FC2DDC5E27}"/>
    <cellStyle name="40% - Énfasis2 21 3 2" xfId="12898" xr:uid="{71493196-D80A-4298-9824-E1FF4860041A}"/>
    <cellStyle name="40% - Énfasis2 21 3 2 2" xfId="28310" xr:uid="{6691256E-1EAB-4FE7-BDC5-BAF489A53C0E}"/>
    <cellStyle name="40% - Énfasis2 21 3 2 2 2" xfId="45087" xr:uid="{AC5008E2-C313-4943-9E08-56781EB616B0}"/>
    <cellStyle name="40% - Énfasis2 21 3 2 3" xfId="45086" xr:uid="{8D16ED76-56BC-4D79-87D4-7925640738A2}"/>
    <cellStyle name="40% - Énfasis2 21 3 3" xfId="20605" xr:uid="{06AEBC10-549C-49D1-AEE2-BAA4D8640FD2}"/>
    <cellStyle name="40% - Énfasis2 21 3 3 2" xfId="45088" xr:uid="{673938AB-6811-44F3-8E98-1A167B84270D}"/>
    <cellStyle name="40% - Énfasis2 21 3 4" xfId="45085" xr:uid="{4E43B0A2-5388-498C-926D-C660A9EAD9AA}"/>
    <cellStyle name="40% - Énfasis2 21 4" xfId="9171" xr:uid="{F321B428-BCF6-49B8-BB90-1A8BFF6E50D0}"/>
    <cellStyle name="40% - Énfasis2 21 4 2" xfId="24584" xr:uid="{545F999C-96F6-4599-8279-E33782D08B4C}"/>
    <cellStyle name="40% - Énfasis2 21 4 2 2" xfId="45090" xr:uid="{C5B1ABFE-E2F9-4611-914B-1CA7D013AF23}"/>
    <cellStyle name="40% - Énfasis2 21 4 3" xfId="45089" xr:uid="{EED3B435-51E4-4ACD-BFC8-97E07D01170B}"/>
    <cellStyle name="40% - Énfasis2 21 5" xfId="16879" xr:uid="{570AAD39-6D19-40F0-9E0D-DF11ECCFB12F}"/>
    <cellStyle name="40% - Énfasis2 21 5 2" xfId="45091" xr:uid="{D3656F94-D1F1-41C4-B311-10FEAEA12BDE}"/>
    <cellStyle name="40% - Énfasis2 21 6" xfId="45076" xr:uid="{11DFBA6B-8F6E-4C30-AF8F-4401F9A652EA}"/>
    <cellStyle name="40% - Énfasis2 22" xfId="1474" xr:uid="{207A53DD-A270-4A26-901A-2B13B534EBFC}"/>
    <cellStyle name="40% - Énfasis2 22 2" xfId="2939" xr:uid="{CF3AE88F-2417-4CB6-96D9-32DECF190462}"/>
    <cellStyle name="40% - Énfasis2 22 2 2" xfId="6671" xr:uid="{31F18ED1-B170-4077-ACFF-2B4C547FD869}"/>
    <cellStyle name="40% - Énfasis2 22 2 2 2" xfId="14379" xr:uid="{EFBBD988-C6B5-4592-9F59-0FB151773D50}"/>
    <cellStyle name="40% - Énfasis2 22 2 2 2 2" xfId="29791" xr:uid="{EEAD3407-B1A6-4000-B490-5C38DEA69DA0}"/>
    <cellStyle name="40% - Énfasis2 22 2 2 2 2 2" xfId="45096" xr:uid="{A82B3870-645E-4064-A4DB-DC37C30F205B}"/>
    <cellStyle name="40% - Énfasis2 22 2 2 2 3" xfId="45095" xr:uid="{8C93F090-1B88-4CC9-B0E2-EEE6B913B5CF}"/>
    <cellStyle name="40% - Énfasis2 22 2 2 3" xfId="22086" xr:uid="{E2AA2657-BFB8-4038-A0DB-E1E06A5DBFDC}"/>
    <cellStyle name="40% - Énfasis2 22 2 2 3 2" xfId="45097" xr:uid="{8CB47F3D-97F9-457C-B4D0-C761BC3CBD4D}"/>
    <cellStyle name="40% - Énfasis2 22 2 2 4" xfId="45094" xr:uid="{64978B5E-129D-44AB-878D-2078CBECA76C}"/>
    <cellStyle name="40% - Énfasis2 22 2 3" xfId="10650" xr:uid="{B289EB69-7F99-49A0-B9C5-4E048EC61784}"/>
    <cellStyle name="40% - Énfasis2 22 2 3 2" xfId="26063" xr:uid="{13E39746-05CF-483E-9370-2C6E150FB7DA}"/>
    <cellStyle name="40% - Énfasis2 22 2 3 2 2" xfId="45099" xr:uid="{F1A7DEA4-2254-404C-ADE7-171EE23AD454}"/>
    <cellStyle name="40% - Énfasis2 22 2 3 3" xfId="45098" xr:uid="{1BA561B0-5ABC-48B2-98FE-10DC985473EA}"/>
    <cellStyle name="40% - Énfasis2 22 2 4" xfId="18358" xr:uid="{EB0CA1FA-7579-4F1B-AE8F-BCC888D766E1}"/>
    <cellStyle name="40% - Énfasis2 22 2 4 2" xfId="45100" xr:uid="{A525B38E-AE03-47C3-A324-B3C1A2BEBB48}"/>
    <cellStyle name="40% - Énfasis2 22 2 5" xfId="45093" xr:uid="{4CFCB764-F41C-44F2-997B-639F275A6F13}"/>
    <cellStyle name="40% - Énfasis2 22 3" xfId="5210" xr:uid="{F6B9ADD2-A932-42D6-AE4A-3D7743BB3539}"/>
    <cellStyle name="40% - Énfasis2 22 3 2" xfId="12918" xr:uid="{EAE85808-EED7-4551-97D4-9689689CFC86}"/>
    <cellStyle name="40% - Énfasis2 22 3 2 2" xfId="28330" xr:uid="{06DD021C-C72D-4BE5-BEE0-CFA58D53BEA4}"/>
    <cellStyle name="40% - Énfasis2 22 3 2 2 2" xfId="45103" xr:uid="{FB619B4A-955E-4473-9503-BDDABBBDE3D0}"/>
    <cellStyle name="40% - Énfasis2 22 3 2 3" xfId="45102" xr:uid="{CFB86088-FF6C-4010-BBC7-6463987CDFF5}"/>
    <cellStyle name="40% - Énfasis2 22 3 3" xfId="20625" xr:uid="{FDB20A28-20A2-4031-943B-D35412285B00}"/>
    <cellStyle name="40% - Énfasis2 22 3 3 2" xfId="45104" xr:uid="{3DA3722A-7902-4B8E-B233-F19AE16C30C9}"/>
    <cellStyle name="40% - Énfasis2 22 3 4" xfId="45101" xr:uid="{1DE6D4AD-8FF4-48BE-89DF-37E6392B7A4A}"/>
    <cellStyle name="40% - Énfasis2 22 4" xfId="9191" xr:uid="{D8D559E5-2CE1-42C4-88A5-B25242387747}"/>
    <cellStyle name="40% - Énfasis2 22 4 2" xfId="24604" xr:uid="{143F68CB-445F-4F2C-AC0F-1AD8C5F317DC}"/>
    <cellStyle name="40% - Énfasis2 22 4 2 2" xfId="45106" xr:uid="{10468F0C-3524-41E0-BB8D-FFF0F8DCD0D7}"/>
    <cellStyle name="40% - Énfasis2 22 4 3" xfId="45105" xr:uid="{CA2E0F2B-F6C7-4B30-B033-171479468E0A}"/>
    <cellStyle name="40% - Énfasis2 22 5" xfId="16899" xr:uid="{17EBD4C5-D418-4159-B35E-5161734DE5D5}"/>
    <cellStyle name="40% - Énfasis2 22 5 2" xfId="45107" xr:uid="{4960C9D7-076F-4361-86E5-EF2EFA390A25}"/>
    <cellStyle name="40% - Énfasis2 22 6" xfId="45092" xr:uid="{ACC02C17-9EDA-4D64-A8DF-C318AFF553A5}"/>
    <cellStyle name="40% - Énfasis2 23" xfId="1494" xr:uid="{31DB1C73-4615-4E08-844E-70E11E877424}"/>
    <cellStyle name="40% - Énfasis2 23 2" xfId="2959" xr:uid="{2549A92E-3680-4565-BB86-17C211667D86}"/>
    <cellStyle name="40% - Énfasis2 23 2 2" xfId="6691" xr:uid="{5EFEECA7-CC30-4BDB-977F-6AB62DCA74F2}"/>
    <cellStyle name="40% - Énfasis2 23 2 2 2" xfId="14399" xr:uid="{949E1625-1B9C-480F-8E54-A118E7634C4F}"/>
    <cellStyle name="40% - Énfasis2 23 2 2 2 2" xfId="29811" xr:uid="{B3986CF6-0093-4740-9CA8-9EAFC80948D3}"/>
    <cellStyle name="40% - Énfasis2 23 2 2 2 2 2" xfId="45112" xr:uid="{B5662FAE-3317-40F8-822C-709A07939D3D}"/>
    <cellStyle name="40% - Énfasis2 23 2 2 2 3" xfId="45111" xr:uid="{BF03B28A-713A-48FC-AB14-B3DDB7CB7EB7}"/>
    <cellStyle name="40% - Énfasis2 23 2 2 3" xfId="22106" xr:uid="{A832E9B6-C7A0-4387-BB94-57C1DD9249A8}"/>
    <cellStyle name="40% - Énfasis2 23 2 2 3 2" xfId="45113" xr:uid="{7F9E83BB-7038-4E92-BC4F-C75206A07C81}"/>
    <cellStyle name="40% - Énfasis2 23 2 2 4" xfId="45110" xr:uid="{A1DA9C03-98CB-456E-ACFD-25200EC1D8D7}"/>
    <cellStyle name="40% - Énfasis2 23 2 3" xfId="10670" xr:uid="{231C3499-5A0C-48CD-84ED-C6ED804907E1}"/>
    <cellStyle name="40% - Énfasis2 23 2 3 2" xfId="26083" xr:uid="{F6A7812D-A0BF-42AD-935C-7DC4324EF048}"/>
    <cellStyle name="40% - Énfasis2 23 2 3 2 2" xfId="45115" xr:uid="{DE5DCFD6-F30C-4853-809F-E89DDABCBDD6}"/>
    <cellStyle name="40% - Énfasis2 23 2 3 3" xfId="45114" xr:uid="{F4D027A9-FD8F-43D6-BF25-55A9B7A048C6}"/>
    <cellStyle name="40% - Énfasis2 23 2 4" xfId="18378" xr:uid="{33503ABF-1DD2-4F39-A018-B896B995047B}"/>
    <cellStyle name="40% - Énfasis2 23 2 4 2" xfId="45116" xr:uid="{E98B0F10-C3C5-4B6C-83E2-054CD06AFFC5}"/>
    <cellStyle name="40% - Énfasis2 23 2 5" xfId="45109" xr:uid="{0E238FA1-2F43-42EA-8F49-B0CA092FFD16}"/>
    <cellStyle name="40% - Énfasis2 23 3" xfId="5230" xr:uid="{E28A2D68-525B-4D03-9078-847CE956B381}"/>
    <cellStyle name="40% - Énfasis2 23 3 2" xfId="12938" xr:uid="{35698491-4BA9-4D5B-A172-470F0BB1EDE8}"/>
    <cellStyle name="40% - Énfasis2 23 3 2 2" xfId="28350" xr:uid="{A343C1A4-2565-45F4-BE57-A41972B607B9}"/>
    <cellStyle name="40% - Énfasis2 23 3 2 2 2" xfId="45119" xr:uid="{121451A0-E421-446F-9287-6ED498661B57}"/>
    <cellStyle name="40% - Énfasis2 23 3 2 3" xfId="45118" xr:uid="{D8028C1D-CDC7-483B-AD45-3A36F4BAABFB}"/>
    <cellStyle name="40% - Énfasis2 23 3 3" xfId="20645" xr:uid="{ADB8D90C-6CB2-41BA-9268-253BCBD2D350}"/>
    <cellStyle name="40% - Énfasis2 23 3 3 2" xfId="45120" xr:uid="{C7D9D2E4-2D5D-43FF-851B-C6ECB0D684F7}"/>
    <cellStyle name="40% - Énfasis2 23 3 4" xfId="45117" xr:uid="{28578587-E763-428B-B0A5-78928ECDDA77}"/>
    <cellStyle name="40% - Énfasis2 23 4" xfId="9211" xr:uid="{112BCC78-2BBC-4F92-89FF-95CA70B26E8E}"/>
    <cellStyle name="40% - Énfasis2 23 4 2" xfId="24624" xr:uid="{A0C17F75-0B1F-4EA1-A666-DB988108163F}"/>
    <cellStyle name="40% - Énfasis2 23 4 2 2" xfId="45122" xr:uid="{E59A49CA-002C-4EC2-B7D8-AC5638739326}"/>
    <cellStyle name="40% - Énfasis2 23 4 3" xfId="45121" xr:uid="{88C29DCC-9EE5-4C55-8BEE-57541E738CAA}"/>
    <cellStyle name="40% - Énfasis2 23 5" xfId="16919" xr:uid="{1EFA0C3B-7BFA-4835-8678-7350246B1319}"/>
    <cellStyle name="40% - Énfasis2 23 5 2" xfId="45123" xr:uid="{72B2EC46-6884-4FCA-9A5E-52A2765CC4DE}"/>
    <cellStyle name="40% - Énfasis2 23 6" xfId="45108" xr:uid="{ABEBCD5E-ADAE-46F0-81D4-C0A09F5EB863}"/>
    <cellStyle name="40% - Énfasis2 24" xfId="1514" xr:uid="{19742DC2-1C97-4DBD-9B80-BF6DF34E9F3F}"/>
    <cellStyle name="40% - Énfasis2 24 2" xfId="2979" xr:uid="{2EFB3B2A-6B26-4AD6-91DA-A81A57AF3F79}"/>
    <cellStyle name="40% - Énfasis2 24 2 2" xfId="6711" xr:uid="{25073576-E4E0-4082-BCCC-EFB3E0F701F7}"/>
    <cellStyle name="40% - Énfasis2 24 2 2 2" xfId="14419" xr:uid="{ED64BB0D-6D65-40A4-A0B4-66BC7A0937E4}"/>
    <cellStyle name="40% - Énfasis2 24 2 2 2 2" xfId="29831" xr:uid="{6691CF73-D6B0-46C1-AC53-22A8182C4739}"/>
    <cellStyle name="40% - Énfasis2 24 2 2 2 2 2" xfId="45128" xr:uid="{78557274-D9E2-44E9-A254-02350F75EBE1}"/>
    <cellStyle name="40% - Énfasis2 24 2 2 2 3" xfId="45127" xr:uid="{0D1529C2-7520-4030-A544-9C56185A5CE2}"/>
    <cellStyle name="40% - Énfasis2 24 2 2 3" xfId="22126" xr:uid="{4F368F86-DCCF-466C-8A12-88912E3BC6AA}"/>
    <cellStyle name="40% - Énfasis2 24 2 2 3 2" xfId="45129" xr:uid="{2619AD45-1844-4E91-8A00-BC0747552698}"/>
    <cellStyle name="40% - Énfasis2 24 2 2 4" xfId="45126" xr:uid="{76D27675-B7FF-4A40-B337-990A1A271FAD}"/>
    <cellStyle name="40% - Énfasis2 24 2 3" xfId="10690" xr:uid="{91155891-667E-49CE-871A-945504467341}"/>
    <cellStyle name="40% - Énfasis2 24 2 3 2" xfId="26103" xr:uid="{93EEEEF1-4336-4B10-8B02-9E2C4E010FBA}"/>
    <cellStyle name="40% - Énfasis2 24 2 3 2 2" xfId="45131" xr:uid="{1C2BBB53-23C3-40BC-9867-7C68B301C482}"/>
    <cellStyle name="40% - Énfasis2 24 2 3 3" xfId="45130" xr:uid="{5DE85181-49FB-459F-AF24-57D2CFC1846B}"/>
    <cellStyle name="40% - Énfasis2 24 2 4" xfId="18398" xr:uid="{93AC9DE1-9D19-4164-8F1C-76B2A3D17BD6}"/>
    <cellStyle name="40% - Énfasis2 24 2 4 2" xfId="45132" xr:uid="{DDB624EF-28E8-4FB7-9CAF-1B533CCB7895}"/>
    <cellStyle name="40% - Énfasis2 24 2 5" xfId="45125" xr:uid="{C74034FE-3A9A-41C6-B7D4-50DE5C37B48D}"/>
    <cellStyle name="40% - Énfasis2 24 3" xfId="5250" xr:uid="{7E0C29D9-186F-49AD-A046-0F569766E276}"/>
    <cellStyle name="40% - Énfasis2 24 3 2" xfId="12958" xr:uid="{2178E897-A2C8-44C8-A0E5-E79F4A669EEB}"/>
    <cellStyle name="40% - Énfasis2 24 3 2 2" xfId="28370" xr:uid="{0C307E61-4356-4E22-BDFA-DAEB957816AD}"/>
    <cellStyle name="40% - Énfasis2 24 3 2 2 2" xfId="45135" xr:uid="{244EA322-2660-4159-A888-B990CB3790E4}"/>
    <cellStyle name="40% - Énfasis2 24 3 2 3" xfId="45134" xr:uid="{CE012B86-21B4-4740-8D38-370462EF3642}"/>
    <cellStyle name="40% - Énfasis2 24 3 3" xfId="20665" xr:uid="{CFC38FF2-261B-4CCA-B77C-CDAD6F9072EF}"/>
    <cellStyle name="40% - Énfasis2 24 3 3 2" xfId="45136" xr:uid="{A7996256-B1B6-479A-8126-035A8641F8B1}"/>
    <cellStyle name="40% - Énfasis2 24 3 4" xfId="45133" xr:uid="{9A95DC63-74C2-4B0A-9303-C9E5B1F29B89}"/>
    <cellStyle name="40% - Énfasis2 24 4" xfId="9231" xr:uid="{3019C14E-D58A-462A-AD6B-C3A13152F1E8}"/>
    <cellStyle name="40% - Énfasis2 24 4 2" xfId="24644" xr:uid="{8E3DF7E2-2740-48F2-B42D-3DE813E12EE8}"/>
    <cellStyle name="40% - Énfasis2 24 4 2 2" xfId="45138" xr:uid="{AD8CA15E-7D7F-426E-A90B-ABC2B3FE350D}"/>
    <cellStyle name="40% - Énfasis2 24 4 3" xfId="45137" xr:uid="{D1B23EB2-EEF9-4C8B-8E04-54829903655F}"/>
    <cellStyle name="40% - Énfasis2 24 5" xfId="16939" xr:uid="{96272061-0337-4E37-9A4A-916880A5D1CF}"/>
    <cellStyle name="40% - Énfasis2 24 5 2" xfId="45139" xr:uid="{D36DBC63-5CF5-4407-B065-D88BB091C298}"/>
    <cellStyle name="40% - Énfasis2 24 6" xfId="45124" xr:uid="{1D9D3594-65DC-439F-ACAF-B3A725C1FB17}"/>
    <cellStyle name="40% - Énfasis2 25" xfId="1534" xr:uid="{5D6D084E-FC87-4934-A65F-B1652EECEC19}"/>
    <cellStyle name="40% - Énfasis2 25 2" xfId="2999" xr:uid="{BD7AF16E-B79E-4CD5-BE00-DD34673A91E5}"/>
    <cellStyle name="40% - Énfasis2 25 2 2" xfId="6731" xr:uid="{4158B5F8-CD68-4FE7-B37E-3F23DAC0F0B1}"/>
    <cellStyle name="40% - Énfasis2 25 2 2 2" xfId="14439" xr:uid="{45504D0D-3D20-42FD-99FD-4AA841D28C5B}"/>
    <cellStyle name="40% - Énfasis2 25 2 2 2 2" xfId="29851" xr:uid="{9FBA4D66-421B-4899-B3BD-25821ED804C5}"/>
    <cellStyle name="40% - Énfasis2 25 2 2 2 2 2" xfId="45144" xr:uid="{92136393-4950-406E-A0BD-C83486F0A76F}"/>
    <cellStyle name="40% - Énfasis2 25 2 2 2 3" xfId="45143" xr:uid="{7C8D43E9-7846-450F-87B5-15B2C80E1AC2}"/>
    <cellStyle name="40% - Énfasis2 25 2 2 3" xfId="22146" xr:uid="{856A2E83-5660-4596-B5F3-6257D84F6C5D}"/>
    <cellStyle name="40% - Énfasis2 25 2 2 3 2" xfId="45145" xr:uid="{E5464669-F69B-44B2-B8AE-D3317D113927}"/>
    <cellStyle name="40% - Énfasis2 25 2 2 4" xfId="45142" xr:uid="{49B0D5D8-AF83-4A44-ACC4-BD7A16801264}"/>
    <cellStyle name="40% - Énfasis2 25 2 3" xfId="10710" xr:uid="{964327C9-C710-4D22-85F3-3E8C09C92235}"/>
    <cellStyle name="40% - Énfasis2 25 2 3 2" xfId="26123" xr:uid="{3AAE3209-CD12-4B84-945D-5C6C063B70B4}"/>
    <cellStyle name="40% - Énfasis2 25 2 3 2 2" xfId="45147" xr:uid="{8DFD40F8-CA8B-4FDC-94D0-010729AC5E8C}"/>
    <cellStyle name="40% - Énfasis2 25 2 3 3" xfId="45146" xr:uid="{687A83F2-A174-49FD-BF9B-37ACAD12FADD}"/>
    <cellStyle name="40% - Énfasis2 25 2 4" xfId="18418" xr:uid="{27C385DA-B46A-4F8B-876E-1FE839E4E763}"/>
    <cellStyle name="40% - Énfasis2 25 2 4 2" xfId="45148" xr:uid="{8EC89E5D-0DDE-4371-A206-644B8B152FE0}"/>
    <cellStyle name="40% - Énfasis2 25 2 5" xfId="45141" xr:uid="{AF816ED8-EC5A-40F5-9382-2C1BD40DDD92}"/>
    <cellStyle name="40% - Énfasis2 25 3" xfId="5270" xr:uid="{CC8575DE-51A4-4257-ACB0-5FB4D25348CE}"/>
    <cellStyle name="40% - Énfasis2 25 3 2" xfId="12978" xr:uid="{2C14803B-D017-4D89-B60E-6C83D2954089}"/>
    <cellStyle name="40% - Énfasis2 25 3 2 2" xfId="28390" xr:uid="{8A84C039-2F32-49C1-9E86-7C629E8C2F36}"/>
    <cellStyle name="40% - Énfasis2 25 3 2 2 2" xfId="45151" xr:uid="{A3DE659C-BEA7-4FEF-AB28-F66A902B1858}"/>
    <cellStyle name="40% - Énfasis2 25 3 2 3" xfId="45150" xr:uid="{CB53DB52-3F4D-4C95-A418-C58031E779A6}"/>
    <cellStyle name="40% - Énfasis2 25 3 3" xfId="20685" xr:uid="{1C65434B-894B-41D3-A798-B47703C7D7F0}"/>
    <cellStyle name="40% - Énfasis2 25 3 3 2" xfId="45152" xr:uid="{F5A9897D-B91B-4BE7-9021-63952BEE4580}"/>
    <cellStyle name="40% - Énfasis2 25 3 4" xfId="45149" xr:uid="{0D323081-0C56-427A-B253-87E9D7F15F5F}"/>
    <cellStyle name="40% - Énfasis2 25 4" xfId="9251" xr:uid="{6113B50C-96CB-4D7F-8EA6-F765CB1DF54D}"/>
    <cellStyle name="40% - Énfasis2 25 4 2" xfId="24664" xr:uid="{B5553FA2-B9C8-4E90-9896-D14BAE5CD9C9}"/>
    <cellStyle name="40% - Énfasis2 25 4 2 2" xfId="45154" xr:uid="{77887E95-DAA8-4C6A-8EE4-7BFC05D8167D}"/>
    <cellStyle name="40% - Énfasis2 25 4 3" xfId="45153" xr:uid="{5E4D61C7-6B5F-40F2-BB22-EC218E32656A}"/>
    <cellStyle name="40% - Énfasis2 25 5" xfId="16959" xr:uid="{AE0434C3-D4CB-4A14-866C-4544A4E83187}"/>
    <cellStyle name="40% - Énfasis2 25 5 2" xfId="45155" xr:uid="{D31FB3EB-3918-4B33-8926-5C41ABF0AC30}"/>
    <cellStyle name="40% - Énfasis2 25 6" xfId="45140" xr:uid="{02EACAD0-8E3E-44BB-AF05-8D6784CBD105}"/>
    <cellStyle name="40% - Énfasis2 26" xfId="1554" xr:uid="{68FF11CB-B601-4AB9-ABE4-D7C03DB0A5D9}"/>
    <cellStyle name="40% - Énfasis2 26 2" xfId="3019" xr:uid="{1B01303F-F382-4521-8C06-B710B67CBE2D}"/>
    <cellStyle name="40% - Énfasis2 26 2 2" xfId="6751" xr:uid="{674F7538-7F80-42F3-9819-E2B0F216F9B2}"/>
    <cellStyle name="40% - Énfasis2 26 2 2 2" xfId="14459" xr:uid="{8529037F-51B0-4C29-8563-B5B964200FE0}"/>
    <cellStyle name="40% - Énfasis2 26 2 2 2 2" xfId="29871" xr:uid="{98A54E4D-C571-4D4E-8657-44898F6A4C5C}"/>
    <cellStyle name="40% - Énfasis2 26 2 2 2 2 2" xfId="45160" xr:uid="{AC9E56ED-F187-4A09-8202-2311F0956DA1}"/>
    <cellStyle name="40% - Énfasis2 26 2 2 2 3" xfId="45159" xr:uid="{FA3AE30A-9093-44B0-8F2E-F93F496EE99F}"/>
    <cellStyle name="40% - Énfasis2 26 2 2 3" xfId="22166" xr:uid="{EEE4CF22-4AA3-4B63-AC4A-D303201331EA}"/>
    <cellStyle name="40% - Énfasis2 26 2 2 3 2" xfId="45161" xr:uid="{A59B1E49-216C-4B92-9405-2B4EDC4FF88D}"/>
    <cellStyle name="40% - Énfasis2 26 2 2 4" xfId="45158" xr:uid="{97BA37F4-8390-4DD3-AF81-ECE0BD46C382}"/>
    <cellStyle name="40% - Énfasis2 26 2 3" xfId="10730" xr:uid="{A4411970-6F96-428D-9FB0-22E17251E570}"/>
    <cellStyle name="40% - Énfasis2 26 2 3 2" xfId="26143" xr:uid="{31992435-775D-4538-BC2D-A08AFAB05380}"/>
    <cellStyle name="40% - Énfasis2 26 2 3 2 2" xfId="45163" xr:uid="{2F05CCCC-E48E-49C4-966B-362B402CD71E}"/>
    <cellStyle name="40% - Énfasis2 26 2 3 3" xfId="45162" xr:uid="{F36C68B8-D819-466E-911D-A36C3DC800D9}"/>
    <cellStyle name="40% - Énfasis2 26 2 4" xfId="18438" xr:uid="{43EB4632-4F79-44A1-A280-2B89EF75DB20}"/>
    <cellStyle name="40% - Énfasis2 26 2 4 2" xfId="45164" xr:uid="{8CCC0FE2-C6A6-4C95-A936-D7E98CDE7A93}"/>
    <cellStyle name="40% - Énfasis2 26 2 5" xfId="45157" xr:uid="{574FFA25-C20A-4D5C-A17C-030602DF8CD3}"/>
    <cellStyle name="40% - Énfasis2 26 3" xfId="5290" xr:uid="{A17DD0EF-CD9B-4177-8CF6-36CF67BC8059}"/>
    <cellStyle name="40% - Énfasis2 26 3 2" xfId="12998" xr:uid="{DC313F61-BD8C-4A9F-9D30-F1FBC4451F89}"/>
    <cellStyle name="40% - Énfasis2 26 3 2 2" xfId="28410" xr:uid="{A1CDA1A1-ACB8-4799-95B9-CFF075D15307}"/>
    <cellStyle name="40% - Énfasis2 26 3 2 2 2" xfId="45167" xr:uid="{82EB8094-7154-45B6-AD9E-98EA2D2CB001}"/>
    <cellStyle name="40% - Énfasis2 26 3 2 3" xfId="45166" xr:uid="{7E8FE68F-838F-4619-8456-650769DD57A0}"/>
    <cellStyle name="40% - Énfasis2 26 3 3" xfId="20705" xr:uid="{2B8FA570-247B-43CF-BB84-E3A77110EAFB}"/>
    <cellStyle name="40% - Énfasis2 26 3 3 2" xfId="45168" xr:uid="{5471B34C-FA7F-450C-B330-17C51AC4D3B3}"/>
    <cellStyle name="40% - Énfasis2 26 3 4" xfId="45165" xr:uid="{7B3E7DC7-E58B-4697-B706-51FB6B494804}"/>
    <cellStyle name="40% - Énfasis2 26 4" xfId="9271" xr:uid="{524582AA-4524-4EBF-8FA4-7EE4DFB2275C}"/>
    <cellStyle name="40% - Énfasis2 26 4 2" xfId="24684" xr:uid="{A1059EB0-90D8-4D2E-8606-CB5C2A5B27EC}"/>
    <cellStyle name="40% - Énfasis2 26 4 2 2" xfId="45170" xr:uid="{4414C2FA-61B2-4086-BA20-7481F036C79D}"/>
    <cellStyle name="40% - Énfasis2 26 4 3" xfId="45169" xr:uid="{A35901B6-4ADF-495E-BB75-BD56C59F5452}"/>
    <cellStyle name="40% - Énfasis2 26 5" xfId="16979" xr:uid="{8CAEB21E-43D1-41C7-B78C-C357B048FC7F}"/>
    <cellStyle name="40% - Énfasis2 26 5 2" xfId="45171" xr:uid="{87EAD5C7-4746-45F9-9F8D-B63EF093B989}"/>
    <cellStyle name="40% - Énfasis2 26 6" xfId="45156" xr:uid="{4C568467-E9A3-4BA5-BA5F-D8993CFCC302}"/>
    <cellStyle name="40% - Énfasis2 27" xfId="1574" xr:uid="{6C558BF1-2534-4978-82C5-40945E49DC43}"/>
    <cellStyle name="40% - Énfasis2 27 2" xfId="3039" xr:uid="{17A88B46-D50D-4CE0-94A4-46EF43D444F3}"/>
    <cellStyle name="40% - Énfasis2 27 2 2" xfId="6771" xr:uid="{54923211-48D5-4378-84CF-349916401407}"/>
    <cellStyle name="40% - Énfasis2 27 2 2 2" xfId="14479" xr:uid="{391D0171-77AB-4313-97F8-AEDF686050C2}"/>
    <cellStyle name="40% - Énfasis2 27 2 2 2 2" xfId="29891" xr:uid="{C218ACD8-EB41-4C18-BFB2-9C638588A2D7}"/>
    <cellStyle name="40% - Énfasis2 27 2 2 2 2 2" xfId="45176" xr:uid="{523D9314-977A-4A25-BE39-AAD5AB1E86F9}"/>
    <cellStyle name="40% - Énfasis2 27 2 2 2 3" xfId="45175" xr:uid="{431019C4-C89A-45B6-B3B4-4D38B5941B0A}"/>
    <cellStyle name="40% - Énfasis2 27 2 2 3" xfId="22186" xr:uid="{6F049B42-1B8E-485B-A766-FBD521EF2FD0}"/>
    <cellStyle name="40% - Énfasis2 27 2 2 3 2" xfId="45177" xr:uid="{101F49BD-7392-42A6-BF61-6AB57087B58C}"/>
    <cellStyle name="40% - Énfasis2 27 2 2 4" xfId="45174" xr:uid="{2030A922-0C64-4639-AA24-D5B7FDC8C445}"/>
    <cellStyle name="40% - Énfasis2 27 2 3" xfId="10750" xr:uid="{29963198-39B8-4955-977D-DA6BFC838C38}"/>
    <cellStyle name="40% - Énfasis2 27 2 3 2" xfId="26163" xr:uid="{81BC5749-67C0-47F5-A81D-A5D260C4FCCA}"/>
    <cellStyle name="40% - Énfasis2 27 2 3 2 2" xfId="45179" xr:uid="{01CDEEB7-309D-4CF2-8938-8895E082B226}"/>
    <cellStyle name="40% - Énfasis2 27 2 3 3" xfId="45178" xr:uid="{E7281BA3-E2EF-43D2-9523-D1507F4506D7}"/>
    <cellStyle name="40% - Énfasis2 27 2 4" xfId="18458" xr:uid="{DA6BB7BA-35D7-4084-B730-191709637FC7}"/>
    <cellStyle name="40% - Énfasis2 27 2 4 2" xfId="45180" xr:uid="{CC7B8B5D-8731-4FD1-8DCB-FA6DDA6AC428}"/>
    <cellStyle name="40% - Énfasis2 27 2 5" xfId="45173" xr:uid="{B854D693-E1D3-45F1-8970-C94FFB44BC96}"/>
    <cellStyle name="40% - Énfasis2 27 3" xfId="5310" xr:uid="{AFA53A4B-9CBB-45AF-872A-891BF27337AC}"/>
    <cellStyle name="40% - Énfasis2 27 3 2" xfId="13018" xr:uid="{4556D316-63E4-4ACA-8BE8-4412F0A53B06}"/>
    <cellStyle name="40% - Énfasis2 27 3 2 2" xfId="28430" xr:uid="{D7D46342-F6DB-48D3-962B-834612329629}"/>
    <cellStyle name="40% - Énfasis2 27 3 2 2 2" xfId="45183" xr:uid="{24DD2D19-8B81-47E9-86B1-8A7E827B4D29}"/>
    <cellStyle name="40% - Énfasis2 27 3 2 3" xfId="45182" xr:uid="{9A8996DB-9388-4666-A500-59D646B8D7D5}"/>
    <cellStyle name="40% - Énfasis2 27 3 3" xfId="20725" xr:uid="{62413549-3C4F-459B-B7B2-70B341318ECB}"/>
    <cellStyle name="40% - Énfasis2 27 3 3 2" xfId="45184" xr:uid="{6839C784-944D-4E48-8BFD-5466EDF2F87D}"/>
    <cellStyle name="40% - Énfasis2 27 3 4" xfId="45181" xr:uid="{59D45874-B911-4AA5-906E-BCCF3D170522}"/>
    <cellStyle name="40% - Énfasis2 27 4" xfId="9291" xr:uid="{8F6A57AA-9F13-47E8-8BE6-CAB4957B5849}"/>
    <cellStyle name="40% - Énfasis2 27 4 2" xfId="24704" xr:uid="{16C03A31-94F0-4AC7-B8DF-561C12E0632A}"/>
    <cellStyle name="40% - Énfasis2 27 4 2 2" xfId="45186" xr:uid="{26F17013-8A2B-474E-A8B5-12AAC1B18197}"/>
    <cellStyle name="40% - Énfasis2 27 4 3" xfId="45185" xr:uid="{10201959-57DE-4444-A187-ACC81E319D31}"/>
    <cellStyle name="40% - Énfasis2 27 5" xfId="16999" xr:uid="{69803124-ED49-4722-BE30-27BC0C2F6316}"/>
    <cellStyle name="40% - Énfasis2 27 5 2" xfId="45187" xr:uid="{ADEE0DCC-B7C8-471C-9245-4BBC08E19A4E}"/>
    <cellStyle name="40% - Énfasis2 27 6" xfId="45172" xr:uid="{5E307083-9420-4F22-8358-1C51EA0B251D}"/>
    <cellStyle name="40% - Énfasis2 28" xfId="1595" xr:uid="{9BC9C4A0-F333-45C1-8FBE-728AC1CE400D}"/>
    <cellStyle name="40% - Énfasis2 28 2" xfId="3060" xr:uid="{7CE42836-C493-435C-850C-B9D13305B79B}"/>
    <cellStyle name="40% - Énfasis2 28 2 2" xfId="6792" xr:uid="{3637E660-C531-4D40-B530-952BCD712C82}"/>
    <cellStyle name="40% - Énfasis2 28 2 2 2" xfId="14500" xr:uid="{E18CAEC2-5B11-4118-9A87-89AC0A6D6546}"/>
    <cellStyle name="40% - Énfasis2 28 2 2 2 2" xfId="29912" xr:uid="{F5C30136-AEA8-44D3-8876-0A923AF3A04C}"/>
    <cellStyle name="40% - Énfasis2 28 2 2 2 2 2" xfId="45192" xr:uid="{A198E79D-C1FA-4506-852A-5CB901CAD189}"/>
    <cellStyle name="40% - Énfasis2 28 2 2 2 3" xfId="45191" xr:uid="{8E3D95CB-B3BA-4715-9B42-06FF82F32E43}"/>
    <cellStyle name="40% - Énfasis2 28 2 2 3" xfId="22207" xr:uid="{09170B17-F480-4C95-8C73-3456087911CE}"/>
    <cellStyle name="40% - Énfasis2 28 2 2 3 2" xfId="45193" xr:uid="{AA065B5E-F74D-490D-9E55-4933891B643B}"/>
    <cellStyle name="40% - Énfasis2 28 2 2 4" xfId="45190" xr:uid="{03DD4398-710A-48B6-AA70-9AB4CE4D1ACA}"/>
    <cellStyle name="40% - Énfasis2 28 2 3" xfId="10771" xr:uid="{D106D1FD-4D5D-42EC-B48F-6B59068E3B36}"/>
    <cellStyle name="40% - Énfasis2 28 2 3 2" xfId="26184" xr:uid="{1B62BD22-CA2C-44D0-90EF-1E5153232C14}"/>
    <cellStyle name="40% - Énfasis2 28 2 3 2 2" xfId="45195" xr:uid="{065680C2-FD80-4AD6-9AF0-28B39BEEC050}"/>
    <cellStyle name="40% - Énfasis2 28 2 3 3" xfId="45194" xr:uid="{48D66817-EE6A-4C29-B4A9-4FEE2BE5C1AD}"/>
    <cellStyle name="40% - Énfasis2 28 2 4" xfId="18479" xr:uid="{6429AAC5-BF33-4B71-845A-6A0F304A2799}"/>
    <cellStyle name="40% - Énfasis2 28 2 4 2" xfId="45196" xr:uid="{05FB16E1-3386-4FA2-8C1C-770C06C32CF9}"/>
    <cellStyle name="40% - Énfasis2 28 2 5" xfId="45189" xr:uid="{105C9721-AAF6-46A6-8A03-E760D17FED67}"/>
    <cellStyle name="40% - Énfasis2 28 3" xfId="5331" xr:uid="{454A31D1-8192-47F4-B166-A9D96CA6067C}"/>
    <cellStyle name="40% - Énfasis2 28 3 2" xfId="13039" xr:uid="{6D335EA4-423C-40FB-9A6C-6635AC8225ED}"/>
    <cellStyle name="40% - Énfasis2 28 3 2 2" xfId="28451" xr:uid="{2095CCF0-F55A-4BA5-B07E-905FD726141D}"/>
    <cellStyle name="40% - Énfasis2 28 3 2 2 2" xfId="45199" xr:uid="{9C6779D2-2A40-4243-A593-2A1E7E555B7D}"/>
    <cellStyle name="40% - Énfasis2 28 3 2 3" xfId="45198" xr:uid="{74A4EA56-054B-4B20-8758-BCEE49CFE49B}"/>
    <cellStyle name="40% - Énfasis2 28 3 3" xfId="20746" xr:uid="{87E9F46B-7699-4E4A-984A-17C50BAC6A1B}"/>
    <cellStyle name="40% - Énfasis2 28 3 3 2" xfId="45200" xr:uid="{39AB0325-3639-4453-84F6-39302C0F1107}"/>
    <cellStyle name="40% - Énfasis2 28 3 4" xfId="45197" xr:uid="{08F6DA04-4B5F-4F90-9843-C0E366A73F4C}"/>
    <cellStyle name="40% - Énfasis2 28 4" xfId="9312" xr:uid="{36344D9F-4F6D-4721-802C-B58FC566058F}"/>
    <cellStyle name="40% - Énfasis2 28 4 2" xfId="24725" xr:uid="{660BDDB1-8A4D-45FB-8152-C8690EC29A7A}"/>
    <cellStyle name="40% - Énfasis2 28 4 2 2" xfId="45202" xr:uid="{04711632-27BC-4F37-9984-66F01728F938}"/>
    <cellStyle name="40% - Énfasis2 28 4 3" xfId="45201" xr:uid="{34BF0798-DA0D-44FA-BD96-F061306A9AE5}"/>
    <cellStyle name="40% - Énfasis2 28 5" xfId="17020" xr:uid="{1DD78AB0-6FEB-488C-905A-DA30764BD131}"/>
    <cellStyle name="40% - Énfasis2 28 5 2" xfId="45203" xr:uid="{CD7C95AE-825D-46B1-B907-F67CDF62D1EE}"/>
    <cellStyle name="40% - Énfasis2 28 6" xfId="45188" xr:uid="{A934C685-B242-4502-A127-B82927BC13DF}"/>
    <cellStyle name="40% - Énfasis2 29" xfId="3080" xr:uid="{89EA7C20-F433-4FDE-B6E6-B901DB0E603E}"/>
    <cellStyle name="40% - Énfasis2 29 2" xfId="6812" xr:uid="{38766D08-F9BB-4C21-9BC4-A5BD652B35B3}"/>
    <cellStyle name="40% - Énfasis2 29 2 2" xfId="14520" xr:uid="{073B5EE8-4649-4FC4-9F9B-B6F7339CD22F}"/>
    <cellStyle name="40% - Énfasis2 29 2 2 2" xfId="29932" xr:uid="{4D45A42D-C28D-430C-B07B-4161C84DAD2D}"/>
    <cellStyle name="40% - Énfasis2 29 2 2 2 2" xfId="45207" xr:uid="{B1BE0B04-D9E8-4079-AB98-6C2990259262}"/>
    <cellStyle name="40% - Énfasis2 29 2 2 3" xfId="45206" xr:uid="{B8C4184A-70A6-4B46-80E9-B0D07FB90175}"/>
    <cellStyle name="40% - Énfasis2 29 2 3" xfId="22227" xr:uid="{402E1CD8-B577-45B1-A2B4-3B3E6EA9CB73}"/>
    <cellStyle name="40% - Énfasis2 29 2 3 2" xfId="45208" xr:uid="{A3A258D2-5B92-42A7-8F35-E0F7665E439E}"/>
    <cellStyle name="40% - Énfasis2 29 2 4" xfId="45205" xr:uid="{A3E7C5B4-B033-4CC5-A187-D87DDD234C07}"/>
    <cellStyle name="40% - Énfasis2 29 3" xfId="10791" xr:uid="{1BAA36D5-0340-4640-8B15-FD3139FAC747}"/>
    <cellStyle name="40% - Énfasis2 29 3 2" xfId="26204" xr:uid="{1091E8E0-212B-4C41-8C33-CB1995A72423}"/>
    <cellStyle name="40% - Énfasis2 29 3 2 2" xfId="45210" xr:uid="{E38CE726-8EE5-443C-ACED-C1DA7086F7C6}"/>
    <cellStyle name="40% - Énfasis2 29 3 3" xfId="45209" xr:uid="{FFF64EE5-0683-431E-A4CE-B57A71821782}"/>
    <cellStyle name="40% - Énfasis2 29 4" xfId="18499" xr:uid="{E480378F-2B81-45E6-98F0-E71019777A87}"/>
    <cellStyle name="40% - Énfasis2 29 4 2" xfId="45211" xr:uid="{4327B818-C479-47A9-8BF2-AFDACD03B761}"/>
    <cellStyle name="40% - Énfasis2 29 5" xfId="45204" xr:uid="{57820BE1-1BF3-450F-90C4-97DE65A642CD}"/>
    <cellStyle name="40% - Énfasis2 3" xfId="242" xr:uid="{1B93804B-D96B-42AE-8477-F48D31162141}"/>
    <cellStyle name="40% - Énfasis2 3 2" xfId="444" xr:uid="{E44CA10C-E520-4B3C-8BBC-FDDBDE17BFBB}"/>
    <cellStyle name="40% - Énfasis2 3 2 2" xfId="1105" xr:uid="{3B3A9EA4-0E7F-41F4-80E9-35899039425B}"/>
    <cellStyle name="40% - Énfasis2 3 2 2 2" xfId="2573" xr:uid="{5A87A2F9-5F1D-4B68-B9B9-22CBD7123A4F}"/>
    <cellStyle name="40% - Énfasis2 3 2 2 2 2" xfId="6305" xr:uid="{B1DF3A70-ED37-4A8B-84A3-CE977B751D47}"/>
    <cellStyle name="40% - Énfasis2 3 2 2 2 2 2" xfId="14013" xr:uid="{E5CAD58E-1F8E-4E68-BAE8-9D63BBDF8AB4}"/>
    <cellStyle name="40% - Énfasis2 3 2 2 2 2 2 2" xfId="29425" xr:uid="{6C0A1EE7-2F57-4296-A3C3-5899E1BEA64C}"/>
    <cellStyle name="40% - Énfasis2 3 2 2 2 2 2 2 2" xfId="45218" xr:uid="{F1F78D6F-E7ED-4F89-A02D-DF6B47770545}"/>
    <cellStyle name="40% - Énfasis2 3 2 2 2 2 2 3" xfId="45217" xr:uid="{AE531B63-A871-47F3-AF9E-5F2BAE28676A}"/>
    <cellStyle name="40% - Énfasis2 3 2 2 2 2 3" xfId="21720" xr:uid="{4975926E-F5E2-4BFD-903B-0CF5ADEE1D88}"/>
    <cellStyle name="40% - Énfasis2 3 2 2 2 2 3 2" xfId="45219" xr:uid="{9AD03E76-1845-4BAC-AE61-DC1214877128}"/>
    <cellStyle name="40% - Énfasis2 3 2 2 2 2 4" xfId="45216" xr:uid="{373B455D-A9DA-47D6-84CD-1B3441AE98AC}"/>
    <cellStyle name="40% - Énfasis2 3 2 2 2 3" xfId="10284" xr:uid="{54E34043-DB63-424E-A7EC-C94B61EB0097}"/>
    <cellStyle name="40% - Énfasis2 3 2 2 2 3 2" xfId="25697" xr:uid="{67B96C4F-C599-4C8D-9B69-B96D57776F5D}"/>
    <cellStyle name="40% - Énfasis2 3 2 2 2 3 2 2" xfId="45221" xr:uid="{BFF8ED00-9DEA-4C0D-AF90-09C968222B47}"/>
    <cellStyle name="40% - Énfasis2 3 2 2 2 3 3" xfId="45220" xr:uid="{58B4D44B-F877-43F3-928B-4CE9B93C77E8}"/>
    <cellStyle name="40% - Énfasis2 3 2 2 2 4" xfId="17992" xr:uid="{53A31C08-429B-440F-84AC-A36AB2585A27}"/>
    <cellStyle name="40% - Énfasis2 3 2 2 2 4 2" xfId="45222" xr:uid="{3C178043-3FC3-4284-8126-51A00A4A20F7}"/>
    <cellStyle name="40% - Énfasis2 3 2 2 2 5" xfId="45215" xr:uid="{C014CD1C-B09F-4BEB-ADF1-1388A2310619}"/>
    <cellStyle name="40% - Énfasis2 3 2 2 3" xfId="4842" xr:uid="{D68D6D0B-71F0-467F-83C5-7569DCED7289}"/>
    <cellStyle name="40% - Énfasis2 3 2 2 3 2" xfId="12550" xr:uid="{E3893603-158E-4867-8441-10342497B752}"/>
    <cellStyle name="40% - Énfasis2 3 2 2 3 2 2" xfId="27962" xr:uid="{15D3BB96-BEE6-46A2-8E64-783C38FB082A}"/>
    <cellStyle name="40% - Énfasis2 3 2 2 3 2 2 2" xfId="45225" xr:uid="{BC7A8A7C-835D-4F45-9E55-A4757340A81F}"/>
    <cellStyle name="40% - Énfasis2 3 2 2 3 2 3" xfId="45224" xr:uid="{90D8E8B0-2CD9-4874-B8F5-F30CBCE66ED6}"/>
    <cellStyle name="40% - Énfasis2 3 2 2 3 3" xfId="20257" xr:uid="{D56CD063-E7D4-4928-9B69-4D3CB1D9156B}"/>
    <cellStyle name="40% - Énfasis2 3 2 2 3 3 2" xfId="45226" xr:uid="{812F5018-EBE5-4A60-85C4-A6D3054E6EDF}"/>
    <cellStyle name="40% - Énfasis2 3 2 2 3 4" xfId="45223" xr:uid="{89FEAA59-9426-4BE3-AD8E-F0503DF9EA54}"/>
    <cellStyle name="40% - Énfasis2 3 2 2 4" xfId="8825" xr:uid="{4F1D8574-8E0E-4A55-AB45-0AAB61247174}"/>
    <cellStyle name="40% - Énfasis2 3 2 2 4 2" xfId="24238" xr:uid="{0C43A80C-A431-47AD-9081-3F88E3B82243}"/>
    <cellStyle name="40% - Énfasis2 3 2 2 4 2 2" xfId="45228" xr:uid="{5CE441FD-B19F-48BE-9EEF-951F49F7025E}"/>
    <cellStyle name="40% - Énfasis2 3 2 2 4 3" xfId="45227" xr:uid="{BFA6D6E9-FB27-4A55-AA39-0C30AB78E95A}"/>
    <cellStyle name="40% - Énfasis2 3 2 2 5" xfId="16533" xr:uid="{FC700FAA-EA31-4A94-8384-D27F3A828E2D}"/>
    <cellStyle name="40% - Énfasis2 3 2 2 5 2" xfId="45229" xr:uid="{27A3156D-77E2-43D8-A970-59E10F8E5A02}"/>
    <cellStyle name="40% - Énfasis2 3 2 2 6" xfId="45214" xr:uid="{C7CA985F-3620-4ADC-995F-B93C199DE6D4}"/>
    <cellStyle name="40% - Énfasis2 3 2 3" xfId="1935" xr:uid="{E3C45ECB-1EF9-46FC-BA07-A1A018FC52A2}"/>
    <cellStyle name="40% - Énfasis2 3 2 3 2" xfId="5667" xr:uid="{B76CC979-36B6-4170-847B-68EB8DA7651B}"/>
    <cellStyle name="40% - Énfasis2 3 2 3 2 2" xfId="13375" xr:uid="{2C541B5E-750C-4D4D-B62D-124191F333A4}"/>
    <cellStyle name="40% - Énfasis2 3 2 3 2 2 2" xfId="28787" xr:uid="{4BBDC229-EB54-46C3-8E01-AD9D18D14073}"/>
    <cellStyle name="40% - Énfasis2 3 2 3 2 2 2 2" xfId="45233" xr:uid="{420EE06C-9863-4594-A3DB-28FA7E6229DA}"/>
    <cellStyle name="40% - Énfasis2 3 2 3 2 2 3" xfId="45232" xr:uid="{79FB1087-661E-4074-8951-86A2032949C5}"/>
    <cellStyle name="40% - Énfasis2 3 2 3 2 3" xfId="21082" xr:uid="{EAD668EB-F42E-4090-8AD8-149F11480A74}"/>
    <cellStyle name="40% - Énfasis2 3 2 3 2 3 2" xfId="45234" xr:uid="{5E26C6D4-FD74-4882-8C42-91FD3CDC6A13}"/>
    <cellStyle name="40% - Énfasis2 3 2 3 2 4" xfId="45231" xr:uid="{5E9283D2-AD39-4F7D-9A76-FF14A29AC4A8}"/>
    <cellStyle name="40% - Énfasis2 3 2 3 3" xfId="9646" xr:uid="{737A66C6-6B7D-415D-866F-7CE2A61A50E1}"/>
    <cellStyle name="40% - Énfasis2 3 2 3 3 2" xfId="25059" xr:uid="{8C93AE6F-C00A-4D51-B1D3-AAA26D6768DE}"/>
    <cellStyle name="40% - Énfasis2 3 2 3 3 2 2" xfId="45236" xr:uid="{0BBFF8BE-1B3F-4F4B-A8C5-30DD136D6602}"/>
    <cellStyle name="40% - Énfasis2 3 2 3 3 3" xfId="45235" xr:uid="{3683DA6D-E23E-4381-AB56-838D5A6D25D4}"/>
    <cellStyle name="40% - Énfasis2 3 2 3 4" xfId="17354" xr:uid="{4F1659BE-0EA0-4D03-905E-84D82FF1F375}"/>
    <cellStyle name="40% - Énfasis2 3 2 3 4 2" xfId="45237" xr:uid="{5C5C9522-CBC6-4923-9E74-707BECB1C110}"/>
    <cellStyle name="40% - Énfasis2 3 2 3 5" xfId="45230" xr:uid="{FAF572B6-A3FD-490B-A87B-8FC175B87E78}"/>
    <cellStyle name="40% - Énfasis2 3 2 4" xfId="4190" xr:uid="{4908775B-0F69-4572-8F41-3B3082002F2F}"/>
    <cellStyle name="40% - Énfasis2 3 2 4 2" xfId="11898" xr:uid="{4FC2EE3B-62B9-41B9-93E9-827887252526}"/>
    <cellStyle name="40% - Énfasis2 3 2 4 2 2" xfId="27310" xr:uid="{A95FDCF0-5EF3-463C-AB6E-C4816BBC946E}"/>
    <cellStyle name="40% - Énfasis2 3 2 4 2 2 2" xfId="45240" xr:uid="{4B45636F-0BC3-4A35-8676-AA5242C3AC33}"/>
    <cellStyle name="40% - Énfasis2 3 2 4 2 3" xfId="45239" xr:uid="{CC8E472A-BE84-4586-9856-C6EFFAE17393}"/>
    <cellStyle name="40% - Énfasis2 3 2 4 3" xfId="19605" xr:uid="{FBA8C468-BC15-4199-9AB3-7A5BD0F8B3CC}"/>
    <cellStyle name="40% - Énfasis2 3 2 4 3 2" xfId="45241" xr:uid="{969A3A82-071F-47C6-96DB-955BE09FD315}"/>
    <cellStyle name="40% - Énfasis2 3 2 4 4" xfId="45238" xr:uid="{B146C2E7-A594-489E-B7BF-A689CA2AE640}"/>
    <cellStyle name="40% - Énfasis2 3 2 5" xfId="8187" xr:uid="{1B7824E6-F0D8-42E9-A4EB-5146B2846C4C}"/>
    <cellStyle name="40% - Énfasis2 3 2 5 2" xfId="23600" xr:uid="{73EFA5D7-D3EE-45CE-86E4-121135B9881B}"/>
    <cellStyle name="40% - Énfasis2 3 2 5 2 2" xfId="45243" xr:uid="{EF433DD0-003E-4704-9756-0CDDC84EC656}"/>
    <cellStyle name="40% - Énfasis2 3 2 5 3" xfId="45242" xr:uid="{A93F5F48-9836-4C07-89D7-DF67C3283293}"/>
    <cellStyle name="40% - Énfasis2 3 2 6" xfId="15895" xr:uid="{643DE2EA-ACC4-4791-B457-AD967D17EB01}"/>
    <cellStyle name="40% - Énfasis2 3 2 6 2" xfId="45244" xr:uid="{57F5C880-1879-4CAE-B882-7B66FC56FA58}"/>
    <cellStyle name="40% - Énfasis2 3 2 7" xfId="45213" xr:uid="{08D901E6-9574-4516-96A5-ECA6980E60CB}"/>
    <cellStyle name="40% - Énfasis2 3 3" xfId="905" xr:uid="{9DF31754-2F90-4CE0-B609-7BA6A887D53A}"/>
    <cellStyle name="40% - Énfasis2 3 3 2" xfId="2375" xr:uid="{66BF5723-2578-4A17-88F7-1C36D29A8D8B}"/>
    <cellStyle name="40% - Énfasis2 3 3 2 2" xfId="6107" xr:uid="{240B7BEB-DFD9-467F-A05E-F2ACDDBE9936}"/>
    <cellStyle name="40% - Énfasis2 3 3 2 2 2" xfId="13815" xr:uid="{408194E5-F241-480C-9920-58FD9AD593AD}"/>
    <cellStyle name="40% - Énfasis2 3 3 2 2 2 2" xfId="29227" xr:uid="{10D7F2CB-E6FD-4630-B40F-08453F6B484C}"/>
    <cellStyle name="40% - Énfasis2 3 3 2 2 2 2 2" xfId="45249" xr:uid="{541BFA7C-D026-4C3A-811E-994C62EF7087}"/>
    <cellStyle name="40% - Énfasis2 3 3 2 2 2 3" xfId="45248" xr:uid="{1C7C6683-C493-42DD-AB56-6EA2A7FE27FA}"/>
    <cellStyle name="40% - Énfasis2 3 3 2 2 3" xfId="21522" xr:uid="{A4CEDBDA-87C6-4D05-B86A-B02F52953987}"/>
    <cellStyle name="40% - Énfasis2 3 3 2 2 3 2" xfId="45250" xr:uid="{BEAE3264-796C-456D-9F5B-84871BD98504}"/>
    <cellStyle name="40% - Énfasis2 3 3 2 2 4" xfId="45247" xr:uid="{473C1BED-8CDB-4FB5-939A-442D450B5EC2}"/>
    <cellStyle name="40% - Énfasis2 3 3 2 3" xfId="10086" xr:uid="{058C6DBB-97B8-4268-98A5-AD4AE5F3EC7B}"/>
    <cellStyle name="40% - Énfasis2 3 3 2 3 2" xfId="25499" xr:uid="{37DFABEC-D1B1-4221-BAF3-8B83042D17F8}"/>
    <cellStyle name="40% - Énfasis2 3 3 2 3 2 2" xfId="45252" xr:uid="{66AF6B55-7418-447F-8B0D-32FCFDF7423E}"/>
    <cellStyle name="40% - Énfasis2 3 3 2 3 3" xfId="45251" xr:uid="{A06826F4-62D5-4383-A883-6D3F93F1AAC6}"/>
    <cellStyle name="40% - Énfasis2 3 3 2 4" xfId="17794" xr:uid="{45432D95-6858-4415-B3B3-DBBCAADD7EB9}"/>
    <cellStyle name="40% - Énfasis2 3 3 2 4 2" xfId="45253" xr:uid="{DB3A1B2C-DF8D-4EB2-970D-FA60F3814547}"/>
    <cellStyle name="40% - Énfasis2 3 3 2 5" xfId="45246" xr:uid="{955B536A-9F44-407E-B496-C3A92E8DA5E5}"/>
    <cellStyle name="40% - Énfasis2 3 3 3" xfId="4642" xr:uid="{3DEB41C1-89EB-496C-941A-F3A44CBA629D}"/>
    <cellStyle name="40% - Énfasis2 3 3 3 2" xfId="12350" xr:uid="{F8A5B652-7CA2-49AE-8778-028B85913A3A}"/>
    <cellStyle name="40% - Énfasis2 3 3 3 2 2" xfId="27762" xr:uid="{FED5DA63-EA2C-4491-8D1C-0DC89A1712D9}"/>
    <cellStyle name="40% - Énfasis2 3 3 3 2 2 2" xfId="45256" xr:uid="{446149A9-7079-4DE1-925F-801BCBA0771D}"/>
    <cellStyle name="40% - Énfasis2 3 3 3 2 3" xfId="45255" xr:uid="{C211D5EF-46A4-4780-A321-AF2B6806B4B2}"/>
    <cellStyle name="40% - Énfasis2 3 3 3 3" xfId="20057" xr:uid="{F07CC728-8FBD-42A4-A2E3-ADF7DF19FDEE}"/>
    <cellStyle name="40% - Énfasis2 3 3 3 3 2" xfId="45257" xr:uid="{C9AC2599-ED49-4F7E-A7C8-4D25763C7793}"/>
    <cellStyle name="40% - Énfasis2 3 3 3 4" xfId="45254" xr:uid="{DC4B51CC-3FDC-40F4-B94F-25504967E2C9}"/>
    <cellStyle name="40% - Énfasis2 3 3 4" xfId="8627" xr:uid="{866099D0-B1FB-40E2-9E6B-2A87162EB426}"/>
    <cellStyle name="40% - Énfasis2 3 3 4 2" xfId="24040" xr:uid="{54E24916-5D15-4354-8017-5B90F9948DD8}"/>
    <cellStyle name="40% - Énfasis2 3 3 4 2 2" xfId="45259" xr:uid="{CCE5FD2C-CBE6-4741-9C32-615F75858697}"/>
    <cellStyle name="40% - Énfasis2 3 3 4 3" xfId="45258" xr:uid="{3D6776FD-C403-4203-95EB-AAD51EFC0A38}"/>
    <cellStyle name="40% - Énfasis2 3 3 5" xfId="16335" xr:uid="{2BB921DC-2EF3-4DEB-B98F-4203F19A753D}"/>
    <cellStyle name="40% - Énfasis2 3 3 5 2" xfId="45260" xr:uid="{021F51EF-CE7A-41ED-9DAD-CD470717FC6E}"/>
    <cellStyle name="40% - Énfasis2 3 3 6" xfId="45245" xr:uid="{BDD9B3FD-F54C-45EE-B6C4-D3F7753B30EF}"/>
    <cellStyle name="40% - Énfasis2 3 4" xfId="1737" xr:uid="{6A116AC7-166F-4475-8185-5C758738BE81}"/>
    <cellStyle name="40% - Énfasis2 3 4 2" xfId="5469" xr:uid="{562EA0BD-E121-451A-9D38-455EEF10BA5C}"/>
    <cellStyle name="40% - Énfasis2 3 4 2 2" xfId="13177" xr:uid="{CC0E2A44-DC71-4622-A040-86EA1E7A9A68}"/>
    <cellStyle name="40% - Énfasis2 3 4 2 2 2" xfId="28589" xr:uid="{71DE1475-D987-4B5B-AFBE-5047B3E564C5}"/>
    <cellStyle name="40% - Énfasis2 3 4 2 2 2 2" xfId="45264" xr:uid="{826B8DF7-1FC0-4133-A86F-0355D646D901}"/>
    <cellStyle name="40% - Énfasis2 3 4 2 2 3" xfId="45263" xr:uid="{DEB83E4D-C0B3-48F8-B554-8DA986854B5B}"/>
    <cellStyle name="40% - Énfasis2 3 4 2 3" xfId="20884" xr:uid="{308DB1C8-44BD-4734-9BAD-6829E8F7C0B1}"/>
    <cellStyle name="40% - Énfasis2 3 4 2 3 2" xfId="45265" xr:uid="{52171F50-53E1-42AE-AB3C-74A99528121B}"/>
    <cellStyle name="40% - Énfasis2 3 4 2 4" xfId="45262" xr:uid="{9B17924F-C09D-4997-9798-81D133B12CA1}"/>
    <cellStyle name="40% - Énfasis2 3 4 3" xfId="9448" xr:uid="{670D071C-33E2-49F3-AB70-10383FDE6B6B}"/>
    <cellStyle name="40% - Énfasis2 3 4 3 2" xfId="24861" xr:uid="{D1E3CBA9-5890-45E2-B293-58AF70EB69AE}"/>
    <cellStyle name="40% - Énfasis2 3 4 3 2 2" xfId="45267" xr:uid="{FC059136-2542-4F99-A50B-14AC4723AD1F}"/>
    <cellStyle name="40% - Énfasis2 3 4 3 3" xfId="45266" xr:uid="{B539720F-BE89-4530-B8BD-E83B0DC1D11E}"/>
    <cellStyle name="40% - Énfasis2 3 4 4" xfId="17156" xr:uid="{E573A47B-E1B9-40DE-AD81-F46E7EF5E7A6}"/>
    <cellStyle name="40% - Énfasis2 3 4 4 2" xfId="45268" xr:uid="{878F4103-2694-45E2-9194-6DBBAECCDBF5}"/>
    <cellStyle name="40% - Énfasis2 3 4 5" xfId="45261" xr:uid="{BA4B2759-D95E-4B00-ACC6-5185FCC4EFAF}"/>
    <cellStyle name="40% - Énfasis2 3 5" xfId="3990" xr:uid="{A60C7B3F-4A98-4F51-9662-4736B88C9BDC}"/>
    <cellStyle name="40% - Énfasis2 3 5 2" xfId="11698" xr:uid="{00F64BBD-9E76-4272-9B57-CE92A3551BED}"/>
    <cellStyle name="40% - Énfasis2 3 5 2 2" xfId="27110" xr:uid="{1F6BD0FD-8E52-41A4-B093-D189E6B622AB}"/>
    <cellStyle name="40% - Énfasis2 3 5 2 2 2" xfId="45271" xr:uid="{9D2024BE-9321-42F5-8CA1-A4B059E5023B}"/>
    <cellStyle name="40% - Énfasis2 3 5 2 3" xfId="45270" xr:uid="{4DDF6D08-2EF0-460C-ABBE-A204F3B5DF8D}"/>
    <cellStyle name="40% - Énfasis2 3 5 3" xfId="19405" xr:uid="{34E14F79-0EA9-4F46-88FC-70DD54690D33}"/>
    <cellStyle name="40% - Énfasis2 3 5 3 2" xfId="45272" xr:uid="{DBD7037B-35C6-4858-BF59-F7703D640021}"/>
    <cellStyle name="40% - Énfasis2 3 5 4" xfId="45269" xr:uid="{38936707-5BE4-4CE9-A654-1ACF750415D1}"/>
    <cellStyle name="40% - Énfasis2 3 6" xfId="7989" xr:uid="{03174FDA-AFE0-4870-BDA9-CB52FDD2BFAA}"/>
    <cellStyle name="40% - Énfasis2 3 6 2" xfId="23402" xr:uid="{4CAC6EA2-55BF-40A3-80F6-E2EDFBB898A9}"/>
    <cellStyle name="40% - Énfasis2 3 6 2 2" xfId="45274" xr:uid="{2B9CB07E-EE05-4A00-A9E9-F62A0DC9AA2A}"/>
    <cellStyle name="40% - Énfasis2 3 6 3" xfId="45273" xr:uid="{6ED11CDD-3C8E-4EA7-9FD5-4B90023A4C05}"/>
    <cellStyle name="40% - Énfasis2 3 7" xfId="15697" xr:uid="{D0F0FAEF-4CDA-4AF2-9798-9AD4605355B5}"/>
    <cellStyle name="40% - Énfasis2 3 7 2" xfId="45275" xr:uid="{47F6846D-44F8-494D-8D99-AFE160C05A3B}"/>
    <cellStyle name="40% - Énfasis2 3 8" xfId="45212" xr:uid="{D1754E0A-4D18-4961-9E3B-753F886E4D73}"/>
    <cellStyle name="40% - Énfasis2 30" xfId="3100" xr:uid="{559D4660-DD9F-46E3-B0FF-ED4DF6C85D43}"/>
    <cellStyle name="40% - Énfasis2 30 2" xfId="6832" xr:uid="{81049A26-01D7-4FE2-BCB1-28FABA5AB2E0}"/>
    <cellStyle name="40% - Énfasis2 30 2 2" xfId="14540" xr:uid="{66E0D4D3-4C8B-4C84-A8AA-50E20FEBE5CE}"/>
    <cellStyle name="40% - Énfasis2 30 2 2 2" xfId="29952" xr:uid="{753BCF5A-AB9D-4319-BF7B-6DAD3DE4B19F}"/>
    <cellStyle name="40% - Énfasis2 30 2 2 2 2" xfId="45279" xr:uid="{2BF54492-8E4F-436A-A3D9-34134D522725}"/>
    <cellStyle name="40% - Énfasis2 30 2 2 3" xfId="45278" xr:uid="{146439CA-5180-46D4-994A-8CE360F5BB97}"/>
    <cellStyle name="40% - Énfasis2 30 2 3" xfId="22247" xr:uid="{2BFB12C8-6C8F-477C-9247-B26C94E87B48}"/>
    <cellStyle name="40% - Énfasis2 30 2 3 2" xfId="45280" xr:uid="{B81650BB-49A2-4167-ADDA-BBCE628B3134}"/>
    <cellStyle name="40% - Énfasis2 30 2 4" xfId="45277" xr:uid="{6C8D5D77-C29C-404A-92DA-8D5C059165A6}"/>
    <cellStyle name="40% - Énfasis2 30 3" xfId="10811" xr:uid="{7EEE163B-A846-4698-9E27-D4833D2D0B2B}"/>
    <cellStyle name="40% - Énfasis2 30 3 2" xfId="26224" xr:uid="{ABB7C479-276B-428F-BEEA-0D9ED3183B4C}"/>
    <cellStyle name="40% - Énfasis2 30 3 2 2" xfId="45282" xr:uid="{6A64BDF1-7F06-44B5-9BA4-F67852678ACB}"/>
    <cellStyle name="40% - Énfasis2 30 3 3" xfId="45281" xr:uid="{636DA06C-6C26-4141-A960-5305221E4510}"/>
    <cellStyle name="40% - Énfasis2 30 4" xfId="18519" xr:uid="{1A1A3433-8C07-4EA9-86A2-B8753661E765}"/>
    <cellStyle name="40% - Énfasis2 30 4 2" xfId="45283" xr:uid="{D98D9655-E033-4995-B203-71EA4C505B7C}"/>
    <cellStyle name="40% - Énfasis2 30 5" xfId="45276" xr:uid="{2F420EEF-2A1A-464A-8498-60999BEEF6E3}"/>
    <cellStyle name="40% - Énfasis2 31" xfId="3120" xr:uid="{C3A899DA-1BAD-4AC2-98B7-F2D198C65F32}"/>
    <cellStyle name="40% - Énfasis2 31 2" xfId="6852" xr:uid="{C478D3B7-5DDF-457E-9529-023B4D7165C6}"/>
    <cellStyle name="40% - Énfasis2 31 2 2" xfId="14560" xr:uid="{72AE5FB4-21E8-4CF0-9BBD-E9615A2B0636}"/>
    <cellStyle name="40% - Énfasis2 31 2 2 2" xfId="29972" xr:uid="{F4242D28-0B5B-459C-A250-45C7C0FBE48F}"/>
    <cellStyle name="40% - Énfasis2 31 2 2 2 2" xfId="45287" xr:uid="{54A9611F-3A8C-4C55-900F-619588FBB845}"/>
    <cellStyle name="40% - Énfasis2 31 2 2 3" xfId="45286" xr:uid="{294BBAF3-3682-4CB2-B604-B9FF9606FD60}"/>
    <cellStyle name="40% - Énfasis2 31 2 3" xfId="22267" xr:uid="{5D51783C-5F92-4B7D-99EF-7E1785BC3B8B}"/>
    <cellStyle name="40% - Énfasis2 31 2 3 2" xfId="45288" xr:uid="{46FDB3B1-7241-4C12-908B-41135E141989}"/>
    <cellStyle name="40% - Énfasis2 31 2 4" xfId="45285" xr:uid="{A3328758-5D3C-4230-808A-0376B4C59E3E}"/>
    <cellStyle name="40% - Énfasis2 31 3" xfId="10831" xr:uid="{A1245704-CA29-4D4B-B13F-E2235FC34A67}"/>
    <cellStyle name="40% - Énfasis2 31 3 2" xfId="26244" xr:uid="{B6AD7E3C-EC99-4078-A55F-5F434CDCE3CB}"/>
    <cellStyle name="40% - Énfasis2 31 3 2 2" xfId="45290" xr:uid="{F9EADD0E-B30C-4F60-B161-992D0D7FD3C8}"/>
    <cellStyle name="40% - Énfasis2 31 3 3" xfId="45289" xr:uid="{AF1412C1-CFDC-4D22-9BC5-52A397D8CB1B}"/>
    <cellStyle name="40% - Énfasis2 31 4" xfId="18539" xr:uid="{B73DD950-BA45-4634-91AE-21BE2F80CDBB}"/>
    <cellStyle name="40% - Énfasis2 31 4 2" xfId="45291" xr:uid="{DBA7845D-9947-4301-A02A-04E9FAD70738}"/>
    <cellStyle name="40% - Énfasis2 31 5" xfId="45284" xr:uid="{5E09D4FE-8699-48C5-ADD4-6A566B7D86B8}"/>
    <cellStyle name="40% - Énfasis2 32" xfId="3140" xr:uid="{0306DB1C-F93C-4754-9549-DD7E546F2D7A}"/>
    <cellStyle name="40% - Énfasis2 32 2" xfId="6872" xr:uid="{31D75A9A-2455-4BB9-A262-31499D341DBB}"/>
    <cellStyle name="40% - Énfasis2 32 2 2" xfId="14580" xr:uid="{ED6FF874-462E-45B1-A615-F1BB731C1D03}"/>
    <cellStyle name="40% - Énfasis2 32 2 2 2" xfId="29992" xr:uid="{24D93AEA-65E5-4502-9D16-6E87C80D28BA}"/>
    <cellStyle name="40% - Énfasis2 32 2 2 2 2" xfId="45295" xr:uid="{A78F280B-698D-4394-9708-D77D3FB2B1C2}"/>
    <cellStyle name="40% - Énfasis2 32 2 2 3" xfId="45294" xr:uid="{3A6AD854-EADA-4B71-BB96-7F9BC2F0C336}"/>
    <cellStyle name="40% - Énfasis2 32 2 3" xfId="22287" xr:uid="{983EC362-03FB-45EF-B41F-E911A84B3F79}"/>
    <cellStyle name="40% - Énfasis2 32 2 3 2" xfId="45296" xr:uid="{43E221AA-5087-46A8-8A08-7D26135CDC2C}"/>
    <cellStyle name="40% - Énfasis2 32 2 4" xfId="45293" xr:uid="{A16CA1EF-533C-48A6-9BB2-F4EFFE13DD85}"/>
    <cellStyle name="40% - Énfasis2 32 3" xfId="10851" xr:uid="{F462E120-5451-42F8-A096-A636991A46BC}"/>
    <cellStyle name="40% - Énfasis2 32 3 2" xfId="26264" xr:uid="{3098D1D4-1705-4F49-946D-87E8F06D4788}"/>
    <cellStyle name="40% - Énfasis2 32 3 2 2" xfId="45298" xr:uid="{F9FEFFF7-D6F2-4D58-8779-B92FF5BE105D}"/>
    <cellStyle name="40% - Énfasis2 32 3 3" xfId="45297" xr:uid="{D101CBD3-B6A2-4753-8033-83A47962C61C}"/>
    <cellStyle name="40% - Énfasis2 32 4" xfId="18559" xr:uid="{6AA00E21-B2AD-4D8B-82C5-4888BA1C5404}"/>
    <cellStyle name="40% - Énfasis2 32 4 2" xfId="45299" xr:uid="{FB153F19-7442-497A-AFA1-5E8B5637CE5B}"/>
    <cellStyle name="40% - Énfasis2 32 5" xfId="45292" xr:uid="{63CEF3B0-F9FD-4FC0-9835-0740DC4B6193}"/>
    <cellStyle name="40% - Énfasis2 33" xfId="3160" xr:uid="{C162EAB9-48F8-4781-9417-87FD1110BA15}"/>
    <cellStyle name="40% - Énfasis2 33 2" xfId="6892" xr:uid="{ECD700E5-6933-4D1F-BD52-AE42DD20B89B}"/>
    <cellStyle name="40% - Énfasis2 33 2 2" xfId="14600" xr:uid="{DFD894C3-69D8-49A7-A178-6CBE9A212790}"/>
    <cellStyle name="40% - Énfasis2 33 2 2 2" xfId="30012" xr:uid="{96677173-7046-477B-9A2D-6FB953601BAF}"/>
    <cellStyle name="40% - Énfasis2 33 2 2 2 2" xfId="45303" xr:uid="{9A085927-7FB5-4D02-A079-7B6CAFD5E287}"/>
    <cellStyle name="40% - Énfasis2 33 2 2 3" xfId="45302" xr:uid="{CB7172A7-193B-488B-A011-0EE4CC0FB761}"/>
    <cellStyle name="40% - Énfasis2 33 2 3" xfId="22307" xr:uid="{3646E8EF-38B3-4928-AE07-AC10E8FA8024}"/>
    <cellStyle name="40% - Énfasis2 33 2 3 2" xfId="45304" xr:uid="{287018FD-B4D5-47AF-98E9-10848E6BD98A}"/>
    <cellStyle name="40% - Énfasis2 33 2 4" xfId="45301" xr:uid="{D089B569-CCE9-4E08-B829-CE5267026206}"/>
    <cellStyle name="40% - Énfasis2 33 3" xfId="10871" xr:uid="{5AEF6A1C-44E1-4ABA-A6FC-21623761DF38}"/>
    <cellStyle name="40% - Énfasis2 33 3 2" xfId="26284" xr:uid="{B28895CF-B3FA-4454-87FB-6F83DB091E52}"/>
    <cellStyle name="40% - Énfasis2 33 3 2 2" xfId="45306" xr:uid="{D23FAF7C-35EB-4F4F-86B5-6247AF98E5B2}"/>
    <cellStyle name="40% - Énfasis2 33 3 3" xfId="45305" xr:uid="{FC6A2F80-C49E-49D0-A93F-D9CAE6B014FA}"/>
    <cellStyle name="40% - Énfasis2 33 4" xfId="18579" xr:uid="{9E722880-F33D-4F40-AF3C-A82CE4CF6F05}"/>
    <cellStyle name="40% - Énfasis2 33 4 2" xfId="45307" xr:uid="{3B6DB545-D786-4437-8605-30501CA05C4F}"/>
    <cellStyle name="40% - Énfasis2 33 5" xfId="45300" xr:uid="{B47ACBE6-9CD9-49EC-A447-C4DF7AA28A6E}"/>
    <cellStyle name="40% - Énfasis2 34" xfId="3180" xr:uid="{3472CE13-1D8E-4D84-B1D5-D284F103ABE8}"/>
    <cellStyle name="40% - Énfasis2 34 2" xfId="6912" xr:uid="{A25A3F12-57F4-45D7-8A94-8483BC52341D}"/>
    <cellStyle name="40% - Énfasis2 34 2 2" xfId="14620" xr:uid="{8D2C1A28-4A19-4134-BA75-C8E51DF79FDA}"/>
    <cellStyle name="40% - Énfasis2 34 2 2 2" xfId="30032" xr:uid="{B87DE1DF-DAF7-4F61-BF1A-4B6E3E1BDA75}"/>
    <cellStyle name="40% - Énfasis2 34 2 2 2 2" xfId="45311" xr:uid="{C9172661-2C79-4148-A4D8-3FF8D2EE0488}"/>
    <cellStyle name="40% - Énfasis2 34 2 2 3" xfId="45310" xr:uid="{A3B626F4-114E-4F31-A15F-EF3F46DFCDB6}"/>
    <cellStyle name="40% - Énfasis2 34 2 3" xfId="22327" xr:uid="{A12F08E6-16AF-4774-B665-204F3641E5A2}"/>
    <cellStyle name="40% - Énfasis2 34 2 3 2" xfId="45312" xr:uid="{ECF4F057-2CA6-42FE-8FF3-A19DCE9644D8}"/>
    <cellStyle name="40% - Énfasis2 34 2 4" xfId="45309" xr:uid="{94D5D4C2-A2D6-4EF3-8420-E68BBBBE9F82}"/>
    <cellStyle name="40% - Énfasis2 34 3" xfId="10891" xr:uid="{3E28FB4B-75D7-4D0A-966E-D18C51B93100}"/>
    <cellStyle name="40% - Énfasis2 34 3 2" xfId="26304" xr:uid="{8CBA9CA5-596D-4295-BA49-352DAA920FCB}"/>
    <cellStyle name="40% - Énfasis2 34 3 2 2" xfId="45314" xr:uid="{B9DABDFB-C7FD-4130-B500-F3649D462C31}"/>
    <cellStyle name="40% - Énfasis2 34 3 3" xfId="45313" xr:uid="{C6CB713B-78B0-4F7F-905A-763FE0903DDA}"/>
    <cellStyle name="40% - Énfasis2 34 4" xfId="18599" xr:uid="{13CAED29-A8FF-4947-9D43-B031C64D6BF7}"/>
    <cellStyle name="40% - Énfasis2 34 4 2" xfId="45315" xr:uid="{88AA38AE-BFF8-4D50-BE99-F92E6F97DD5D}"/>
    <cellStyle name="40% - Énfasis2 34 5" xfId="45308" xr:uid="{B34F0576-31B4-4536-A4F8-B8C71AD5E4D7}"/>
    <cellStyle name="40% - Énfasis2 35" xfId="3200" xr:uid="{DE5C452F-2E67-43B5-A98D-7B8B7B4C96EC}"/>
    <cellStyle name="40% - Énfasis2 35 2" xfId="6932" xr:uid="{0CF255B9-AED9-436E-B65A-CFD9AC7509D8}"/>
    <cellStyle name="40% - Énfasis2 35 2 2" xfId="14640" xr:uid="{6DC9A3D9-B836-49D0-A8D1-41F9CEAC24D6}"/>
    <cellStyle name="40% - Énfasis2 35 2 2 2" xfId="30052" xr:uid="{D4135060-65EE-4B4E-A567-71DB87D0D9AF}"/>
    <cellStyle name="40% - Énfasis2 35 2 2 2 2" xfId="45319" xr:uid="{00FE142F-5CDB-4EA8-8CB6-2190882DB7DC}"/>
    <cellStyle name="40% - Énfasis2 35 2 2 3" xfId="45318" xr:uid="{86A5CDBB-7648-4A72-B219-81F749320A5B}"/>
    <cellStyle name="40% - Énfasis2 35 2 3" xfId="22347" xr:uid="{548E8BAD-AE90-4044-8407-19B0C624D316}"/>
    <cellStyle name="40% - Énfasis2 35 2 3 2" xfId="45320" xr:uid="{AD9E2DB6-A8E1-4AF5-872B-95E51871DE8D}"/>
    <cellStyle name="40% - Énfasis2 35 2 4" xfId="45317" xr:uid="{CF8D7AEF-E51D-4E36-AC85-8BD9431CE13D}"/>
    <cellStyle name="40% - Énfasis2 35 3" xfId="10911" xr:uid="{4BE06118-591F-455B-ADBB-BDEB92589E44}"/>
    <cellStyle name="40% - Énfasis2 35 3 2" xfId="26324" xr:uid="{33FB3709-C810-45A2-BE14-350C5B9B4F71}"/>
    <cellStyle name="40% - Énfasis2 35 3 2 2" xfId="45322" xr:uid="{776CA396-D67E-447B-B956-6924CFCED7CF}"/>
    <cellStyle name="40% - Énfasis2 35 3 3" xfId="45321" xr:uid="{621DC57E-D3BA-47EA-87B1-7531FCCEC0E7}"/>
    <cellStyle name="40% - Énfasis2 35 4" xfId="18619" xr:uid="{18E46E4D-8F55-497C-9E96-CBE8612E535F}"/>
    <cellStyle name="40% - Énfasis2 35 4 2" xfId="45323" xr:uid="{E7401BDC-E2A2-46C1-A4EB-EFB7714B4608}"/>
    <cellStyle name="40% - Énfasis2 35 5" xfId="45316" xr:uid="{C50689CA-0B80-4807-A644-CB535AAB2668}"/>
    <cellStyle name="40% - Énfasis2 36" xfId="3220" xr:uid="{99330E1B-15F5-40EA-8B80-664188FC98B9}"/>
    <cellStyle name="40% - Énfasis2 36 2" xfId="6952" xr:uid="{FD0C5892-7293-46E1-8FB9-D837E3313837}"/>
    <cellStyle name="40% - Énfasis2 36 2 2" xfId="14660" xr:uid="{154820DD-963A-4138-9E00-4A237224574A}"/>
    <cellStyle name="40% - Énfasis2 36 2 2 2" xfId="30072" xr:uid="{AA250C7F-0C62-472D-98D4-FD9323A7D095}"/>
    <cellStyle name="40% - Énfasis2 36 2 2 2 2" xfId="45327" xr:uid="{EB532A03-41A8-4586-8B5E-94E4FC637E8D}"/>
    <cellStyle name="40% - Énfasis2 36 2 2 3" xfId="45326" xr:uid="{CCC59AEB-275F-45F6-86A3-7DB2457438DC}"/>
    <cellStyle name="40% - Énfasis2 36 2 3" xfId="22367" xr:uid="{F98511AE-7B55-4653-AAF7-502CAC640173}"/>
    <cellStyle name="40% - Énfasis2 36 2 3 2" xfId="45328" xr:uid="{3B1182FE-ADC3-4499-94AC-A636C12EF4FE}"/>
    <cellStyle name="40% - Énfasis2 36 2 4" xfId="45325" xr:uid="{7169CA5E-1857-434F-BDA4-554E25A13FB4}"/>
    <cellStyle name="40% - Énfasis2 36 3" xfId="10931" xr:uid="{EAD6B964-7DA0-4C6C-B4B3-45EC5B076241}"/>
    <cellStyle name="40% - Énfasis2 36 3 2" xfId="26344" xr:uid="{30807B37-1EAD-42E4-A9F3-E70CC31A414F}"/>
    <cellStyle name="40% - Énfasis2 36 3 2 2" xfId="45330" xr:uid="{180E3DF1-8E61-423E-90D2-8893E79D1C06}"/>
    <cellStyle name="40% - Énfasis2 36 3 3" xfId="45329" xr:uid="{4BCE5742-D1F9-46FC-9FAC-5903FE4189A6}"/>
    <cellStyle name="40% - Énfasis2 36 4" xfId="18639" xr:uid="{30936B1F-4678-41A5-9073-6595FE9E6F12}"/>
    <cellStyle name="40% - Énfasis2 36 4 2" xfId="45331" xr:uid="{187E8601-FA52-4084-985F-26CD12D1B8DF}"/>
    <cellStyle name="40% - Énfasis2 36 5" xfId="45324" xr:uid="{65E0C2C9-F372-4D7E-B7DB-B4C2F3172FF7}"/>
    <cellStyle name="40% - Énfasis2 37" xfId="3240" xr:uid="{695076A3-68E2-4434-815D-34A1B2F08DF7}"/>
    <cellStyle name="40% - Énfasis2 37 2" xfId="6972" xr:uid="{B0F9474D-0C8A-4F3C-A608-2244166DFD22}"/>
    <cellStyle name="40% - Énfasis2 37 2 2" xfId="14680" xr:uid="{C5B46B46-9641-4EC8-BD77-2A360A411813}"/>
    <cellStyle name="40% - Énfasis2 37 2 2 2" xfId="30092" xr:uid="{5E736D87-F89D-4AAB-9F65-233B1473B772}"/>
    <cellStyle name="40% - Énfasis2 37 2 2 2 2" xfId="45335" xr:uid="{87059E66-BDB2-4DAD-B7FE-C8FF76F8918E}"/>
    <cellStyle name="40% - Énfasis2 37 2 2 3" xfId="45334" xr:uid="{0D0C9493-3AAD-49F8-9843-61C04E32005F}"/>
    <cellStyle name="40% - Énfasis2 37 2 3" xfId="22387" xr:uid="{0817BE8B-79B3-4371-A6AC-722FEDDEFECA}"/>
    <cellStyle name="40% - Énfasis2 37 2 3 2" xfId="45336" xr:uid="{477EB17C-7437-4775-BAA1-5D5F26314B5A}"/>
    <cellStyle name="40% - Énfasis2 37 2 4" xfId="45333" xr:uid="{497FACFF-3DD4-4AF7-9F3D-C76C1B47EDD2}"/>
    <cellStyle name="40% - Énfasis2 37 3" xfId="10951" xr:uid="{EC480A6E-495D-470E-B1CB-C44B8EE7239F}"/>
    <cellStyle name="40% - Énfasis2 37 3 2" xfId="26364" xr:uid="{2B7743F4-698C-4C39-8519-7DAF8605AB0E}"/>
    <cellStyle name="40% - Énfasis2 37 3 2 2" xfId="45338" xr:uid="{F294F75C-1962-4F63-911A-1BA75C3545C1}"/>
    <cellStyle name="40% - Énfasis2 37 3 3" xfId="45337" xr:uid="{F05026C6-F29D-4480-889B-6EEE55000029}"/>
    <cellStyle name="40% - Énfasis2 37 4" xfId="18659" xr:uid="{B8F8504B-6BF9-4053-8B99-DDFF83BD65C9}"/>
    <cellStyle name="40% - Énfasis2 37 4 2" xfId="45339" xr:uid="{FD2B38E2-8A2C-4308-858D-C57FAE1D75D4}"/>
    <cellStyle name="40% - Énfasis2 37 5" xfId="45332" xr:uid="{EC857BFC-43B5-425D-B0B4-FE687FB737A0}"/>
    <cellStyle name="40% - Énfasis2 38" xfId="3260" xr:uid="{CA089FEC-9945-445C-A5D7-F57833EFF341}"/>
    <cellStyle name="40% - Énfasis2 38 2" xfId="6992" xr:uid="{8DD98FD9-DE65-40AC-BCAE-E6F01D264FB5}"/>
    <cellStyle name="40% - Énfasis2 38 2 2" xfId="14700" xr:uid="{645D7F05-A72E-4372-A4CF-25DE6697781E}"/>
    <cellStyle name="40% - Énfasis2 38 2 2 2" xfId="30112" xr:uid="{F53B1A8F-E983-4469-A51D-1882FDCF70B3}"/>
    <cellStyle name="40% - Énfasis2 38 2 2 2 2" xfId="45343" xr:uid="{9B84792E-AAC2-4E95-A66C-365514484669}"/>
    <cellStyle name="40% - Énfasis2 38 2 2 3" xfId="45342" xr:uid="{59684257-E7A8-4D7D-8190-77CF3C466BC2}"/>
    <cellStyle name="40% - Énfasis2 38 2 3" xfId="22407" xr:uid="{4F0AC8A5-2DFC-4C6F-8F8E-D0577B0613B3}"/>
    <cellStyle name="40% - Énfasis2 38 2 3 2" xfId="45344" xr:uid="{BF3EDAB7-50D5-4FFC-92FD-2B9C89FD6B96}"/>
    <cellStyle name="40% - Énfasis2 38 2 4" xfId="45341" xr:uid="{2F297D9C-3B49-4AEA-B6E9-F86CC0CEF8D2}"/>
    <cellStyle name="40% - Énfasis2 38 3" xfId="10971" xr:uid="{B521B727-16F4-4916-99E1-D42BB71DCCC4}"/>
    <cellStyle name="40% - Énfasis2 38 3 2" xfId="26384" xr:uid="{1372E446-9287-4460-87E5-67204F099B83}"/>
    <cellStyle name="40% - Énfasis2 38 3 2 2" xfId="45346" xr:uid="{F446EB4B-9BF4-453E-8086-197B223D5468}"/>
    <cellStyle name="40% - Énfasis2 38 3 3" xfId="45345" xr:uid="{2158A9F5-834F-46E8-95BB-0374C93B8869}"/>
    <cellStyle name="40% - Énfasis2 38 4" xfId="18679" xr:uid="{B7A61D72-868A-42D6-8ED7-F9B386585A4A}"/>
    <cellStyle name="40% - Énfasis2 38 4 2" xfId="45347" xr:uid="{341D2902-F40E-4442-97E2-4015D10C646D}"/>
    <cellStyle name="40% - Énfasis2 38 5" xfId="45340" xr:uid="{68E2AE33-31DE-4B94-9A0E-7F3C072D9804}"/>
    <cellStyle name="40% - Énfasis2 39" xfId="3280" xr:uid="{C215492B-AFAC-48AD-95F7-9353ADAC2891}"/>
    <cellStyle name="40% - Énfasis2 39 2" xfId="7012" xr:uid="{1886BF07-1F5D-43A8-9224-150BEBD43FB4}"/>
    <cellStyle name="40% - Énfasis2 39 2 2" xfId="14720" xr:uid="{D7D002F5-4E0D-40FE-8146-F45211E32DAA}"/>
    <cellStyle name="40% - Énfasis2 39 2 2 2" xfId="30132" xr:uid="{F52D5CD2-C641-4789-81AA-1F0EB0BC3215}"/>
    <cellStyle name="40% - Énfasis2 39 2 2 2 2" xfId="45351" xr:uid="{AA1D55FE-8B95-441D-B562-0C3968719CCE}"/>
    <cellStyle name="40% - Énfasis2 39 2 2 3" xfId="45350" xr:uid="{83734D18-CC03-4112-AE1A-30AF418255DA}"/>
    <cellStyle name="40% - Énfasis2 39 2 3" xfId="22427" xr:uid="{1603FB5F-1D09-4C5B-9AF0-9071124C57D1}"/>
    <cellStyle name="40% - Énfasis2 39 2 3 2" xfId="45352" xr:uid="{10707E4D-314F-49E8-912F-E68BA9FD5888}"/>
    <cellStyle name="40% - Énfasis2 39 2 4" xfId="45349" xr:uid="{4D7A5FE3-84DC-409D-92E3-B00E06E6FE94}"/>
    <cellStyle name="40% - Énfasis2 39 3" xfId="10991" xr:uid="{13017521-89AC-4770-BA7E-9C834BB9D131}"/>
    <cellStyle name="40% - Énfasis2 39 3 2" xfId="26404" xr:uid="{BEE48C0E-5D04-49A5-A1CA-F6F927A152AB}"/>
    <cellStyle name="40% - Énfasis2 39 3 2 2" xfId="45354" xr:uid="{27315F5A-ECF9-4F44-AC63-B0AD1CDBFE41}"/>
    <cellStyle name="40% - Énfasis2 39 3 3" xfId="45353" xr:uid="{9BFE921E-AD52-4E0F-8298-138B08008DCF}"/>
    <cellStyle name="40% - Énfasis2 39 4" xfId="18699" xr:uid="{E5BCBDA1-B6DF-4497-9C05-F3BE5D6421B3}"/>
    <cellStyle name="40% - Énfasis2 39 4 2" xfId="45355" xr:uid="{856A479C-B6F0-4CA1-9B02-5211D98F77D1}"/>
    <cellStyle name="40% - Énfasis2 39 5" xfId="45348" xr:uid="{035E8747-C732-4394-8472-9D5727A3AF60}"/>
    <cellStyle name="40% - Énfasis2 4" xfId="266" xr:uid="{DAC1AA22-A2EB-476E-A68C-5642C1E3BD58}"/>
    <cellStyle name="40% - Énfasis2 4 2" xfId="469" xr:uid="{E545AD30-F0F1-478A-BA12-67D5504CFC7F}"/>
    <cellStyle name="40% - Énfasis2 4 2 2" xfId="1130" xr:uid="{7E8B0EAC-220C-47E1-8FA2-957537CBC4F2}"/>
    <cellStyle name="40% - Énfasis2 4 2 2 2" xfId="2598" xr:uid="{1328661B-AA8D-4BE8-A68F-3410142DEB77}"/>
    <cellStyle name="40% - Énfasis2 4 2 2 2 2" xfId="6330" xr:uid="{5E71BE73-AB77-4657-A3CE-D6396E1D3F42}"/>
    <cellStyle name="40% - Énfasis2 4 2 2 2 2 2" xfId="14038" xr:uid="{9454E6F4-F93B-4577-9E96-95191F293E0A}"/>
    <cellStyle name="40% - Énfasis2 4 2 2 2 2 2 2" xfId="29450" xr:uid="{908A531C-C23E-4466-ACDC-1515E24BFBA8}"/>
    <cellStyle name="40% - Énfasis2 4 2 2 2 2 2 2 2" xfId="45362" xr:uid="{545074E5-34F3-48D9-A38E-84FBE50BBD09}"/>
    <cellStyle name="40% - Énfasis2 4 2 2 2 2 2 3" xfId="45361" xr:uid="{5487C2C7-FCC7-4D76-AD22-4B755C926D3A}"/>
    <cellStyle name="40% - Énfasis2 4 2 2 2 2 3" xfId="21745" xr:uid="{54BB4D89-DE53-4BBB-835A-F1B05D50232E}"/>
    <cellStyle name="40% - Énfasis2 4 2 2 2 2 3 2" xfId="45363" xr:uid="{4DBC7995-0C9E-4CFC-9A27-86C2C6D68A36}"/>
    <cellStyle name="40% - Énfasis2 4 2 2 2 2 4" xfId="45360" xr:uid="{12996D0E-B6F4-4AB9-97F9-3B0C167EE17D}"/>
    <cellStyle name="40% - Énfasis2 4 2 2 2 3" xfId="10309" xr:uid="{5F014652-2303-4F66-B30F-B8F1F60EAD12}"/>
    <cellStyle name="40% - Énfasis2 4 2 2 2 3 2" xfId="25722" xr:uid="{ACCB66D4-81FC-4471-824F-CE9F8D853B45}"/>
    <cellStyle name="40% - Énfasis2 4 2 2 2 3 2 2" xfId="45365" xr:uid="{D5D1AD0F-5F62-468E-8532-4BD9DDE80629}"/>
    <cellStyle name="40% - Énfasis2 4 2 2 2 3 3" xfId="45364" xr:uid="{7BF95E96-226B-488C-9190-04A25C05E1DB}"/>
    <cellStyle name="40% - Énfasis2 4 2 2 2 4" xfId="18017" xr:uid="{6AEC1557-9792-4C61-A0A3-808CCB820ACB}"/>
    <cellStyle name="40% - Énfasis2 4 2 2 2 4 2" xfId="45366" xr:uid="{C085B4E7-518F-4747-8125-A14FCBC1D969}"/>
    <cellStyle name="40% - Énfasis2 4 2 2 2 5" xfId="45359" xr:uid="{4D7616D5-19EE-4995-B82E-35FFB27E7175}"/>
    <cellStyle name="40% - Énfasis2 4 2 2 3" xfId="4867" xr:uid="{F2E6E1A1-9EE1-4E76-9038-9CF0D635FEC7}"/>
    <cellStyle name="40% - Énfasis2 4 2 2 3 2" xfId="12575" xr:uid="{6959C8DE-BB7C-435C-B9A7-955F875F03DC}"/>
    <cellStyle name="40% - Énfasis2 4 2 2 3 2 2" xfId="27987" xr:uid="{05D07B90-8430-4432-AAF3-AA24A5DF2227}"/>
    <cellStyle name="40% - Énfasis2 4 2 2 3 2 2 2" xfId="45369" xr:uid="{86E201E0-05FA-4957-BE77-1BC153B0B876}"/>
    <cellStyle name="40% - Énfasis2 4 2 2 3 2 3" xfId="45368" xr:uid="{5C7BA21E-EE97-4887-89D1-3B68F4B8DCD6}"/>
    <cellStyle name="40% - Énfasis2 4 2 2 3 3" xfId="20282" xr:uid="{E806541B-0DA6-46D9-A1E9-D5796B98FAEE}"/>
    <cellStyle name="40% - Énfasis2 4 2 2 3 3 2" xfId="45370" xr:uid="{BF072C49-DB5C-41D8-A0C0-240FD40F386F}"/>
    <cellStyle name="40% - Énfasis2 4 2 2 3 4" xfId="45367" xr:uid="{FD159D9C-4749-4473-A32D-62A0F70CBAA5}"/>
    <cellStyle name="40% - Énfasis2 4 2 2 4" xfId="8850" xr:uid="{3C79FBD7-E3AE-43C9-A3D6-5025E8BFB5FA}"/>
    <cellStyle name="40% - Énfasis2 4 2 2 4 2" xfId="24263" xr:uid="{A6B69B69-1D91-4466-A66B-F3C8A4F13318}"/>
    <cellStyle name="40% - Énfasis2 4 2 2 4 2 2" xfId="45372" xr:uid="{B8510870-641A-423C-B094-AD5B6BEE81B5}"/>
    <cellStyle name="40% - Énfasis2 4 2 2 4 3" xfId="45371" xr:uid="{E5B5BDC1-9D40-4D1C-87AE-61C5B45E9203}"/>
    <cellStyle name="40% - Énfasis2 4 2 2 5" xfId="16558" xr:uid="{6A01413C-B346-41B7-8A45-7FA1E31DBD62}"/>
    <cellStyle name="40% - Énfasis2 4 2 2 5 2" xfId="45373" xr:uid="{F65A1EEE-0585-437B-893A-A7ECD0C1EFBA}"/>
    <cellStyle name="40% - Énfasis2 4 2 2 6" xfId="45358" xr:uid="{9A58EF43-1AF2-4657-BE90-11D9AB259F2D}"/>
    <cellStyle name="40% - Énfasis2 4 2 3" xfId="1960" xr:uid="{1152CCAB-6F4D-4D34-95BB-BCC8DAB6BEDD}"/>
    <cellStyle name="40% - Énfasis2 4 2 3 2" xfId="5692" xr:uid="{5739C439-3584-4A8E-AF28-07C287BAE995}"/>
    <cellStyle name="40% - Énfasis2 4 2 3 2 2" xfId="13400" xr:uid="{639C25BD-B8EB-4F9F-9CB3-AF58C7076A71}"/>
    <cellStyle name="40% - Énfasis2 4 2 3 2 2 2" xfId="28812" xr:uid="{17DBFF51-0F31-46FD-9BB3-33D8ABD7AB30}"/>
    <cellStyle name="40% - Énfasis2 4 2 3 2 2 2 2" xfId="45377" xr:uid="{E28267ED-2F33-4A20-92BB-E9E6EF1E4378}"/>
    <cellStyle name="40% - Énfasis2 4 2 3 2 2 3" xfId="45376" xr:uid="{599D7526-62C4-4DFA-97B4-25351D18B573}"/>
    <cellStyle name="40% - Énfasis2 4 2 3 2 3" xfId="21107" xr:uid="{1C16660E-86F0-4C82-9A7B-3FADE69F9225}"/>
    <cellStyle name="40% - Énfasis2 4 2 3 2 3 2" xfId="45378" xr:uid="{8C39F1A0-4912-46B2-B535-C1C897DCF26C}"/>
    <cellStyle name="40% - Énfasis2 4 2 3 2 4" xfId="45375" xr:uid="{B24B026C-C74D-4FFF-BDE5-C7681D649775}"/>
    <cellStyle name="40% - Énfasis2 4 2 3 3" xfId="9671" xr:uid="{88BCD01B-850A-4DF5-8673-11688E886121}"/>
    <cellStyle name="40% - Énfasis2 4 2 3 3 2" xfId="25084" xr:uid="{496CCA24-C0FF-4945-9EB5-6B237BF9A036}"/>
    <cellStyle name="40% - Énfasis2 4 2 3 3 2 2" xfId="45380" xr:uid="{B0DCF978-FBB1-425E-943F-FE77B4995BE6}"/>
    <cellStyle name="40% - Énfasis2 4 2 3 3 3" xfId="45379" xr:uid="{2A4C65A6-347D-40B6-A5BE-BB58A194B2A5}"/>
    <cellStyle name="40% - Énfasis2 4 2 3 4" xfId="17379" xr:uid="{947B3184-51C4-410D-AE16-882119EB12E9}"/>
    <cellStyle name="40% - Énfasis2 4 2 3 4 2" xfId="45381" xr:uid="{A464C19E-89A7-4200-93AA-1B341FBFD926}"/>
    <cellStyle name="40% - Énfasis2 4 2 3 5" xfId="45374" xr:uid="{FFF7D887-2E6B-47A5-9DE1-A4549AE74924}"/>
    <cellStyle name="40% - Énfasis2 4 2 4" xfId="4215" xr:uid="{A84B2129-42EC-4EB9-AA18-1505330E407D}"/>
    <cellStyle name="40% - Énfasis2 4 2 4 2" xfId="11923" xr:uid="{3A0F7F31-9290-4653-8C93-199278195A5B}"/>
    <cellStyle name="40% - Énfasis2 4 2 4 2 2" xfId="27335" xr:uid="{AFD73E4F-2A16-4BFD-98DC-C2BA0625D624}"/>
    <cellStyle name="40% - Énfasis2 4 2 4 2 2 2" xfId="45384" xr:uid="{0BFC319F-B0C4-4E0A-AB95-F77DBBD7DD71}"/>
    <cellStyle name="40% - Énfasis2 4 2 4 2 3" xfId="45383" xr:uid="{32666CA4-69C3-4799-8804-855896AD0E4B}"/>
    <cellStyle name="40% - Énfasis2 4 2 4 3" xfId="19630" xr:uid="{35B98C88-A1F0-4600-AAEE-49DC950236BE}"/>
    <cellStyle name="40% - Énfasis2 4 2 4 3 2" xfId="45385" xr:uid="{684A260D-491A-4A27-8E22-B05C96B51CF6}"/>
    <cellStyle name="40% - Énfasis2 4 2 4 4" xfId="45382" xr:uid="{80C4E26D-277B-4E2B-A89B-DEE2C31225D0}"/>
    <cellStyle name="40% - Énfasis2 4 2 5" xfId="8212" xr:uid="{FC573D3B-971B-4132-9DE3-CAE3DFE11233}"/>
    <cellStyle name="40% - Énfasis2 4 2 5 2" xfId="23625" xr:uid="{4EDE4D43-362E-4CD9-9A38-6F11A7C44C0B}"/>
    <cellStyle name="40% - Énfasis2 4 2 5 2 2" xfId="45387" xr:uid="{121BCC91-7BDB-4EB0-A2D8-DCCCEEAA74F4}"/>
    <cellStyle name="40% - Énfasis2 4 2 5 3" xfId="45386" xr:uid="{964582E6-C2A1-43A4-A62E-16905D847153}"/>
    <cellStyle name="40% - Énfasis2 4 2 6" xfId="15920" xr:uid="{52D6FB8B-9D53-4E27-972B-667CB665BD4C}"/>
    <cellStyle name="40% - Énfasis2 4 2 6 2" xfId="45388" xr:uid="{1C5AAF51-EFDA-49E8-AFDB-CF37B996C129}"/>
    <cellStyle name="40% - Énfasis2 4 2 7" xfId="45357" xr:uid="{DF651376-4BFF-4959-8125-FE49410E289F}"/>
    <cellStyle name="40% - Énfasis2 4 3" xfId="930" xr:uid="{404A6F18-6BEB-449E-8C50-2DE9EBEDA915}"/>
    <cellStyle name="40% - Énfasis2 4 3 2" xfId="2400" xr:uid="{D83D8639-9AD2-4F80-B257-0216211B4997}"/>
    <cellStyle name="40% - Énfasis2 4 3 2 2" xfId="6132" xr:uid="{20012E79-6D5D-45DA-918A-F45E68C2B6B2}"/>
    <cellStyle name="40% - Énfasis2 4 3 2 2 2" xfId="13840" xr:uid="{396B2C71-2EE7-4D4C-ABFB-BA1FC0022C4E}"/>
    <cellStyle name="40% - Énfasis2 4 3 2 2 2 2" xfId="29252" xr:uid="{DC151A9A-3CA2-44F6-B986-0CE59B99C156}"/>
    <cellStyle name="40% - Énfasis2 4 3 2 2 2 2 2" xfId="45393" xr:uid="{7463BD06-6EF8-42B1-AD75-571FA6E2E531}"/>
    <cellStyle name="40% - Énfasis2 4 3 2 2 2 3" xfId="45392" xr:uid="{F02204DD-8F9A-43E8-9E0C-F9F651C82E33}"/>
    <cellStyle name="40% - Énfasis2 4 3 2 2 3" xfId="21547" xr:uid="{7FF2C5DE-32EC-4C28-A831-21E9F0ADA077}"/>
    <cellStyle name="40% - Énfasis2 4 3 2 2 3 2" xfId="45394" xr:uid="{4F3F9E81-04F8-4EA8-AD21-70B29CA4B5AF}"/>
    <cellStyle name="40% - Énfasis2 4 3 2 2 4" xfId="45391" xr:uid="{86441EF8-24A4-4859-9DB1-096DCE75D559}"/>
    <cellStyle name="40% - Énfasis2 4 3 2 3" xfId="10111" xr:uid="{7B938272-6E6C-40C0-BF0F-A18728EC9023}"/>
    <cellStyle name="40% - Énfasis2 4 3 2 3 2" xfId="25524" xr:uid="{8DB05551-FB54-45A0-A878-84153B541F23}"/>
    <cellStyle name="40% - Énfasis2 4 3 2 3 2 2" xfId="45396" xr:uid="{FD9293DD-3125-4323-BD35-E5CEC514DA60}"/>
    <cellStyle name="40% - Énfasis2 4 3 2 3 3" xfId="45395" xr:uid="{DE622178-6A8D-4650-B84D-D2493CE091FD}"/>
    <cellStyle name="40% - Énfasis2 4 3 2 4" xfId="17819" xr:uid="{E5CFC00D-863D-4262-8FA9-440D8A1B72BE}"/>
    <cellStyle name="40% - Énfasis2 4 3 2 4 2" xfId="45397" xr:uid="{9E8C897A-3FFD-4253-AFEE-E50BDDBA57DD}"/>
    <cellStyle name="40% - Énfasis2 4 3 2 5" xfId="45390" xr:uid="{A323A653-0D71-4A75-919E-108E5B10C9CF}"/>
    <cellStyle name="40% - Énfasis2 4 3 3" xfId="4667" xr:uid="{97FEB0C6-9337-4DE0-AF52-BA586ABA53DB}"/>
    <cellStyle name="40% - Énfasis2 4 3 3 2" xfId="12375" xr:uid="{2B318371-6FB9-44A3-AE4B-BCC79A9DAE82}"/>
    <cellStyle name="40% - Énfasis2 4 3 3 2 2" xfId="27787" xr:uid="{D488B0CF-E941-4E21-9245-BA2B4CAB7D63}"/>
    <cellStyle name="40% - Énfasis2 4 3 3 2 2 2" xfId="45400" xr:uid="{0194B925-1CEF-418C-AF52-128D5233F881}"/>
    <cellStyle name="40% - Énfasis2 4 3 3 2 3" xfId="45399" xr:uid="{D68B009B-A795-41F3-B31B-E55CA305DBE2}"/>
    <cellStyle name="40% - Énfasis2 4 3 3 3" xfId="20082" xr:uid="{B64C16FB-17C8-4C40-A5C3-0162CB29E80F}"/>
    <cellStyle name="40% - Énfasis2 4 3 3 3 2" xfId="45401" xr:uid="{712051E5-20D0-4B3A-9B85-3D3417AC20DD}"/>
    <cellStyle name="40% - Énfasis2 4 3 3 4" xfId="45398" xr:uid="{CB6E7A96-4EDE-4952-91D9-5397D960A67A}"/>
    <cellStyle name="40% - Énfasis2 4 3 4" xfId="8652" xr:uid="{4F959CDB-BE8D-46B3-950D-6C83E3171942}"/>
    <cellStyle name="40% - Énfasis2 4 3 4 2" xfId="24065" xr:uid="{5C8FD9D1-7098-4C16-8DBB-23963BD437F7}"/>
    <cellStyle name="40% - Énfasis2 4 3 4 2 2" xfId="45403" xr:uid="{0F64F93E-8820-4CBD-B1F9-05018269625A}"/>
    <cellStyle name="40% - Énfasis2 4 3 4 3" xfId="45402" xr:uid="{26D96BFB-C420-4795-BBB3-9F8AA46A4024}"/>
    <cellStyle name="40% - Énfasis2 4 3 5" xfId="16360" xr:uid="{9F79D95B-D88C-42E8-9FDE-0EE908401276}"/>
    <cellStyle name="40% - Énfasis2 4 3 5 2" xfId="45404" xr:uid="{BCB5E869-0569-4B09-8306-19A16A9340C2}"/>
    <cellStyle name="40% - Énfasis2 4 3 6" xfId="45389" xr:uid="{848F3B71-CAFD-413D-883C-44F41E9F958B}"/>
    <cellStyle name="40% - Énfasis2 4 4" xfId="1762" xr:uid="{7C447C8C-51B1-4F3A-B88E-B6F768EE37C9}"/>
    <cellStyle name="40% - Énfasis2 4 4 2" xfId="5494" xr:uid="{D352E330-EF71-47A1-8EDA-A973D3107532}"/>
    <cellStyle name="40% - Énfasis2 4 4 2 2" xfId="13202" xr:uid="{B042AA02-0223-4C02-A78D-88B9B7365B85}"/>
    <cellStyle name="40% - Énfasis2 4 4 2 2 2" xfId="28614" xr:uid="{E26D5EA0-4586-466E-ACCD-D7C8AA0F9B79}"/>
    <cellStyle name="40% - Énfasis2 4 4 2 2 2 2" xfId="45408" xr:uid="{3AC234D3-9090-489F-A6F0-3D241BFCD632}"/>
    <cellStyle name="40% - Énfasis2 4 4 2 2 3" xfId="45407" xr:uid="{A3ED0AB6-D445-4C92-A7BD-541DEA3E9768}"/>
    <cellStyle name="40% - Énfasis2 4 4 2 3" xfId="20909" xr:uid="{287AFFF0-B7B3-4272-8D9C-8D2A05F303FC}"/>
    <cellStyle name="40% - Énfasis2 4 4 2 3 2" xfId="45409" xr:uid="{075DFFBC-B3FE-4B3C-B2E8-2F6D36EB0A2C}"/>
    <cellStyle name="40% - Énfasis2 4 4 2 4" xfId="45406" xr:uid="{8492E51C-2264-41C3-BF06-AAA59FF4A6EE}"/>
    <cellStyle name="40% - Énfasis2 4 4 3" xfId="9473" xr:uid="{5DB139E0-8844-47E2-B80D-31295CFD8EEA}"/>
    <cellStyle name="40% - Énfasis2 4 4 3 2" xfId="24886" xr:uid="{2DA4EFBB-D678-4892-83B5-2A259892D913}"/>
    <cellStyle name="40% - Énfasis2 4 4 3 2 2" xfId="45411" xr:uid="{DD92F9BE-B3B9-40F9-9EAA-29246F4B9CB1}"/>
    <cellStyle name="40% - Énfasis2 4 4 3 3" xfId="45410" xr:uid="{0E623A7C-3BE9-4A2C-8E3C-2A2563DCEDE5}"/>
    <cellStyle name="40% - Énfasis2 4 4 4" xfId="17181" xr:uid="{7D0956BF-0BE6-47AB-86A6-836F92831C11}"/>
    <cellStyle name="40% - Énfasis2 4 4 4 2" xfId="45412" xr:uid="{D3AD0C76-74A6-4890-BEC7-7F0821DEE67B}"/>
    <cellStyle name="40% - Énfasis2 4 4 5" xfId="45405" xr:uid="{CAD0D1F4-1807-4FAE-ADEF-25CB49B18EA7}"/>
    <cellStyle name="40% - Énfasis2 4 5" xfId="4015" xr:uid="{58255172-E1B5-443A-A5E8-DB1344483A8E}"/>
    <cellStyle name="40% - Énfasis2 4 5 2" xfId="11723" xr:uid="{DC90BA4F-B5B2-4F08-8A09-C04D85914872}"/>
    <cellStyle name="40% - Énfasis2 4 5 2 2" xfId="27135" xr:uid="{CDAC16F2-C9D5-4341-BA5E-A76DBDB7A238}"/>
    <cellStyle name="40% - Énfasis2 4 5 2 2 2" xfId="45415" xr:uid="{41FBAD6F-DFFE-4104-B179-2BB6F5103484}"/>
    <cellStyle name="40% - Énfasis2 4 5 2 3" xfId="45414" xr:uid="{C9196D97-ACB5-478F-A49C-FDD550B9C47E}"/>
    <cellStyle name="40% - Énfasis2 4 5 3" xfId="19430" xr:uid="{1135635D-C936-4FD6-A0AC-A1444D0CE9E9}"/>
    <cellStyle name="40% - Énfasis2 4 5 3 2" xfId="45416" xr:uid="{DF093A04-F92A-4C88-92AF-5C5E9A290625}"/>
    <cellStyle name="40% - Énfasis2 4 5 4" xfId="45413" xr:uid="{007F52A2-A921-4B51-98A4-10262C0E3F5C}"/>
    <cellStyle name="40% - Énfasis2 4 6" xfId="8014" xr:uid="{77A36C78-DF37-4D76-8DDF-223CA4C98BC7}"/>
    <cellStyle name="40% - Énfasis2 4 6 2" xfId="23427" xr:uid="{0BDD79A5-124D-4D92-BEDF-62BA5719EC24}"/>
    <cellStyle name="40% - Énfasis2 4 6 2 2" xfId="45418" xr:uid="{128AB6A8-1CA3-4978-ADB5-6CFEDEA5B792}"/>
    <cellStyle name="40% - Énfasis2 4 6 3" xfId="45417" xr:uid="{DED1ACF4-C791-4131-ADB5-81770854F6AD}"/>
    <cellStyle name="40% - Énfasis2 4 7" xfId="15722" xr:uid="{B8BB60DF-BDF2-4176-9856-35550BA0E30E}"/>
    <cellStyle name="40% - Énfasis2 4 7 2" xfId="45419" xr:uid="{4D283F68-8FD2-4B41-8642-F5274030476D}"/>
    <cellStyle name="40% - Énfasis2 4 8" xfId="45356" xr:uid="{A5294AC8-820B-44B4-9BB0-97DD9455F654}"/>
    <cellStyle name="40% - Énfasis2 5" xfId="285" xr:uid="{B993CBA7-CA39-458E-911B-A782EA1A0065}"/>
    <cellStyle name="40% - Énfasis2 5 2" xfId="488" xr:uid="{B6B242C7-72AE-49B3-AA69-CA7D5EA1487A}"/>
    <cellStyle name="40% - Énfasis2 5 2 2" xfId="1149" xr:uid="{FC467A31-C0D9-43AC-97C2-7554ED8947F7}"/>
    <cellStyle name="40% - Énfasis2 5 2 2 2" xfId="2617" xr:uid="{FBBA9A62-40EB-4CC3-82B2-5C8201392484}"/>
    <cellStyle name="40% - Énfasis2 5 2 2 2 2" xfId="6349" xr:uid="{EFB77532-9782-4829-8EE7-C2EFB85B4515}"/>
    <cellStyle name="40% - Énfasis2 5 2 2 2 2 2" xfId="14057" xr:uid="{F13046BA-103A-4A62-A0A2-86096A36DCDE}"/>
    <cellStyle name="40% - Énfasis2 5 2 2 2 2 2 2" xfId="29469" xr:uid="{B03F5654-7B07-448A-8ABF-597313A26F2D}"/>
    <cellStyle name="40% - Énfasis2 5 2 2 2 2 2 2 2" xfId="45426" xr:uid="{6BF3DF6B-5220-43E2-A1D9-A340F98F9FDF}"/>
    <cellStyle name="40% - Énfasis2 5 2 2 2 2 2 3" xfId="45425" xr:uid="{0078D566-5030-406A-8C78-240F8B86D137}"/>
    <cellStyle name="40% - Énfasis2 5 2 2 2 2 3" xfId="21764" xr:uid="{9A6B39D8-FA63-4A77-ADDB-9966EF597AA4}"/>
    <cellStyle name="40% - Énfasis2 5 2 2 2 2 3 2" xfId="45427" xr:uid="{2C5535FC-E9A7-471C-809F-944A5882EB94}"/>
    <cellStyle name="40% - Énfasis2 5 2 2 2 2 4" xfId="45424" xr:uid="{1EF35B65-1680-4EDE-B9F5-25B2A31E4F66}"/>
    <cellStyle name="40% - Énfasis2 5 2 2 2 3" xfId="10328" xr:uid="{E8FC795F-AA69-4342-805C-BDDFCBAD8C68}"/>
    <cellStyle name="40% - Énfasis2 5 2 2 2 3 2" xfId="25741" xr:uid="{1A82C03E-2B6F-48B4-B2BC-C0D302087663}"/>
    <cellStyle name="40% - Énfasis2 5 2 2 2 3 2 2" xfId="45429" xr:uid="{853EE943-9C57-47F4-8411-42B605F01470}"/>
    <cellStyle name="40% - Énfasis2 5 2 2 2 3 3" xfId="45428" xr:uid="{4D798BD8-A93A-40BB-8F1E-77444A1D96D5}"/>
    <cellStyle name="40% - Énfasis2 5 2 2 2 4" xfId="18036" xr:uid="{049E5968-552A-48CA-B752-81CC24F5E068}"/>
    <cellStyle name="40% - Énfasis2 5 2 2 2 4 2" xfId="45430" xr:uid="{8C97B9E3-6F4D-405D-8116-FC28C91FDE4B}"/>
    <cellStyle name="40% - Énfasis2 5 2 2 2 5" xfId="45423" xr:uid="{3BABBEBA-3BCC-49E5-8DF3-C857049FDD99}"/>
    <cellStyle name="40% - Énfasis2 5 2 2 3" xfId="4886" xr:uid="{EC5ECE70-09DC-4D18-B2E8-5AA003DD6843}"/>
    <cellStyle name="40% - Énfasis2 5 2 2 3 2" xfId="12594" xr:uid="{EF698B12-27F1-445A-B4F0-54FFB7AA5592}"/>
    <cellStyle name="40% - Énfasis2 5 2 2 3 2 2" xfId="28006" xr:uid="{50AF15B3-892F-42F4-8280-2BE4C9516392}"/>
    <cellStyle name="40% - Énfasis2 5 2 2 3 2 2 2" xfId="45433" xr:uid="{EA39D3BE-19D8-401D-ACBF-7686FF4BF893}"/>
    <cellStyle name="40% - Énfasis2 5 2 2 3 2 3" xfId="45432" xr:uid="{32F13144-DD80-4D7B-A66B-98EEE5A88C97}"/>
    <cellStyle name="40% - Énfasis2 5 2 2 3 3" xfId="20301" xr:uid="{0010B9EF-3B45-4395-9467-2D3386C093FF}"/>
    <cellStyle name="40% - Énfasis2 5 2 2 3 3 2" xfId="45434" xr:uid="{360ADF83-7DAB-4800-93A2-7CBD8CA6143F}"/>
    <cellStyle name="40% - Énfasis2 5 2 2 3 4" xfId="45431" xr:uid="{28ACF62D-8CB8-41AD-A9DF-D59FD78A11F4}"/>
    <cellStyle name="40% - Énfasis2 5 2 2 4" xfId="8869" xr:uid="{34B2ABDA-7910-49FF-A9F2-B33F9ADBF31A}"/>
    <cellStyle name="40% - Énfasis2 5 2 2 4 2" xfId="24282" xr:uid="{2C2929FB-F498-4EB7-9C31-5EF6768D1F16}"/>
    <cellStyle name="40% - Énfasis2 5 2 2 4 2 2" xfId="45436" xr:uid="{034C2DA1-05A0-48AF-8524-2B63CA7F9611}"/>
    <cellStyle name="40% - Énfasis2 5 2 2 4 3" xfId="45435" xr:uid="{F5FC53FE-1C0F-4BAA-8B2F-360D7E3623FA}"/>
    <cellStyle name="40% - Énfasis2 5 2 2 5" xfId="16577" xr:uid="{6B7BE1F4-7A6F-4AEA-89FF-8E97779489CB}"/>
    <cellStyle name="40% - Énfasis2 5 2 2 5 2" xfId="45437" xr:uid="{4E823416-A1EA-4BF6-B816-03F20259A757}"/>
    <cellStyle name="40% - Énfasis2 5 2 2 6" xfId="45422" xr:uid="{DF438EDD-48CB-45EA-A7DC-D18AB9B27A17}"/>
    <cellStyle name="40% - Énfasis2 5 2 3" xfId="1979" xr:uid="{0C7C725D-8449-453C-826B-DAF57F01F1EC}"/>
    <cellStyle name="40% - Énfasis2 5 2 3 2" xfId="5711" xr:uid="{36FF71AC-F982-4C14-ADCE-D7068B12FB21}"/>
    <cellStyle name="40% - Énfasis2 5 2 3 2 2" xfId="13419" xr:uid="{BB96BAE6-C396-447F-AE9C-03C62C6442C4}"/>
    <cellStyle name="40% - Énfasis2 5 2 3 2 2 2" xfId="28831" xr:uid="{74198233-6FAC-4246-8D78-C699176DE8DF}"/>
    <cellStyle name="40% - Énfasis2 5 2 3 2 2 2 2" xfId="45441" xr:uid="{44CB6D01-35C7-44F7-9115-F359758A6C21}"/>
    <cellStyle name="40% - Énfasis2 5 2 3 2 2 3" xfId="45440" xr:uid="{3AE282B8-AAD8-4338-956D-FCD829BBA023}"/>
    <cellStyle name="40% - Énfasis2 5 2 3 2 3" xfId="21126" xr:uid="{02E4FFBB-CBF6-4E12-BA82-0AA5AD561D99}"/>
    <cellStyle name="40% - Énfasis2 5 2 3 2 3 2" xfId="45442" xr:uid="{56B07AD6-15DD-48DA-A597-C8D427E2E827}"/>
    <cellStyle name="40% - Énfasis2 5 2 3 2 4" xfId="45439" xr:uid="{2A518203-2802-404B-BC85-EF77568A23CA}"/>
    <cellStyle name="40% - Énfasis2 5 2 3 3" xfId="9690" xr:uid="{6B48A821-5B9A-4258-8429-87888BE6EF7F}"/>
    <cellStyle name="40% - Énfasis2 5 2 3 3 2" xfId="25103" xr:uid="{5E8EFED9-5205-4998-963E-287FBFEFBE17}"/>
    <cellStyle name="40% - Énfasis2 5 2 3 3 2 2" xfId="45444" xr:uid="{4100C4B5-937F-4BAF-BC8C-79BF0F134C0E}"/>
    <cellStyle name="40% - Énfasis2 5 2 3 3 3" xfId="45443" xr:uid="{A4E02D3A-D921-43D6-8894-08884C33D447}"/>
    <cellStyle name="40% - Énfasis2 5 2 3 4" xfId="17398" xr:uid="{B3717B43-E1ED-4205-BB00-99621D216FAB}"/>
    <cellStyle name="40% - Énfasis2 5 2 3 4 2" xfId="45445" xr:uid="{87D51145-E74B-430B-AD0C-155ACE9B389E}"/>
    <cellStyle name="40% - Énfasis2 5 2 3 5" xfId="45438" xr:uid="{D3C89FBF-8BFB-4DFA-80EE-9FED5E922D24}"/>
    <cellStyle name="40% - Énfasis2 5 2 4" xfId="4234" xr:uid="{585AEE0B-CBE3-4272-BCC0-1EDE0DF17F09}"/>
    <cellStyle name="40% - Énfasis2 5 2 4 2" xfId="11942" xr:uid="{CFFE1D91-F8CE-4F80-A815-C32008872DD8}"/>
    <cellStyle name="40% - Énfasis2 5 2 4 2 2" xfId="27354" xr:uid="{A985A798-D394-4039-B753-691119EFE9BC}"/>
    <cellStyle name="40% - Énfasis2 5 2 4 2 2 2" xfId="45448" xr:uid="{A2E8B139-54A1-448C-A6D4-00530B9A240E}"/>
    <cellStyle name="40% - Énfasis2 5 2 4 2 3" xfId="45447" xr:uid="{4AD2BEC1-94E6-438A-ABB4-51E1206CB23F}"/>
    <cellStyle name="40% - Énfasis2 5 2 4 3" xfId="19649" xr:uid="{8B38E8A5-7EF4-4C9A-9133-E26DB0550E41}"/>
    <cellStyle name="40% - Énfasis2 5 2 4 3 2" xfId="45449" xr:uid="{81615A64-1174-4D97-96A7-8E3250EC1F70}"/>
    <cellStyle name="40% - Énfasis2 5 2 4 4" xfId="45446" xr:uid="{B7B2BCC1-9616-4988-A2CA-9C1EDF223FED}"/>
    <cellStyle name="40% - Énfasis2 5 2 5" xfId="8231" xr:uid="{453FE9A8-2D37-4511-8C83-BDD89F9AFABE}"/>
    <cellStyle name="40% - Énfasis2 5 2 5 2" xfId="23644" xr:uid="{34181731-8FD3-4F85-8E39-8B5F862FBA32}"/>
    <cellStyle name="40% - Énfasis2 5 2 5 2 2" xfId="45451" xr:uid="{434977A0-063F-4575-85A0-7E38AD83AB4C}"/>
    <cellStyle name="40% - Énfasis2 5 2 5 3" xfId="45450" xr:uid="{60D0A3DE-C50B-4898-A693-DCFF5071DB53}"/>
    <cellStyle name="40% - Énfasis2 5 2 6" xfId="15939" xr:uid="{05288E80-BE9E-4FE4-BAF0-B8C4F18BF8C3}"/>
    <cellStyle name="40% - Énfasis2 5 2 6 2" xfId="45452" xr:uid="{FBDE74FC-F5C5-491E-87F0-68179568A894}"/>
    <cellStyle name="40% - Énfasis2 5 2 7" xfId="45421" xr:uid="{E4354F24-628E-4F65-AACB-991B06414C8F}"/>
    <cellStyle name="40% - Énfasis2 5 3" xfId="949" xr:uid="{927D073D-F097-41C0-9644-8C0FFC7B0F6F}"/>
    <cellStyle name="40% - Énfasis2 5 3 2" xfId="2419" xr:uid="{1DAE063D-ED49-49DE-80D6-C772C211EE94}"/>
    <cellStyle name="40% - Énfasis2 5 3 2 2" xfId="6151" xr:uid="{4C3E331F-0D36-48D3-9981-8B3DF0E4EC79}"/>
    <cellStyle name="40% - Énfasis2 5 3 2 2 2" xfId="13859" xr:uid="{9EBA56E8-652B-4134-924E-DE707906287A}"/>
    <cellStyle name="40% - Énfasis2 5 3 2 2 2 2" xfId="29271" xr:uid="{78773DDA-6355-4D33-813C-74D21B2EFBC9}"/>
    <cellStyle name="40% - Énfasis2 5 3 2 2 2 2 2" xfId="45457" xr:uid="{0FDC59A6-7857-402F-84C7-F817E67E7246}"/>
    <cellStyle name="40% - Énfasis2 5 3 2 2 2 3" xfId="45456" xr:uid="{F3FFCDB0-5F8E-4231-BFED-F34CEBE053D9}"/>
    <cellStyle name="40% - Énfasis2 5 3 2 2 3" xfId="21566" xr:uid="{9B414E46-A247-46FC-AF4B-48E4BE4A761B}"/>
    <cellStyle name="40% - Énfasis2 5 3 2 2 3 2" xfId="45458" xr:uid="{B55CAC7C-7E45-402C-B1CF-5797243ECCC5}"/>
    <cellStyle name="40% - Énfasis2 5 3 2 2 4" xfId="45455" xr:uid="{C60B62C4-EB78-42A9-B42E-A50BC29EB7D7}"/>
    <cellStyle name="40% - Énfasis2 5 3 2 3" xfId="10130" xr:uid="{B09A3321-F085-4976-A184-C93C6571DFF3}"/>
    <cellStyle name="40% - Énfasis2 5 3 2 3 2" xfId="25543" xr:uid="{F7F768E8-BD47-4AE0-8777-490B5774B82A}"/>
    <cellStyle name="40% - Énfasis2 5 3 2 3 2 2" xfId="45460" xr:uid="{6F63A2D3-E47F-4389-9174-10A197226FF6}"/>
    <cellStyle name="40% - Énfasis2 5 3 2 3 3" xfId="45459" xr:uid="{361B50A8-106B-4529-8CD1-DA572BEF5D6E}"/>
    <cellStyle name="40% - Énfasis2 5 3 2 4" xfId="17838" xr:uid="{99389F5B-E6B9-4E46-A6CD-FB37D9BBAA63}"/>
    <cellStyle name="40% - Énfasis2 5 3 2 4 2" xfId="45461" xr:uid="{E45A84B3-983C-4290-96D2-235B47FA4800}"/>
    <cellStyle name="40% - Énfasis2 5 3 2 5" xfId="45454" xr:uid="{EC0191B7-AF69-4CD9-98BE-7E748676A4CF}"/>
    <cellStyle name="40% - Énfasis2 5 3 3" xfId="4686" xr:uid="{FC8D43E4-7ACC-44F2-8289-150BC78239F0}"/>
    <cellStyle name="40% - Énfasis2 5 3 3 2" xfId="12394" xr:uid="{C7579B1F-688F-4FF5-9C12-EB52D1A6B0AA}"/>
    <cellStyle name="40% - Énfasis2 5 3 3 2 2" xfId="27806" xr:uid="{3B138326-3F32-4148-AAFE-10A94DAF5314}"/>
    <cellStyle name="40% - Énfasis2 5 3 3 2 2 2" xfId="45464" xr:uid="{B7F48C27-D95A-40A5-B12E-A7EC5D1AB990}"/>
    <cellStyle name="40% - Énfasis2 5 3 3 2 3" xfId="45463" xr:uid="{CA8529FA-54DB-423B-9D62-05E420F55F30}"/>
    <cellStyle name="40% - Énfasis2 5 3 3 3" xfId="20101" xr:uid="{8B6B56B7-075D-4337-8C97-A4F8F925E67C}"/>
    <cellStyle name="40% - Énfasis2 5 3 3 3 2" xfId="45465" xr:uid="{4D30C586-8D75-48D5-A0E4-51AED1D02B0C}"/>
    <cellStyle name="40% - Énfasis2 5 3 3 4" xfId="45462" xr:uid="{79450E89-0225-4CB3-B07B-96DEFCF64907}"/>
    <cellStyle name="40% - Énfasis2 5 3 4" xfId="8671" xr:uid="{C5859BA3-62CC-4D17-85DC-8A5CE8949EF1}"/>
    <cellStyle name="40% - Énfasis2 5 3 4 2" xfId="24084" xr:uid="{21561F2D-5F9A-42D9-AAE9-E3E2F159A7C3}"/>
    <cellStyle name="40% - Énfasis2 5 3 4 2 2" xfId="45467" xr:uid="{D93D8696-D626-46D3-BA50-BF0421535452}"/>
    <cellStyle name="40% - Énfasis2 5 3 4 3" xfId="45466" xr:uid="{BD83DDFE-45EB-4892-AB6A-608AAB00AF05}"/>
    <cellStyle name="40% - Énfasis2 5 3 5" xfId="16379" xr:uid="{849F2863-AF0B-47A0-831D-952EC2411A08}"/>
    <cellStyle name="40% - Énfasis2 5 3 5 2" xfId="45468" xr:uid="{0AF40DDD-F265-4B1D-B0E8-74F79CC51DDE}"/>
    <cellStyle name="40% - Énfasis2 5 3 6" xfId="45453" xr:uid="{5F6FC52E-A96C-4616-AE0A-F94838A2F0DD}"/>
    <cellStyle name="40% - Énfasis2 5 4" xfId="1781" xr:uid="{5A5C9112-68F8-4982-8957-B6CD0291B582}"/>
    <cellStyle name="40% - Énfasis2 5 4 2" xfId="5513" xr:uid="{DB9FF2A8-84A0-4A93-8818-FA26182F6F93}"/>
    <cellStyle name="40% - Énfasis2 5 4 2 2" xfId="13221" xr:uid="{ACE228EC-3909-48B5-AE80-7212471F1C2C}"/>
    <cellStyle name="40% - Énfasis2 5 4 2 2 2" xfId="28633" xr:uid="{608218F7-D5DE-4CD3-A018-DE646C919392}"/>
    <cellStyle name="40% - Énfasis2 5 4 2 2 2 2" xfId="45472" xr:uid="{A2B24023-AA3E-4489-BC9F-B7EA4EC224EC}"/>
    <cellStyle name="40% - Énfasis2 5 4 2 2 3" xfId="45471" xr:uid="{8A2D560F-44C2-4489-A245-58DE07A4518A}"/>
    <cellStyle name="40% - Énfasis2 5 4 2 3" xfId="20928" xr:uid="{3FE905C1-0E8F-45FF-876E-86E745AC7BE8}"/>
    <cellStyle name="40% - Énfasis2 5 4 2 3 2" xfId="45473" xr:uid="{7ADC0F17-30D5-48EA-A5A5-CFA2C6ED76FF}"/>
    <cellStyle name="40% - Énfasis2 5 4 2 4" xfId="45470" xr:uid="{86DD880F-0E04-4A34-AFF0-E995BE2505E8}"/>
    <cellStyle name="40% - Énfasis2 5 4 3" xfId="9492" xr:uid="{D4A7E67A-DE69-434D-AE74-A8EBF4209D7F}"/>
    <cellStyle name="40% - Énfasis2 5 4 3 2" xfId="24905" xr:uid="{BEBF94B2-4D4E-4D58-BA79-6CC31C101BA8}"/>
    <cellStyle name="40% - Énfasis2 5 4 3 2 2" xfId="45475" xr:uid="{7B19938F-1CD2-46E0-98BE-0E373CB7E1C0}"/>
    <cellStyle name="40% - Énfasis2 5 4 3 3" xfId="45474" xr:uid="{3152321E-265D-408B-A310-B919A6501247}"/>
    <cellStyle name="40% - Énfasis2 5 4 4" xfId="17200" xr:uid="{5B332FB7-458D-41D8-A187-D2A85202B0FE}"/>
    <cellStyle name="40% - Énfasis2 5 4 4 2" xfId="45476" xr:uid="{BACCE430-2E5F-42D5-86C8-9ABE36009359}"/>
    <cellStyle name="40% - Énfasis2 5 4 5" xfId="45469" xr:uid="{2040B987-C7BE-4CC5-93BD-DAF787D7AEF9}"/>
    <cellStyle name="40% - Énfasis2 5 5" xfId="4034" xr:uid="{F84CA90F-9F79-4DE1-99A6-98D0985C22C6}"/>
    <cellStyle name="40% - Énfasis2 5 5 2" xfId="11742" xr:uid="{4940C40C-5F2C-47DE-87B7-A8A8CD4DA938}"/>
    <cellStyle name="40% - Énfasis2 5 5 2 2" xfId="27154" xr:uid="{0C972EDB-BAA6-4037-A807-D752CD7463A3}"/>
    <cellStyle name="40% - Énfasis2 5 5 2 2 2" xfId="45479" xr:uid="{66E09521-E16E-4D5A-AB7E-9C144171CF8A}"/>
    <cellStyle name="40% - Énfasis2 5 5 2 3" xfId="45478" xr:uid="{CCFB4777-9F80-4B30-B6D2-8DD31215E58A}"/>
    <cellStyle name="40% - Énfasis2 5 5 3" xfId="19449" xr:uid="{CD09A867-499A-4BE5-8294-1D1A73356B8C}"/>
    <cellStyle name="40% - Énfasis2 5 5 3 2" xfId="45480" xr:uid="{171863CA-7BE7-443C-8CE3-AC36379EB27F}"/>
    <cellStyle name="40% - Énfasis2 5 5 4" xfId="45477" xr:uid="{95077D5E-EA49-4788-8658-794923501661}"/>
    <cellStyle name="40% - Énfasis2 5 6" xfId="8033" xr:uid="{5AC8ABB4-E38A-46F0-8EE4-0D782362930C}"/>
    <cellStyle name="40% - Énfasis2 5 6 2" xfId="23446" xr:uid="{B03318EE-9735-400A-9F9C-78B3A999F212}"/>
    <cellStyle name="40% - Énfasis2 5 6 2 2" xfId="45482" xr:uid="{E9180DC0-8D70-4442-A9E8-B708057036A8}"/>
    <cellStyle name="40% - Énfasis2 5 6 3" xfId="45481" xr:uid="{E782C93D-6962-4A5E-9285-A26CDE4F5A5A}"/>
    <cellStyle name="40% - Énfasis2 5 7" xfId="15741" xr:uid="{AB09E40B-680C-4F4A-932D-7BBA908A260F}"/>
    <cellStyle name="40% - Énfasis2 5 7 2" xfId="45483" xr:uid="{994DDE83-113D-45DC-8B99-05758A183A00}"/>
    <cellStyle name="40% - Énfasis2 5 8" xfId="45420" xr:uid="{365A270B-9A8B-47B1-ABE1-D2D3297DBFBC}"/>
    <cellStyle name="40% - Énfasis2 6" xfId="305" xr:uid="{3FFB0D79-7973-4C7E-90AC-5ED2BE2ABC37}"/>
    <cellStyle name="40% - Énfasis2 6 2" xfId="508" xr:uid="{1D4659D5-93FF-49B1-B610-51ED8D4BDEE1}"/>
    <cellStyle name="40% - Énfasis2 6 2 2" xfId="1169" xr:uid="{95524A37-CE5E-44B2-A0E1-9CC2BA0803E1}"/>
    <cellStyle name="40% - Énfasis2 6 2 2 2" xfId="2637" xr:uid="{8DDF8379-0A87-4144-A767-495A5031E818}"/>
    <cellStyle name="40% - Énfasis2 6 2 2 2 2" xfId="6369" xr:uid="{F7126C53-F78A-4C51-B4A3-4D2255A80413}"/>
    <cellStyle name="40% - Énfasis2 6 2 2 2 2 2" xfId="14077" xr:uid="{4689511C-EB14-4168-AF0D-462373A75405}"/>
    <cellStyle name="40% - Énfasis2 6 2 2 2 2 2 2" xfId="29489" xr:uid="{4A29EAA0-98B0-4E6F-917F-AAEB090401D0}"/>
    <cellStyle name="40% - Énfasis2 6 2 2 2 2 2 2 2" xfId="45490" xr:uid="{DBB048C7-AC7F-40C6-936F-98CF3BFD5BAC}"/>
    <cellStyle name="40% - Énfasis2 6 2 2 2 2 2 3" xfId="45489" xr:uid="{C997EC79-9AAF-405C-B171-BC9426F7C60F}"/>
    <cellStyle name="40% - Énfasis2 6 2 2 2 2 3" xfId="21784" xr:uid="{EDB04ED3-EC83-44A4-829D-0502337CB514}"/>
    <cellStyle name="40% - Énfasis2 6 2 2 2 2 3 2" xfId="45491" xr:uid="{AF13479A-C6E8-47CF-A838-CF8AC8796464}"/>
    <cellStyle name="40% - Énfasis2 6 2 2 2 2 4" xfId="45488" xr:uid="{D8D2A976-F1D4-4235-BF74-D22BA6D67860}"/>
    <cellStyle name="40% - Énfasis2 6 2 2 2 3" xfId="10348" xr:uid="{FF123E51-EE60-47BA-8CD3-18526E743715}"/>
    <cellStyle name="40% - Énfasis2 6 2 2 2 3 2" xfId="25761" xr:uid="{E5502F2B-F08F-428B-A43D-5D9D9B517D52}"/>
    <cellStyle name="40% - Énfasis2 6 2 2 2 3 2 2" xfId="45493" xr:uid="{FB80F32E-4173-4560-A2FE-3F5065BD909E}"/>
    <cellStyle name="40% - Énfasis2 6 2 2 2 3 3" xfId="45492" xr:uid="{948B2B8A-085E-498D-A9A4-C7E2A32CD7C4}"/>
    <cellStyle name="40% - Énfasis2 6 2 2 2 4" xfId="18056" xr:uid="{E1075A2C-6AB0-4B9E-9881-42B919A6A6F0}"/>
    <cellStyle name="40% - Énfasis2 6 2 2 2 4 2" xfId="45494" xr:uid="{EF833CAF-EE16-4229-8087-D057CD1D3CF7}"/>
    <cellStyle name="40% - Énfasis2 6 2 2 2 5" xfId="45487" xr:uid="{55FD30D8-CE66-4975-8210-7FB0AC7554CB}"/>
    <cellStyle name="40% - Énfasis2 6 2 2 3" xfId="4906" xr:uid="{74DFF466-CFBD-42F9-B9FF-774630444C11}"/>
    <cellStyle name="40% - Énfasis2 6 2 2 3 2" xfId="12614" xr:uid="{AD8E6A14-9BF8-4C13-8005-3518D57827D4}"/>
    <cellStyle name="40% - Énfasis2 6 2 2 3 2 2" xfId="28026" xr:uid="{812DDD4F-45D9-4091-A2D6-C6E5768CD78E}"/>
    <cellStyle name="40% - Énfasis2 6 2 2 3 2 2 2" xfId="45497" xr:uid="{1C686781-1E01-4E9A-95AD-0EC63DD0B59D}"/>
    <cellStyle name="40% - Énfasis2 6 2 2 3 2 3" xfId="45496" xr:uid="{F8F25947-9A96-4769-8734-87316DA3AF9C}"/>
    <cellStyle name="40% - Énfasis2 6 2 2 3 3" xfId="20321" xr:uid="{492630B4-CE37-41BA-96FA-779082388417}"/>
    <cellStyle name="40% - Énfasis2 6 2 2 3 3 2" xfId="45498" xr:uid="{99BCB5AE-669D-48CC-9BBD-E4D4CF0C6DB4}"/>
    <cellStyle name="40% - Énfasis2 6 2 2 3 4" xfId="45495" xr:uid="{CC588553-E6F0-4A63-849D-37E9433870B5}"/>
    <cellStyle name="40% - Énfasis2 6 2 2 4" xfId="8889" xr:uid="{F1056E66-395F-45FE-9B0B-B69BC88D87E5}"/>
    <cellStyle name="40% - Énfasis2 6 2 2 4 2" xfId="24302" xr:uid="{B1F3994D-94CE-49F9-B777-A190B49907ED}"/>
    <cellStyle name="40% - Énfasis2 6 2 2 4 2 2" xfId="45500" xr:uid="{5B25563A-DF16-4B8E-B2B3-DE0F7A871B5F}"/>
    <cellStyle name="40% - Énfasis2 6 2 2 4 3" xfId="45499" xr:uid="{AD655C77-F89B-4468-B56C-6F7972E074B6}"/>
    <cellStyle name="40% - Énfasis2 6 2 2 5" xfId="16597" xr:uid="{8127BC10-2C76-44BC-8B3F-91DEC9C1DCAD}"/>
    <cellStyle name="40% - Énfasis2 6 2 2 5 2" xfId="45501" xr:uid="{DD3AFACB-CEBA-40AB-99A1-90C4F98A83C0}"/>
    <cellStyle name="40% - Énfasis2 6 2 2 6" xfId="45486" xr:uid="{3291E013-E39E-4BB5-BD12-328A390CEE1B}"/>
    <cellStyle name="40% - Énfasis2 6 2 3" xfId="1999" xr:uid="{3C2DA8D5-EC3F-451A-83AF-5705DFA8BD22}"/>
    <cellStyle name="40% - Énfasis2 6 2 3 2" xfId="5731" xr:uid="{B8CC9A96-36C1-42FE-B64B-5ECD833D682A}"/>
    <cellStyle name="40% - Énfasis2 6 2 3 2 2" xfId="13439" xr:uid="{CAC4092B-AB7B-47C9-B4DE-A9B5B7CE434A}"/>
    <cellStyle name="40% - Énfasis2 6 2 3 2 2 2" xfId="28851" xr:uid="{836EBB2A-01E3-4190-AD76-F3AEF20F5C9D}"/>
    <cellStyle name="40% - Énfasis2 6 2 3 2 2 2 2" xfId="45505" xr:uid="{F06D220F-A1BE-4C21-A253-FBA19FB6F062}"/>
    <cellStyle name="40% - Énfasis2 6 2 3 2 2 3" xfId="45504" xr:uid="{394993D8-3828-45F6-8057-35584426E284}"/>
    <cellStyle name="40% - Énfasis2 6 2 3 2 3" xfId="21146" xr:uid="{9C557AC4-E391-40F9-A167-37F358BC311C}"/>
    <cellStyle name="40% - Énfasis2 6 2 3 2 3 2" xfId="45506" xr:uid="{2FAE4EC6-CE16-41A1-A02B-A00788F80E72}"/>
    <cellStyle name="40% - Énfasis2 6 2 3 2 4" xfId="45503" xr:uid="{6D975A5B-F659-487C-B1B7-6BE7B11E0AAF}"/>
    <cellStyle name="40% - Énfasis2 6 2 3 3" xfId="9710" xr:uid="{DE5268A0-0517-4F28-B0AD-50270D094D1A}"/>
    <cellStyle name="40% - Énfasis2 6 2 3 3 2" xfId="25123" xr:uid="{36399E77-1BA2-4B94-B254-BBED52DA6CB9}"/>
    <cellStyle name="40% - Énfasis2 6 2 3 3 2 2" xfId="45508" xr:uid="{B89D77F9-E5CE-4895-A1D7-07F9B36043EE}"/>
    <cellStyle name="40% - Énfasis2 6 2 3 3 3" xfId="45507" xr:uid="{023B46C4-C383-4C7B-91BF-1A86C092D42C}"/>
    <cellStyle name="40% - Énfasis2 6 2 3 4" xfId="17418" xr:uid="{A292ACE6-831D-418E-8337-C94C0ECEBF22}"/>
    <cellStyle name="40% - Énfasis2 6 2 3 4 2" xfId="45509" xr:uid="{A4B06E19-53EB-4378-8E2E-A7781BAA63D8}"/>
    <cellStyle name="40% - Énfasis2 6 2 3 5" xfId="45502" xr:uid="{872FF2CF-2095-4497-ABF1-E5206B94614F}"/>
    <cellStyle name="40% - Énfasis2 6 2 4" xfId="4254" xr:uid="{2588937D-CD25-4824-A538-8917C7E3E309}"/>
    <cellStyle name="40% - Énfasis2 6 2 4 2" xfId="11962" xr:uid="{18E2D58A-9DA5-4C45-8204-A9F8300A52EF}"/>
    <cellStyle name="40% - Énfasis2 6 2 4 2 2" xfId="27374" xr:uid="{4952CD41-8B9E-4023-B714-4DEBE05A1102}"/>
    <cellStyle name="40% - Énfasis2 6 2 4 2 2 2" xfId="45512" xr:uid="{D9B52406-D732-4651-8D4C-2319560491B2}"/>
    <cellStyle name="40% - Énfasis2 6 2 4 2 3" xfId="45511" xr:uid="{D1FC60CD-9A9E-42B8-A44D-28B1F7403D12}"/>
    <cellStyle name="40% - Énfasis2 6 2 4 3" xfId="19669" xr:uid="{300B6BF2-15C6-409D-B56F-3E942879F73D}"/>
    <cellStyle name="40% - Énfasis2 6 2 4 3 2" xfId="45513" xr:uid="{CBE33684-A840-4977-B111-AB2DE0DA823A}"/>
    <cellStyle name="40% - Énfasis2 6 2 4 4" xfId="45510" xr:uid="{47E3AC61-E7D9-4E40-A666-772F76F2F218}"/>
    <cellStyle name="40% - Énfasis2 6 2 5" xfId="8251" xr:uid="{137B34E5-2029-4A8B-88C2-E92E7E4CBCB6}"/>
    <cellStyle name="40% - Énfasis2 6 2 5 2" xfId="23664" xr:uid="{EB1B9B59-5F48-4231-A48E-B38FB7115CFF}"/>
    <cellStyle name="40% - Énfasis2 6 2 5 2 2" xfId="45515" xr:uid="{6C57A553-09E8-4EBC-AB54-EFD8FB81B046}"/>
    <cellStyle name="40% - Énfasis2 6 2 5 3" xfId="45514" xr:uid="{9AECAF0F-6E48-45A1-959E-C8C5F45AB378}"/>
    <cellStyle name="40% - Énfasis2 6 2 6" xfId="15959" xr:uid="{CE67B704-7C57-4C71-8AA3-8CF57ABB22EF}"/>
    <cellStyle name="40% - Énfasis2 6 2 6 2" xfId="45516" xr:uid="{2DB83040-5A51-41EB-81FB-C5E9C744E6C1}"/>
    <cellStyle name="40% - Énfasis2 6 2 7" xfId="45485" xr:uid="{31324CA4-DE13-446D-975B-533081403FD6}"/>
    <cellStyle name="40% - Énfasis2 6 3" xfId="969" xr:uid="{792A30F9-A6A7-4288-80D4-7E9360582FC9}"/>
    <cellStyle name="40% - Énfasis2 6 3 2" xfId="2439" xr:uid="{D44F5A72-4A79-4961-B156-9DB6B0004275}"/>
    <cellStyle name="40% - Énfasis2 6 3 2 2" xfId="6171" xr:uid="{71EF2EF7-CEB4-4C40-A50F-83195FEB0017}"/>
    <cellStyle name="40% - Énfasis2 6 3 2 2 2" xfId="13879" xr:uid="{18A62906-E7C7-4081-9A5B-BA802E2899A1}"/>
    <cellStyle name="40% - Énfasis2 6 3 2 2 2 2" xfId="29291" xr:uid="{BFD8DD50-3588-40AE-82C4-7801DFCE815C}"/>
    <cellStyle name="40% - Énfasis2 6 3 2 2 2 2 2" xfId="45521" xr:uid="{672C4490-DC3F-406F-92A1-46B17BC318D9}"/>
    <cellStyle name="40% - Énfasis2 6 3 2 2 2 3" xfId="45520" xr:uid="{F9DF2AFE-5A6F-4342-A2C7-2DEFD13B6330}"/>
    <cellStyle name="40% - Énfasis2 6 3 2 2 3" xfId="21586" xr:uid="{9027460A-6E4D-450D-AB43-DA70D41CC035}"/>
    <cellStyle name="40% - Énfasis2 6 3 2 2 3 2" xfId="45522" xr:uid="{068FEBE8-24F3-4AE4-8419-6849FDEEC95F}"/>
    <cellStyle name="40% - Énfasis2 6 3 2 2 4" xfId="45519" xr:uid="{AB31AF55-2D2D-4CE1-A421-B675599EDC5D}"/>
    <cellStyle name="40% - Énfasis2 6 3 2 3" xfId="10150" xr:uid="{1ED4E7AA-72AC-4761-BD7D-6F51CFEF13EC}"/>
    <cellStyle name="40% - Énfasis2 6 3 2 3 2" xfId="25563" xr:uid="{D43C76BE-8AD9-4BB0-9713-25B14A352C12}"/>
    <cellStyle name="40% - Énfasis2 6 3 2 3 2 2" xfId="45524" xr:uid="{58D4B397-B888-49C1-89CA-B2B546B6AE72}"/>
    <cellStyle name="40% - Énfasis2 6 3 2 3 3" xfId="45523" xr:uid="{4C461265-5581-48AC-9A9D-9DCE1F9C4172}"/>
    <cellStyle name="40% - Énfasis2 6 3 2 4" xfId="17858" xr:uid="{B0B8A78E-C9AF-4E08-8217-DD43C636D670}"/>
    <cellStyle name="40% - Énfasis2 6 3 2 4 2" xfId="45525" xr:uid="{D1CBD60F-CB40-4B86-9794-48713582E0AC}"/>
    <cellStyle name="40% - Énfasis2 6 3 2 5" xfId="45518" xr:uid="{7FFD8182-AEAF-4065-A75D-964CD3DAED94}"/>
    <cellStyle name="40% - Énfasis2 6 3 3" xfId="4706" xr:uid="{AD9526B2-2523-4E86-8B35-F94D507C6E1F}"/>
    <cellStyle name="40% - Énfasis2 6 3 3 2" xfId="12414" xr:uid="{A6B71EA2-A81F-4B5A-8CD5-5CE3F71B154B}"/>
    <cellStyle name="40% - Énfasis2 6 3 3 2 2" xfId="27826" xr:uid="{C294BF73-A759-44B4-948C-0FA452715565}"/>
    <cellStyle name="40% - Énfasis2 6 3 3 2 2 2" xfId="45528" xr:uid="{72220489-B741-49B3-8953-99FA18F7F1A3}"/>
    <cellStyle name="40% - Énfasis2 6 3 3 2 3" xfId="45527" xr:uid="{F97C808D-4454-42ED-BBAE-B53C4E493DF1}"/>
    <cellStyle name="40% - Énfasis2 6 3 3 3" xfId="20121" xr:uid="{758C41CA-6698-41BF-891F-333164D9CAF7}"/>
    <cellStyle name="40% - Énfasis2 6 3 3 3 2" xfId="45529" xr:uid="{C446C9B5-ED18-4A75-908C-8273484BB427}"/>
    <cellStyle name="40% - Énfasis2 6 3 3 4" xfId="45526" xr:uid="{9756E256-5277-45AF-9072-023501B9C9BD}"/>
    <cellStyle name="40% - Énfasis2 6 3 4" xfId="8691" xr:uid="{7AFC8828-F0C9-4DA6-AFB2-7160228752A1}"/>
    <cellStyle name="40% - Énfasis2 6 3 4 2" xfId="24104" xr:uid="{80D7440C-F18A-4E50-B77E-9F87369AD1C5}"/>
    <cellStyle name="40% - Énfasis2 6 3 4 2 2" xfId="45531" xr:uid="{7B16B79E-D31A-4960-AB5B-7BE0D6B587CA}"/>
    <cellStyle name="40% - Énfasis2 6 3 4 3" xfId="45530" xr:uid="{9046726F-3A24-4EDB-B06A-5388998AC5BD}"/>
    <cellStyle name="40% - Énfasis2 6 3 5" xfId="16399" xr:uid="{87B6C16B-90F0-48D3-9537-CED5CE3223DA}"/>
    <cellStyle name="40% - Énfasis2 6 3 5 2" xfId="45532" xr:uid="{226C059C-25D3-4292-824A-D03BBD09BEEE}"/>
    <cellStyle name="40% - Énfasis2 6 3 6" xfId="45517" xr:uid="{E8BEDA9F-D399-4C7B-9421-D850B9622C82}"/>
    <cellStyle name="40% - Énfasis2 6 4" xfId="1801" xr:uid="{C268CDAE-86BF-4FEF-AE23-210AD57DDC14}"/>
    <cellStyle name="40% - Énfasis2 6 4 2" xfId="5533" xr:uid="{0D9E4DF0-C016-479D-8028-11216A58CCD6}"/>
    <cellStyle name="40% - Énfasis2 6 4 2 2" xfId="13241" xr:uid="{B572189C-CC37-49D4-8328-6724F63C6187}"/>
    <cellStyle name="40% - Énfasis2 6 4 2 2 2" xfId="28653" xr:uid="{1A2DC5F7-73F7-4266-B2A8-BE7E5E91FB87}"/>
    <cellStyle name="40% - Énfasis2 6 4 2 2 2 2" xfId="45536" xr:uid="{616C748A-1146-4039-BF1C-5CFB0A30E88F}"/>
    <cellStyle name="40% - Énfasis2 6 4 2 2 3" xfId="45535" xr:uid="{76C37557-3503-4AA2-9FCC-1DE82C82C2EF}"/>
    <cellStyle name="40% - Énfasis2 6 4 2 3" xfId="20948" xr:uid="{AEBC7DC3-ADD0-4887-B5F4-A12ADF7CEF5A}"/>
    <cellStyle name="40% - Énfasis2 6 4 2 3 2" xfId="45537" xr:uid="{B3EF617E-101C-4C01-9452-9BAA089653F9}"/>
    <cellStyle name="40% - Énfasis2 6 4 2 4" xfId="45534" xr:uid="{1EF4D8D4-1406-42B8-84BA-CE9B8AB36E26}"/>
    <cellStyle name="40% - Énfasis2 6 4 3" xfId="9512" xr:uid="{EEEC2277-F938-40F0-A737-12C71BF078E1}"/>
    <cellStyle name="40% - Énfasis2 6 4 3 2" xfId="24925" xr:uid="{D44DC65B-3638-4D61-BD61-9C7569BE1FB9}"/>
    <cellStyle name="40% - Énfasis2 6 4 3 2 2" xfId="45539" xr:uid="{26239A98-B7BF-424B-8D79-D8063280B0DC}"/>
    <cellStyle name="40% - Énfasis2 6 4 3 3" xfId="45538" xr:uid="{264B4911-5718-4812-A3E7-211D1A9F316C}"/>
    <cellStyle name="40% - Énfasis2 6 4 4" xfId="17220" xr:uid="{F9CE22D1-38D4-49AB-9D8D-774DB5A78106}"/>
    <cellStyle name="40% - Énfasis2 6 4 4 2" xfId="45540" xr:uid="{B04ED62F-ACFE-4B6A-8FDE-0920112F8E7E}"/>
    <cellStyle name="40% - Énfasis2 6 4 5" xfId="45533" xr:uid="{C6108BA5-6044-4F38-8183-079CC85EE6F6}"/>
    <cellStyle name="40% - Énfasis2 6 5" xfId="4054" xr:uid="{7EA5A029-957F-43F1-A970-1B7ED903EFFC}"/>
    <cellStyle name="40% - Énfasis2 6 5 2" xfId="11762" xr:uid="{6C6379D2-65BE-4E3B-B39E-3BBADD7E8CFE}"/>
    <cellStyle name="40% - Énfasis2 6 5 2 2" xfId="27174" xr:uid="{C4A9901E-0516-4E92-B160-A4EF4C91248D}"/>
    <cellStyle name="40% - Énfasis2 6 5 2 2 2" xfId="45543" xr:uid="{AAAFB3A7-4586-4B1C-B0E8-67FA254181A2}"/>
    <cellStyle name="40% - Énfasis2 6 5 2 3" xfId="45542" xr:uid="{74758193-DE3F-45A3-B46D-04C8DD322628}"/>
    <cellStyle name="40% - Énfasis2 6 5 3" xfId="19469" xr:uid="{3DB2B0CE-3856-402D-A5A3-F34239276A51}"/>
    <cellStyle name="40% - Énfasis2 6 5 3 2" xfId="45544" xr:uid="{5B9F4335-91EF-4136-AE50-39C885332881}"/>
    <cellStyle name="40% - Énfasis2 6 5 4" xfId="45541" xr:uid="{72ABF5F7-FC5B-4F37-AEF6-206B3FB9AF97}"/>
    <cellStyle name="40% - Énfasis2 6 6" xfId="8053" xr:uid="{B718F04C-E7C8-4B63-AFDB-135E024588DD}"/>
    <cellStyle name="40% - Énfasis2 6 6 2" xfId="23466" xr:uid="{D1883085-C1AA-4E4D-B40D-169C3247ECF5}"/>
    <cellStyle name="40% - Énfasis2 6 6 2 2" xfId="45546" xr:uid="{A987A767-0A4B-4A92-B7FF-A905BF1FFA33}"/>
    <cellStyle name="40% - Énfasis2 6 6 3" xfId="45545" xr:uid="{303DBE23-8897-4209-BBE2-AFE249D2D783}"/>
    <cellStyle name="40% - Énfasis2 6 7" xfId="15761" xr:uid="{56C94762-BD6B-4E39-A900-9CEAD7F2D773}"/>
    <cellStyle name="40% - Énfasis2 6 7 2" xfId="45547" xr:uid="{71F49C7C-6718-4A1C-A530-63DD3D1B2FD9}"/>
    <cellStyle name="40% - Énfasis2 6 8" xfId="45484" xr:uid="{33AAD14B-4CF1-4EE6-96D6-66F97701AD76}"/>
    <cellStyle name="40% - Énfasis2 7" xfId="528" xr:uid="{03F27960-53AA-4B66-8179-9DD4DCB39551}"/>
    <cellStyle name="40% - Énfasis2 7 2" xfId="1189" xr:uid="{13216B83-45C2-4553-B144-A599524286DC}"/>
    <cellStyle name="40% - Énfasis2 7 2 2" xfId="2657" xr:uid="{A8888637-6553-444A-91E6-6EF08AC0346E}"/>
    <cellStyle name="40% - Énfasis2 7 2 2 2" xfId="6389" xr:uid="{5A42AB14-941D-4D14-8510-F8AD75BB26FC}"/>
    <cellStyle name="40% - Énfasis2 7 2 2 2 2" xfId="14097" xr:uid="{BFE17ECE-2BFE-4E71-9532-3564E1F4742D}"/>
    <cellStyle name="40% - Énfasis2 7 2 2 2 2 2" xfId="29509" xr:uid="{177F8528-0837-48AC-AF6A-23FBFBDE5609}"/>
    <cellStyle name="40% - Énfasis2 7 2 2 2 2 2 2" xfId="45553" xr:uid="{8D609FA4-A122-4577-B9F9-3710368B09C0}"/>
    <cellStyle name="40% - Énfasis2 7 2 2 2 2 3" xfId="45552" xr:uid="{D875C75D-375B-4D1E-A997-A95CC77408D5}"/>
    <cellStyle name="40% - Énfasis2 7 2 2 2 3" xfId="21804" xr:uid="{F083A69F-F67A-4EB7-94E9-BB85E44551DE}"/>
    <cellStyle name="40% - Énfasis2 7 2 2 2 3 2" xfId="45554" xr:uid="{9AFF5468-08E6-4960-9B14-CD4B07C55C2C}"/>
    <cellStyle name="40% - Énfasis2 7 2 2 2 4" xfId="45551" xr:uid="{B416DEC5-103D-436F-93BC-A92ADDFF8C32}"/>
    <cellStyle name="40% - Énfasis2 7 2 2 3" xfId="10368" xr:uid="{662C6289-DF75-473E-A4C8-16A324B477C7}"/>
    <cellStyle name="40% - Énfasis2 7 2 2 3 2" xfId="25781" xr:uid="{0984A3FB-E7C6-4B96-B7C8-F71BD61A8CE3}"/>
    <cellStyle name="40% - Énfasis2 7 2 2 3 2 2" xfId="45556" xr:uid="{C6D487DE-62F1-4241-8C1D-437A5A54BB21}"/>
    <cellStyle name="40% - Énfasis2 7 2 2 3 3" xfId="45555" xr:uid="{0BE5F81D-69A4-4101-8289-CCFC87744D76}"/>
    <cellStyle name="40% - Énfasis2 7 2 2 4" xfId="18076" xr:uid="{5585E68D-26C9-4CBB-B92E-8A467CC14EB5}"/>
    <cellStyle name="40% - Énfasis2 7 2 2 4 2" xfId="45557" xr:uid="{115EF154-1035-4A80-91B2-986F85C409A9}"/>
    <cellStyle name="40% - Énfasis2 7 2 2 5" xfId="45550" xr:uid="{A3E6C7D7-ECE0-424D-A898-2BAFF68E469D}"/>
    <cellStyle name="40% - Énfasis2 7 2 3" xfId="4926" xr:uid="{5B3CECC5-9DDC-4969-88CD-63E7BB4462BE}"/>
    <cellStyle name="40% - Énfasis2 7 2 3 2" xfId="12634" xr:uid="{A2977B5D-99FA-42BE-BF84-2F860009BFD7}"/>
    <cellStyle name="40% - Énfasis2 7 2 3 2 2" xfId="28046" xr:uid="{2FFA7096-4A8B-41D6-935E-D749927FBA0A}"/>
    <cellStyle name="40% - Énfasis2 7 2 3 2 2 2" xfId="45560" xr:uid="{E0DAD4EC-5B0A-4F6B-B9B2-D98176155F0A}"/>
    <cellStyle name="40% - Énfasis2 7 2 3 2 3" xfId="45559" xr:uid="{B17D2D1A-CA61-4A02-99AE-7619164DDA01}"/>
    <cellStyle name="40% - Énfasis2 7 2 3 3" xfId="20341" xr:uid="{FBDB038D-012A-4275-8935-52E03CC242EA}"/>
    <cellStyle name="40% - Énfasis2 7 2 3 3 2" xfId="45561" xr:uid="{F09F0627-34E3-4C81-9895-89400DD0B2E7}"/>
    <cellStyle name="40% - Énfasis2 7 2 3 4" xfId="45558" xr:uid="{AACDEF09-D486-423A-B1D3-6692784F414B}"/>
    <cellStyle name="40% - Énfasis2 7 2 4" xfId="8909" xr:uid="{CFAF5879-FC2E-4C01-99FF-D1B00A514367}"/>
    <cellStyle name="40% - Énfasis2 7 2 4 2" xfId="24322" xr:uid="{5EEF3836-9E63-4C4B-AF91-542122530B46}"/>
    <cellStyle name="40% - Énfasis2 7 2 4 2 2" xfId="45563" xr:uid="{5E8A147B-E5B5-444B-873D-5CE818F555D7}"/>
    <cellStyle name="40% - Énfasis2 7 2 4 3" xfId="45562" xr:uid="{05EA9457-1249-41F1-9DD2-E38118E987ED}"/>
    <cellStyle name="40% - Énfasis2 7 2 5" xfId="16617" xr:uid="{B12754E1-733E-4391-8AD9-B95D325163C1}"/>
    <cellStyle name="40% - Énfasis2 7 2 5 2" xfId="45564" xr:uid="{77AF7472-C1F0-4561-B1C9-1EE1A095AF5F}"/>
    <cellStyle name="40% - Énfasis2 7 2 6" xfId="45549" xr:uid="{2EC6B421-2687-4B7D-B36D-2FCAFECF4449}"/>
    <cellStyle name="40% - Énfasis2 7 3" xfId="2019" xr:uid="{1ABA1B53-CD7D-4836-BAED-2B409A25945D}"/>
    <cellStyle name="40% - Énfasis2 7 3 2" xfId="5751" xr:uid="{6D2B3200-8152-4E56-89EC-51B5E6390CC8}"/>
    <cellStyle name="40% - Énfasis2 7 3 2 2" xfId="13459" xr:uid="{7CD34170-4518-464F-9A88-B79A02AB4771}"/>
    <cellStyle name="40% - Énfasis2 7 3 2 2 2" xfId="28871" xr:uid="{4D827A89-DC62-47F3-821F-6796293146A2}"/>
    <cellStyle name="40% - Énfasis2 7 3 2 2 2 2" xfId="45568" xr:uid="{0B4016BE-71D0-4A30-9764-B13A321C7E3D}"/>
    <cellStyle name="40% - Énfasis2 7 3 2 2 3" xfId="45567" xr:uid="{62648580-EBE5-48CC-B4EE-22B940BED179}"/>
    <cellStyle name="40% - Énfasis2 7 3 2 3" xfId="21166" xr:uid="{4390A0F4-BD48-49D4-B9A4-3A9D3FCCCBEE}"/>
    <cellStyle name="40% - Énfasis2 7 3 2 3 2" xfId="45569" xr:uid="{D7D70A96-B01B-49CC-8602-162540146A24}"/>
    <cellStyle name="40% - Énfasis2 7 3 2 4" xfId="45566" xr:uid="{903ED1DE-BA94-4794-B650-506487D0B169}"/>
    <cellStyle name="40% - Énfasis2 7 3 3" xfId="9730" xr:uid="{308748CF-94F5-41CA-8C15-0F2044A5C7F0}"/>
    <cellStyle name="40% - Énfasis2 7 3 3 2" xfId="25143" xr:uid="{C544A4E3-1772-4524-89A0-E40ED1566CAD}"/>
    <cellStyle name="40% - Énfasis2 7 3 3 2 2" xfId="45571" xr:uid="{87EFA114-C9D7-4D91-9779-6EE6EC2CF3DE}"/>
    <cellStyle name="40% - Énfasis2 7 3 3 3" xfId="45570" xr:uid="{A93C014E-CF41-408E-9F6E-EEC259E65D7B}"/>
    <cellStyle name="40% - Énfasis2 7 3 4" xfId="17438" xr:uid="{15DE23F9-8349-4BA7-AA3D-E6174A7C46B6}"/>
    <cellStyle name="40% - Énfasis2 7 3 4 2" xfId="45572" xr:uid="{3BF18819-B832-486F-92C9-35EE357FB752}"/>
    <cellStyle name="40% - Énfasis2 7 3 5" xfId="45565" xr:uid="{9DB2FB9A-53BF-4BD5-8F06-7B47928584D4}"/>
    <cellStyle name="40% - Énfasis2 7 4" xfId="4274" xr:uid="{F0750F58-CD7A-4F72-9AC3-300814CF39C8}"/>
    <cellStyle name="40% - Énfasis2 7 4 2" xfId="11982" xr:uid="{BD2670F6-53AB-42B2-A3DA-F46518F1D1DB}"/>
    <cellStyle name="40% - Énfasis2 7 4 2 2" xfId="27394" xr:uid="{5DF7CDFE-F320-4E83-8961-0A02632895D8}"/>
    <cellStyle name="40% - Énfasis2 7 4 2 2 2" xfId="45575" xr:uid="{AE4A5C65-A93C-4132-8FA0-78325BB6E14C}"/>
    <cellStyle name="40% - Énfasis2 7 4 2 3" xfId="45574" xr:uid="{4369F09F-1902-4A06-8C16-37E4BCBE5B79}"/>
    <cellStyle name="40% - Énfasis2 7 4 3" xfId="19689" xr:uid="{85D2ACE2-0369-467E-80EB-A61DE9CC64BA}"/>
    <cellStyle name="40% - Énfasis2 7 4 3 2" xfId="45576" xr:uid="{9D6C120C-17AE-4D93-B698-2350DB4840EE}"/>
    <cellStyle name="40% - Énfasis2 7 4 4" xfId="45573" xr:uid="{611A102D-E1C6-4785-B6F7-B0B11AEA9BEF}"/>
    <cellStyle name="40% - Énfasis2 7 5" xfId="8271" xr:uid="{F6FEC24C-7F91-4439-A93A-265A4176A9A5}"/>
    <cellStyle name="40% - Énfasis2 7 5 2" xfId="23684" xr:uid="{CCB5DA99-5A48-440B-9BBE-C5573AB2B401}"/>
    <cellStyle name="40% - Énfasis2 7 5 2 2" xfId="45578" xr:uid="{90EBB7C2-1ABE-4E55-A572-98B7754D3642}"/>
    <cellStyle name="40% - Énfasis2 7 5 3" xfId="45577" xr:uid="{3BE53B33-CE79-477C-84C5-F569F632A6B4}"/>
    <cellStyle name="40% - Énfasis2 7 6" xfId="15979" xr:uid="{71AA695A-011B-4E6B-9826-780F6CD39B3E}"/>
    <cellStyle name="40% - Énfasis2 7 6 2" xfId="45579" xr:uid="{C0D04AC0-6955-4039-8F56-2D448233718B}"/>
    <cellStyle name="40% - Énfasis2 7 7" xfId="45548" xr:uid="{35E4BAB4-72F2-4F5A-8E09-38C009ADDAD9}"/>
    <cellStyle name="40% - Énfasis2 8" xfId="548" xr:uid="{85309544-8189-4C52-B9BE-4A56A163D0A8}"/>
    <cellStyle name="40% - Énfasis2 8 2" xfId="1209" xr:uid="{E0311815-F741-42D5-85E3-B42D6C3F6332}"/>
    <cellStyle name="40% - Énfasis2 8 2 2" xfId="2677" xr:uid="{C53256E5-394A-475B-8B22-D07968FBD06D}"/>
    <cellStyle name="40% - Énfasis2 8 2 2 2" xfId="6409" xr:uid="{255B9CCA-1A94-473C-B51E-32F8C21DD6A0}"/>
    <cellStyle name="40% - Énfasis2 8 2 2 2 2" xfId="14117" xr:uid="{0AF6959D-72E9-4762-AB28-1D87ACE11ADF}"/>
    <cellStyle name="40% - Énfasis2 8 2 2 2 2 2" xfId="29529" xr:uid="{324AF0EC-57F1-4064-8018-0C42C3ED3888}"/>
    <cellStyle name="40% - Énfasis2 8 2 2 2 2 2 2" xfId="45585" xr:uid="{3F19C3EC-9963-42FC-AC0E-F4843EB503F4}"/>
    <cellStyle name="40% - Énfasis2 8 2 2 2 2 3" xfId="45584" xr:uid="{A1ED1486-E54C-4819-B62A-1810DBEE777D}"/>
    <cellStyle name="40% - Énfasis2 8 2 2 2 3" xfId="21824" xr:uid="{9662B95A-6F19-4A30-89A8-1AF7DA3A4B52}"/>
    <cellStyle name="40% - Énfasis2 8 2 2 2 3 2" xfId="45586" xr:uid="{0DCCCF51-5215-4B04-9B83-50F178A218AE}"/>
    <cellStyle name="40% - Énfasis2 8 2 2 2 4" xfId="45583" xr:uid="{1ABE3E1F-8C74-4785-93C6-CAD1BEEB3E4C}"/>
    <cellStyle name="40% - Énfasis2 8 2 2 3" xfId="10388" xr:uid="{F0F51A1B-DFA6-49A3-80D3-3375A7D3CCF7}"/>
    <cellStyle name="40% - Énfasis2 8 2 2 3 2" xfId="25801" xr:uid="{6585CE72-173F-4383-8EB3-507F118AAABA}"/>
    <cellStyle name="40% - Énfasis2 8 2 2 3 2 2" xfId="45588" xr:uid="{74F0697F-847A-4014-AA25-259A634D6AB5}"/>
    <cellStyle name="40% - Énfasis2 8 2 2 3 3" xfId="45587" xr:uid="{6402B9B2-237F-4C1D-97CF-CD41DA6CB007}"/>
    <cellStyle name="40% - Énfasis2 8 2 2 4" xfId="18096" xr:uid="{640E4A55-626E-45DA-8620-7060CBDBEBEE}"/>
    <cellStyle name="40% - Énfasis2 8 2 2 4 2" xfId="45589" xr:uid="{672EE3C6-9C19-4C84-AA23-C4EF6E54E443}"/>
    <cellStyle name="40% - Énfasis2 8 2 2 5" xfId="45582" xr:uid="{C6BBEE20-F1DA-4E55-AB4B-8573EF4D57EC}"/>
    <cellStyle name="40% - Énfasis2 8 2 3" xfId="4946" xr:uid="{382F161D-4C7A-425E-B7CE-484B2A72BEAB}"/>
    <cellStyle name="40% - Énfasis2 8 2 3 2" xfId="12654" xr:uid="{FEDD1446-1317-48C4-BDC1-F81B79E653E8}"/>
    <cellStyle name="40% - Énfasis2 8 2 3 2 2" xfId="28066" xr:uid="{6F0AB324-2A94-497F-950D-5BACA7459904}"/>
    <cellStyle name="40% - Énfasis2 8 2 3 2 2 2" xfId="45592" xr:uid="{AE8DFB32-16F5-4CD9-80DF-2FBA15C211AD}"/>
    <cellStyle name="40% - Énfasis2 8 2 3 2 3" xfId="45591" xr:uid="{FA4BF045-424E-4984-8075-24DC75B36C3A}"/>
    <cellStyle name="40% - Énfasis2 8 2 3 3" xfId="20361" xr:uid="{A9327463-13F2-463D-AE22-6034D407FF48}"/>
    <cellStyle name="40% - Énfasis2 8 2 3 3 2" xfId="45593" xr:uid="{357696B9-18C0-4B5A-ACE6-AF90851695D6}"/>
    <cellStyle name="40% - Énfasis2 8 2 3 4" xfId="45590" xr:uid="{9C104398-8EF4-459A-ABB7-D6060F1B5D05}"/>
    <cellStyle name="40% - Énfasis2 8 2 4" xfId="8929" xr:uid="{80754C3D-9946-4432-9982-67A171575CD0}"/>
    <cellStyle name="40% - Énfasis2 8 2 4 2" xfId="24342" xr:uid="{6B0217EB-224D-4AC2-9A0D-37462C04CBE0}"/>
    <cellStyle name="40% - Énfasis2 8 2 4 2 2" xfId="45595" xr:uid="{EBB9696B-95D0-45B9-90BC-87536747A10E}"/>
    <cellStyle name="40% - Énfasis2 8 2 4 3" xfId="45594" xr:uid="{6226AFD8-2236-41C4-997B-49A779F9C11E}"/>
    <cellStyle name="40% - Énfasis2 8 2 5" xfId="16637" xr:uid="{7050FB6F-B1EF-4A95-B549-8804CDF2CD08}"/>
    <cellStyle name="40% - Énfasis2 8 2 5 2" xfId="45596" xr:uid="{4EF28D57-5F89-47EC-89C7-E73629063065}"/>
    <cellStyle name="40% - Énfasis2 8 2 6" xfId="45581" xr:uid="{8C002FBF-1BCC-4682-B63B-C4992C71E448}"/>
    <cellStyle name="40% - Énfasis2 8 3" xfId="2039" xr:uid="{AA2C254B-A971-4DB5-A7C1-79CE28AD4F19}"/>
    <cellStyle name="40% - Énfasis2 8 3 2" xfId="5771" xr:uid="{6C7D10DA-4F4B-4EC7-8CD0-88AE5C8E82F5}"/>
    <cellStyle name="40% - Énfasis2 8 3 2 2" xfId="13479" xr:uid="{DDB4D2C0-D401-48FA-B6B8-DD6F0366CC51}"/>
    <cellStyle name="40% - Énfasis2 8 3 2 2 2" xfId="28891" xr:uid="{CBF21ED5-FD11-4A45-B0F5-5DC8D3FA922E}"/>
    <cellStyle name="40% - Énfasis2 8 3 2 2 2 2" xfId="45600" xr:uid="{529D2847-9496-433B-A55A-B4A60077A072}"/>
    <cellStyle name="40% - Énfasis2 8 3 2 2 3" xfId="45599" xr:uid="{42FF14D4-49AD-4C60-8268-14877212DC49}"/>
    <cellStyle name="40% - Énfasis2 8 3 2 3" xfId="21186" xr:uid="{1F3114A8-3239-48CA-8381-A139C665C54A}"/>
    <cellStyle name="40% - Énfasis2 8 3 2 3 2" xfId="45601" xr:uid="{3C292EE3-95F1-4777-A221-2E378E693506}"/>
    <cellStyle name="40% - Énfasis2 8 3 2 4" xfId="45598" xr:uid="{2A851CD8-852D-4FFD-99ED-B410AD67B1E2}"/>
    <cellStyle name="40% - Énfasis2 8 3 3" xfId="9750" xr:uid="{E403E7E7-BB60-4E9F-86ED-6A88A153CE5B}"/>
    <cellStyle name="40% - Énfasis2 8 3 3 2" xfId="25163" xr:uid="{D0CF257E-6DA8-4889-B882-99384037A1D3}"/>
    <cellStyle name="40% - Énfasis2 8 3 3 2 2" xfId="45603" xr:uid="{3000290E-F439-476F-BD86-CF1D34562068}"/>
    <cellStyle name="40% - Énfasis2 8 3 3 3" xfId="45602" xr:uid="{CDB3D1AB-5231-4AF7-9D7F-C8E1F7D0EB22}"/>
    <cellStyle name="40% - Énfasis2 8 3 4" xfId="17458" xr:uid="{CDF2DF32-4F5D-4F9D-9B36-A911569AD866}"/>
    <cellStyle name="40% - Énfasis2 8 3 4 2" xfId="45604" xr:uid="{43079B1F-8AFD-446C-8F1D-BF070D045E44}"/>
    <cellStyle name="40% - Énfasis2 8 3 5" xfId="45597" xr:uid="{D294591C-F44C-4862-A0AF-990321071DD6}"/>
    <cellStyle name="40% - Énfasis2 8 4" xfId="4294" xr:uid="{8F879685-50DC-4881-9DF1-C6E6C9DD8701}"/>
    <cellStyle name="40% - Énfasis2 8 4 2" xfId="12002" xr:uid="{6A8F29FE-87D3-4FA6-A17D-7EE3CD46ABBC}"/>
    <cellStyle name="40% - Énfasis2 8 4 2 2" xfId="27414" xr:uid="{817DCBC1-354D-44B3-B032-FC8335F084CB}"/>
    <cellStyle name="40% - Énfasis2 8 4 2 2 2" xfId="45607" xr:uid="{D3B8539F-9279-477F-A60B-919E319FE513}"/>
    <cellStyle name="40% - Énfasis2 8 4 2 3" xfId="45606" xr:uid="{A4649A02-A8C3-4FCF-8772-A5D5DD2F5F65}"/>
    <cellStyle name="40% - Énfasis2 8 4 3" xfId="19709" xr:uid="{D4F8C786-B541-40FF-BE82-6910C9ED7897}"/>
    <cellStyle name="40% - Énfasis2 8 4 3 2" xfId="45608" xr:uid="{FF1C441A-5326-4723-B015-6D76BC5F517A}"/>
    <cellStyle name="40% - Énfasis2 8 4 4" xfId="45605" xr:uid="{6ED91CBF-4429-466A-A4E2-F407C14684E9}"/>
    <cellStyle name="40% - Énfasis2 8 5" xfId="8291" xr:uid="{35398EE6-A29E-4293-90E3-4B84EA5365C4}"/>
    <cellStyle name="40% - Énfasis2 8 5 2" xfId="23704" xr:uid="{59661754-E5F5-4B8E-B12D-BBB4E650C05C}"/>
    <cellStyle name="40% - Énfasis2 8 5 2 2" xfId="45610" xr:uid="{DD77DF27-9D60-46E0-963D-B335E38DD061}"/>
    <cellStyle name="40% - Énfasis2 8 5 3" xfId="45609" xr:uid="{8C7951D7-BEE4-438A-A7ED-5D97D47F5D30}"/>
    <cellStyle name="40% - Énfasis2 8 6" xfId="15999" xr:uid="{761D72B1-58C6-47BD-9BAD-DE511333D4A2}"/>
    <cellStyle name="40% - Énfasis2 8 6 2" xfId="45611" xr:uid="{02019177-4F1E-44B8-B37F-A785AF47AAD0}"/>
    <cellStyle name="40% - Énfasis2 8 7" xfId="45580" xr:uid="{E3D97868-4F46-4BEF-97DC-3BE269ED2A3B}"/>
    <cellStyle name="40% - Énfasis2 9" xfId="568" xr:uid="{28147668-A552-4647-AAB9-668FFC257254}"/>
    <cellStyle name="40% - Énfasis2 9 2" xfId="1229" xr:uid="{4C2D4E69-DB5C-484B-AE46-89ADFC3B707E}"/>
    <cellStyle name="40% - Énfasis2 9 2 2" xfId="2697" xr:uid="{0F5654CA-8D70-41CE-B053-E5256C92EE50}"/>
    <cellStyle name="40% - Énfasis2 9 2 2 2" xfId="6429" xr:uid="{E908D7CC-A577-4E9C-B6F1-54C8D537D170}"/>
    <cellStyle name="40% - Énfasis2 9 2 2 2 2" xfId="14137" xr:uid="{6CB1E5D1-FFF6-46FC-A399-88D85EE9CF82}"/>
    <cellStyle name="40% - Énfasis2 9 2 2 2 2 2" xfId="29549" xr:uid="{E0201A8F-4076-4FE6-92BC-9F4801214345}"/>
    <cellStyle name="40% - Énfasis2 9 2 2 2 2 2 2" xfId="45617" xr:uid="{9557CCA7-D24A-465A-94ED-6BDF6E7DB9EC}"/>
    <cellStyle name="40% - Énfasis2 9 2 2 2 2 3" xfId="45616" xr:uid="{C0837D2F-E7C1-404A-A976-F1126DE3EC21}"/>
    <cellStyle name="40% - Énfasis2 9 2 2 2 3" xfId="21844" xr:uid="{34521BF8-CB67-4858-9A0D-F8F5A7A29D17}"/>
    <cellStyle name="40% - Énfasis2 9 2 2 2 3 2" xfId="45618" xr:uid="{9442F4B3-F274-4F43-A87D-1D2FAE03F143}"/>
    <cellStyle name="40% - Énfasis2 9 2 2 2 4" xfId="45615" xr:uid="{651F197A-A0B4-42D6-975A-3F1BFD5FB2CE}"/>
    <cellStyle name="40% - Énfasis2 9 2 2 3" xfId="10408" xr:uid="{70CDDA79-B2B7-4BE5-807B-6A40B2C95996}"/>
    <cellStyle name="40% - Énfasis2 9 2 2 3 2" xfId="25821" xr:uid="{597E721A-705B-4AC8-95DA-8C3BF785A7F9}"/>
    <cellStyle name="40% - Énfasis2 9 2 2 3 2 2" xfId="45620" xr:uid="{851A2F69-FBB6-49EB-8090-41EFAFC19F0F}"/>
    <cellStyle name="40% - Énfasis2 9 2 2 3 3" xfId="45619" xr:uid="{4DA5B72D-2E43-459C-AD44-0A764AA9C813}"/>
    <cellStyle name="40% - Énfasis2 9 2 2 4" xfId="18116" xr:uid="{3275D382-9941-45C2-9459-F8AC1951E591}"/>
    <cellStyle name="40% - Énfasis2 9 2 2 4 2" xfId="45621" xr:uid="{2AE8B5A6-B2D6-4745-AFBA-F6B78D47FFD3}"/>
    <cellStyle name="40% - Énfasis2 9 2 2 5" xfId="45614" xr:uid="{BE23CCF6-7E3E-4DC5-B9E4-D9AEA407A7F0}"/>
    <cellStyle name="40% - Énfasis2 9 2 3" xfId="4966" xr:uid="{5193CA83-621B-4E32-982F-1B590BB34664}"/>
    <cellStyle name="40% - Énfasis2 9 2 3 2" xfId="12674" xr:uid="{2BA80A25-7692-4461-ACB4-EFF794219AC6}"/>
    <cellStyle name="40% - Énfasis2 9 2 3 2 2" xfId="28086" xr:uid="{738EB526-B38D-4C5A-BA5B-05F1CFF7A6DE}"/>
    <cellStyle name="40% - Énfasis2 9 2 3 2 2 2" xfId="45624" xr:uid="{60F84EF9-F0BF-4411-B3CA-BAA8997335C8}"/>
    <cellStyle name="40% - Énfasis2 9 2 3 2 3" xfId="45623" xr:uid="{558EE879-FD48-4151-91D5-3E6E4FA4B2F6}"/>
    <cellStyle name="40% - Énfasis2 9 2 3 3" xfId="20381" xr:uid="{3B39E6F0-606C-4302-BBA2-A9D51731DD02}"/>
    <cellStyle name="40% - Énfasis2 9 2 3 3 2" xfId="45625" xr:uid="{9389AC26-0980-4D8B-9864-A3757EA6F0DC}"/>
    <cellStyle name="40% - Énfasis2 9 2 3 4" xfId="45622" xr:uid="{A2FA19C4-32D4-495A-BAC2-231F9C52EEEA}"/>
    <cellStyle name="40% - Énfasis2 9 2 4" xfId="8949" xr:uid="{CE489226-1F44-4983-8582-6E34E30D3E3E}"/>
    <cellStyle name="40% - Énfasis2 9 2 4 2" xfId="24362" xr:uid="{679C334B-B3EE-4B66-A583-2DC618A3AD9A}"/>
    <cellStyle name="40% - Énfasis2 9 2 4 2 2" xfId="45627" xr:uid="{A5DD14C0-70BC-4253-8CD3-77CBD5A6AC3C}"/>
    <cellStyle name="40% - Énfasis2 9 2 4 3" xfId="45626" xr:uid="{3D279179-A08A-4D71-AF8A-13E5EC697BB3}"/>
    <cellStyle name="40% - Énfasis2 9 2 5" xfId="16657" xr:uid="{1B658A69-75FF-436C-BA30-1FA7BC565B5A}"/>
    <cellStyle name="40% - Énfasis2 9 2 5 2" xfId="45628" xr:uid="{08EC74CE-90C0-43ED-AAC9-F7C6018400DD}"/>
    <cellStyle name="40% - Énfasis2 9 2 6" xfId="45613" xr:uid="{80DC320B-C35A-4743-97C2-283C8FB75380}"/>
    <cellStyle name="40% - Énfasis2 9 3" xfId="2059" xr:uid="{D1C2132E-008F-49B6-A9CE-081BB684DB0A}"/>
    <cellStyle name="40% - Énfasis2 9 3 2" xfId="5791" xr:uid="{DDB5EB41-E348-40EF-A384-A6529B3198FE}"/>
    <cellStyle name="40% - Énfasis2 9 3 2 2" xfId="13499" xr:uid="{67B43931-DC92-4C0D-B8E5-DE7161B8443A}"/>
    <cellStyle name="40% - Énfasis2 9 3 2 2 2" xfId="28911" xr:uid="{0C0475CE-8C20-4F64-9941-EE2033033232}"/>
    <cellStyle name="40% - Énfasis2 9 3 2 2 2 2" xfId="45632" xr:uid="{A54447A7-E13A-4AB5-8940-A3AE0625DEDF}"/>
    <cellStyle name="40% - Énfasis2 9 3 2 2 3" xfId="45631" xr:uid="{972930AC-DE05-4D83-B3C6-836751202B0C}"/>
    <cellStyle name="40% - Énfasis2 9 3 2 3" xfId="21206" xr:uid="{BB49B178-1456-43DF-8968-0D10C29BE222}"/>
    <cellStyle name="40% - Énfasis2 9 3 2 3 2" xfId="45633" xr:uid="{46951A6C-3F40-40EC-AE6E-23514E33635A}"/>
    <cellStyle name="40% - Énfasis2 9 3 2 4" xfId="45630" xr:uid="{FA3E3098-8221-4342-B2D3-D6A94AE6FE93}"/>
    <cellStyle name="40% - Énfasis2 9 3 3" xfId="9770" xr:uid="{2AED9FFC-0D23-4B5C-8FA5-0DF6CFB8B300}"/>
    <cellStyle name="40% - Énfasis2 9 3 3 2" xfId="25183" xr:uid="{F19B9B4A-39B3-43C2-BEA1-8D5A33F844FC}"/>
    <cellStyle name="40% - Énfasis2 9 3 3 2 2" xfId="45635" xr:uid="{AACE28E0-1508-4793-85AF-FB2222DD3A81}"/>
    <cellStyle name="40% - Énfasis2 9 3 3 3" xfId="45634" xr:uid="{2AE6A678-CCFB-4A76-B66B-C6A8AB2263FC}"/>
    <cellStyle name="40% - Énfasis2 9 3 4" xfId="17478" xr:uid="{C6349162-099E-4BB8-ABC3-AD6310C0F25A}"/>
    <cellStyle name="40% - Énfasis2 9 3 4 2" xfId="45636" xr:uid="{6A53ABB4-1646-4D34-B719-D67DF24F6CED}"/>
    <cellStyle name="40% - Énfasis2 9 3 5" xfId="45629" xr:uid="{02CAD1F5-F481-4D8D-A80D-E6DD65E5573A}"/>
    <cellStyle name="40% - Énfasis2 9 4" xfId="4314" xr:uid="{EB1B3B17-A8E8-4842-B731-22E451BCC709}"/>
    <cellStyle name="40% - Énfasis2 9 4 2" xfId="12022" xr:uid="{E2229554-6A98-48C7-96B7-E8B8F2679309}"/>
    <cellStyle name="40% - Énfasis2 9 4 2 2" xfId="27434" xr:uid="{E2ADB238-7D45-4043-80B4-B0B88324F4A4}"/>
    <cellStyle name="40% - Énfasis2 9 4 2 2 2" xfId="45639" xr:uid="{DD495294-0ADA-4A52-81D8-ED591EAF1504}"/>
    <cellStyle name="40% - Énfasis2 9 4 2 3" xfId="45638" xr:uid="{F4A5E9AD-978C-4259-BDB7-9B579A69711B}"/>
    <cellStyle name="40% - Énfasis2 9 4 3" xfId="19729" xr:uid="{2C3C2F48-5A16-431A-A9F8-4FA4C1417E5A}"/>
    <cellStyle name="40% - Énfasis2 9 4 3 2" xfId="45640" xr:uid="{AA895E41-546B-4350-8488-75674C20376F}"/>
    <cellStyle name="40% - Énfasis2 9 4 4" xfId="45637" xr:uid="{71AD7E05-12C7-423A-8665-005BDF45430A}"/>
    <cellStyle name="40% - Énfasis2 9 5" xfId="8311" xr:uid="{09AF277F-14B4-4246-A1A1-52C8CF5CDFC7}"/>
    <cellStyle name="40% - Énfasis2 9 5 2" xfId="23724" xr:uid="{BADA5B0C-C343-4AC8-B76F-2B7EFC5B7C46}"/>
    <cellStyle name="40% - Énfasis2 9 5 2 2" xfId="45642" xr:uid="{C485E863-5B67-4205-96E9-36DBE46C2FA0}"/>
    <cellStyle name="40% - Énfasis2 9 5 3" xfId="45641" xr:uid="{1D0DDDE8-8AAC-46EC-B8CE-BFCDA9EB191C}"/>
    <cellStyle name="40% - Énfasis2 9 6" xfId="16019" xr:uid="{CF2DD8F3-A3BF-41DF-B8A3-EB844C857886}"/>
    <cellStyle name="40% - Énfasis2 9 6 2" xfId="45643" xr:uid="{688FBACD-0B28-45C1-B7EF-4B1FA7A94420}"/>
    <cellStyle name="40% - Énfasis2 9 7" xfId="45612" xr:uid="{254A59C8-8F90-4608-8CA9-2F95529E0CF7}"/>
    <cellStyle name="40% - Énfasis3" xfId="28" builtinId="39" customBuiltin="1"/>
    <cellStyle name="40% - Énfasis3 10" xfId="591" xr:uid="{44AF726B-A2FA-45CA-8F3C-F7907BDA661B}"/>
    <cellStyle name="40% - Énfasis3 10 2" xfId="1252" xr:uid="{3B78BFDD-67B6-45B3-9E82-840E0D174C75}"/>
    <cellStyle name="40% - Énfasis3 10 2 2" xfId="2720" xr:uid="{9AF0234A-E730-4BCF-B06F-F6830C03DF55}"/>
    <cellStyle name="40% - Énfasis3 10 2 2 2" xfId="6452" xr:uid="{17DEC217-8EC5-4B3B-9306-5F4602F29466}"/>
    <cellStyle name="40% - Énfasis3 10 2 2 2 2" xfId="14160" xr:uid="{611ED0DD-AD64-4511-A1B7-DA316DCFB1DF}"/>
    <cellStyle name="40% - Énfasis3 10 2 2 2 2 2" xfId="29572" xr:uid="{E2A061C3-F358-4F9F-BB34-46B1AF5991BA}"/>
    <cellStyle name="40% - Énfasis3 10 2 2 2 2 2 2" xfId="45649" xr:uid="{5AE22976-6939-4CA6-8271-69F1A39FF860}"/>
    <cellStyle name="40% - Énfasis3 10 2 2 2 2 3" xfId="45648" xr:uid="{ED8FF048-84DD-4CDE-943D-656674A92237}"/>
    <cellStyle name="40% - Énfasis3 10 2 2 2 3" xfId="21867" xr:uid="{F0B29E1F-CDB3-42A0-9E8B-220022E99105}"/>
    <cellStyle name="40% - Énfasis3 10 2 2 2 3 2" xfId="45650" xr:uid="{BBB11020-1F4D-46CE-B4E5-A1C4F5B4C923}"/>
    <cellStyle name="40% - Énfasis3 10 2 2 2 4" xfId="45647" xr:uid="{B8896328-D93A-43E4-A3C3-E7F579142D19}"/>
    <cellStyle name="40% - Énfasis3 10 2 2 3" xfId="10431" xr:uid="{A8FCE6FC-54F0-49EF-AFA8-D1B2DADDB48C}"/>
    <cellStyle name="40% - Énfasis3 10 2 2 3 2" xfId="25844" xr:uid="{045581FE-2E7E-43B0-9763-719608985338}"/>
    <cellStyle name="40% - Énfasis3 10 2 2 3 2 2" xfId="45652" xr:uid="{A02E3D7E-C844-46AA-8E9D-9B29A716DB82}"/>
    <cellStyle name="40% - Énfasis3 10 2 2 3 3" xfId="45651" xr:uid="{BCFA9C61-E108-4CDC-AD10-B321F26C5CBA}"/>
    <cellStyle name="40% - Énfasis3 10 2 2 4" xfId="18139" xr:uid="{9769ABEC-41D9-46C3-8C5D-BEB878094AE3}"/>
    <cellStyle name="40% - Énfasis3 10 2 2 4 2" xfId="45653" xr:uid="{3C8830C1-77A3-4C5D-9A46-8CE27AFCEB8A}"/>
    <cellStyle name="40% - Énfasis3 10 2 2 5" xfId="45646" xr:uid="{33C0DAB9-1725-4EC4-B0F3-EE9BE13971EB}"/>
    <cellStyle name="40% - Énfasis3 10 2 3" xfId="4989" xr:uid="{B7A64F99-15D9-4CCF-9CE3-9304BDC02F6D}"/>
    <cellStyle name="40% - Énfasis3 10 2 3 2" xfId="12697" xr:uid="{6C6492AA-3FEB-4E22-BAE3-C2DB36D808F5}"/>
    <cellStyle name="40% - Énfasis3 10 2 3 2 2" xfId="28109" xr:uid="{6EC673BC-A66D-4A46-88AB-9EDF44E9D0AC}"/>
    <cellStyle name="40% - Énfasis3 10 2 3 2 2 2" xfId="45656" xr:uid="{B9E15622-203B-47E2-8949-6B735370A991}"/>
    <cellStyle name="40% - Énfasis3 10 2 3 2 3" xfId="45655" xr:uid="{0B2BEDD8-46F0-4A3D-8352-1249144D94CA}"/>
    <cellStyle name="40% - Énfasis3 10 2 3 3" xfId="20404" xr:uid="{BC028995-E099-4FF8-9632-46AD0C723661}"/>
    <cellStyle name="40% - Énfasis3 10 2 3 3 2" xfId="45657" xr:uid="{800009A7-B1CF-4B32-8995-41481054B057}"/>
    <cellStyle name="40% - Énfasis3 10 2 3 4" xfId="45654" xr:uid="{A28C57D7-775C-4089-B1F6-D7DFC2038D64}"/>
    <cellStyle name="40% - Énfasis3 10 2 4" xfId="8972" xr:uid="{7FEB3291-93D0-4594-BE96-78FC0530377E}"/>
    <cellStyle name="40% - Énfasis3 10 2 4 2" xfId="24385" xr:uid="{8075D295-CF27-41A7-B3A4-C3AFBD52CBF8}"/>
    <cellStyle name="40% - Énfasis3 10 2 4 2 2" xfId="45659" xr:uid="{1B42108C-4F45-4938-8668-D4D04E90B7E5}"/>
    <cellStyle name="40% - Énfasis3 10 2 4 3" xfId="45658" xr:uid="{C3FDD17B-1787-4A5B-895F-F19B9AF62CCD}"/>
    <cellStyle name="40% - Énfasis3 10 2 5" xfId="16680" xr:uid="{F13DCD3A-C74E-4D24-948E-DD9748177A4C}"/>
    <cellStyle name="40% - Énfasis3 10 2 5 2" xfId="45660" xr:uid="{C1FD571A-1881-489B-967F-9D9DFFC3EC2E}"/>
    <cellStyle name="40% - Énfasis3 10 2 6" xfId="45645" xr:uid="{08F8DD3B-ECA1-4627-93FE-E77A669F1077}"/>
    <cellStyle name="40% - Énfasis3 10 3" xfId="2082" xr:uid="{23DCF052-5669-43F1-B1CF-A01211592133}"/>
    <cellStyle name="40% - Énfasis3 10 3 2" xfId="5814" xr:uid="{6E5BA0B2-4EC0-46CF-B7A6-97079C63299C}"/>
    <cellStyle name="40% - Énfasis3 10 3 2 2" xfId="13522" xr:uid="{3D35B0AC-33D1-4398-87E9-49023BB82047}"/>
    <cellStyle name="40% - Énfasis3 10 3 2 2 2" xfId="28934" xr:uid="{ECDC2F82-7DAE-4176-AFE0-003EFBCF7D91}"/>
    <cellStyle name="40% - Énfasis3 10 3 2 2 2 2" xfId="45664" xr:uid="{0E5920E2-3F4B-45D5-B9BC-413B62052621}"/>
    <cellStyle name="40% - Énfasis3 10 3 2 2 3" xfId="45663" xr:uid="{4455191E-415D-4C10-B300-F8CAE79CFE9C}"/>
    <cellStyle name="40% - Énfasis3 10 3 2 3" xfId="21229" xr:uid="{A648A967-A0A6-4606-A3B7-9D1E01624037}"/>
    <cellStyle name="40% - Énfasis3 10 3 2 3 2" xfId="45665" xr:uid="{521306B0-2B60-4115-8E1E-4699BE84F22B}"/>
    <cellStyle name="40% - Énfasis3 10 3 2 4" xfId="45662" xr:uid="{4F3891E1-8EB4-4B24-8699-556F008DBAE7}"/>
    <cellStyle name="40% - Énfasis3 10 3 3" xfId="9793" xr:uid="{62D9979C-3B33-4774-8364-2AF8E8AB8AF2}"/>
    <cellStyle name="40% - Énfasis3 10 3 3 2" xfId="25206" xr:uid="{5F0BB723-898A-42CA-8C2A-41C77E00DC75}"/>
    <cellStyle name="40% - Énfasis3 10 3 3 2 2" xfId="45667" xr:uid="{2FCD8D5C-86FB-4AAD-B0FC-7CAEC0857DBD}"/>
    <cellStyle name="40% - Énfasis3 10 3 3 3" xfId="45666" xr:uid="{42F9E145-7E55-4302-B967-CBA5EB22DA4A}"/>
    <cellStyle name="40% - Énfasis3 10 3 4" xfId="17501" xr:uid="{0ACA20CA-2748-4F43-A83C-3E3D928BD3D6}"/>
    <cellStyle name="40% - Énfasis3 10 3 4 2" xfId="45668" xr:uid="{118D8964-4B9D-486D-88DA-1BFE2932215A}"/>
    <cellStyle name="40% - Énfasis3 10 3 5" xfId="45661" xr:uid="{CE0008EE-4D4F-4486-AA2E-04B398F37CF8}"/>
    <cellStyle name="40% - Énfasis3 10 4" xfId="4337" xr:uid="{52C8793F-9331-4918-9BE6-68CD3A82249D}"/>
    <cellStyle name="40% - Énfasis3 10 4 2" xfId="12045" xr:uid="{2A147012-EA44-4B56-9EEF-40CF189675BD}"/>
    <cellStyle name="40% - Énfasis3 10 4 2 2" xfId="27457" xr:uid="{E5E4CF85-6A7E-424B-B3F6-B39BA8B2599C}"/>
    <cellStyle name="40% - Énfasis3 10 4 2 2 2" xfId="45671" xr:uid="{C7562B27-A626-4C32-AAEA-2BF7F3D5FF9F}"/>
    <cellStyle name="40% - Énfasis3 10 4 2 3" xfId="45670" xr:uid="{8DEF5404-3272-4342-99FD-921BE66457E7}"/>
    <cellStyle name="40% - Énfasis3 10 4 3" xfId="19752" xr:uid="{BCAD462D-C201-431C-A11B-C9908AED5D51}"/>
    <cellStyle name="40% - Énfasis3 10 4 3 2" xfId="45672" xr:uid="{4D7BDA8A-6F72-4E27-8E1C-3C061F756A70}"/>
    <cellStyle name="40% - Énfasis3 10 4 4" xfId="45669" xr:uid="{2B8F8A9D-A196-41F5-9B8A-7E0387D454CB}"/>
    <cellStyle name="40% - Énfasis3 10 5" xfId="8334" xr:uid="{F47E43CF-2EB2-4898-8852-544B4A347560}"/>
    <cellStyle name="40% - Énfasis3 10 5 2" xfId="23747" xr:uid="{4CEA5819-4AFB-4FDF-8F90-FF9E97EF757D}"/>
    <cellStyle name="40% - Énfasis3 10 5 2 2" xfId="45674" xr:uid="{2E54DB58-282C-4672-B883-DB3E9748CCF8}"/>
    <cellStyle name="40% - Énfasis3 10 5 3" xfId="45673" xr:uid="{56D06B6A-19E1-4C0C-B0FD-C4CEE5B1FE56}"/>
    <cellStyle name="40% - Énfasis3 10 6" xfId="16042" xr:uid="{274DF750-C80F-49B3-A5FE-EA95E005DC47}"/>
    <cellStyle name="40% - Énfasis3 10 6 2" xfId="45675" xr:uid="{A9D916F2-3525-47F6-8522-7EFCAA7CD8FB}"/>
    <cellStyle name="40% - Énfasis3 10 7" xfId="45644" xr:uid="{875342A5-4A06-47C1-AA96-4C85B286EEC1}"/>
    <cellStyle name="40% - Énfasis3 11" xfId="612" xr:uid="{EEDF619C-3AF3-4CDD-B2A3-751FC4C3F7FB}"/>
    <cellStyle name="40% - Énfasis3 11 2" xfId="1273" xr:uid="{251DFFEE-B953-4BF4-89F0-FC41C0D6D4DC}"/>
    <cellStyle name="40% - Énfasis3 11 2 2" xfId="2740" xr:uid="{A937EE1B-4C4B-4BEB-83D9-0A6364FF06D2}"/>
    <cellStyle name="40% - Énfasis3 11 2 2 2" xfId="6472" xr:uid="{CD692F17-15EC-457F-97D8-8566C2D30A42}"/>
    <cellStyle name="40% - Énfasis3 11 2 2 2 2" xfId="14180" xr:uid="{DF0AA1CA-D732-4AFC-BB8C-CFF259EDEFE5}"/>
    <cellStyle name="40% - Énfasis3 11 2 2 2 2 2" xfId="29592" xr:uid="{916F45BF-9E94-44AB-8FE3-846D9A0B8013}"/>
    <cellStyle name="40% - Énfasis3 11 2 2 2 2 2 2" xfId="45681" xr:uid="{0BE14348-DE42-42EF-AD92-E9A93D94851B}"/>
    <cellStyle name="40% - Énfasis3 11 2 2 2 2 3" xfId="45680" xr:uid="{468F8009-3070-4B5B-B7CC-3AD556848427}"/>
    <cellStyle name="40% - Énfasis3 11 2 2 2 3" xfId="21887" xr:uid="{9946FEA0-035F-4C08-B495-D93F4F64729C}"/>
    <cellStyle name="40% - Énfasis3 11 2 2 2 3 2" xfId="45682" xr:uid="{CA662B08-9640-47B9-B4B9-5E6A60D558D4}"/>
    <cellStyle name="40% - Énfasis3 11 2 2 2 4" xfId="45679" xr:uid="{0F792F78-AFC0-4F1F-8BCF-E9FA3A01EFA5}"/>
    <cellStyle name="40% - Énfasis3 11 2 2 3" xfId="10451" xr:uid="{E53B7DF3-8352-46C3-A0A4-7B55A0B6171C}"/>
    <cellStyle name="40% - Énfasis3 11 2 2 3 2" xfId="25864" xr:uid="{4C6FC290-75C8-44F6-84F4-702492220757}"/>
    <cellStyle name="40% - Énfasis3 11 2 2 3 2 2" xfId="45684" xr:uid="{29E652B1-97C2-4627-B166-CEB60974168F}"/>
    <cellStyle name="40% - Énfasis3 11 2 2 3 3" xfId="45683" xr:uid="{74CAB1B5-6137-42AE-94B9-55BAF3CCEC8B}"/>
    <cellStyle name="40% - Énfasis3 11 2 2 4" xfId="18159" xr:uid="{51051DF2-6631-46A3-9F88-6BBDB24D571C}"/>
    <cellStyle name="40% - Énfasis3 11 2 2 4 2" xfId="45685" xr:uid="{C49E857C-A415-48FE-BDE3-D29596911707}"/>
    <cellStyle name="40% - Énfasis3 11 2 2 5" xfId="45678" xr:uid="{EF2F49A7-7B53-41A1-B610-4F074E58FA46}"/>
    <cellStyle name="40% - Énfasis3 11 2 3" xfId="5009" xr:uid="{04287D72-BA7B-4D3B-AE30-12596A24340A}"/>
    <cellStyle name="40% - Énfasis3 11 2 3 2" xfId="12717" xr:uid="{43C058CA-3B60-4979-AE3E-CFC1E6A2B551}"/>
    <cellStyle name="40% - Énfasis3 11 2 3 2 2" xfId="28129" xr:uid="{0574D0F7-2BE7-4FAE-8C60-2C9CDCB3E00E}"/>
    <cellStyle name="40% - Énfasis3 11 2 3 2 2 2" xfId="45688" xr:uid="{83315233-684D-4680-9EA3-C82C724A035A}"/>
    <cellStyle name="40% - Énfasis3 11 2 3 2 3" xfId="45687" xr:uid="{E06ED735-6353-4E8B-8776-84CA8710A3BF}"/>
    <cellStyle name="40% - Énfasis3 11 2 3 3" xfId="20424" xr:uid="{0459B0BC-BEB8-48E4-8061-1BEE065B342D}"/>
    <cellStyle name="40% - Énfasis3 11 2 3 3 2" xfId="45689" xr:uid="{2619D16B-7E47-4E9E-A96D-200E0098554B}"/>
    <cellStyle name="40% - Énfasis3 11 2 3 4" xfId="45686" xr:uid="{0002CFB3-2B9A-4436-99A1-2A449B9DB76A}"/>
    <cellStyle name="40% - Énfasis3 11 2 4" xfId="8992" xr:uid="{4A8BE12E-3430-44B1-BBD9-795368CDD2C5}"/>
    <cellStyle name="40% - Énfasis3 11 2 4 2" xfId="24405" xr:uid="{4624F2C5-D967-4A87-B3C6-D5BC29E94803}"/>
    <cellStyle name="40% - Énfasis3 11 2 4 2 2" xfId="45691" xr:uid="{352A2177-8620-4412-B201-293B66B7E957}"/>
    <cellStyle name="40% - Énfasis3 11 2 4 3" xfId="45690" xr:uid="{F864E441-1727-4C6A-9C16-65140D7514AF}"/>
    <cellStyle name="40% - Énfasis3 11 2 5" xfId="16700" xr:uid="{80BB9371-9AA7-495D-8719-A43F8681E0E0}"/>
    <cellStyle name="40% - Énfasis3 11 2 5 2" xfId="45692" xr:uid="{6229847A-5379-47D7-B528-A53AA6660722}"/>
    <cellStyle name="40% - Énfasis3 11 2 6" xfId="45677" xr:uid="{F02A4000-3F3E-4B90-B5F3-2DB81C799B90}"/>
    <cellStyle name="40% - Énfasis3 11 3" xfId="2102" xr:uid="{19FFF634-B0F6-4022-A84C-8AC5E672FCEC}"/>
    <cellStyle name="40% - Énfasis3 11 3 2" xfId="5834" xr:uid="{1CD09B71-E0B6-4180-BCFC-09995C27840E}"/>
    <cellStyle name="40% - Énfasis3 11 3 2 2" xfId="13542" xr:uid="{60861DDC-B6C9-4C6A-9D16-BE6156701C99}"/>
    <cellStyle name="40% - Énfasis3 11 3 2 2 2" xfId="28954" xr:uid="{FBA19D17-B7CF-4C0A-B613-392021D13E52}"/>
    <cellStyle name="40% - Énfasis3 11 3 2 2 2 2" xfId="45696" xr:uid="{41C723DB-16C4-4725-A1F1-EA6595E54FA2}"/>
    <cellStyle name="40% - Énfasis3 11 3 2 2 3" xfId="45695" xr:uid="{3D773FE6-8312-4AC3-9282-E9CF3E7B3458}"/>
    <cellStyle name="40% - Énfasis3 11 3 2 3" xfId="21249" xr:uid="{CE45E1F8-9188-47E0-8D92-0AB38E77C40E}"/>
    <cellStyle name="40% - Énfasis3 11 3 2 3 2" xfId="45697" xr:uid="{460B0978-A3DA-4E51-A073-C80A7F368837}"/>
    <cellStyle name="40% - Énfasis3 11 3 2 4" xfId="45694" xr:uid="{75691A74-12DA-4C17-9B7E-2271C9EE34BE}"/>
    <cellStyle name="40% - Énfasis3 11 3 3" xfId="9813" xr:uid="{9E8762B3-BD2A-4735-8325-B0A5E5531033}"/>
    <cellStyle name="40% - Énfasis3 11 3 3 2" xfId="25226" xr:uid="{C0A27A71-C088-4550-BC91-CE825BD99B34}"/>
    <cellStyle name="40% - Énfasis3 11 3 3 2 2" xfId="45699" xr:uid="{6AF0E3A1-0B8B-4FD1-8DE1-3C5D3D933DF3}"/>
    <cellStyle name="40% - Énfasis3 11 3 3 3" xfId="45698" xr:uid="{D557AF92-2F25-406F-9F7B-DFD2B49F91D2}"/>
    <cellStyle name="40% - Énfasis3 11 3 4" xfId="17521" xr:uid="{2E0AE19F-9DD2-43B1-8F5E-0A8C5CFEAE9F}"/>
    <cellStyle name="40% - Énfasis3 11 3 4 2" xfId="45700" xr:uid="{1BBE293E-7917-4AD4-913F-A4F6B1B6C957}"/>
    <cellStyle name="40% - Énfasis3 11 3 5" xfId="45693" xr:uid="{9805A495-10C5-4454-9AF4-58AD706483C7}"/>
    <cellStyle name="40% - Énfasis3 11 4" xfId="4357" xr:uid="{DD25D5A6-AF07-406E-8FFD-A3E0F8A12DB1}"/>
    <cellStyle name="40% - Énfasis3 11 4 2" xfId="12065" xr:uid="{EBA393B2-1403-4158-B8DD-5D39579E9956}"/>
    <cellStyle name="40% - Énfasis3 11 4 2 2" xfId="27477" xr:uid="{779E1658-A899-45AF-BFEA-E269AABFA028}"/>
    <cellStyle name="40% - Énfasis3 11 4 2 2 2" xfId="45703" xr:uid="{8262C028-424F-4BAC-9190-CE6F62DED28A}"/>
    <cellStyle name="40% - Énfasis3 11 4 2 3" xfId="45702" xr:uid="{E6DEAEF1-DD2F-4639-B023-9F11F8C91111}"/>
    <cellStyle name="40% - Énfasis3 11 4 3" xfId="19772" xr:uid="{413AD454-14E1-4455-B880-1FAD8B01660C}"/>
    <cellStyle name="40% - Énfasis3 11 4 3 2" xfId="45704" xr:uid="{CE58319D-4A2D-4271-8FE2-177C01639BAC}"/>
    <cellStyle name="40% - Énfasis3 11 4 4" xfId="45701" xr:uid="{61D7B6EB-1972-4AA2-91F2-AB8CAA185A3C}"/>
    <cellStyle name="40% - Énfasis3 11 5" xfId="8354" xr:uid="{1E26DF23-0D9F-4DBB-AEC7-D41386D1B388}"/>
    <cellStyle name="40% - Énfasis3 11 5 2" xfId="23767" xr:uid="{CC29D20F-BF09-48F9-9EBC-0ED5E4C8BC37}"/>
    <cellStyle name="40% - Énfasis3 11 5 2 2" xfId="45706" xr:uid="{E428B5FC-A24B-4AA0-9466-1742DFDA8668}"/>
    <cellStyle name="40% - Énfasis3 11 5 3" xfId="45705" xr:uid="{7B982FD9-EF64-41D8-921F-28C0F2FDFEE8}"/>
    <cellStyle name="40% - Énfasis3 11 6" xfId="16062" xr:uid="{F47A60D4-4579-41FE-BB87-6176F7014E6C}"/>
    <cellStyle name="40% - Énfasis3 11 6 2" xfId="45707" xr:uid="{35FE1941-7FF5-44D2-99B7-A505BDE0B3AC}"/>
    <cellStyle name="40% - Énfasis3 11 7" xfId="45676" xr:uid="{E8CD66AF-D662-4447-9188-E9BEAAA9B704}"/>
    <cellStyle name="40% - Énfasis3 12" xfId="632" xr:uid="{F93BE8E1-7E05-4AC3-A906-A37209E9EA1A}"/>
    <cellStyle name="40% - Énfasis3 12 2" xfId="1293" xr:uid="{A87FECE3-1A64-4A6D-9342-688EFF03BA3C}"/>
    <cellStyle name="40% - Énfasis3 12 2 2" xfId="2760" xr:uid="{D93E071E-95A8-4ABB-8EC5-A6A652B3A16B}"/>
    <cellStyle name="40% - Énfasis3 12 2 2 2" xfId="6492" xr:uid="{6C9D4AE0-8215-45BE-B35F-6E52F895A566}"/>
    <cellStyle name="40% - Énfasis3 12 2 2 2 2" xfId="14200" xr:uid="{8751CD32-87BC-4206-9636-A24E749C34CD}"/>
    <cellStyle name="40% - Énfasis3 12 2 2 2 2 2" xfId="29612" xr:uid="{FE1D975A-90C3-4008-844A-C4419BA41FBF}"/>
    <cellStyle name="40% - Énfasis3 12 2 2 2 2 2 2" xfId="45713" xr:uid="{BC53DD96-4DF8-4E5C-8776-22157B0B4BAA}"/>
    <cellStyle name="40% - Énfasis3 12 2 2 2 2 3" xfId="45712" xr:uid="{F6D1FBB9-D7F7-468E-B9D9-00E897AFA845}"/>
    <cellStyle name="40% - Énfasis3 12 2 2 2 3" xfId="21907" xr:uid="{F9875088-DD3E-4325-B3FE-58014F5E800B}"/>
    <cellStyle name="40% - Énfasis3 12 2 2 2 3 2" xfId="45714" xr:uid="{E81997B3-06B7-4EA4-93C2-6339166FD50E}"/>
    <cellStyle name="40% - Énfasis3 12 2 2 2 4" xfId="45711" xr:uid="{03B53E68-B79D-4500-888E-7E59F254ECE4}"/>
    <cellStyle name="40% - Énfasis3 12 2 2 3" xfId="10471" xr:uid="{E5C46125-2051-45B1-B7C6-796CCABEEB57}"/>
    <cellStyle name="40% - Énfasis3 12 2 2 3 2" xfId="25884" xr:uid="{AE374EC7-0680-4CF7-BF37-BA849E161E25}"/>
    <cellStyle name="40% - Énfasis3 12 2 2 3 2 2" xfId="45716" xr:uid="{AB7D06BB-7277-40B8-8F39-73235E892356}"/>
    <cellStyle name="40% - Énfasis3 12 2 2 3 3" xfId="45715" xr:uid="{B2F56EBA-BCF7-40CF-A578-9822B52D4F35}"/>
    <cellStyle name="40% - Énfasis3 12 2 2 4" xfId="18179" xr:uid="{6DB73287-C555-45FF-AA0D-D156B210CEF8}"/>
    <cellStyle name="40% - Énfasis3 12 2 2 4 2" xfId="45717" xr:uid="{1EF9CE42-BAEA-41E1-876B-063CD79B9AC5}"/>
    <cellStyle name="40% - Énfasis3 12 2 2 5" xfId="45710" xr:uid="{FE307A99-67B5-46BA-B940-DA66C4D8B430}"/>
    <cellStyle name="40% - Énfasis3 12 2 3" xfId="5029" xr:uid="{02293C4A-C3C7-419B-85A6-6B9A2F45C827}"/>
    <cellStyle name="40% - Énfasis3 12 2 3 2" xfId="12737" xr:uid="{98D26526-E8CF-4A12-8278-27F95C8DAE84}"/>
    <cellStyle name="40% - Énfasis3 12 2 3 2 2" xfId="28149" xr:uid="{5DD652EE-E6EF-48E2-9739-E01DE1A3D8CC}"/>
    <cellStyle name="40% - Énfasis3 12 2 3 2 2 2" xfId="45720" xr:uid="{6D90F8C6-B13F-4F26-8F42-9105FAF46ED3}"/>
    <cellStyle name="40% - Énfasis3 12 2 3 2 3" xfId="45719" xr:uid="{58AF6BC2-67B0-4D39-90FA-2C4F9792F151}"/>
    <cellStyle name="40% - Énfasis3 12 2 3 3" xfId="20444" xr:uid="{87044003-E64E-4275-8F7B-707428AE2136}"/>
    <cellStyle name="40% - Énfasis3 12 2 3 3 2" xfId="45721" xr:uid="{6A1FA64A-CC80-4588-B826-ECFCDAA882B5}"/>
    <cellStyle name="40% - Énfasis3 12 2 3 4" xfId="45718" xr:uid="{5ACD0395-CA23-4F17-ADC1-D2085D1FB3B8}"/>
    <cellStyle name="40% - Énfasis3 12 2 4" xfId="9012" xr:uid="{50569202-FF10-42D3-9ED9-1BA14B0CC3EF}"/>
    <cellStyle name="40% - Énfasis3 12 2 4 2" xfId="24425" xr:uid="{47CCA22D-32FB-477F-AA30-7E8D12BEB394}"/>
    <cellStyle name="40% - Énfasis3 12 2 4 2 2" xfId="45723" xr:uid="{C153439D-B426-41E8-A9DD-8C7AD445BCC6}"/>
    <cellStyle name="40% - Énfasis3 12 2 4 3" xfId="45722" xr:uid="{6C2D853B-7AFC-425D-B437-DC73DA348BBA}"/>
    <cellStyle name="40% - Énfasis3 12 2 5" xfId="16720" xr:uid="{0F5EDF03-F6FE-42F9-AECD-6689C9DFB1C6}"/>
    <cellStyle name="40% - Énfasis3 12 2 5 2" xfId="45724" xr:uid="{91211BDE-3224-4F61-9200-EBED2161ACDE}"/>
    <cellStyle name="40% - Énfasis3 12 2 6" xfId="45709" xr:uid="{37A14C76-DACC-4FE2-A76C-06D560423E63}"/>
    <cellStyle name="40% - Énfasis3 12 3" xfId="2122" xr:uid="{9758D33E-0714-4C45-A142-623B152E6E8F}"/>
    <cellStyle name="40% - Énfasis3 12 3 2" xfId="5854" xr:uid="{C1729E5C-3C78-4073-94AF-5DE89AD0FECF}"/>
    <cellStyle name="40% - Énfasis3 12 3 2 2" xfId="13562" xr:uid="{87E28DD2-42D1-4AF0-AB44-466045B1C659}"/>
    <cellStyle name="40% - Énfasis3 12 3 2 2 2" xfId="28974" xr:uid="{5E7B8A48-EE01-42FA-972A-92F9B890DEA3}"/>
    <cellStyle name="40% - Énfasis3 12 3 2 2 2 2" xfId="45728" xr:uid="{CD99BB48-C96C-4930-AE60-6F7C806D7014}"/>
    <cellStyle name="40% - Énfasis3 12 3 2 2 3" xfId="45727" xr:uid="{BD4864E0-DA16-4058-A8ED-A6F1C1EC6B8B}"/>
    <cellStyle name="40% - Énfasis3 12 3 2 3" xfId="21269" xr:uid="{4D09634D-39AE-41F6-BF6C-B5933944D752}"/>
    <cellStyle name="40% - Énfasis3 12 3 2 3 2" xfId="45729" xr:uid="{374EA6B9-F342-437D-9027-D2A5D9B0428A}"/>
    <cellStyle name="40% - Énfasis3 12 3 2 4" xfId="45726" xr:uid="{216F1889-B694-4CB4-9F67-B77EA84B1A18}"/>
    <cellStyle name="40% - Énfasis3 12 3 3" xfId="9833" xr:uid="{30B1424A-9C09-4A21-8A08-ABEB1DABA892}"/>
    <cellStyle name="40% - Énfasis3 12 3 3 2" xfId="25246" xr:uid="{ED9E3C04-67AD-457D-BD1B-94DA76CBFECD}"/>
    <cellStyle name="40% - Énfasis3 12 3 3 2 2" xfId="45731" xr:uid="{3BF441B0-C5F8-41F6-A672-4BDE17CD062E}"/>
    <cellStyle name="40% - Énfasis3 12 3 3 3" xfId="45730" xr:uid="{43E9C033-C31B-4151-AC8A-91F427185850}"/>
    <cellStyle name="40% - Énfasis3 12 3 4" xfId="17541" xr:uid="{616F2DC1-4256-4775-9FDB-A0E0AD6D8EB7}"/>
    <cellStyle name="40% - Énfasis3 12 3 4 2" xfId="45732" xr:uid="{EA7C5CF9-B322-4BD3-811E-0F9E7383EDBE}"/>
    <cellStyle name="40% - Énfasis3 12 3 5" xfId="45725" xr:uid="{FC968382-CF01-495A-A964-1F3156E07E8E}"/>
    <cellStyle name="40% - Énfasis3 12 4" xfId="4377" xr:uid="{3954E7CD-76C6-44C7-847B-7879B724BA54}"/>
    <cellStyle name="40% - Énfasis3 12 4 2" xfId="12085" xr:uid="{D11DF880-487E-4EFC-8A6F-8B51B599662B}"/>
    <cellStyle name="40% - Énfasis3 12 4 2 2" xfId="27497" xr:uid="{2DF41619-5AA6-4EDD-BA8D-ED2D35D3F7B0}"/>
    <cellStyle name="40% - Énfasis3 12 4 2 2 2" xfId="45735" xr:uid="{1F909930-6FB4-4019-8912-C79B22FCE5D7}"/>
    <cellStyle name="40% - Énfasis3 12 4 2 3" xfId="45734" xr:uid="{EF38E30C-4EA0-4EDC-90EE-6BAB160A4061}"/>
    <cellStyle name="40% - Énfasis3 12 4 3" xfId="19792" xr:uid="{48E74F0E-0444-4631-A84A-3883FA7C1F3B}"/>
    <cellStyle name="40% - Énfasis3 12 4 3 2" xfId="45736" xr:uid="{112BC380-50A5-4058-B3F8-7E529EA89253}"/>
    <cellStyle name="40% - Énfasis3 12 4 4" xfId="45733" xr:uid="{61FB3B97-CCAA-402C-8613-6AFF475146B0}"/>
    <cellStyle name="40% - Énfasis3 12 5" xfId="8374" xr:uid="{9F9F6CA4-B2B3-47B8-9EF3-D750149069DA}"/>
    <cellStyle name="40% - Énfasis3 12 5 2" xfId="23787" xr:uid="{F8C4FA1C-373F-4F73-BC7F-085C46C17406}"/>
    <cellStyle name="40% - Énfasis3 12 5 2 2" xfId="45738" xr:uid="{702DEAFA-4987-435E-92D1-E5A39308937B}"/>
    <cellStyle name="40% - Énfasis3 12 5 3" xfId="45737" xr:uid="{CCA5DE28-E265-4227-A33D-CAF42E156BED}"/>
    <cellStyle name="40% - Énfasis3 12 6" xfId="16082" xr:uid="{BA6317E8-E7D1-488A-A0CD-6B8134531866}"/>
    <cellStyle name="40% - Énfasis3 12 6 2" xfId="45739" xr:uid="{01408C85-8B03-4FFE-8457-DBB4D56683C0}"/>
    <cellStyle name="40% - Énfasis3 12 7" xfId="45708" xr:uid="{26FE4D3F-A1DD-4D89-8861-7F1C9ECE1D13}"/>
    <cellStyle name="40% - Énfasis3 13" xfId="653" xr:uid="{F700F98F-C2D2-4388-9443-1E48DEACE279}"/>
    <cellStyle name="40% - Énfasis3 13 2" xfId="1314" xr:uid="{FA27B36D-68DD-4A82-8B85-5A3233C69025}"/>
    <cellStyle name="40% - Énfasis3 13 2 2" xfId="2781" xr:uid="{479F014E-9B16-467E-BDC5-36E883D2D9AB}"/>
    <cellStyle name="40% - Énfasis3 13 2 2 2" xfId="6513" xr:uid="{47602819-8FD8-4B81-980E-ECB860949CFE}"/>
    <cellStyle name="40% - Énfasis3 13 2 2 2 2" xfId="14221" xr:uid="{09C990D6-82BB-4EE0-B08A-597F5D10397E}"/>
    <cellStyle name="40% - Énfasis3 13 2 2 2 2 2" xfId="29633" xr:uid="{648CAFFC-2E02-4B50-8844-61F61FCC0991}"/>
    <cellStyle name="40% - Énfasis3 13 2 2 2 2 2 2" xfId="45745" xr:uid="{15602AD8-E712-47ED-8D25-14EE9F3742CC}"/>
    <cellStyle name="40% - Énfasis3 13 2 2 2 2 3" xfId="45744" xr:uid="{26F534D8-E036-4146-BBAD-9E63CB3E2174}"/>
    <cellStyle name="40% - Énfasis3 13 2 2 2 3" xfId="21928" xr:uid="{16FC6DCB-0286-447F-BFBC-B2C0DC83E502}"/>
    <cellStyle name="40% - Énfasis3 13 2 2 2 3 2" xfId="45746" xr:uid="{722B2FA9-6FAE-4AA2-AC9E-EFFC08B37AA9}"/>
    <cellStyle name="40% - Énfasis3 13 2 2 2 4" xfId="45743" xr:uid="{E196FA46-AD5E-4B85-8AAA-D39150E00BD9}"/>
    <cellStyle name="40% - Énfasis3 13 2 2 3" xfId="10492" xr:uid="{C178727B-ECAC-4E13-BCB7-D1565E651E16}"/>
    <cellStyle name="40% - Énfasis3 13 2 2 3 2" xfId="25905" xr:uid="{D1EA4F4E-8091-4C6C-BE7B-488A1BA8D807}"/>
    <cellStyle name="40% - Énfasis3 13 2 2 3 2 2" xfId="45748" xr:uid="{F5F03836-39A1-4734-BC1A-9E943994A088}"/>
    <cellStyle name="40% - Énfasis3 13 2 2 3 3" xfId="45747" xr:uid="{09BCCE78-0615-41E0-8F38-B59C27B15D8A}"/>
    <cellStyle name="40% - Énfasis3 13 2 2 4" xfId="18200" xr:uid="{974606B2-4C35-4ACA-AB5E-0279A5F2885E}"/>
    <cellStyle name="40% - Énfasis3 13 2 2 4 2" xfId="45749" xr:uid="{E1F8161D-7B1E-4C84-AEC9-4C042FC492A9}"/>
    <cellStyle name="40% - Énfasis3 13 2 2 5" xfId="45742" xr:uid="{F5E28F2E-A7E2-42DA-89CF-F482AF8E43C7}"/>
    <cellStyle name="40% - Énfasis3 13 2 3" xfId="5050" xr:uid="{06A803E1-52B0-41BF-B863-AFF62D9FF4E3}"/>
    <cellStyle name="40% - Énfasis3 13 2 3 2" xfId="12758" xr:uid="{0F7442C4-2012-43AA-B65F-0707ABE07CE1}"/>
    <cellStyle name="40% - Énfasis3 13 2 3 2 2" xfId="28170" xr:uid="{F842182D-7FBF-4B89-9FBD-7C0C87A31261}"/>
    <cellStyle name="40% - Énfasis3 13 2 3 2 2 2" xfId="45752" xr:uid="{825877B8-99B1-411E-BD58-B78CD527B8C5}"/>
    <cellStyle name="40% - Énfasis3 13 2 3 2 3" xfId="45751" xr:uid="{FC66D9E7-BD09-4EF3-A0A7-12CF817977F7}"/>
    <cellStyle name="40% - Énfasis3 13 2 3 3" xfId="20465" xr:uid="{822E4FC4-89F3-4D0A-93D8-319562646C48}"/>
    <cellStyle name="40% - Énfasis3 13 2 3 3 2" xfId="45753" xr:uid="{00E9E0B1-353A-4565-AEC9-1521996F4322}"/>
    <cellStyle name="40% - Énfasis3 13 2 3 4" xfId="45750" xr:uid="{74656E4E-98A3-47AB-B60F-F7F10086564C}"/>
    <cellStyle name="40% - Énfasis3 13 2 4" xfId="9033" xr:uid="{4C95CC0A-373E-4376-9E94-E1E661725475}"/>
    <cellStyle name="40% - Énfasis3 13 2 4 2" xfId="24446" xr:uid="{1B224516-6847-4251-A828-B104CF3AB10A}"/>
    <cellStyle name="40% - Énfasis3 13 2 4 2 2" xfId="45755" xr:uid="{4D2E90AB-3DC6-4F40-B7B0-BF37705D7BCF}"/>
    <cellStyle name="40% - Énfasis3 13 2 4 3" xfId="45754" xr:uid="{64777897-851D-4204-B68A-9C28AD523DCE}"/>
    <cellStyle name="40% - Énfasis3 13 2 5" xfId="16741" xr:uid="{081D75DF-FFCC-4AB6-A315-EE0DE3464A5C}"/>
    <cellStyle name="40% - Énfasis3 13 2 5 2" xfId="45756" xr:uid="{921E429F-46B0-4DF6-8446-29C8CE51101D}"/>
    <cellStyle name="40% - Énfasis3 13 2 6" xfId="45741" xr:uid="{141CF4F4-1149-48CC-B60D-43F424FF5FAF}"/>
    <cellStyle name="40% - Énfasis3 13 3" xfId="2143" xr:uid="{002F39EE-E2EF-4FAB-B777-23E650EFC4D3}"/>
    <cellStyle name="40% - Énfasis3 13 3 2" xfId="5875" xr:uid="{7EC4CEBE-A539-472A-A8E4-7ED51A717121}"/>
    <cellStyle name="40% - Énfasis3 13 3 2 2" xfId="13583" xr:uid="{29571ED0-AD7D-4234-A200-0DC714EEDE44}"/>
    <cellStyle name="40% - Énfasis3 13 3 2 2 2" xfId="28995" xr:uid="{C2E33D17-0A81-4D84-A445-F31294E3D510}"/>
    <cellStyle name="40% - Énfasis3 13 3 2 2 2 2" xfId="45760" xr:uid="{DCD1B1F5-096B-40B4-B4C0-478016C76A33}"/>
    <cellStyle name="40% - Énfasis3 13 3 2 2 3" xfId="45759" xr:uid="{B085637A-6B25-4729-928F-8AE9CC0AF1D3}"/>
    <cellStyle name="40% - Énfasis3 13 3 2 3" xfId="21290" xr:uid="{B0466506-4FF8-4A65-BDE8-AA2200D020DB}"/>
    <cellStyle name="40% - Énfasis3 13 3 2 3 2" xfId="45761" xr:uid="{18F6B960-5253-4041-ABF7-B6C1B003FE38}"/>
    <cellStyle name="40% - Énfasis3 13 3 2 4" xfId="45758" xr:uid="{84EE990C-7215-4DEF-A7F1-28B9168BE9AE}"/>
    <cellStyle name="40% - Énfasis3 13 3 3" xfId="9854" xr:uid="{964460B2-3603-4D76-9311-4241CDC36F3D}"/>
    <cellStyle name="40% - Énfasis3 13 3 3 2" xfId="25267" xr:uid="{84147437-0B95-4305-B099-E13C08947859}"/>
    <cellStyle name="40% - Énfasis3 13 3 3 2 2" xfId="45763" xr:uid="{E2D61F79-17F9-4BB5-A118-C730EF103AFE}"/>
    <cellStyle name="40% - Énfasis3 13 3 3 3" xfId="45762" xr:uid="{1188B7C2-542C-49C3-A6B1-68FC3923AE89}"/>
    <cellStyle name="40% - Énfasis3 13 3 4" xfId="17562" xr:uid="{19CF4F94-FDDE-4BBC-9C39-824382113722}"/>
    <cellStyle name="40% - Énfasis3 13 3 4 2" xfId="45764" xr:uid="{FE988ADF-1DBB-4F8A-87DC-F55121F89381}"/>
    <cellStyle name="40% - Énfasis3 13 3 5" xfId="45757" xr:uid="{1D48F31F-8E31-48CE-B35E-A67D9ED10815}"/>
    <cellStyle name="40% - Énfasis3 13 4" xfId="4398" xr:uid="{B10A51FA-999D-4A9F-8531-4E5FAD52C436}"/>
    <cellStyle name="40% - Énfasis3 13 4 2" xfId="12106" xr:uid="{42C5814A-6E40-4945-9777-B91AB3601BD1}"/>
    <cellStyle name="40% - Énfasis3 13 4 2 2" xfId="27518" xr:uid="{3BC2FA80-5F20-4D09-954F-A9A71CE1DEB5}"/>
    <cellStyle name="40% - Énfasis3 13 4 2 2 2" xfId="45767" xr:uid="{D4E3A370-0594-47F0-B073-20A02C8CD5C1}"/>
    <cellStyle name="40% - Énfasis3 13 4 2 3" xfId="45766" xr:uid="{E62371A8-506B-4160-9629-F5E490AB3842}"/>
    <cellStyle name="40% - Énfasis3 13 4 3" xfId="19813" xr:uid="{33A511FA-D75C-48FC-BCBD-106A3861A046}"/>
    <cellStyle name="40% - Énfasis3 13 4 3 2" xfId="45768" xr:uid="{12668CA2-2C77-4E10-B21B-484D58B6782E}"/>
    <cellStyle name="40% - Énfasis3 13 4 4" xfId="45765" xr:uid="{6E592287-4686-469F-AF2F-822113FBAB4B}"/>
    <cellStyle name="40% - Énfasis3 13 5" xfId="8395" xr:uid="{999927BD-5ABB-44D1-984C-CD32F863DE29}"/>
    <cellStyle name="40% - Énfasis3 13 5 2" xfId="23808" xr:uid="{FA0AFED8-9F4F-4A7D-ABE7-9E570F4B575E}"/>
    <cellStyle name="40% - Énfasis3 13 5 2 2" xfId="45770" xr:uid="{7132131D-08BF-41D9-8E8F-C905C7D25C69}"/>
    <cellStyle name="40% - Énfasis3 13 5 3" xfId="45769" xr:uid="{7E41440E-7AD5-4EA2-87FB-3A0A045A0AC2}"/>
    <cellStyle name="40% - Énfasis3 13 6" xfId="16103" xr:uid="{60EA7992-AD7D-478D-9536-CB70C210DFFD}"/>
    <cellStyle name="40% - Énfasis3 13 6 2" xfId="45771" xr:uid="{0ED54A10-B55C-418D-AC03-DDD14EAEE6A8}"/>
    <cellStyle name="40% - Énfasis3 13 7" xfId="45740" xr:uid="{A752BA23-F24D-40CD-B7B4-AEF5A3BCD9AE}"/>
    <cellStyle name="40% - Énfasis3 14" xfId="673" xr:uid="{4ACB471E-30D3-432C-91F7-842FF0D8A625}"/>
    <cellStyle name="40% - Énfasis3 14 2" xfId="1334" xr:uid="{42F05769-988D-4A6E-B342-5A0B3EA9542E}"/>
    <cellStyle name="40% - Énfasis3 14 2 2" xfId="2801" xr:uid="{1EF6061C-52DC-4722-8AC6-7D4011DEC229}"/>
    <cellStyle name="40% - Énfasis3 14 2 2 2" xfId="6533" xr:uid="{A3B5C42E-4823-4DA6-9EAA-B43994C63ED2}"/>
    <cellStyle name="40% - Énfasis3 14 2 2 2 2" xfId="14241" xr:uid="{DA9D4100-673E-41C3-BBED-147128B6C79A}"/>
    <cellStyle name="40% - Énfasis3 14 2 2 2 2 2" xfId="29653" xr:uid="{365F4979-C24E-4B13-9D73-AC13F7A8E771}"/>
    <cellStyle name="40% - Énfasis3 14 2 2 2 2 2 2" xfId="45777" xr:uid="{0EC9C703-B098-4A77-BA65-4BD1B5C0AFF8}"/>
    <cellStyle name="40% - Énfasis3 14 2 2 2 2 3" xfId="45776" xr:uid="{76111034-422A-4C27-97E0-13FFB51E6A5E}"/>
    <cellStyle name="40% - Énfasis3 14 2 2 2 3" xfId="21948" xr:uid="{963EB6E8-7089-426C-8D77-FBE3AFD586C1}"/>
    <cellStyle name="40% - Énfasis3 14 2 2 2 3 2" xfId="45778" xr:uid="{B136C2A8-D04C-4164-A13C-AE0ABF1E7B3F}"/>
    <cellStyle name="40% - Énfasis3 14 2 2 2 4" xfId="45775" xr:uid="{7D09D18C-5073-4A95-877E-93A24D439C27}"/>
    <cellStyle name="40% - Énfasis3 14 2 2 3" xfId="10512" xr:uid="{315B05FB-37BF-4BDD-8662-78DDA086ADFF}"/>
    <cellStyle name="40% - Énfasis3 14 2 2 3 2" xfId="25925" xr:uid="{101F4953-E612-410D-88B6-824F039D9A3F}"/>
    <cellStyle name="40% - Énfasis3 14 2 2 3 2 2" xfId="45780" xr:uid="{2329A71D-C10A-4482-BBD1-374F2DB0740F}"/>
    <cellStyle name="40% - Énfasis3 14 2 2 3 3" xfId="45779" xr:uid="{30969167-AE50-4042-84CC-1046E2A61537}"/>
    <cellStyle name="40% - Énfasis3 14 2 2 4" xfId="18220" xr:uid="{B00E22A4-AA52-4926-ADE2-26AF448EE26F}"/>
    <cellStyle name="40% - Énfasis3 14 2 2 4 2" xfId="45781" xr:uid="{FD747690-AF7A-4235-A305-C792F0D9EAB2}"/>
    <cellStyle name="40% - Énfasis3 14 2 2 5" xfId="45774" xr:uid="{1655FF7F-D07E-43C4-B56B-65EA74EFC8BC}"/>
    <cellStyle name="40% - Énfasis3 14 2 3" xfId="5070" xr:uid="{26476DA1-A615-41B8-A416-CFF97185FD3C}"/>
    <cellStyle name="40% - Énfasis3 14 2 3 2" xfId="12778" xr:uid="{FD586624-3C4A-477D-B65F-BC50AA210D28}"/>
    <cellStyle name="40% - Énfasis3 14 2 3 2 2" xfId="28190" xr:uid="{6156CFE0-1F9C-4129-BD81-7E93E9E3D190}"/>
    <cellStyle name="40% - Énfasis3 14 2 3 2 2 2" xfId="45784" xr:uid="{E9259021-62C5-4DDA-99BA-FDF2325D6DA9}"/>
    <cellStyle name="40% - Énfasis3 14 2 3 2 3" xfId="45783" xr:uid="{98F1B104-7A4D-42E1-BAD2-9FB6F363A268}"/>
    <cellStyle name="40% - Énfasis3 14 2 3 3" xfId="20485" xr:uid="{ADFACFA9-339F-4BCC-A4E8-079B0CE6A4C4}"/>
    <cellStyle name="40% - Énfasis3 14 2 3 3 2" xfId="45785" xr:uid="{9111FEF1-432A-4C03-8442-1B35B47C6C4C}"/>
    <cellStyle name="40% - Énfasis3 14 2 3 4" xfId="45782" xr:uid="{6FCD16D3-ACB5-439A-AF6D-B570B28E0930}"/>
    <cellStyle name="40% - Énfasis3 14 2 4" xfId="9053" xr:uid="{6AB3C7FB-EE7F-452A-BF65-EA0786505C10}"/>
    <cellStyle name="40% - Énfasis3 14 2 4 2" xfId="24466" xr:uid="{A01D71A1-2914-4718-A666-7BE2B8E61D3D}"/>
    <cellStyle name="40% - Énfasis3 14 2 4 2 2" xfId="45787" xr:uid="{BDF0229B-362B-4AD1-8027-080244C7235C}"/>
    <cellStyle name="40% - Énfasis3 14 2 4 3" xfId="45786" xr:uid="{ECBFAFF9-337B-45FE-BCBB-CC2313287E49}"/>
    <cellStyle name="40% - Énfasis3 14 2 5" xfId="16761" xr:uid="{73B298C9-C87A-48B0-9C3C-2BC0D65AEF81}"/>
    <cellStyle name="40% - Énfasis3 14 2 5 2" xfId="45788" xr:uid="{C66BB742-E1BA-4609-B241-2D427E40EE8F}"/>
    <cellStyle name="40% - Énfasis3 14 2 6" xfId="45773" xr:uid="{D8C84642-8D04-48DB-A54D-3A9DA712DA85}"/>
    <cellStyle name="40% - Énfasis3 14 3" xfId="2163" xr:uid="{517F4516-FF07-4AAF-8B48-B5BA95DBFFFA}"/>
    <cellStyle name="40% - Énfasis3 14 3 2" xfId="5895" xr:uid="{0CB583B6-914A-4CBA-8FD9-BDC6268C03E2}"/>
    <cellStyle name="40% - Énfasis3 14 3 2 2" xfId="13603" xr:uid="{AC0A7622-64F4-4749-A4B1-60F5660B83A7}"/>
    <cellStyle name="40% - Énfasis3 14 3 2 2 2" xfId="29015" xr:uid="{025D1E23-86B4-4838-ACEC-16C28FCD7BBC}"/>
    <cellStyle name="40% - Énfasis3 14 3 2 2 2 2" xfId="45792" xr:uid="{F64CD9B0-5ABC-492E-B10B-5BBC3E741664}"/>
    <cellStyle name="40% - Énfasis3 14 3 2 2 3" xfId="45791" xr:uid="{D2C534C4-B35B-4D35-A96A-3D5F5978F20C}"/>
    <cellStyle name="40% - Énfasis3 14 3 2 3" xfId="21310" xr:uid="{9FDE0045-07D2-4F94-ACA5-FB30E1F67148}"/>
    <cellStyle name="40% - Énfasis3 14 3 2 3 2" xfId="45793" xr:uid="{619D5348-C25F-4672-BEE9-4132FD2D147D}"/>
    <cellStyle name="40% - Énfasis3 14 3 2 4" xfId="45790" xr:uid="{903B47AD-C733-4BD7-AA31-B7F4E3F8A60C}"/>
    <cellStyle name="40% - Énfasis3 14 3 3" xfId="9874" xr:uid="{0D7BABCB-A8D4-4DD6-B700-756B4ACF2CBE}"/>
    <cellStyle name="40% - Énfasis3 14 3 3 2" xfId="25287" xr:uid="{25D4515D-D3D4-47E1-BFF0-ACFC0167E684}"/>
    <cellStyle name="40% - Énfasis3 14 3 3 2 2" xfId="45795" xr:uid="{461AB5D8-973B-45CF-A5AD-F576947150FC}"/>
    <cellStyle name="40% - Énfasis3 14 3 3 3" xfId="45794" xr:uid="{7B0222BF-32A5-457D-8A7E-F1E85056ADBD}"/>
    <cellStyle name="40% - Énfasis3 14 3 4" xfId="17582" xr:uid="{FD6BA51C-A71A-4096-879A-3B42FAD1752D}"/>
    <cellStyle name="40% - Énfasis3 14 3 4 2" xfId="45796" xr:uid="{DE955099-E8CE-459D-B503-7D51AADC597C}"/>
    <cellStyle name="40% - Énfasis3 14 3 5" xfId="45789" xr:uid="{C0D29124-1BEB-45A8-82D5-343836A69BC3}"/>
    <cellStyle name="40% - Énfasis3 14 4" xfId="4418" xr:uid="{89679D22-FE33-4E4F-8511-D8D263E234FD}"/>
    <cellStyle name="40% - Énfasis3 14 4 2" xfId="12126" xr:uid="{249034FF-669E-411E-82C8-993A0FE4B9D5}"/>
    <cellStyle name="40% - Énfasis3 14 4 2 2" xfId="27538" xr:uid="{076BA827-F6EC-420F-8908-652A2E9282D6}"/>
    <cellStyle name="40% - Énfasis3 14 4 2 2 2" xfId="45799" xr:uid="{1A578EAE-A3D0-4EAB-8B85-C4F416203C29}"/>
    <cellStyle name="40% - Énfasis3 14 4 2 3" xfId="45798" xr:uid="{29745868-20D9-420C-BD70-3AB7203B9409}"/>
    <cellStyle name="40% - Énfasis3 14 4 3" xfId="19833" xr:uid="{CA20D0D9-6D87-4337-B843-1B1DFC55750B}"/>
    <cellStyle name="40% - Énfasis3 14 4 3 2" xfId="45800" xr:uid="{FD5745AA-0488-4353-886E-FAF2681C65EE}"/>
    <cellStyle name="40% - Énfasis3 14 4 4" xfId="45797" xr:uid="{A4C02B3A-5404-45BC-8552-41C8A69A63BF}"/>
    <cellStyle name="40% - Énfasis3 14 5" xfId="8415" xr:uid="{E7F92615-3302-4511-86A2-55131C672438}"/>
    <cellStyle name="40% - Énfasis3 14 5 2" xfId="23828" xr:uid="{E5D72387-FE51-4744-9EB1-A81FA5D576E4}"/>
    <cellStyle name="40% - Énfasis3 14 5 2 2" xfId="45802" xr:uid="{0B070CF4-9DCB-438C-9C0A-850856A270D0}"/>
    <cellStyle name="40% - Énfasis3 14 5 3" xfId="45801" xr:uid="{2B8BB76D-D5EB-46BB-80D9-EBF5728781B8}"/>
    <cellStyle name="40% - Énfasis3 14 6" xfId="16123" xr:uid="{6A8C10A6-4BEE-4C51-A30C-5FCDFF813C0F}"/>
    <cellStyle name="40% - Énfasis3 14 6 2" xfId="45803" xr:uid="{5E75F30E-8A2A-4007-99CC-127D6B42AAF3}"/>
    <cellStyle name="40% - Énfasis3 14 7" xfId="45772" xr:uid="{095B4D07-76A9-483B-BD9D-E1A87128986D}"/>
    <cellStyle name="40% - Énfasis3 15" xfId="693" xr:uid="{3A123918-8580-4A7C-B987-EEB256668C1E}"/>
    <cellStyle name="40% - Énfasis3 15 2" xfId="1354" xr:uid="{3F64C6C1-A935-4B2C-8896-A072EBC10DE9}"/>
    <cellStyle name="40% - Énfasis3 15 2 2" xfId="2821" xr:uid="{EBCEB948-4511-4314-82AA-9FDF20A38123}"/>
    <cellStyle name="40% - Énfasis3 15 2 2 2" xfId="6553" xr:uid="{1C4241E6-417F-4A9D-AC3D-3E8C6023D4D4}"/>
    <cellStyle name="40% - Énfasis3 15 2 2 2 2" xfId="14261" xr:uid="{137C8A29-5856-41D0-B9A3-ECDEFD6E236A}"/>
    <cellStyle name="40% - Énfasis3 15 2 2 2 2 2" xfId="29673" xr:uid="{98AF1422-DB22-4A91-8961-27FD7D4E77E2}"/>
    <cellStyle name="40% - Énfasis3 15 2 2 2 2 2 2" xfId="45809" xr:uid="{DB4D758F-9BDF-4803-AB06-23CEC7AD1718}"/>
    <cellStyle name="40% - Énfasis3 15 2 2 2 2 3" xfId="45808" xr:uid="{35594077-C6CF-4579-B68B-30B28C2D6821}"/>
    <cellStyle name="40% - Énfasis3 15 2 2 2 3" xfId="21968" xr:uid="{44A0B10D-1059-42EE-B1A5-B9234614197B}"/>
    <cellStyle name="40% - Énfasis3 15 2 2 2 3 2" xfId="45810" xr:uid="{EABB8149-7624-415F-AA5A-9FD09C61EB79}"/>
    <cellStyle name="40% - Énfasis3 15 2 2 2 4" xfId="45807" xr:uid="{E6AB7FB5-EA51-48BA-AF32-F5C7F79459D6}"/>
    <cellStyle name="40% - Énfasis3 15 2 2 3" xfId="10532" xr:uid="{3DD52AA6-5DE5-4C47-BBA0-07614A992AC1}"/>
    <cellStyle name="40% - Énfasis3 15 2 2 3 2" xfId="25945" xr:uid="{590D8BF5-9106-477A-8EEA-19551E7E20EA}"/>
    <cellStyle name="40% - Énfasis3 15 2 2 3 2 2" xfId="45812" xr:uid="{08BB2687-767A-47C0-A9D2-088EAE39A4CA}"/>
    <cellStyle name="40% - Énfasis3 15 2 2 3 3" xfId="45811" xr:uid="{D289BF2D-4438-4515-A509-8537FE873555}"/>
    <cellStyle name="40% - Énfasis3 15 2 2 4" xfId="18240" xr:uid="{240F6D92-9028-44AA-8065-EC130EE69649}"/>
    <cellStyle name="40% - Énfasis3 15 2 2 4 2" xfId="45813" xr:uid="{BA4B081B-F5FB-4B71-9A5A-10FC9969DA58}"/>
    <cellStyle name="40% - Énfasis3 15 2 2 5" xfId="45806" xr:uid="{3CC67A96-8CBD-484E-9846-0ED422D39339}"/>
    <cellStyle name="40% - Énfasis3 15 2 3" xfId="5090" xr:uid="{5FD7946C-6119-4060-AB73-2D9233A84EED}"/>
    <cellStyle name="40% - Énfasis3 15 2 3 2" xfId="12798" xr:uid="{191CCAF8-8ABB-45AE-A974-7C88EFCFE3FF}"/>
    <cellStyle name="40% - Énfasis3 15 2 3 2 2" xfId="28210" xr:uid="{C3155489-333C-4F7A-97A7-1A7566B38B21}"/>
    <cellStyle name="40% - Énfasis3 15 2 3 2 2 2" xfId="45816" xr:uid="{F87A84A4-C76F-4197-B5C6-A680345DD332}"/>
    <cellStyle name="40% - Énfasis3 15 2 3 2 3" xfId="45815" xr:uid="{9F548BF9-37A3-449B-9EDD-3657E0EC4F35}"/>
    <cellStyle name="40% - Énfasis3 15 2 3 3" xfId="20505" xr:uid="{82FA879B-CC16-4448-BC90-C004C0BDB360}"/>
    <cellStyle name="40% - Énfasis3 15 2 3 3 2" xfId="45817" xr:uid="{BF9EEA50-6A97-4B60-8E89-3F2FBB83367A}"/>
    <cellStyle name="40% - Énfasis3 15 2 3 4" xfId="45814" xr:uid="{122D4AB1-B956-4468-94AD-C8BA8A7F0834}"/>
    <cellStyle name="40% - Énfasis3 15 2 4" xfId="9073" xr:uid="{2502E395-96E1-4737-9CEE-E15DC39B10E4}"/>
    <cellStyle name="40% - Énfasis3 15 2 4 2" xfId="24486" xr:uid="{2416F942-BD11-4C46-8350-BF3A61E2C14D}"/>
    <cellStyle name="40% - Énfasis3 15 2 4 2 2" xfId="45819" xr:uid="{EC0156FA-7CE9-49DF-AAB9-5AD4AEE22A6B}"/>
    <cellStyle name="40% - Énfasis3 15 2 4 3" xfId="45818" xr:uid="{86D4CF4E-2547-4B71-9B76-290DCA0447F9}"/>
    <cellStyle name="40% - Énfasis3 15 2 5" xfId="16781" xr:uid="{9A282045-1461-4823-B6BC-7DD76445BFA8}"/>
    <cellStyle name="40% - Énfasis3 15 2 5 2" xfId="45820" xr:uid="{94E13E28-BC3E-464C-8582-830D68FCF8DE}"/>
    <cellStyle name="40% - Énfasis3 15 2 6" xfId="45805" xr:uid="{6B21072A-F064-4D3B-BADB-FC261F2D651F}"/>
    <cellStyle name="40% - Énfasis3 15 3" xfId="2183" xr:uid="{A787FD00-4299-4A31-8E3C-9294D988A9DF}"/>
    <cellStyle name="40% - Énfasis3 15 3 2" xfId="5915" xr:uid="{13775E1C-D055-424B-9970-646654981452}"/>
    <cellStyle name="40% - Énfasis3 15 3 2 2" xfId="13623" xr:uid="{E4445AAA-CD1B-4ED9-8012-595E8AB1F613}"/>
    <cellStyle name="40% - Énfasis3 15 3 2 2 2" xfId="29035" xr:uid="{0E7824CE-A6CB-418B-B220-C99CDA40ABD7}"/>
    <cellStyle name="40% - Énfasis3 15 3 2 2 2 2" xfId="45824" xr:uid="{5E86B1A4-474C-4422-9466-8656B0FC84C4}"/>
    <cellStyle name="40% - Énfasis3 15 3 2 2 3" xfId="45823" xr:uid="{18F3EE6C-ECF2-4079-92FD-273B1EB68A4E}"/>
    <cellStyle name="40% - Énfasis3 15 3 2 3" xfId="21330" xr:uid="{42FC1BFE-ADBA-41CD-8423-C2FE98C31D8E}"/>
    <cellStyle name="40% - Énfasis3 15 3 2 3 2" xfId="45825" xr:uid="{10E1F9A1-D5A8-49A3-B6FF-9182F82C2BA6}"/>
    <cellStyle name="40% - Énfasis3 15 3 2 4" xfId="45822" xr:uid="{A57A70C3-BBEA-4F69-BBDE-3F96312D8D4C}"/>
    <cellStyle name="40% - Énfasis3 15 3 3" xfId="9894" xr:uid="{DA262AE8-B6AB-42D7-B2EF-3E940036DE81}"/>
    <cellStyle name="40% - Énfasis3 15 3 3 2" xfId="25307" xr:uid="{C616EE77-F970-4F03-9080-A0B0DDE87628}"/>
    <cellStyle name="40% - Énfasis3 15 3 3 2 2" xfId="45827" xr:uid="{0D95923C-912C-4D03-8BC9-2D04C98C13FC}"/>
    <cellStyle name="40% - Énfasis3 15 3 3 3" xfId="45826" xr:uid="{627727A3-55A0-4B89-A8E8-D97705786E6F}"/>
    <cellStyle name="40% - Énfasis3 15 3 4" xfId="17602" xr:uid="{FFCD9339-56F7-4860-98E2-AB97B42D2E2D}"/>
    <cellStyle name="40% - Énfasis3 15 3 4 2" xfId="45828" xr:uid="{25FA45EA-051F-473A-A8F2-512552113570}"/>
    <cellStyle name="40% - Énfasis3 15 3 5" xfId="45821" xr:uid="{9195B10D-E865-41B0-B900-A14C184028AC}"/>
    <cellStyle name="40% - Énfasis3 15 4" xfId="4438" xr:uid="{A0AF0EBA-D344-4AD4-9A1A-9C2B888680D8}"/>
    <cellStyle name="40% - Énfasis3 15 4 2" xfId="12146" xr:uid="{647903EC-024C-4565-A76B-5E4BFCE9FFA3}"/>
    <cellStyle name="40% - Énfasis3 15 4 2 2" xfId="27558" xr:uid="{79088D2A-29D4-414C-83D0-9BB8D6942DB5}"/>
    <cellStyle name="40% - Énfasis3 15 4 2 2 2" xfId="45831" xr:uid="{438A34BD-E6E1-4596-9329-D96F27420400}"/>
    <cellStyle name="40% - Énfasis3 15 4 2 3" xfId="45830" xr:uid="{3B64E289-B52F-4012-9FCC-5F1DED4D5CF2}"/>
    <cellStyle name="40% - Énfasis3 15 4 3" xfId="19853" xr:uid="{473E017C-3717-4AD7-BEDD-E8117096533B}"/>
    <cellStyle name="40% - Énfasis3 15 4 3 2" xfId="45832" xr:uid="{C487DD7E-8784-4ED3-B3A7-30EA8EBE6FDB}"/>
    <cellStyle name="40% - Énfasis3 15 4 4" xfId="45829" xr:uid="{C4CEEBE8-F89A-47FA-90F9-90879455FBE8}"/>
    <cellStyle name="40% - Énfasis3 15 5" xfId="8435" xr:uid="{A9C70E83-84E7-40DF-8F05-10BF999EE72E}"/>
    <cellStyle name="40% - Énfasis3 15 5 2" xfId="23848" xr:uid="{008AF7F1-7574-499D-8E74-D36C848F2328}"/>
    <cellStyle name="40% - Énfasis3 15 5 2 2" xfId="45834" xr:uid="{20F471BE-61BB-4B92-981D-754C49F17798}"/>
    <cellStyle name="40% - Énfasis3 15 5 3" xfId="45833" xr:uid="{BEB10E0A-4FAD-4418-B25A-9109401D4DE5}"/>
    <cellStyle name="40% - Énfasis3 15 6" xfId="16143" xr:uid="{5188E9E1-3EA8-463A-9BC8-0AC262CF1FBF}"/>
    <cellStyle name="40% - Énfasis3 15 6 2" xfId="45835" xr:uid="{72D6CCA0-8A3B-4808-AA37-52DA7BEFEA1F}"/>
    <cellStyle name="40% - Énfasis3 15 7" xfId="45804" xr:uid="{94FFB0BB-C50F-4BC4-8F4F-A3945D013C29}"/>
    <cellStyle name="40% - Énfasis3 16" xfId="714" xr:uid="{94A72EA6-7B88-493A-9DEB-504A52133028}"/>
    <cellStyle name="40% - Énfasis3 16 2" xfId="1375" xr:uid="{99BD3A73-9A97-4630-9CE0-847B104FA701}"/>
    <cellStyle name="40% - Énfasis3 16 2 2" xfId="2842" xr:uid="{B27DE5F4-9308-4F54-8424-9E45939DA6F0}"/>
    <cellStyle name="40% - Énfasis3 16 2 2 2" xfId="6574" xr:uid="{8F6CD030-923C-4725-B236-C4830129B501}"/>
    <cellStyle name="40% - Énfasis3 16 2 2 2 2" xfId="14282" xr:uid="{592ED4D1-272F-4882-BEB7-8D32036F302F}"/>
    <cellStyle name="40% - Énfasis3 16 2 2 2 2 2" xfId="29694" xr:uid="{FDE8505F-C73F-4646-A973-0517E00E4EF4}"/>
    <cellStyle name="40% - Énfasis3 16 2 2 2 2 2 2" xfId="45841" xr:uid="{6228D292-219B-4565-8694-F1318D6FD146}"/>
    <cellStyle name="40% - Énfasis3 16 2 2 2 2 3" xfId="45840" xr:uid="{9FF0EDC2-76DD-4F3F-B671-8374EDBFF1CE}"/>
    <cellStyle name="40% - Énfasis3 16 2 2 2 3" xfId="21989" xr:uid="{D8F6C1B0-820A-4097-8FDF-E6253DBA6C3F}"/>
    <cellStyle name="40% - Énfasis3 16 2 2 2 3 2" xfId="45842" xr:uid="{ADAE89BF-2586-4506-9C09-434F6C142485}"/>
    <cellStyle name="40% - Énfasis3 16 2 2 2 4" xfId="45839" xr:uid="{44312F1D-110C-4031-8C6C-353E473F1279}"/>
    <cellStyle name="40% - Énfasis3 16 2 2 3" xfId="10553" xr:uid="{A94F3914-06D1-4CD7-B4EE-A0FC44109656}"/>
    <cellStyle name="40% - Énfasis3 16 2 2 3 2" xfId="25966" xr:uid="{B4D9262B-66CD-4C78-964D-460B0FDE2182}"/>
    <cellStyle name="40% - Énfasis3 16 2 2 3 2 2" xfId="45844" xr:uid="{2B389AB4-1572-4134-B403-FEFF0C19DB2F}"/>
    <cellStyle name="40% - Énfasis3 16 2 2 3 3" xfId="45843" xr:uid="{1681600C-5D9E-492A-9C3C-8E19FE149769}"/>
    <cellStyle name="40% - Énfasis3 16 2 2 4" xfId="18261" xr:uid="{0BF5F89F-8AA1-42D8-AC47-45E03256D7D8}"/>
    <cellStyle name="40% - Énfasis3 16 2 2 4 2" xfId="45845" xr:uid="{4FDD45BE-184F-4AA9-8C24-7ED4E51289A7}"/>
    <cellStyle name="40% - Énfasis3 16 2 2 5" xfId="45838" xr:uid="{4978A2C4-BEF9-4B1A-B6A8-8B6FF37BFF00}"/>
    <cellStyle name="40% - Énfasis3 16 2 3" xfId="5111" xr:uid="{2E56E447-2178-4E76-B843-E1A666DE4FC7}"/>
    <cellStyle name="40% - Énfasis3 16 2 3 2" xfId="12819" xr:uid="{CF631AFF-F69F-4F0A-9CB0-71DB98962242}"/>
    <cellStyle name="40% - Énfasis3 16 2 3 2 2" xfId="28231" xr:uid="{5735B9DE-FE83-4A89-8387-0A91ABD771D5}"/>
    <cellStyle name="40% - Énfasis3 16 2 3 2 2 2" xfId="45848" xr:uid="{01144BF5-9583-428E-AC65-D866F08EBDA1}"/>
    <cellStyle name="40% - Énfasis3 16 2 3 2 3" xfId="45847" xr:uid="{73EF0978-9349-4900-B24A-677D058B24A2}"/>
    <cellStyle name="40% - Énfasis3 16 2 3 3" xfId="20526" xr:uid="{B90CA32D-6811-4341-843E-3AF9D2B2A936}"/>
    <cellStyle name="40% - Énfasis3 16 2 3 3 2" xfId="45849" xr:uid="{37221635-49DA-4CD3-ACA4-A35F956ADB24}"/>
    <cellStyle name="40% - Énfasis3 16 2 3 4" xfId="45846" xr:uid="{C54B7299-3566-4B9A-9884-14D93AA5671D}"/>
    <cellStyle name="40% - Énfasis3 16 2 4" xfId="9094" xr:uid="{835EF13A-5CFF-49E1-B784-E8DF886CA4E7}"/>
    <cellStyle name="40% - Énfasis3 16 2 4 2" xfId="24507" xr:uid="{6D204A76-272F-4DB9-BB17-8C79880E3C5B}"/>
    <cellStyle name="40% - Énfasis3 16 2 4 2 2" xfId="45851" xr:uid="{2BDA4A22-4B05-4158-B3D6-E6F735F2575C}"/>
    <cellStyle name="40% - Énfasis3 16 2 4 3" xfId="45850" xr:uid="{2ABE0168-CFF2-4AF8-9275-6D53F1531A36}"/>
    <cellStyle name="40% - Énfasis3 16 2 5" xfId="16802" xr:uid="{C3D6D2F0-DE16-4AF0-AF5E-60CECAA2EFD0}"/>
    <cellStyle name="40% - Énfasis3 16 2 5 2" xfId="45852" xr:uid="{1880C8CC-9E39-46E8-B32E-B64A5EECE129}"/>
    <cellStyle name="40% - Énfasis3 16 2 6" xfId="45837" xr:uid="{56443272-C00F-4A0D-A8E8-E92342B745D0}"/>
    <cellStyle name="40% - Énfasis3 16 3" xfId="2204" xr:uid="{CCF6390F-B8FF-40F3-AAAD-C5DABBC9B534}"/>
    <cellStyle name="40% - Énfasis3 16 3 2" xfId="5936" xr:uid="{2DB25F1B-96B0-43F2-801F-7402BB8B5A28}"/>
    <cellStyle name="40% - Énfasis3 16 3 2 2" xfId="13644" xr:uid="{C5A80F10-4B95-47A2-88B7-E4A029BEE66B}"/>
    <cellStyle name="40% - Énfasis3 16 3 2 2 2" xfId="29056" xr:uid="{0394518C-FE38-468D-8A46-5F83D432A9E9}"/>
    <cellStyle name="40% - Énfasis3 16 3 2 2 2 2" xfId="45856" xr:uid="{F7FDEB6E-731C-459C-B9EF-38EE09EC62E0}"/>
    <cellStyle name="40% - Énfasis3 16 3 2 2 3" xfId="45855" xr:uid="{BA9F0C12-5488-4B8F-86F9-29008F82B799}"/>
    <cellStyle name="40% - Énfasis3 16 3 2 3" xfId="21351" xr:uid="{442EF52E-3735-4064-9701-1D7A20CBC6C0}"/>
    <cellStyle name="40% - Énfasis3 16 3 2 3 2" xfId="45857" xr:uid="{CFBE8E2C-D1C1-44C7-A446-FEDE77CB1CE5}"/>
    <cellStyle name="40% - Énfasis3 16 3 2 4" xfId="45854" xr:uid="{02FE38F7-6FC4-41B4-BD8F-404F68EEB800}"/>
    <cellStyle name="40% - Énfasis3 16 3 3" xfId="9915" xr:uid="{51AB11A2-6A58-4F60-BE2F-71BB169A2303}"/>
    <cellStyle name="40% - Énfasis3 16 3 3 2" xfId="25328" xr:uid="{36374C13-186D-4A0A-B176-0FE0831AA278}"/>
    <cellStyle name="40% - Énfasis3 16 3 3 2 2" xfId="45859" xr:uid="{F79DA3BF-5B89-4605-B6DA-1648806EC7D9}"/>
    <cellStyle name="40% - Énfasis3 16 3 3 3" xfId="45858" xr:uid="{71D80A36-2FFE-4B72-B381-B81B374B70E6}"/>
    <cellStyle name="40% - Énfasis3 16 3 4" xfId="17623" xr:uid="{4FBFF25E-0E8E-4A45-B9A4-598B9918DE93}"/>
    <cellStyle name="40% - Énfasis3 16 3 4 2" xfId="45860" xr:uid="{D82C6075-9612-4FCB-A024-1A3D17543220}"/>
    <cellStyle name="40% - Énfasis3 16 3 5" xfId="45853" xr:uid="{28AADBAF-59A8-4341-9ED2-D67BB998989A}"/>
    <cellStyle name="40% - Énfasis3 16 4" xfId="4459" xr:uid="{7A666007-99AF-4490-BB32-E3CEC9EEBA4C}"/>
    <cellStyle name="40% - Énfasis3 16 4 2" xfId="12167" xr:uid="{1E816227-B791-4152-90F4-CB3AE827E75F}"/>
    <cellStyle name="40% - Énfasis3 16 4 2 2" xfId="27579" xr:uid="{180ACC99-A82B-47E9-98E1-575DA09AFE70}"/>
    <cellStyle name="40% - Énfasis3 16 4 2 2 2" xfId="45863" xr:uid="{2E2561C7-BB09-4ED0-B456-360AB1DFE46A}"/>
    <cellStyle name="40% - Énfasis3 16 4 2 3" xfId="45862" xr:uid="{6D704F2B-7A9F-421C-901B-7B81220954F5}"/>
    <cellStyle name="40% - Énfasis3 16 4 3" xfId="19874" xr:uid="{8462F38F-DB14-4502-B2D3-F6FBE6CF6E91}"/>
    <cellStyle name="40% - Énfasis3 16 4 3 2" xfId="45864" xr:uid="{53D0B808-5207-4134-9295-43F2656CE2EC}"/>
    <cellStyle name="40% - Énfasis3 16 4 4" xfId="45861" xr:uid="{7FB1E53D-84A9-410A-AF95-8FD6E647C2A8}"/>
    <cellStyle name="40% - Énfasis3 16 5" xfId="8456" xr:uid="{C4FED328-EE97-4604-87E9-2105CB254522}"/>
    <cellStyle name="40% - Énfasis3 16 5 2" xfId="23869" xr:uid="{DD30E811-B16A-40D7-BDF7-084585233273}"/>
    <cellStyle name="40% - Énfasis3 16 5 2 2" xfId="45866" xr:uid="{EB0F227F-E48B-49F7-BFD9-6713653B5C8E}"/>
    <cellStyle name="40% - Énfasis3 16 5 3" xfId="45865" xr:uid="{25358CEC-F5ED-48F1-A79C-650B9095C3F7}"/>
    <cellStyle name="40% - Énfasis3 16 6" xfId="16164" xr:uid="{A1B1C14D-AA01-4F38-905C-10CA313C222A}"/>
    <cellStyle name="40% - Énfasis3 16 6 2" xfId="45867" xr:uid="{9880211B-14CD-4226-8D13-97C86C9F7E29}"/>
    <cellStyle name="40% - Énfasis3 16 7" xfId="45836" xr:uid="{BC3069AE-6282-4E11-934E-8945CA0E5DC8}"/>
    <cellStyle name="40% - Énfasis3 17" xfId="734" xr:uid="{CC4EB726-3060-4905-B4ED-A2E8A338C2CF}"/>
    <cellStyle name="40% - Énfasis3 17 2" xfId="1395" xr:uid="{07A3721D-94FC-4BA0-9CEC-BBFD6D6D7C81}"/>
    <cellStyle name="40% - Énfasis3 17 2 2" xfId="2862" xr:uid="{61D2829E-3FC6-48FF-A84B-952209198F46}"/>
    <cellStyle name="40% - Énfasis3 17 2 2 2" xfId="6594" xr:uid="{0FA4F5C1-B6D1-4FC0-89E8-2D72E2251471}"/>
    <cellStyle name="40% - Énfasis3 17 2 2 2 2" xfId="14302" xr:uid="{EA1C9610-1CA5-4232-81EF-7D98C944C1F0}"/>
    <cellStyle name="40% - Énfasis3 17 2 2 2 2 2" xfId="29714" xr:uid="{4AFEBDF6-50BC-4CA0-9159-7A901E77798E}"/>
    <cellStyle name="40% - Énfasis3 17 2 2 2 2 2 2" xfId="45873" xr:uid="{31E8FDF0-A7E9-47FF-B423-27916CDD9A6E}"/>
    <cellStyle name="40% - Énfasis3 17 2 2 2 2 3" xfId="45872" xr:uid="{22643EE1-8EBC-4E30-BB41-604CFC724AD3}"/>
    <cellStyle name="40% - Énfasis3 17 2 2 2 3" xfId="22009" xr:uid="{13FACD81-A51C-47D1-8032-7C380B6FA565}"/>
    <cellStyle name="40% - Énfasis3 17 2 2 2 3 2" xfId="45874" xr:uid="{E3ED8BC9-EF78-4302-BA39-FA41B98F2512}"/>
    <cellStyle name="40% - Énfasis3 17 2 2 2 4" xfId="45871" xr:uid="{D2F9F186-6A02-4A6A-B600-E64A7010949F}"/>
    <cellStyle name="40% - Énfasis3 17 2 2 3" xfId="10573" xr:uid="{26E59CF7-BAD0-452B-91AB-2B727938DF23}"/>
    <cellStyle name="40% - Énfasis3 17 2 2 3 2" xfId="25986" xr:uid="{ABC277BE-0D6C-4616-8722-4F488089A623}"/>
    <cellStyle name="40% - Énfasis3 17 2 2 3 2 2" xfId="45876" xr:uid="{3D39B86E-CC2C-4EC3-AB79-CDC3C53EB35E}"/>
    <cellStyle name="40% - Énfasis3 17 2 2 3 3" xfId="45875" xr:uid="{BE67655C-9CF0-4245-A490-185B1679EAC7}"/>
    <cellStyle name="40% - Énfasis3 17 2 2 4" xfId="18281" xr:uid="{F6BE7836-C7A4-49BC-BEC1-5F8E5195887A}"/>
    <cellStyle name="40% - Énfasis3 17 2 2 4 2" xfId="45877" xr:uid="{2507279A-BAA7-44BA-871B-19A8E42C2C57}"/>
    <cellStyle name="40% - Énfasis3 17 2 2 5" xfId="45870" xr:uid="{397B54C3-C8C9-4E6B-B7E7-8150318E9312}"/>
    <cellStyle name="40% - Énfasis3 17 2 3" xfId="5131" xr:uid="{4E4D1EFB-1FB4-4A0F-B317-81C4C9F40559}"/>
    <cellStyle name="40% - Énfasis3 17 2 3 2" xfId="12839" xr:uid="{D4F52BD2-6113-4136-A365-885F8B460339}"/>
    <cellStyle name="40% - Énfasis3 17 2 3 2 2" xfId="28251" xr:uid="{7E382572-BCB7-4FBC-ACF7-2FDFD85A162C}"/>
    <cellStyle name="40% - Énfasis3 17 2 3 2 2 2" xfId="45880" xr:uid="{CD8C7691-6194-4C86-A503-CCDF69ADDA30}"/>
    <cellStyle name="40% - Énfasis3 17 2 3 2 3" xfId="45879" xr:uid="{C19CF380-8350-4EFD-8B47-4001AF560730}"/>
    <cellStyle name="40% - Énfasis3 17 2 3 3" xfId="20546" xr:uid="{0995EE54-E5FB-4792-983C-FB4D54C23D92}"/>
    <cellStyle name="40% - Énfasis3 17 2 3 3 2" xfId="45881" xr:uid="{BCBA803C-62D6-4CA1-A1FD-55E39DE1426D}"/>
    <cellStyle name="40% - Énfasis3 17 2 3 4" xfId="45878" xr:uid="{ECEF0267-8102-45A8-AA23-B0451F955A7A}"/>
    <cellStyle name="40% - Énfasis3 17 2 4" xfId="9114" xr:uid="{ED10D27C-5F1A-42A3-9123-0E70950D8C86}"/>
    <cellStyle name="40% - Énfasis3 17 2 4 2" xfId="24527" xr:uid="{A9A4D5ED-AA56-48D4-BBDA-0D2A671475FF}"/>
    <cellStyle name="40% - Énfasis3 17 2 4 2 2" xfId="45883" xr:uid="{9ED6246B-F53D-4CA8-881C-B5C337A45AB3}"/>
    <cellStyle name="40% - Énfasis3 17 2 4 3" xfId="45882" xr:uid="{4A1F014B-A799-4B25-90A0-DF349457DE81}"/>
    <cellStyle name="40% - Énfasis3 17 2 5" xfId="16822" xr:uid="{9313271A-9F41-42ED-AFE5-D96D5FBCA6CA}"/>
    <cellStyle name="40% - Énfasis3 17 2 5 2" xfId="45884" xr:uid="{4BD11806-7A6A-4072-B341-A203842E1E4F}"/>
    <cellStyle name="40% - Énfasis3 17 2 6" xfId="45869" xr:uid="{139EBAF3-60DD-4C9E-96B3-FD0FD4E7D687}"/>
    <cellStyle name="40% - Énfasis3 17 3" xfId="2224" xr:uid="{12B0A277-3FF1-4CB8-860C-AC1AE1E7E32D}"/>
    <cellStyle name="40% - Énfasis3 17 3 2" xfId="5956" xr:uid="{80C8846D-2D76-409D-91D9-E331100C80A3}"/>
    <cellStyle name="40% - Énfasis3 17 3 2 2" xfId="13664" xr:uid="{D2D0BCB8-E71F-4000-896E-6F0D66F60DEA}"/>
    <cellStyle name="40% - Énfasis3 17 3 2 2 2" xfId="29076" xr:uid="{6D76D41A-4F9D-4F1D-9AFA-5D70BB22E3F1}"/>
    <cellStyle name="40% - Énfasis3 17 3 2 2 2 2" xfId="45888" xr:uid="{46794792-CDB9-45BF-B7E7-EDFB818A38C1}"/>
    <cellStyle name="40% - Énfasis3 17 3 2 2 3" xfId="45887" xr:uid="{DDE883C9-76BF-41CB-8A15-3D52488D6769}"/>
    <cellStyle name="40% - Énfasis3 17 3 2 3" xfId="21371" xr:uid="{CA50471D-1650-435F-8A0F-2972FDCC4DF0}"/>
    <cellStyle name="40% - Énfasis3 17 3 2 3 2" xfId="45889" xr:uid="{6F8DD0AB-3885-49F6-ACBC-5C2EA3DC9D98}"/>
    <cellStyle name="40% - Énfasis3 17 3 2 4" xfId="45886" xr:uid="{02EEA833-AE9C-4A7F-A143-43CCAC187F79}"/>
    <cellStyle name="40% - Énfasis3 17 3 3" xfId="9935" xr:uid="{B6F73A84-38EF-477C-B5DE-540106BA9103}"/>
    <cellStyle name="40% - Énfasis3 17 3 3 2" xfId="25348" xr:uid="{D722EB49-0054-474F-8AA1-BE55081B9E23}"/>
    <cellStyle name="40% - Énfasis3 17 3 3 2 2" xfId="45891" xr:uid="{BF1FCDEE-4648-458C-8DB5-0F792534DBB1}"/>
    <cellStyle name="40% - Énfasis3 17 3 3 3" xfId="45890" xr:uid="{5B0C66E8-0231-4C64-96E0-73CBDD66BDF2}"/>
    <cellStyle name="40% - Énfasis3 17 3 4" xfId="17643" xr:uid="{53C5DB22-7D9B-45C8-80DC-62EE0395AC7E}"/>
    <cellStyle name="40% - Énfasis3 17 3 4 2" xfId="45892" xr:uid="{5C7624E9-AC5F-4C75-9B75-9CE5526FD55F}"/>
    <cellStyle name="40% - Énfasis3 17 3 5" xfId="45885" xr:uid="{928FFCB6-1250-4D2D-8437-53E013A8C338}"/>
    <cellStyle name="40% - Énfasis3 17 4" xfId="4479" xr:uid="{05B50FD3-138E-441C-8C6E-4C1FE44C337C}"/>
    <cellStyle name="40% - Énfasis3 17 4 2" xfId="12187" xr:uid="{E3DDADD9-A33D-42FB-B3CB-D3194373420A}"/>
    <cellStyle name="40% - Énfasis3 17 4 2 2" xfId="27599" xr:uid="{D6E82EAC-C134-4A41-BD7C-F7AD90A1C321}"/>
    <cellStyle name="40% - Énfasis3 17 4 2 2 2" xfId="45895" xr:uid="{B5F313FF-E28B-43A1-8A46-7DBDB46B0D82}"/>
    <cellStyle name="40% - Énfasis3 17 4 2 3" xfId="45894" xr:uid="{0CB199BB-803A-4381-88E4-B0DE024C4B83}"/>
    <cellStyle name="40% - Énfasis3 17 4 3" xfId="19894" xr:uid="{467E94C3-EB9D-4C57-A685-E89382A497BF}"/>
    <cellStyle name="40% - Énfasis3 17 4 3 2" xfId="45896" xr:uid="{6DD62CE0-D615-4FED-8876-C7F6474DA407}"/>
    <cellStyle name="40% - Énfasis3 17 4 4" xfId="45893" xr:uid="{47FCE422-A35A-4B0E-98A9-F1765EF22978}"/>
    <cellStyle name="40% - Énfasis3 17 5" xfId="8476" xr:uid="{E2EFDBE9-B101-4899-B643-CC1D68657544}"/>
    <cellStyle name="40% - Énfasis3 17 5 2" xfId="23889" xr:uid="{54CFA241-7992-46AA-8E2B-765C4D93F964}"/>
    <cellStyle name="40% - Énfasis3 17 5 2 2" xfId="45898" xr:uid="{A6AB2039-E48B-49F4-B0A2-C6581B2DA0D5}"/>
    <cellStyle name="40% - Énfasis3 17 5 3" xfId="45897" xr:uid="{92C8E598-E1FA-4D3E-B1D1-62E0D571E640}"/>
    <cellStyle name="40% - Énfasis3 17 6" xfId="16184" xr:uid="{62EC6864-D549-4AA7-8EDA-B1A53859B40F}"/>
    <cellStyle name="40% - Énfasis3 17 6 2" xfId="45899" xr:uid="{705B9EA6-3927-416C-B806-CD19EEEFA818}"/>
    <cellStyle name="40% - Énfasis3 17 7" xfId="45868" xr:uid="{343CA14E-EF79-4A41-8F86-0BA586D8CF1B}"/>
    <cellStyle name="40% - Énfasis3 18" xfId="754" xr:uid="{76E7AA7A-8F6B-4916-9464-A5C861C36C92}"/>
    <cellStyle name="40% - Énfasis3 18 2" xfId="1415" xr:uid="{AE43DEA8-4695-4D49-8FAF-0754BB195B91}"/>
    <cellStyle name="40% - Énfasis3 18 2 2" xfId="2882" xr:uid="{7877F122-58C1-48E5-95EB-8E0251038749}"/>
    <cellStyle name="40% - Énfasis3 18 2 2 2" xfId="6614" xr:uid="{84BFFB90-F551-4A19-BA74-EA86DBDD7353}"/>
    <cellStyle name="40% - Énfasis3 18 2 2 2 2" xfId="14322" xr:uid="{478775F6-D95A-42D2-B8B2-D242CFB1F4FF}"/>
    <cellStyle name="40% - Énfasis3 18 2 2 2 2 2" xfId="29734" xr:uid="{E5CB3169-52CE-454A-BA95-250254971A30}"/>
    <cellStyle name="40% - Énfasis3 18 2 2 2 2 2 2" xfId="45905" xr:uid="{E66466E4-BED9-4F6D-8133-D07034BF006A}"/>
    <cellStyle name="40% - Énfasis3 18 2 2 2 2 3" xfId="45904" xr:uid="{AEEC0985-9410-4531-88F7-623386FC2DB0}"/>
    <cellStyle name="40% - Énfasis3 18 2 2 2 3" xfId="22029" xr:uid="{DEC7F3E5-7E71-4A44-8BD4-DE03BF8DD50C}"/>
    <cellStyle name="40% - Énfasis3 18 2 2 2 3 2" xfId="45906" xr:uid="{CFB2D097-0C23-4C1E-AE6F-7E08910FD36E}"/>
    <cellStyle name="40% - Énfasis3 18 2 2 2 4" xfId="45903" xr:uid="{6D293182-3305-436E-AED0-46DCD88F8EDF}"/>
    <cellStyle name="40% - Énfasis3 18 2 2 3" xfId="10593" xr:uid="{EC4E6128-F18C-4F11-A3A6-AC48DDD49329}"/>
    <cellStyle name="40% - Énfasis3 18 2 2 3 2" xfId="26006" xr:uid="{1AD618EC-CEF5-4C45-A54A-CDCC55C82B7D}"/>
    <cellStyle name="40% - Énfasis3 18 2 2 3 2 2" xfId="45908" xr:uid="{7F6BE685-E335-40D9-A299-BC0C86184B1D}"/>
    <cellStyle name="40% - Énfasis3 18 2 2 3 3" xfId="45907" xr:uid="{3ACA254F-24CE-4DE9-A10D-5891C7FAD2C4}"/>
    <cellStyle name="40% - Énfasis3 18 2 2 4" xfId="18301" xr:uid="{0C9405C1-9E36-4C84-9447-5062557CE325}"/>
    <cellStyle name="40% - Énfasis3 18 2 2 4 2" xfId="45909" xr:uid="{C5616F4D-DA7D-49D3-9AC2-2446CA335F1F}"/>
    <cellStyle name="40% - Énfasis3 18 2 2 5" xfId="45902" xr:uid="{3A923F16-2CAF-4608-B3CE-A85602B3711D}"/>
    <cellStyle name="40% - Énfasis3 18 2 3" xfId="5151" xr:uid="{3E09215A-0EB2-468B-882B-8835FA432C99}"/>
    <cellStyle name="40% - Énfasis3 18 2 3 2" xfId="12859" xr:uid="{A2885D0E-D33E-4B96-9D28-7607C7DEDCD6}"/>
    <cellStyle name="40% - Énfasis3 18 2 3 2 2" xfId="28271" xr:uid="{8139E0A7-4764-45E9-89FA-C35B85DA63F9}"/>
    <cellStyle name="40% - Énfasis3 18 2 3 2 2 2" xfId="45912" xr:uid="{BF7FD44B-39E9-4A84-B7EB-C7E19A074B4C}"/>
    <cellStyle name="40% - Énfasis3 18 2 3 2 3" xfId="45911" xr:uid="{6863C0FA-4EB7-486A-8C6A-EBD7DBF80A73}"/>
    <cellStyle name="40% - Énfasis3 18 2 3 3" xfId="20566" xr:uid="{DF309EE3-82CF-427C-A6D7-5F2864979991}"/>
    <cellStyle name="40% - Énfasis3 18 2 3 3 2" xfId="45913" xr:uid="{7803F915-EAEE-402C-94E0-57840D5A80D1}"/>
    <cellStyle name="40% - Énfasis3 18 2 3 4" xfId="45910" xr:uid="{8AF7B33F-C642-482A-96BB-A8D1193ACDB7}"/>
    <cellStyle name="40% - Énfasis3 18 2 4" xfId="9134" xr:uid="{0A45C017-F9C3-4249-B01F-719D55C73973}"/>
    <cellStyle name="40% - Énfasis3 18 2 4 2" xfId="24547" xr:uid="{96E370AA-9449-4AE7-A66B-9EB29D78DACE}"/>
    <cellStyle name="40% - Énfasis3 18 2 4 2 2" xfId="45915" xr:uid="{71659EBA-6C1B-48CF-8A3D-2C28EF0E38D5}"/>
    <cellStyle name="40% - Énfasis3 18 2 4 3" xfId="45914" xr:uid="{06F1CD60-F1FA-4D9B-9342-D457FCAF2823}"/>
    <cellStyle name="40% - Énfasis3 18 2 5" xfId="16842" xr:uid="{74089751-5041-4E2B-BC42-F04A3F7896D7}"/>
    <cellStyle name="40% - Énfasis3 18 2 5 2" xfId="45916" xr:uid="{688ACEDA-CB7B-41E2-B01F-52BAB2C0CBF8}"/>
    <cellStyle name="40% - Énfasis3 18 2 6" xfId="45901" xr:uid="{9360E7DC-2061-4A81-9C1D-E2E8E23185DF}"/>
    <cellStyle name="40% - Énfasis3 18 3" xfId="2244" xr:uid="{0DFF9709-0290-452E-BBFD-BE2004D55E14}"/>
    <cellStyle name="40% - Énfasis3 18 3 2" xfId="5976" xr:uid="{C96CDC37-E30E-492E-8AF7-4E299778019F}"/>
    <cellStyle name="40% - Énfasis3 18 3 2 2" xfId="13684" xr:uid="{F872B924-962D-4EDE-8352-A1547015D959}"/>
    <cellStyle name="40% - Énfasis3 18 3 2 2 2" xfId="29096" xr:uid="{CB4B0809-1C5D-49DE-9CE5-6D0105D7033A}"/>
    <cellStyle name="40% - Énfasis3 18 3 2 2 2 2" xfId="45920" xr:uid="{6F0E7FA8-96AC-404D-A1F3-AA32B4DB27D2}"/>
    <cellStyle name="40% - Énfasis3 18 3 2 2 3" xfId="45919" xr:uid="{DE89FF57-A5A8-4B65-81FC-FC8C0E0DDAB6}"/>
    <cellStyle name="40% - Énfasis3 18 3 2 3" xfId="21391" xr:uid="{58935322-76E3-408D-8026-D7679DA5DC2D}"/>
    <cellStyle name="40% - Énfasis3 18 3 2 3 2" xfId="45921" xr:uid="{255A93DD-E871-4A67-B2ED-C74A90231BF3}"/>
    <cellStyle name="40% - Énfasis3 18 3 2 4" xfId="45918" xr:uid="{4513074C-1978-42D5-B6C1-7CC6627F689B}"/>
    <cellStyle name="40% - Énfasis3 18 3 3" xfId="9955" xr:uid="{23F15A62-EFC5-4DA5-9B59-E0B06D8FC39D}"/>
    <cellStyle name="40% - Énfasis3 18 3 3 2" xfId="25368" xr:uid="{9591465B-2764-4101-B4EC-E1CD8C8E1E92}"/>
    <cellStyle name="40% - Énfasis3 18 3 3 2 2" xfId="45923" xr:uid="{A3817604-CA82-4327-A820-19921EEFCF21}"/>
    <cellStyle name="40% - Énfasis3 18 3 3 3" xfId="45922" xr:uid="{E8388617-88E1-4480-9A4F-514D1EAABEED}"/>
    <cellStyle name="40% - Énfasis3 18 3 4" xfId="17663" xr:uid="{EC572694-9321-4D47-A6E1-825C2462F3D6}"/>
    <cellStyle name="40% - Énfasis3 18 3 4 2" xfId="45924" xr:uid="{85DF7077-2DEA-4FCB-AA77-24962DDAD4E2}"/>
    <cellStyle name="40% - Énfasis3 18 3 5" xfId="45917" xr:uid="{083F9973-6139-444C-84AB-F28DF8AD2732}"/>
    <cellStyle name="40% - Énfasis3 18 4" xfId="4499" xr:uid="{9BBC663E-6F34-41C1-86A9-1509CB7F7704}"/>
    <cellStyle name="40% - Énfasis3 18 4 2" xfId="12207" xr:uid="{228FFF51-D190-4B1D-BD1C-09053050BBF4}"/>
    <cellStyle name="40% - Énfasis3 18 4 2 2" xfId="27619" xr:uid="{F6B31E84-80FD-49AD-BB47-841FB545F683}"/>
    <cellStyle name="40% - Énfasis3 18 4 2 2 2" xfId="45927" xr:uid="{CAD50698-7D65-4996-A058-BC5A322E67C3}"/>
    <cellStyle name="40% - Énfasis3 18 4 2 3" xfId="45926" xr:uid="{EDA13FC2-8E8F-487D-8056-8C992F31CD25}"/>
    <cellStyle name="40% - Énfasis3 18 4 3" xfId="19914" xr:uid="{96DC00F0-02D3-44B0-9ED5-0769399AE06D}"/>
    <cellStyle name="40% - Énfasis3 18 4 3 2" xfId="45928" xr:uid="{0421C338-6AE6-4214-8179-8ADD3D278CD1}"/>
    <cellStyle name="40% - Énfasis3 18 4 4" xfId="45925" xr:uid="{82BE0C25-3979-40CE-9957-D99F1643F3A5}"/>
    <cellStyle name="40% - Énfasis3 18 5" xfId="8496" xr:uid="{B126BEA8-C089-4CE2-AD47-C0B071077E48}"/>
    <cellStyle name="40% - Énfasis3 18 5 2" xfId="23909" xr:uid="{B0A3EE78-3EAB-49E4-9ACF-54966B7EA407}"/>
    <cellStyle name="40% - Énfasis3 18 5 2 2" xfId="45930" xr:uid="{61D28472-7F12-444F-BB5B-5DE37FA32A25}"/>
    <cellStyle name="40% - Énfasis3 18 5 3" xfId="45929" xr:uid="{C5164764-2364-4D59-8741-248E9099B8E7}"/>
    <cellStyle name="40% - Énfasis3 18 6" xfId="16204" xr:uid="{D79CA0E3-6D6E-4A38-9C0F-2AFF6EA59D74}"/>
    <cellStyle name="40% - Énfasis3 18 6 2" xfId="45931" xr:uid="{EC25E6FA-0378-4362-A47F-D04C01987478}"/>
    <cellStyle name="40% - Énfasis3 18 7" xfId="45900" xr:uid="{4571EB4B-37C0-4C1F-9B35-DA66B2EED57E}"/>
    <cellStyle name="40% - Énfasis3 19" xfId="773" xr:uid="{D800EBAD-0C3A-4AAE-801C-AB7B5322AA97}"/>
    <cellStyle name="40% - Énfasis3 19 2" xfId="2263" xr:uid="{6A2735C2-6F2B-410F-9416-05DEE2EBDD66}"/>
    <cellStyle name="40% - Énfasis3 19 2 2" xfId="5995" xr:uid="{585A44AC-F181-4F4C-A213-ED8D6764BC6C}"/>
    <cellStyle name="40% - Énfasis3 19 2 2 2" xfId="13703" xr:uid="{53D144E6-4F0E-46D3-A743-FA213FF5210D}"/>
    <cellStyle name="40% - Énfasis3 19 2 2 2 2" xfId="29115" xr:uid="{D6F20443-AC63-468B-8EE3-9E68B773306A}"/>
    <cellStyle name="40% - Énfasis3 19 2 2 2 2 2" xfId="45936" xr:uid="{E8237271-DA17-4E5B-BFDA-C9BB0A8AE30F}"/>
    <cellStyle name="40% - Énfasis3 19 2 2 2 3" xfId="45935" xr:uid="{375DED3F-DCD1-4F59-9FDD-7E753E5A2CB9}"/>
    <cellStyle name="40% - Énfasis3 19 2 2 3" xfId="21410" xr:uid="{D4683748-C58B-4596-B7B1-D84C03D1D766}"/>
    <cellStyle name="40% - Énfasis3 19 2 2 3 2" xfId="45937" xr:uid="{DAA3679C-9678-4FAA-82CA-D31311A510C9}"/>
    <cellStyle name="40% - Énfasis3 19 2 2 4" xfId="45934" xr:uid="{D32F1992-E227-451B-A549-71C2B2C57759}"/>
    <cellStyle name="40% - Énfasis3 19 2 3" xfId="9974" xr:uid="{8BFC5189-C279-4FF4-82BA-C2897C2644D3}"/>
    <cellStyle name="40% - Énfasis3 19 2 3 2" xfId="25387" xr:uid="{209C655F-2253-4808-B0CD-CF23A7CD7737}"/>
    <cellStyle name="40% - Énfasis3 19 2 3 2 2" xfId="45939" xr:uid="{F990CBEC-0FD9-4199-A583-F3C1744579F6}"/>
    <cellStyle name="40% - Énfasis3 19 2 3 3" xfId="45938" xr:uid="{2FB3D7F1-DEC7-4795-ABBA-946BBAFA8561}"/>
    <cellStyle name="40% - Énfasis3 19 2 4" xfId="17682" xr:uid="{99564689-EE2F-4B94-8010-CEB3611F3B7D}"/>
    <cellStyle name="40% - Énfasis3 19 2 4 2" xfId="45940" xr:uid="{68B19E97-4DF8-4E79-B621-DDDDCA8DDD54}"/>
    <cellStyle name="40% - Énfasis3 19 2 5" xfId="45933" xr:uid="{7AB906CB-4619-4730-A26D-5717DF3A0587}"/>
    <cellStyle name="40% - Énfasis3 19 3" xfId="4518" xr:uid="{F612C6F7-B232-49F4-8AB4-5FA96F6E72F4}"/>
    <cellStyle name="40% - Énfasis3 19 3 2" xfId="12226" xr:uid="{4E7C38FC-E786-4AA7-9163-ADDB597A1DEA}"/>
    <cellStyle name="40% - Énfasis3 19 3 2 2" xfId="27638" xr:uid="{9EA4FA32-A7C3-44D1-ACAF-93CD4D4F25CF}"/>
    <cellStyle name="40% - Énfasis3 19 3 2 2 2" xfId="45943" xr:uid="{DF082516-FFCF-45B2-8A00-A23A230E3D48}"/>
    <cellStyle name="40% - Énfasis3 19 3 2 3" xfId="45942" xr:uid="{543259E1-1961-450A-8F1F-27E39E62E320}"/>
    <cellStyle name="40% - Énfasis3 19 3 3" xfId="19933" xr:uid="{55EFC4EE-6008-480C-82A3-C11E23CAA582}"/>
    <cellStyle name="40% - Énfasis3 19 3 3 2" xfId="45944" xr:uid="{1BB0F558-A09B-4217-BD87-3A851AA7AD92}"/>
    <cellStyle name="40% - Énfasis3 19 3 4" xfId="45941" xr:uid="{AEF75FB6-AC53-425D-9046-6EB70E60D42D}"/>
    <cellStyle name="40% - Énfasis3 19 4" xfId="8515" xr:uid="{6727B09B-562A-4EE7-AF8A-072275233343}"/>
    <cellStyle name="40% - Énfasis3 19 4 2" xfId="23928" xr:uid="{B34D2691-4CA3-4C5F-BC14-98F5A919BE48}"/>
    <cellStyle name="40% - Énfasis3 19 4 2 2" xfId="45946" xr:uid="{386E5087-2AA3-4B92-8252-F79E49B94BCF}"/>
    <cellStyle name="40% - Énfasis3 19 4 3" xfId="45945" xr:uid="{0A421F8A-7B1F-426F-9E2B-B613036A9547}"/>
    <cellStyle name="40% - Énfasis3 19 5" xfId="16223" xr:uid="{5425E049-CE92-4CF8-AF00-99789F90CD7B}"/>
    <cellStyle name="40% - Énfasis3 19 5 2" xfId="45947" xr:uid="{600EE669-5CC9-495D-829C-B4BB248D496E}"/>
    <cellStyle name="40% - Énfasis3 19 6" xfId="45932" xr:uid="{7B37E7E9-0409-41BB-ADEA-B4F835CD076F}"/>
    <cellStyle name="40% - Énfasis3 2" xfId="175" xr:uid="{A399968E-0E65-47AB-9000-9F6149172C35}"/>
    <cellStyle name="40% - Énfasis3 2 2" xfId="385" xr:uid="{B1403804-E446-4F2F-A01C-F00D41B24778}"/>
    <cellStyle name="40% - Énfasis3 2 2 2" xfId="1047" xr:uid="{6A44A2FA-C92C-4A63-AD70-22AA57615872}"/>
    <cellStyle name="40% - Énfasis3 2 2 2 2" xfId="2515" xr:uid="{005ADB45-1E6A-4418-9362-DB203C77FE78}"/>
    <cellStyle name="40% - Énfasis3 2 2 2 2 2" xfId="6247" xr:uid="{42BC6683-3B42-4822-A642-0490A6637CAD}"/>
    <cellStyle name="40% - Énfasis3 2 2 2 2 2 2" xfId="13955" xr:uid="{8D4D2F19-C408-4BA2-915E-6513F91F4A80}"/>
    <cellStyle name="40% - Énfasis3 2 2 2 2 2 2 2" xfId="29367" xr:uid="{AB2E25D9-8035-4097-BDC5-000D8F33F1F2}"/>
    <cellStyle name="40% - Énfasis3 2 2 2 2 2 2 2 2" xfId="45954" xr:uid="{CC5270BC-E0BB-4057-8DFA-B683F0F1469E}"/>
    <cellStyle name="40% - Énfasis3 2 2 2 2 2 2 3" xfId="45953" xr:uid="{11132D09-D50A-448A-8120-282AED3929C3}"/>
    <cellStyle name="40% - Énfasis3 2 2 2 2 2 3" xfId="21662" xr:uid="{1043546E-94FD-4864-89A8-FE5783932AF6}"/>
    <cellStyle name="40% - Énfasis3 2 2 2 2 2 3 2" xfId="45955" xr:uid="{8F4C97CA-5A2C-49DC-B1C1-75C3B6D036F3}"/>
    <cellStyle name="40% - Énfasis3 2 2 2 2 2 4" xfId="45952" xr:uid="{C8694234-F58B-409C-9D25-05886295C30A}"/>
    <cellStyle name="40% - Énfasis3 2 2 2 2 3" xfId="10226" xr:uid="{39C871D8-A4B9-4197-A79D-CADAF3551D07}"/>
    <cellStyle name="40% - Énfasis3 2 2 2 2 3 2" xfId="25639" xr:uid="{8B88E130-6EEC-4EAA-90A8-06A14ACC3967}"/>
    <cellStyle name="40% - Énfasis3 2 2 2 2 3 2 2" xfId="45957" xr:uid="{AF4E3020-EB39-4F77-8F40-39347595E6AC}"/>
    <cellStyle name="40% - Énfasis3 2 2 2 2 3 3" xfId="45956" xr:uid="{C55D4089-142C-4A3A-862E-C4E47FBF5854}"/>
    <cellStyle name="40% - Énfasis3 2 2 2 2 4" xfId="17934" xr:uid="{34E4CADB-3186-4B3C-876C-B1808102040E}"/>
    <cellStyle name="40% - Énfasis3 2 2 2 2 4 2" xfId="45958" xr:uid="{C615FD81-E858-4B80-95AC-5F3FA4D02136}"/>
    <cellStyle name="40% - Énfasis3 2 2 2 2 5" xfId="45951" xr:uid="{BF8487E4-D456-48D2-859F-85576C2A77C5}"/>
    <cellStyle name="40% - Énfasis3 2 2 2 3" xfId="4784" xr:uid="{46D9235D-88A2-44A9-8E7B-190E8E1D9094}"/>
    <cellStyle name="40% - Énfasis3 2 2 2 3 2" xfId="12492" xr:uid="{2FD8B2B2-2637-49CD-98D7-DF42C7344A08}"/>
    <cellStyle name="40% - Énfasis3 2 2 2 3 2 2" xfId="27904" xr:uid="{745D054F-FC5E-42DB-BA6F-7994BC9912D0}"/>
    <cellStyle name="40% - Énfasis3 2 2 2 3 2 2 2" xfId="45961" xr:uid="{11E8F60B-FA75-431D-93EF-0555B2B39C3E}"/>
    <cellStyle name="40% - Énfasis3 2 2 2 3 2 3" xfId="45960" xr:uid="{239C6233-9849-487D-A66F-B427754CC3FB}"/>
    <cellStyle name="40% - Énfasis3 2 2 2 3 3" xfId="20199" xr:uid="{33A3DC9E-AC2F-4311-BD84-E851FBF5D119}"/>
    <cellStyle name="40% - Énfasis3 2 2 2 3 3 2" xfId="45962" xr:uid="{1C57819D-6C4E-41E0-AFC6-DE52B4FE9A77}"/>
    <cellStyle name="40% - Énfasis3 2 2 2 3 4" xfId="45959" xr:uid="{EE9EE5EB-18E3-482D-BF0A-329A4A968F3D}"/>
    <cellStyle name="40% - Énfasis3 2 2 2 4" xfId="8767" xr:uid="{C909A65C-CAFB-42F9-9390-85C60B21D522}"/>
    <cellStyle name="40% - Énfasis3 2 2 2 4 2" xfId="24180" xr:uid="{D88AF02C-F6F8-4AB2-9EB0-770AF1830EF7}"/>
    <cellStyle name="40% - Énfasis3 2 2 2 4 2 2" xfId="45964" xr:uid="{EC026D51-26FF-44F2-8404-F1406383DA56}"/>
    <cellStyle name="40% - Énfasis3 2 2 2 4 3" xfId="45963" xr:uid="{4BA97DB7-1832-4116-A17D-5CD61C3D7ACB}"/>
    <cellStyle name="40% - Énfasis3 2 2 2 5" xfId="16475" xr:uid="{71D3D1A8-0B53-41CA-AF0E-05B73DF0E720}"/>
    <cellStyle name="40% - Énfasis3 2 2 2 5 2" xfId="45965" xr:uid="{7D8106BD-BA4E-4A6A-B085-840D6DBF6AE1}"/>
    <cellStyle name="40% - Énfasis3 2 2 2 6" xfId="45950" xr:uid="{2148990B-E0DD-4ABE-95E0-39D9C2A41EA9}"/>
    <cellStyle name="40% - Énfasis3 2 2 3" xfId="1877" xr:uid="{F95C9F5F-420D-4E66-A3A4-6F874DB876B5}"/>
    <cellStyle name="40% - Énfasis3 2 2 3 2" xfId="5609" xr:uid="{93082FCC-7F2B-4FE2-9288-5F26B136C44E}"/>
    <cellStyle name="40% - Énfasis3 2 2 3 2 2" xfId="13317" xr:uid="{6956E4ED-C193-4E38-A155-CE6BA54B214D}"/>
    <cellStyle name="40% - Énfasis3 2 2 3 2 2 2" xfId="28729" xr:uid="{4D921A69-1F99-4EF8-B321-58F7F0C01E88}"/>
    <cellStyle name="40% - Énfasis3 2 2 3 2 2 2 2" xfId="45969" xr:uid="{B579F1BA-E6AF-4BE4-959E-CF203A7DE646}"/>
    <cellStyle name="40% - Énfasis3 2 2 3 2 2 3" xfId="45968" xr:uid="{56A48B1A-EAFF-430B-B078-9BECAE5A1484}"/>
    <cellStyle name="40% - Énfasis3 2 2 3 2 3" xfId="21024" xr:uid="{A8A340C4-6415-4754-BF38-1EB6D64C3CAE}"/>
    <cellStyle name="40% - Énfasis3 2 2 3 2 3 2" xfId="45970" xr:uid="{820B4E68-AA78-4FBA-A9E0-00905E58BC9F}"/>
    <cellStyle name="40% - Énfasis3 2 2 3 2 4" xfId="45967" xr:uid="{B67D27A1-EA9B-46D0-BE88-1EA8DF3AEA57}"/>
    <cellStyle name="40% - Énfasis3 2 2 3 3" xfId="9588" xr:uid="{035797BB-0C34-4072-9492-C8F7C6923DD5}"/>
    <cellStyle name="40% - Énfasis3 2 2 3 3 2" xfId="25001" xr:uid="{D62781CD-C506-48CE-85AF-2F16B6C4F5C5}"/>
    <cellStyle name="40% - Énfasis3 2 2 3 3 2 2" xfId="45972" xr:uid="{518C3251-5AB1-471E-8ABD-DE3CBB76ADA4}"/>
    <cellStyle name="40% - Énfasis3 2 2 3 3 3" xfId="45971" xr:uid="{246977AF-5923-4C07-9D3F-E361E3D5F31A}"/>
    <cellStyle name="40% - Énfasis3 2 2 3 4" xfId="17296" xr:uid="{AB956A54-8AEE-4BB5-BB9A-A48C43296299}"/>
    <cellStyle name="40% - Énfasis3 2 2 3 4 2" xfId="45973" xr:uid="{5A1952F2-EAE6-4B71-806D-FE04336E1065}"/>
    <cellStyle name="40% - Énfasis3 2 2 3 5" xfId="45966" xr:uid="{B85571BC-F002-4F19-BB2D-7627DAF71809}"/>
    <cellStyle name="40% - Énfasis3 2 2 4" xfId="4132" xr:uid="{1FDB2750-7218-4344-A0F0-25430D417044}"/>
    <cellStyle name="40% - Énfasis3 2 2 4 2" xfId="11840" xr:uid="{9F4B15E3-73D5-4527-87A4-79030A5903D9}"/>
    <cellStyle name="40% - Énfasis3 2 2 4 2 2" xfId="27252" xr:uid="{4A2449D2-650D-4316-8B5A-2C02CE13DA93}"/>
    <cellStyle name="40% - Énfasis3 2 2 4 2 2 2" xfId="45976" xr:uid="{6EB787B8-77E6-4CC1-847B-89E7042BFE1C}"/>
    <cellStyle name="40% - Énfasis3 2 2 4 2 3" xfId="45975" xr:uid="{A8612E82-A58B-4063-82AD-ADAAD5B864B9}"/>
    <cellStyle name="40% - Énfasis3 2 2 4 3" xfId="19547" xr:uid="{90E6FDE7-04EC-447D-9DD9-94B2393DEFEC}"/>
    <cellStyle name="40% - Énfasis3 2 2 4 3 2" xfId="45977" xr:uid="{F0DE200C-4D38-4BA9-984B-0E42E1E2BF1D}"/>
    <cellStyle name="40% - Énfasis3 2 2 4 4" xfId="45974" xr:uid="{E6F6DE98-1A61-4035-8DAC-7B8763C4DBB7}"/>
    <cellStyle name="40% - Énfasis3 2 2 5" xfId="8129" xr:uid="{EB6E839C-30E0-4EEC-9936-5BCE60E3DC30}"/>
    <cellStyle name="40% - Énfasis3 2 2 5 2" xfId="23542" xr:uid="{3EE94F03-F609-4C0E-95D1-7DEBCE4C8BA4}"/>
    <cellStyle name="40% - Énfasis3 2 2 5 2 2" xfId="45979" xr:uid="{54D7ADC4-4291-40F3-8A12-CC2DBD5C5A28}"/>
    <cellStyle name="40% - Énfasis3 2 2 5 3" xfId="45978" xr:uid="{754F7035-6D4E-49E2-BAC6-8076558146B3}"/>
    <cellStyle name="40% - Énfasis3 2 2 6" xfId="15837" xr:uid="{1A3C03A4-81CA-4891-B05E-3FC68F7A22D1}"/>
    <cellStyle name="40% - Énfasis3 2 2 6 2" xfId="45980" xr:uid="{952B1CB4-73A2-4547-89CA-780BE114F6CA}"/>
    <cellStyle name="40% - Énfasis3 2 2 7" xfId="45949" xr:uid="{D9A715BF-7200-4A84-927B-9B00BC9B2CA9}"/>
    <cellStyle name="40% - Énfasis3 2 3" xfId="842" xr:uid="{8DB1B18D-1810-4402-B922-A33911B690C1}"/>
    <cellStyle name="40% - Énfasis3 2 3 2" xfId="2317" xr:uid="{C2991065-240C-4E25-ADA8-B6410A88C6C3}"/>
    <cellStyle name="40% - Énfasis3 2 3 2 2" xfId="6049" xr:uid="{C99BB387-A9DC-47F1-897F-7442B2283535}"/>
    <cellStyle name="40% - Énfasis3 2 3 2 2 2" xfId="13757" xr:uid="{EE79C921-B47C-4B32-85F8-D404D25443B6}"/>
    <cellStyle name="40% - Énfasis3 2 3 2 2 2 2" xfId="29169" xr:uid="{0F782610-E704-424F-8732-1491A744A14E}"/>
    <cellStyle name="40% - Énfasis3 2 3 2 2 2 2 2" xfId="45985" xr:uid="{3AB193BA-FB83-4627-8396-540B0BA59D10}"/>
    <cellStyle name="40% - Énfasis3 2 3 2 2 2 3" xfId="45984" xr:uid="{1B193BC9-29F4-4F15-A71E-82368D69AA1A}"/>
    <cellStyle name="40% - Énfasis3 2 3 2 2 3" xfId="21464" xr:uid="{777C84A8-A3ED-476A-850B-E82F9D7373AD}"/>
    <cellStyle name="40% - Énfasis3 2 3 2 2 3 2" xfId="45986" xr:uid="{95AC67D4-EB4D-412A-A708-DBFA2C76DC25}"/>
    <cellStyle name="40% - Énfasis3 2 3 2 2 4" xfId="45983" xr:uid="{D3A6561E-8F86-40F2-89BA-EA462081BD73}"/>
    <cellStyle name="40% - Énfasis3 2 3 2 3" xfId="10028" xr:uid="{6EF41662-9943-403A-ACE8-586898AB2C1F}"/>
    <cellStyle name="40% - Énfasis3 2 3 2 3 2" xfId="25441" xr:uid="{4A8D2A24-1A2E-4284-BD4E-808A5DB8C713}"/>
    <cellStyle name="40% - Énfasis3 2 3 2 3 2 2" xfId="45988" xr:uid="{DFE3FC9F-4ACA-4831-A933-91481DF3B288}"/>
    <cellStyle name="40% - Énfasis3 2 3 2 3 3" xfId="45987" xr:uid="{B0448505-5F08-4598-8A64-9BE3595B1BF5}"/>
    <cellStyle name="40% - Énfasis3 2 3 2 4" xfId="17736" xr:uid="{2ABCD006-4BA8-4DC8-B357-351DF645A63B}"/>
    <cellStyle name="40% - Énfasis3 2 3 2 4 2" xfId="45989" xr:uid="{68E750D8-4B5E-405A-8CE7-6C9199788D62}"/>
    <cellStyle name="40% - Énfasis3 2 3 2 5" xfId="45982" xr:uid="{EC6FACB7-60C8-4F1D-91A9-01B0F77A344F}"/>
    <cellStyle name="40% - Énfasis3 2 3 3" xfId="4579" xr:uid="{D6E563D6-D39E-49AA-8CC2-336436E09ABE}"/>
    <cellStyle name="40% - Énfasis3 2 3 3 2" xfId="12287" xr:uid="{4DD55638-2BDD-42AF-A46F-E05FF98EBE19}"/>
    <cellStyle name="40% - Énfasis3 2 3 3 2 2" xfId="27699" xr:uid="{3C844D45-1FFF-4B7F-BDCA-8959904D12AC}"/>
    <cellStyle name="40% - Énfasis3 2 3 3 2 2 2" xfId="45992" xr:uid="{C4E7119C-9EAA-457F-9772-C628CCFB2813}"/>
    <cellStyle name="40% - Énfasis3 2 3 3 2 3" xfId="45991" xr:uid="{7346469C-F45A-4B46-A491-B61659AE7BB9}"/>
    <cellStyle name="40% - Énfasis3 2 3 3 3" xfId="19994" xr:uid="{731246F7-C3CE-47B7-91C4-610AB23893E5}"/>
    <cellStyle name="40% - Énfasis3 2 3 3 3 2" xfId="45993" xr:uid="{955D146C-67DB-4DA9-BDB6-D376C53807A1}"/>
    <cellStyle name="40% - Énfasis3 2 3 3 4" xfId="45990" xr:uid="{8AE01E35-A4BB-426D-9492-BC4ACDF000D3}"/>
    <cellStyle name="40% - Énfasis3 2 3 4" xfId="8569" xr:uid="{03440A25-86C7-4046-A610-51A9AAAAEF30}"/>
    <cellStyle name="40% - Énfasis3 2 3 4 2" xfId="23982" xr:uid="{1F70CCC9-13AE-48D1-A1EE-CF0925224E7C}"/>
    <cellStyle name="40% - Énfasis3 2 3 4 2 2" xfId="45995" xr:uid="{91FBA68B-3D84-4946-99F7-506827567661}"/>
    <cellStyle name="40% - Énfasis3 2 3 4 3" xfId="45994" xr:uid="{FC209189-CF17-44D1-8320-8C2E00077037}"/>
    <cellStyle name="40% - Énfasis3 2 3 5" xfId="16277" xr:uid="{B9C8C085-C0F3-4833-B0A9-338CE84D5962}"/>
    <cellStyle name="40% - Énfasis3 2 3 5 2" xfId="45996" xr:uid="{703EAE0B-E71F-4A1E-9EE1-24533D6BB3B3}"/>
    <cellStyle name="40% - Énfasis3 2 3 6" xfId="45981" xr:uid="{1764DC42-41C6-4E11-AA53-1726BBBE101B}"/>
    <cellStyle name="40% - Énfasis3 2 4" xfId="1679" xr:uid="{BF66C004-BA17-4720-90EB-3A178E23D451}"/>
    <cellStyle name="40% - Énfasis3 2 4 2" xfId="5411" xr:uid="{CA939B45-1D2B-4E39-9ABF-C1E903544EF7}"/>
    <cellStyle name="40% - Énfasis3 2 4 2 2" xfId="13119" xr:uid="{E05051DC-C0C0-4232-B88E-535C4E8F2102}"/>
    <cellStyle name="40% - Énfasis3 2 4 2 2 2" xfId="28531" xr:uid="{40D4E63B-9AD5-4D74-A97B-7F2C0BC532B7}"/>
    <cellStyle name="40% - Énfasis3 2 4 2 2 2 2" xfId="46000" xr:uid="{66E7BB9C-131D-4A0F-8CF2-C568DA84B0CD}"/>
    <cellStyle name="40% - Énfasis3 2 4 2 2 3" xfId="45999" xr:uid="{1A593290-CA4D-45AF-A224-0B76F53F831E}"/>
    <cellStyle name="40% - Énfasis3 2 4 2 3" xfId="20826" xr:uid="{F0AC22A0-8BAC-4F46-9F39-19EE7445A56A}"/>
    <cellStyle name="40% - Énfasis3 2 4 2 3 2" xfId="46001" xr:uid="{782FB0CA-4FCF-42E9-AC8B-DADF4351F405}"/>
    <cellStyle name="40% - Énfasis3 2 4 2 4" xfId="45998" xr:uid="{F3B9E473-071C-4A6C-A689-18E8E048A9D6}"/>
    <cellStyle name="40% - Énfasis3 2 4 3" xfId="9390" xr:uid="{D3EA9DDF-DF65-4048-BCF8-5FF50B465DD6}"/>
    <cellStyle name="40% - Énfasis3 2 4 3 2" xfId="24803" xr:uid="{E2B2832D-582E-4222-A894-5E51E4F10D37}"/>
    <cellStyle name="40% - Énfasis3 2 4 3 2 2" xfId="46003" xr:uid="{9FF05E22-E45C-4ACF-AE09-2CD01151E3C3}"/>
    <cellStyle name="40% - Énfasis3 2 4 3 3" xfId="46002" xr:uid="{DB22E389-FD18-4D18-B385-9438E4AED8D7}"/>
    <cellStyle name="40% - Énfasis3 2 4 4" xfId="17098" xr:uid="{EB8E864E-BE95-432B-94DE-9327575D2665}"/>
    <cellStyle name="40% - Énfasis3 2 4 4 2" xfId="46004" xr:uid="{43CFD00F-F1F2-4A7D-BF07-280475140FAF}"/>
    <cellStyle name="40% - Énfasis3 2 4 5" xfId="45997" xr:uid="{BCAA647E-AB4A-45A0-B960-23FDDDA2818C}"/>
    <cellStyle name="40% - Énfasis3 2 5" xfId="3927" xr:uid="{9EF94BA7-50D1-4451-BCBE-E670364BCF34}"/>
    <cellStyle name="40% - Énfasis3 2 5 2" xfId="11635" xr:uid="{50EF51C1-AAA6-471E-8E96-F41E1F23B3FF}"/>
    <cellStyle name="40% - Énfasis3 2 5 2 2" xfId="27047" xr:uid="{5833A540-9D60-4B54-BACC-7E7C1885372F}"/>
    <cellStyle name="40% - Énfasis3 2 5 2 2 2" xfId="46007" xr:uid="{82268715-D34F-4995-8D46-333A2024ACA7}"/>
    <cellStyle name="40% - Énfasis3 2 5 2 3" xfId="46006" xr:uid="{DF25A434-4879-48B7-91D1-F4D6C4C0E896}"/>
    <cellStyle name="40% - Énfasis3 2 5 3" xfId="19342" xr:uid="{CE70BCCC-9116-48D7-88CE-78DDDE09E0BC}"/>
    <cellStyle name="40% - Énfasis3 2 5 3 2" xfId="46008" xr:uid="{A4D13475-8601-4808-B36A-22729D0A061D}"/>
    <cellStyle name="40% - Énfasis3 2 5 4" xfId="46005" xr:uid="{F382FED6-04DD-4AD4-856B-B7A80B182798}"/>
    <cellStyle name="40% - Énfasis3 2 6" xfId="7931" xr:uid="{33B16EBC-9960-4582-AC32-8926F0550002}"/>
    <cellStyle name="40% - Énfasis3 2 6 2" xfId="23344" xr:uid="{924FBFB0-CD26-43E9-8CD2-92111B1B2DF5}"/>
    <cellStyle name="40% - Énfasis3 2 6 2 2" xfId="46010" xr:uid="{BABAB3A7-3E23-4DEA-89DA-D39DF4677B0D}"/>
    <cellStyle name="40% - Énfasis3 2 6 3" xfId="46009" xr:uid="{2103AFE5-D7E3-4021-9758-3BD6D18426BC}"/>
    <cellStyle name="40% - Énfasis3 2 7" xfId="15639" xr:uid="{EE4A89A5-D530-4456-ACE7-5F0AE838B79B}"/>
    <cellStyle name="40% - Énfasis3 2 7 2" xfId="46011" xr:uid="{677AD24F-C8CE-4371-90DE-5CD42E36E9CE}"/>
    <cellStyle name="40% - Énfasis3 2 8" xfId="45948" xr:uid="{99204D4E-B03D-4CFA-B08E-532091D57433}"/>
    <cellStyle name="40% - Énfasis3 20" xfId="1437" xr:uid="{DD2318D6-A42C-4127-9EDA-4A633DF7AE70}"/>
    <cellStyle name="40% - Énfasis3 20 2" xfId="2902" xr:uid="{A324F0BB-4ABD-4182-9ACD-9BD504A7054B}"/>
    <cellStyle name="40% - Énfasis3 20 2 2" xfId="6634" xr:uid="{699F13D2-B811-447C-B04E-17A9E0CF85B8}"/>
    <cellStyle name="40% - Énfasis3 20 2 2 2" xfId="14342" xr:uid="{0850618D-68AC-4CBC-823E-887255ADD241}"/>
    <cellStyle name="40% - Énfasis3 20 2 2 2 2" xfId="29754" xr:uid="{A062D0B9-D31E-4B10-8691-51883331E01E}"/>
    <cellStyle name="40% - Énfasis3 20 2 2 2 2 2" xfId="46016" xr:uid="{08078643-4D21-4B55-831E-C12515FE8A33}"/>
    <cellStyle name="40% - Énfasis3 20 2 2 2 3" xfId="46015" xr:uid="{D9E5D04D-AB9B-4D9A-9A90-916FF829D3CC}"/>
    <cellStyle name="40% - Énfasis3 20 2 2 3" xfId="22049" xr:uid="{C37B2034-366F-4AB9-8345-C06153793D7C}"/>
    <cellStyle name="40% - Énfasis3 20 2 2 3 2" xfId="46017" xr:uid="{788BBFE1-ACA8-41AD-B060-488302A292FF}"/>
    <cellStyle name="40% - Énfasis3 20 2 2 4" xfId="46014" xr:uid="{0470E432-DD8A-4A4F-BAED-3BEF24A3AA2F}"/>
    <cellStyle name="40% - Énfasis3 20 2 3" xfId="10613" xr:uid="{A60BF7A5-A6CF-4E44-A7DC-D20075BE7B9B}"/>
    <cellStyle name="40% - Énfasis3 20 2 3 2" xfId="26026" xr:uid="{F69E3C6A-B3D9-4E0B-AFDF-3B6DB8D6D499}"/>
    <cellStyle name="40% - Énfasis3 20 2 3 2 2" xfId="46019" xr:uid="{877852F6-E598-4F35-A493-4D0F1A09899F}"/>
    <cellStyle name="40% - Énfasis3 20 2 3 3" xfId="46018" xr:uid="{253569C0-9069-4FBC-A36D-DB73F88FA8B7}"/>
    <cellStyle name="40% - Énfasis3 20 2 4" xfId="18321" xr:uid="{10D2D6F8-0D55-4143-955F-171570B8BE51}"/>
    <cellStyle name="40% - Énfasis3 20 2 4 2" xfId="46020" xr:uid="{99660E17-23EB-4FA6-9DC4-5D4EF5106102}"/>
    <cellStyle name="40% - Énfasis3 20 2 5" xfId="46013" xr:uid="{A74D6F3A-0CDA-4547-A212-307430A66F3B}"/>
    <cellStyle name="40% - Énfasis3 20 3" xfId="5173" xr:uid="{633B1F79-CA45-4A77-8186-64425E8FBB3D}"/>
    <cellStyle name="40% - Énfasis3 20 3 2" xfId="12881" xr:uid="{E2525439-5209-4BB6-9F95-F538226122D7}"/>
    <cellStyle name="40% - Énfasis3 20 3 2 2" xfId="28293" xr:uid="{CA14FB04-2499-4691-843E-20460B94DC02}"/>
    <cellStyle name="40% - Énfasis3 20 3 2 2 2" xfId="46023" xr:uid="{D458FCFE-A62F-496F-8B03-3FECE18A6FDD}"/>
    <cellStyle name="40% - Énfasis3 20 3 2 3" xfId="46022" xr:uid="{940081F9-75FD-4D09-BFE0-1C36F6D41CD1}"/>
    <cellStyle name="40% - Énfasis3 20 3 3" xfId="20588" xr:uid="{9041D214-FF04-4EAF-A8C0-FD9FFE2E434F}"/>
    <cellStyle name="40% - Énfasis3 20 3 3 2" xfId="46024" xr:uid="{AAF64A5E-6EC2-4A5B-AB18-8ABA044E6EEE}"/>
    <cellStyle name="40% - Énfasis3 20 3 4" xfId="46021" xr:uid="{67AEB45B-3914-472D-9A4D-5F9C14D113EA}"/>
    <cellStyle name="40% - Énfasis3 20 4" xfId="9154" xr:uid="{9B7B1C49-2C62-403A-9BD6-EE0C183F2371}"/>
    <cellStyle name="40% - Énfasis3 20 4 2" xfId="24567" xr:uid="{46A9FEA1-1E06-418B-BA3A-B028F798DD35}"/>
    <cellStyle name="40% - Énfasis3 20 4 2 2" xfId="46026" xr:uid="{A5110F69-1925-435D-9C9A-DFC6599C33BD}"/>
    <cellStyle name="40% - Énfasis3 20 4 3" xfId="46025" xr:uid="{BBD7AD69-1BAD-4294-9511-E818340B719B}"/>
    <cellStyle name="40% - Énfasis3 20 5" xfId="16862" xr:uid="{49059CAB-1AA6-47E1-B428-D8F2C95ECA3C}"/>
    <cellStyle name="40% - Énfasis3 20 5 2" xfId="46027" xr:uid="{C564E8C6-E587-4D32-821F-482A72E805F5}"/>
    <cellStyle name="40% - Énfasis3 20 6" xfId="46012" xr:uid="{68F2FF0D-6973-44D6-A6D2-3F5278C70893}"/>
    <cellStyle name="40% - Énfasis3 21" xfId="1457" xr:uid="{FEA39A41-3C95-4280-AAED-692FF8C6BF08}"/>
    <cellStyle name="40% - Énfasis3 21 2" xfId="2922" xr:uid="{CF9E3876-0445-4EA9-AD60-BEAA82F484FC}"/>
    <cellStyle name="40% - Énfasis3 21 2 2" xfId="6654" xr:uid="{FF25C672-7257-417C-BEBD-902B52BC4E60}"/>
    <cellStyle name="40% - Énfasis3 21 2 2 2" xfId="14362" xr:uid="{C9BF33DF-4EAE-4246-B87E-8DF4080AD278}"/>
    <cellStyle name="40% - Énfasis3 21 2 2 2 2" xfId="29774" xr:uid="{B014F267-80FE-4DAD-B361-D7F67F6B2157}"/>
    <cellStyle name="40% - Énfasis3 21 2 2 2 2 2" xfId="46032" xr:uid="{D9ABC31A-0A2A-4EBD-B76B-CC9581EA4D77}"/>
    <cellStyle name="40% - Énfasis3 21 2 2 2 3" xfId="46031" xr:uid="{6CBBD63A-A7A6-4012-8E21-B4EA3044D805}"/>
    <cellStyle name="40% - Énfasis3 21 2 2 3" xfId="22069" xr:uid="{E88D40D2-B5C8-44DA-9265-1B870E3AE1E4}"/>
    <cellStyle name="40% - Énfasis3 21 2 2 3 2" xfId="46033" xr:uid="{17E51E9E-E053-4DD7-83DC-ABB41FDCDA3B}"/>
    <cellStyle name="40% - Énfasis3 21 2 2 4" xfId="46030" xr:uid="{007E816B-7146-4545-81F7-CBFC6451CE46}"/>
    <cellStyle name="40% - Énfasis3 21 2 3" xfId="10633" xr:uid="{F9EC3CE4-0D5B-4D72-9825-578255FBB8B5}"/>
    <cellStyle name="40% - Énfasis3 21 2 3 2" xfId="26046" xr:uid="{725FB710-CE23-4CF6-A2D1-531F1C634C1E}"/>
    <cellStyle name="40% - Énfasis3 21 2 3 2 2" xfId="46035" xr:uid="{6651EC31-0208-4B20-A533-B92211343208}"/>
    <cellStyle name="40% - Énfasis3 21 2 3 3" xfId="46034" xr:uid="{850C14B0-1740-436F-BBAC-EC593CC2C103}"/>
    <cellStyle name="40% - Énfasis3 21 2 4" xfId="18341" xr:uid="{A0BB74DE-F890-4D7E-B0DB-EA90EC8E4B93}"/>
    <cellStyle name="40% - Énfasis3 21 2 4 2" xfId="46036" xr:uid="{4032D508-61A7-4441-9829-36632883DC48}"/>
    <cellStyle name="40% - Énfasis3 21 2 5" xfId="46029" xr:uid="{A2341234-DDA8-43DA-AFFB-8F72BD2FF583}"/>
    <cellStyle name="40% - Énfasis3 21 3" xfId="5193" xr:uid="{F9E65861-11AE-4E0B-92F8-A961DB1FD15A}"/>
    <cellStyle name="40% - Énfasis3 21 3 2" xfId="12901" xr:uid="{3D2B8C0C-A53E-4845-97C0-8213AFECE34F}"/>
    <cellStyle name="40% - Énfasis3 21 3 2 2" xfId="28313" xr:uid="{CBD9C096-1B25-4CF6-AD5D-8F27A4EF3205}"/>
    <cellStyle name="40% - Énfasis3 21 3 2 2 2" xfId="46039" xr:uid="{B2F730EE-29ED-4D1D-88FE-6B77494D0DA3}"/>
    <cellStyle name="40% - Énfasis3 21 3 2 3" xfId="46038" xr:uid="{57278AAE-CDC4-45ED-8655-9B3056B2199D}"/>
    <cellStyle name="40% - Énfasis3 21 3 3" xfId="20608" xr:uid="{519014E4-345F-4230-8C1E-7D7981E49D62}"/>
    <cellStyle name="40% - Énfasis3 21 3 3 2" xfId="46040" xr:uid="{82AC86A7-C810-4C62-B040-CCCF74CC5CB9}"/>
    <cellStyle name="40% - Énfasis3 21 3 4" xfId="46037" xr:uid="{DE651312-B36C-4BB6-B75A-86BE25ABA530}"/>
    <cellStyle name="40% - Énfasis3 21 4" xfId="9174" xr:uid="{115786BC-DA1E-4762-A165-C233025B5E67}"/>
    <cellStyle name="40% - Énfasis3 21 4 2" xfId="24587" xr:uid="{8371B1AE-7D79-40F0-A658-1B5B1936084C}"/>
    <cellStyle name="40% - Énfasis3 21 4 2 2" xfId="46042" xr:uid="{C98D4F54-67DC-4E53-A828-B3A3D132BDEC}"/>
    <cellStyle name="40% - Énfasis3 21 4 3" xfId="46041" xr:uid="{0EAE0BF0-43F1-4492-A36D-885E8E041939}"/>
    <cellStyle name="40% - Énfasis3 21 5" xfId="16882" xr:uid="{0FBEA7B8-D10E-4882-9E3B-4581A4BB53BA}"/>
    <cellStyle name="40% - Énfasis3 21 5 2" xfId="46043" xr:uid="{055BF938-0A75-4446-A585-89C10C788056}"/>
    <cellStyle name="40% - Énfasis3 21 6" xfId="46028" xr:uid="{5FDEF22F-F856-4A6D-973C-75E99A1E47DA}"/>
    <cellStyle name="40% - Énfasis3 22" xfId="1477" xr:uid="{55451F49-01CA-48F1-840A-908B65DE89B4}"/>
    <cellStyle name="40% - Énfasis3 22 2" xfId="2942" xr:uid="{331A77F5-FF4B-4874-9928-96AE78524D21}"/>
    <cellStyle name="40% - Énfasis3 22 2 2" xfId="6674" xr:uid="{7A0DBD72-555D-4E49-8DA2-3A712863E6CA}"/>
    <cellStyle name="40% - Énfasis3 22 2 2 2" xfId="14382" xr:uid="{A3B21BD0-A367-4CBA-B8A8-D91B3EC8B64F}"/>
    <cellStyle name="40% - Énfasis3 22 2 2 2 2" xfId="29794" xr:uid="{189D566F-B449-4874-B6C0-B0A4F0D78C94}"/>
    <cellStyle name="40% - Énfasis3 22 2 2 2 2 2" xfId="46048" xr:uid="{0BCC7B4A-1F4B-43DD-B8FF-86874BCD8803}"/>
    <cellStyle name="40% - Énfasis3 22 2 2 2 3" xfId="46047" xr:uid="{F989BCE4-3A83-466C-99F1-1DF904248142}"/>
    <cellStyle name="40% - Énfasis3 22 2 2 3" xfId="22089" xr:uid="{77B76ACB-4D17-421A-ABBA-5F43C038ECDF}"/>
    <cellStyle name="40% - Énfasis3 22 2 2 3 2" xfId="46049" xr:uid="{98717F4E-CE2D-43AA-9E7A-5B1EE5D7290F}"/>
    <cellStyle name="40% - Énfasis3 22 2 2 4" xfId="46046" xr:uid="{0E35001B-43E3-4FEA-83C8-04F30B927619}"/>
    <cellStyle name="40% - Énfasis3 22 2 3" xfId="10653" xr:uid="{FA0F9AD6-DEF8-408E-A74E-0136AEEB0CE3}"/>
    <cellStyle name="40% - Énfasis3 22 2 3 2" xfId="26066" xr:uid="{1645DCE4-620F-43CE-9D98-7761BF12D33B}"/>
    <cellStyle name="40% - Énfasis3 22 2 3 2 2" xfId="46051" xr:uid="{3FC205C0-0614-46C2-8F74-A94B763703E9}"/>
    <cellStyle name="40% - Énfasis3 22 2 3 3" xfId="46050" xr:uid="{AF8A568C-6062-49A1-A012-AEFC93EA6DC4}"/>
    <cellStyle name="40% - Énfasis3 22 2 4" xfId="18361" xr:uid="{19CC8346-BCD0-45BE-9E02-6E2318DB936B}"/>
    <cellStyle name="40% - Énfasis3 22 2 4 2" xfId="46052" xr:uid="{BEF8EC84-1E28-4E94-8678-E4BFF7C65658}"/>
    <cellStyle name="40% - Énfasis3 22 2 5" xfId="46045" xr:uid="{3B17ECF0-AE9E-422E-BE44-77EDA43D77E2}"/>
    <cellStyle name="40% - Énfasis3 22 3" xfId="5213" xr:uid="{155177D5-B7B6-43F5-A626-044FF3DE5F24}"/>
    <cellStyle name="40% - Énfasis3 22 3 2" xfId="12921" xr:uid="{91581CB4-2AB9-4422-AEF5-73BBB3EFD842}"/>
    <cellStyle name="40% - Énfasis3 22 3 2 2" xfId="28333" xr:uid="{C02994C8-A1A5-4B59-AC1A-1753D2EE05FF}"/>
    <cellStyle name="40% - Énfasis3 22 3 2 2 2" xfId="46055" xr:uid="{37C492E0-9F3A-4D01-A095-FFB9E8815C20}"/>
    <cellStyle name="40% - Énfasis3 22 3 2 3" xfId="46054" xr:uid="{A4995FDE-E7A2-4A5A-A783-B8ABF6CCEF17}"/>
    <cellStyle name="40% - Énfasis3 22 3 3" xfId="20628" xr:uid="{51B96EE6-A8A3-415E-9B0E-6D70ED2FC945}"/>
    <cellStyle name="40% - Énfasis3 22 3 3 2" xfId="46056" xr:uid="{D1FF151C-4417-4A58-AEA5-3379B4ECB7AC}"/>
    <cellStyle name="40% - Énfasis3 22 3 4" xfId="46053" xr:uid="{7268E32C-C4FA-4BC5-9588-EAC65696FBA8}"/>
    <cellStyle name="40% - Énfasis3 22 4" xfId="9194" xr:uid="{F5255754-27CD-4078-B954-3B39AF8CF8B3}"/>
    <cellStyle name="40% - Énfasis3 22 4 2" xfId="24607" xr:uid="{D177F6CE-D684-4AC0-BB3F-6A40F94A8907}"/>
    <cellStyle name="40% - Énfasis3 22 4 2 2" xfId="46058" xr:uid="{191A5989-B8D0-489E-8E31-60A7DEBF5582}"/>
    <cellStyle name="40% - Énfasis3 22 4 3" xfId="46057" xr:uid="{6A966FDD-6EF5-45E1-970C-4D00B9B7B40B}"/>
    <cellStyle name="40% - Énfasis3 22 5" xfId="16902" xr:uid="{BF57AE1D-7C2E-4581-96F5-063F9AA83712}"/>
    <cellStyle name="40% - Énfasis3 22 5 2" xfId="46059" xr:uid="{F33D6A7D-5636-4AEA-AF4F-40019E5381DB}"/>
    <cellStyle name="40% - Énfasis3 22 6" xfId="46044" xr:uid="{F6B3470A-1CEE-45E5-9C76-980EFA0F5CFC}"/>
    <cellStyle name="40% - Énfasis3 23" xfId="1497" xr:uid="{62335240-1324-41E1-8AAA-06B3F1078297}"/>
    <cellStyle name="40% - Énfasis3 23 2" xfId="2962" xr:uid="{B65322B3-DBD2-4748-9342-AC0782FE3C43}"/>
    <cellStyle name="40% - Énfasis3 23 2 2" xfId="6694" xr:uid="{0F1228AE-A9E7-4255-8C1A-3ACA614D6064}"/>
    <cellStyle name="40% - Énfasis3 23 2 2 2" xfId="14402" xr:uid="{F3E8F3F8-7981-41B9-A2FD-E8510E3BDFB6}"/>
    <cellStyle name="40% - Énfasis3 23 2 2 2 2" xfId="29814" xr:uid="{B1BD10A1-DAED-4797-BB1B-E5EF32118847}"/>
    <cellStyle name="40% - Énfasis3 23 2 2 2 2 2" xfId="46064" xr:uid="{219B6139-001E-46C2-8AFA-BF9A9FC8BE43}"/>
    <cellStyle name="40% - Énfasis3 23 2 2 2 3" xfId="46063" xr:uid="{5BCE4435-09A0-4DDB-AE6F-90C19A8CCBF3}"/>
    <cellStyle name="40% - Énfasis3 23 2 2 3" xfId="22109" xr:uid="{ABBF0884-CF5B-4FD0-93C2-F9009A675D0E}"/>
    <cellStyle name="40% - Énfasis3 23 2 2 3 2" xfId="46065" xr:uid="{CA7B44B4-906B-4BA0-A6B6-0B2B8872A2CF}"/>
    <cellStyle name="40% - Énfasis3 23 2 2 4" xfId="46062" xr:uid="{6DAA9CE9-438A-45D7-B9F6-532A72EB5BE5}"/>
    <cellStyle name="40% - Énfasis3 23 2 3" xfId="10673" xr:uid="{6E9BB131-6F86-4970-A234-85E60E8E2D3B}"/>
    <cellStyle name="40% - Énfasis3 23 2 3 2" xfId="26086" xr:uid="{5AB0EF4A-843B-487F-9734-DC3BCC6039D0}"/>
    <cellStyle name="40% - Énfasis3 23 2 3 2 2" xfId="46067" xr:uid="{AD481CA5-CC46-4606-B1C7-6C6C82953D8B}"/>
    <cellStyle name="40% - Énfasis3 23 2 3 3" xfId="46066" xr:uid="{6F58D661-9AF8-4F5C-ACA3-DAF9FE61A4CA}"/>
    <cellStyle name="40% - Énfasis3 23 2 4" xfId="18381" xr:uid="{F1E092B5-8F7D-4755-897E-FB9A094DD229}"/>
    <cellStyle name="40% - Énfasis3 23 2 4 2" xfId="46068" xr:uid="{BF04A83D-E8D9-44B5-BBCE-1F36159E2B8A}"/>
    <cellStyle name="40% - Énfasis3 23 2 5" xfId="46061" xr:uid="{20D1AC38-A863-4FC5-BEBB-B4E67A96D218}"/>
    <cellStyle name="40% - Énfasis3 23 3" xfId="5233" xr:uid="{93AE6CE3-68BB-4E02-A42D-7CB4B24BC982}"/>
    <cellStyle name="40% - Énfasis3 23 3 2" xfId="12941" xr:uid="{5465678C-C8D4-4015-B6C9-F85498C0F380}"/>
    <cellStyle name="40% - Énfasis3 23 3 2 2" xfId="28353" xr:uid="{BB4F8F6A-44B9-47D7-9961-4EFBBA3F4916}"/>
    <cellStyle name="40% - Énfasis3 23 3 2 2 2" xfId="46071" xr:uid="{EB450F6A-F16E-4CA0-A8D3-17233A22F2DA}"/>
    <cellStyle name="40% - Énfasis3 23 3 2 3" xfId="46070" xr:uid="{072EEE1A-E411-4DFB-A170-6D27DE704022}"/>
    <cellStyle name="40% - Énfasis3 23 3 3" xfId="20648" xr:uid="{02699AEB-5C44-4755-8E04-3F67B6810F27}"/>
    <cellStyle name="40% - Énfasis3 23 3 3 2" xfId="46072" xr:uid="{C20F6278-4748-46DA-8747-71FB8ACAA7E7}"/>
    <cellStyle name="40% - Énfasis3 23 3 4" xfId="46069" xr:uid="{00826D51-7998-4C5B-9E2E-72A106D5A9FE}"/>
    <cellStyle name="40% - Énfasis3 23 4" xfId="9214" xr:uid="{03E60A98-970F-4C75-84E9-2F3A3D8767EA}"/>
    <cellStyle name="40% - Énfasis3 23 4 2" xfId="24627" xr:uid="{52321B7E-EB17-45EB-8B6F-BE1529651F74}"/>
    <cellStyle name="40% - Énfasis3 23 4 2 2" xfId="46074" xr:uid="{0932F473-BDA7-4387-B46F-DFC95765AE6E}"/>
    <cellStyle name="40% - Énfasis3 23 4 3" xfId="46073" xr:uid="{770E9F05-2F82-4B0D-AD5B-9037EF82AACC}"/>
    <cellStyle name="40% - Énfasis3 23 5" xfId="16922" xr:uid="{9873B0DB-2484-45B1-91A7-2FDA2C8421A0}"/>
    <cellStyle name="40% - Énfasis3 23 5 2" xfId="46075" xr:uid="{8BF1A8CA-C020-476F-91E3-47AC01E03426}"/>
    <cellStyle name="40% - Énfasis3 23 6" xfId="46060" xr:uid="{CDA83925-CAA7-4C0F-ADE6-3853E44E2456}"/>
    <cellStyle name="40% - Énfasis3 24" xfId="1517" xr:uid="{E2360446-91F2-4FEF-B488-09AFE4835025}"/>
    <cellStyle name="40% - Énfasis3 24 2" xfId="2982" xr:uid="{EFD81F37-B74D-41A7-892D-A821801C9A9C}"/>
    <cellStyle name="40% - Énfasis3 24 2 2" xfId="6714" xr:uid="{B3EB024D-3E47-405B-A6C1-47770DADB684}"/>
    <cellStyle name="40% - Énfasis3 24 2 2 2" xfId="14422" xr:uid="{48D6B0AC-A31D-4C1A-82EA-17030F8AEEE2}"/>
    <cellStyle name="40% - Énfasis3 24 2 2 2 2" xfId="29834" xr:uid="{3BCB2C94-339D-4A22-A313-0C00B6DF6861}"/>
    <cellStyle name="40% - Énfasis3 24 2 2 2 2 2" xfId="46080" xr:uid="{4E8A0DA4-9021-4AA0-9367-5B5B00CCCF5F}"/>
    <cellStyle name="40% - Énfasis3 24 2 2 2 3" xfId="46079" xr:uid="{BA513997-D234-43D0-AE99-7DD6B371C3FA}"/>
    <cellStyle name="40% - Énfasis3 24 2 2 3" xfId="22129" xr:uid="{CC6C466E-4B6B-4319-B1BF-DF536EBED05D}"/>
    <cellStyle name="40% - Énfasis3 24 2 2 3 2" xfId="46081" xr:uid="{95C598BA-ECF4-40E8-A28D-931F15774E04}"/>
    <cellStyle name="40% - Énfasis3 24 2 2 4" xfId="46078" xr:uid="{A5D240A3-3AAE-4AC8-B219-6E02CAC804C5}"/>
    <cellStyle name="40% - Énfasis3 24 2 3" xfId="10693" xr:uid="{85010AA9-3182-4CBC-ABAD-0D804E4A7A73}"/>
    <cellStyle name="40% - Énfasis3 24 2 3 2" xfId="26106" xr:uid="{86E1F87B-785D-4636-9067-4657258734AD}"/>
    <cellStyle name="40% - Énfasis3 24 2 3 2 2" xfId="46083" xr:uid="{0DF3AB78-4C6B-44C5-96F1-D0F7F638177A}"/>
    <cellStyle name="40% - Énfasis3 24 2 3 3" xfId="46082" xr:uid="{42FABCBE-8F8D-433B-AD31-60FA45809DE1}"/>
    <cellStyle name="40% - Énfasis3 24 2 4" xfId="18401" xr:uid="{B4B4DD87-41D6-485C-AA4E-C0023C6D8F04}"/>
    <cellStyle name="40% - Énfasis3 24 2 4 2" xfId="46084" xr:uid="{3F173192-7473-4D6A-AAFD-8537D1CCE3ED}"/>
    <cellStyle name="40% - Énfasis3 24 2 5" xfId="46077" xr:uid="{F8BFDAAF-58BA-4744-883B-356F7C999D3D}"/>
    <cellStyle name="40% - Énfasis3 24 3" xfId="5253" xr:uid="{CBA2A5D5-7917-4B28-A356-2689ECEDB61D}"/>
    <cellStyle name="40% - Énfasis3 24 3 2" xfId="12961" xr:uid="{FEBE85ED-4266-41A5-9072-37F396E540E1}"/>
    <cellStyle name="40% - Énfasis3 24 3 2 2" xfId="28373" xr:uid="{526B36A1-6284-4C19-A949-746A520DF2D6}"/>
    <cellStyle name="40% - Énfasis3 24 3 2 2 2" xfId="46087" xr:uid="{AF008DF3-7802-44B7-BCFD-06F527E0BFBB}"/>
    <cellStyle name="40% - Énfasis3 24 3 2 3" xfId="46086" xr:uid="{68CE5F22-2C59-4995-A827-5D21CAFD8DAD}"/>
    <cellStyle name="40% - Énfasis3 24 3 3" xfId="20668" xr:uid="{D5307A2F-A7A3-453B-8702-EA342D157F9D}"/>
    <cellStyle name="40% - Énfasis3 24 3 3 2" xfId="46088" xr:uid="{7A0EB198-0382-47B7-814A-042ECAB6090A}"/>
    <cellStyle name="40% - Énfasis3 24 3 4" xfId="46085" xr:uid="{FEC2A2CD-328F-4C78-962A-46731194C051}"/>
    <cellStyle name="40% - Énfasis3 24 4" xfId="9234" xr:uid="{E7F28291-2BDB-44FD-B5C7-01F667A79D06}"/>
    <cellStyle name="40% - Énfasis3 24 4 2" xfId="24647" xr:uid="{A0886AD6-9D4E-4D1A-AAE9-977FB7EC615D}"/>
    <cellStyle name="40% - Énfasis3 24 4 2 2" xfId="46090" xr:uid="{E0A8D4D4-551A-4048-BD9A-FC7762E97B5F}"/>
    <cellStyle name="40% - Énfasis3 24 4 3" xfId="46089" xr:uid="{098FF2CD-FC8E-41E1-985F-2148884FAD73}"/>
    <cellStyle name="40% - Énfasis3 24 5" xfId="16942" xr:uid="{F00BAB81-A281-4186-9812-770E67B1A559}"/>
    <cellStyle name="40% - Énfasis3 24 5 2" xfId="46091" xr:uid="{743DDF6D-22E8-4F65-BE8E-CFD25A652C43}"/>
    <cellStyle name="40% - Énfasis3 24 6" xfId="46076" xr:uid="{FFA3DE9A-DB57-4163-9085-4E1844A452E3}"/>
    <cellStyle name="40% - Énfasis3 25" xfId="1537" xr:uid="{6DB0C398-F503-496A-A70C-F49DBD12C121}"/>
    <cellStyle name="40% - Énfasis3 25 2" xfId="3002" xr:uid="{8647CA34-1DB6-42CB-9560-6B9DC4C402EC}"/>
    <cellStyle name="40% - Énfasis3 25 2 2" xfId="6734" xr:uid="{A33757D7-003D-4813-9530-FD9FC898B051}"/>
    <cellStyle name="40% - Énfasis3 25 2 2 2" xfId="14442" xr:uid="{8C008DD6-06D1-4F36-9539-C91F18BBE679}"/>
    <cellStyle name="40% - Énfasis3 25 2 2 2 2" xfId="29854" xr:uid="{A9D1BC92-36BD-45B9-9DA3-53838FFFA15D}"/>
    <cellStyle name="40% - Énfasis3 25 2 2 2 2 2" xfId="46096" xr:uid="{FB52EAF0-9F49-43C1-B384-0DDDF34F3920}"/>
    <cellStyle name="40% - Énfasis3 25 2 2 2 3" xfId="46095" xr:uid="{F78FF606-23E3-4F4D-BD3D-5CDD67314E40}"/>
    <cellStyle name="40% - Énfasis3 25 2 2 3" xfId="22149" xr:uid="{C635E1DE-42C7-4B42-8788-A23068C212CA}"/>
    <cellStyle name="40% - Énfasis3 25 2 2 3 2" xfId="46097" xr:uid="{8AF2E1C1-C9E5-4F3A-88A4-8D1C43A4DF35}"/>
    <cellStyle name="40% - Énfasis3 25 2 2 4" xfId="46094" xr:uid="{79CA9244-DF10-47DF-B943-5300C74F385A}"/>
    <cellStyle name="40% - Énfasis3 25 2 3" xfId="10713" xr:uid="{ADED27C1-1E5A-4E00-AA04-95FD7CC1DAA7}"/>
    <cellStyle name="40% - Énfasis3 25 2 3 2" xfId="26126" xr:uid="{45CA2939-FF9F-4BB7-9BFC-CB5AC12DBDA1}"/>
    <cellStyle name="40% - Énfasis3 25 2 3 2 2" xfId="46099" xr:uid="{BE15543B-6247-4B3E-8B45-5170F2D514BA}"/>
    <cellStyle name="40% - Énfasis3 25 2 3 3" xfId="46098" xr:uid="{4F84D778-D3C8-4665-8DB7-5A53F9BF5D17}"/>
    <cellStyle name="40% - Énfasis3 25 2 4" xfId="18421" xr:uid="{EB7D2D3F-3D04-45E5-AE53-AC618228CD73}"/>
    <cellStyle name="40% - Énfasis3 25 2 4 2" xfId="46100" xr:uid="{877F2BE4-52D4-4C87-8984-ED05B9A2FEE7}"/>
    <cellStyle name="40% - Énfasis3 25 2 5" xfId="46093" xr:uid="{692D3C7C-6499-4503-AF9C-9A9AA20C4236}"/>
    <cellStyle name="40% - Énfasis3 25 3" xfId="5273" xr:uid="{F106CAE4-38BE-4499-8333-4F5F617C4364}"/>
    <cellStyle name="40% - Énfasis3 25 3 2" xfId="12981" xr:uid="{AE87B64F-1188-4FF4-BC78-576A87F93D08}"/>
    <cellStyle name="40% - Énfasis3 25 3 2 2" xfId="28393" xr:uid="{F93877CA-9AA7-41EA-968F-EF8838002B1F}"/>
    <cellStyle name="40% - Énfasis3 25 3 2 2 2" xfId="46103" xr:uid="{4837ABB6-3C6C-45ED-AE7E-05139FE8CBC4}"/>
    <cellStyle name="40% - Énfasis3 25 3 2 3" xfId="46102" xr:uid="{ABEC5516-684A-4F00-BC8D-F4DDC9F846CB}"/>
    <cellStyle name="40% - Énfasis3 25 3 3" xfId="20688" xr:uid="{A1EAAEC0-A052-49A7-B226-E9E24216D3DE}"/>
    <cellStyle name="40% - Énfasis3 25 3 3 2" xfId="46104" xr:uid="{9F86B7C6-0485-419E-8DD0-26AF4BEBAE92}"/>
    <cellStyle name="40% - Énfasis3 25 3 4" xfId="46101" xr:uid="{86E88ECE-E0CB-4046-9F82-0A9AF775B624}"/>
    <cellStyle name="40% - Énfasis3 25 4" xfId="9254" xr:uid="{E3846968-6F80-4861-B49D-C9AADF65EF5D}"/>
    <cellStyle name="40% - Énfasis3 25 4 2" xfId="24667" xr:uid="{88147361-7A92-459C-826B-AA2143401278}"/>
    <cellStyle name="40% - Énfasis3 25 4 2 2" xfId="46106" xr:uid="{5E202834-068D-4C9B-8A41-03C9DEDE76AD}"/>
    <cellStyle name="40% - Énfasis3 25 4 3" xfId="46105" xr:uid="{2E9B1307-5736-4BA1-BF7E-904047E514D1}"/>
    <cellStyle name="40% - Énfasis3 25 5" xfId="16962" xr:uid="{A8D0D58B-ACFA-4559-8AC3-63CCE69B1959}"/>
    <cellStyle name="40% - Énfasis3 25 5 2" xfId="46107" xr:uid="{5FFA73D8-1749-4D4D-A6CF-3B73CCDB5062}"/>
    <cellStyle name="40% - Énfasis3 25 6" xfId="46092" xr:uid="{D0907A4B-612B-4C6A-8478-4A498E9E9C7C}"/>
    <cellStyle name="40% - Énfasis3 26" xfId="1557" xr:uid="{90E75EFE-7AAD-4ED2-97D9-5FA1D4319601}"/>
    <cellStyle name="40% - Énfasis3 26 2" xfId="3022" xr:uid="{F4EDE13E-85A3-484C-A301-3EEA766F3098}"/>
    <cellStyle name="40% - Énfasis3 26 2 2" xfId="6754" xr:uid="{9CF93478-594F-4D2F-82E3-5FE0F6A6358B}"/>
    <cellStyle name="40% - Énfasis3 26 2 2 2" xfId="14462" xr:uid="{6303FB67-C26D-4F2F-8047-605449C2A429}"/>
    <cellStyle name="40% - Énfasis3 26 2 2 2 2" xfId="29874" xr:uid="{659CDAD1-3799-474B-BCF0-DFA6BE79C1D9}"/>
    <cellStyle name="40% - Énfasis3 26 2 2 2 2 2" xfId="46112" xr:uid="{6D5E545A-3E34-4EA1-A871-E6EB908A837F}"/>
    <cellStyle name="40% - Énfasis3 26 2 2 2 3" xfId="46111" xr:uid="{037B6158-796E-4363-90C8-6A18B5B90945}"/>
    <cellStyle name="40% - Énfasis3 26 2 2 3" xfId="22169" xr:uid="{EA151816-31E9-4FF9-A6F9-F602CC3898A9}"/>
    <cellStyle name="40% - Énfasis3 26 2 2 3 2" xfId="46113" xr:uid="{DF7673DB-AD3F-4D1B-AF2E-C325C70360BD}"/>
    <cellStyle name="40% - Énfasis3 26 2 2 4" xfId="46110" xr:uid="{B407BA47-2216-4F43-8200-D24975225C5E}"/>
    <cellStyle name="40% - Énfasis3 26 2 3" xfId="10733" xr:uid="{636806A7-A774-4355-BC77-8B16208FD824}"/>
    <cellStyle name="40% - Énfasis3 26 2 3 2" xfId="26146" xr:uid="{D8FBADB4-610C-4917-8375-0E5FC616D7FB}"/>
    <cellStyle name="40% - Énfasis3 26 2 3 2 2" xfId="46115" xr:uid="{712141B1-58B3-4FB5-AC34-03B6447E59DD}"/>
    <cellStyle name="40% - Énfasis3 26 2 3 3" xfId="46114" xr:uid="{B54150BC-870B-473B-80EF-89E656961E41}"/>
    <cellStyle name="40% - Énfasis3 26 2 4" xfId="18441" xr:uid="{D4CB1813-01CD-4DC3-8694-718C48A06799}"/>
    <cellStyle name="40% - Énfasis3 26 2 4 2" xfId="46116" xr:uid="{9FC17A27-D480-42FA-B331-6A98B23FA1AE}"/>
    <cellStyle name="40% - Énfasis3 26 2 5" xfId="46109" xr:uid="{77A3B529-1458-490C-93E8-074718FC73B7}"/>
    <cellStyle name="40% - Énfasis3 26 3" xfId="5293" xr:uid="{CC446D42-931F-404D-995A-0EF5D9299A42}"/>
    <cellStyle name="40% - Énfasis3 26 3 2" xfId="13001" xr:uid="{B056B876-A3E1-4908-BA50-0C8707BE1FA8}"/>
    <cellStyle name="40% - Énfasis3 26 3 2 2" xfId="28413" xr:uid="{48EAD54B-DD75-4389-85C3-6AFA1A7C3E63}"/>
    <cellStyle name="40% - Énfasis3 26 3 2 2 2" xfId="46119" xr:uid="{BB4EF982-704B-4D15-9D81-97BF83043D5F}"/>
    <cellStyle name="40% - Énfasis3 26 3 2 3" xfId="46118" xr:uid="{269DE563-847C-4DEB-B4F2-4464901B7677}"/>
    <cellStyle name="40% - Énfasis3 26 3 3" xfId="20708" xr:uid="{A8378F11-DA2D-4683-8DDB-60C352542B72}"/>
    <cellStyle name="40% - Énfasis3 26 3 3 2" xfId="46120" xr:uid="{9E77E2A6-0BA5-4381-884F-A7B4B30D7273}"/>
    <cellStyle name="40% - Énfasis3 26 3 4" xfId="46117" xr:uid="{4E8F6E53-A80D-48F2-AD70-A8B8523505C7}"/>
    <cellStyle name="40% - Énfasis3 26 4" xfId="9274" xr:uid="{C9F181CE-9638-4F07-8A11-B24A02CF962A}"/>
    <cellStyle name="40% - Énfasis3 26 4 2" xfId="24687" xr:uid="{B8732981-A0F3-4C78-90E8-1D4F6D306F0F}"/>
    <cellStyle name="40% - Énfasis3 26 4 2 2" xfId="46122" xr:uid="{982F3024-F80E-4021-A9AE-E66742E85E98}"/>
    <cellStyle name="40% - Énfasis3 26 4 3" xfId="46121" xr:uid="{68B55D73-B808-4E74-B9E7-90D327C0A1C6}"/>
    <cellStyle name="40% - Énfasis3 26 5" xfId="16982" xr:uid="{75126143-3BD2-41D3-8FA6-5D2DEE7F34FE}"/>
    <cellStyle name="40% - Énfasis3 26 5 2" xfId="46123" xr:uid="{37DFB163-0DEF-49B3-95A8-249A337C4920}"/>
    <cellStyle name="40% - Énfasis3 26 6" xfId="46108" xr:uid="{C8FA45D4-0A63-4C3D-AC34-142B046563C1}"/>
    <cellStyle name="40% - Énfasis3 27" xfId="1577" xr:uid="{B2187FD7-0C33-4D48-9A04-E8C14E4FBA80}"/>
    <cellStyle name="40% - Énfasis3 27 2" xfId="3042" xr:uid="{608241B9-CB6F-42DD-8D62-6964BDB86BBB}"/>
    <cellStyle name="40% - Énfasis3 27 2 2" xfId="6774" xr:uid="{31CBD100-A7E2-4969-AE24-E9CDBFCB9863}"/>
    <cellStyle name="40% - Énfasis3 27 2 2 2" xfId="14482" xr:uid="{D8E57427-9E67-4888-B433-5200EE865B5E}"/>
    <cellStyle name="40% - Énfasis3 27 2 2 2 2" xfId="29894" xr:uid="{95C4C9D6-E206-42DA-9210-0794AE3E3F38}"/>
    <cellStyle name="40% - Énfasis3 27 2 2 2 2 2" xfId="46128" xr:uid="{5272FFD0-8074-43CA-B4C6-E8B500CA2B8F}"/>
    <cellStyle name="40% - Énfasis3 27 2 2 2 3" xfId="46127" xr:uid="{310D6FD9-04FF-412D-BCBD-5BB48697C271}"/>
    <cellStyle name="40% - Énfasis3 27 2 2 3" xfId="22189" xr:uid="{9D0AB408-E0B4-4C67-BB8D-347A80CAC186}"/>
    <cellStyle name="40% - Énfasis3 27 2 2 3 2" xfId="46129" xr:uid="{5E9DC523-40EA-41EF-947D-22C437DEA077}"/>
    <cellStyle name="40% - Énfasis3 27 2 2 4" xfId="46126" xr:uid="{5A1017EB-6246-4DE5-8A50-315F0053C581}"/>
    <cellStyle name="40% - Énfasis3 27 2 3" xfId="10753" xr:uid="{1A1CDDF7-5B71-4A99-AF74-78A3593A11F0}"/>
    <cellStyle name="40% - Énfasis3 27 2 3 2" xfId="26166" xr:uid="{BB0598EC-AB14-433B-8A3B-08D50B52E67E}"/>
    <cellStyle name="40% - Énfasis3 27 2 3 2 2" xfId="46131" xr:uid="{02538607-6F0E-4B28-AF19-52FF8C011BFA}"/>
    <cellStyle name="40% - Énfasis3 27 2 3 3" xfId="46130" xr:uid="{7A327993-8BF3-44E6-830A-54B9AD06DC40}"/>
    <cellStyle name="40% - Énfasis3 27 2 4" xfId="18461" xr:uid="{515AA779-BDFD-4306-87DE-6F427F6B2BBE}"/>
    <cellStyle name="40% - Énfasis3 27 2 4 2" xfId="46132" xr:uid="{82A51B34-AEEB-48F1-B267-6550E34332DC}"/>
    <cellStyle name="40% - Énfasis3 27 2 5" xfId="46125" xr:uid="{CB62E1DB-2BBC-460B-A4D6-5994D46B924A}"/>
    <cellStyle name="40% - Énfasis3 27 3" xfId="5313" xr:uid="{E3EAC7E0-8E81-4CE1-A764-6853AE405EB6}"/>
    <cellStyle name="40% - Énfasis3 27 3 2" xfId="13021" xr:uid="{29148000-11C9-4611-AF64-731D41047C23}"/>
    <cellStyle name="40% - Énfasis3 27 3 2 2" xfId="28433" xr:uid="{440D8597-C0CF-4B04-9B7E-788CB4FC1382}"/>
    <cellStyle name="40% - Énfasis3 27 3 2 2 2" xfId="46135" xr:uid="{867572E4-2C3D-4260-ACAB-C7DA2DD5A5A4}"/>
    <cellStyle name="40% - Énfasis3 27 3 2 3" xfId="46134" xr:uid="{98F03F93-63E7-4D4A-9DA5-028BDB47BBED}"/>
    <cellStyle name="40% - Énfasis3 27 3 3" xfId="20728" xr:uid="{8573F1AB-4B11-4D22-A87F-076A318319F8}"/>
    <cellStyle name="40% - Énfasis3 27 3 3 2" xfId="46136" xr:uid="{464473E4-4DFF-4944-94C4-2CD7235F5E0E}"/>
    <cellStyle name="40% - Énfasis3 27 3 4" xfId="46133" xr:uid="{2F1B3B46-059A-4479-A59E-AB995C72F717}"/>
    <cellStyle name="40% - Énfasis3 27 4" xfId="9294" xr:uid="{6847489D-7820-4E02-8AD5-CB6E57CE997C}"/>
    <cellStyle name="40% - Énfasis3 27 4 2" xfId="24707" xr:uid="{DB74AE7C-7A19-41EF-871A-587E8D91BF26}"/>
    <cellStyle name="40% - Énfasis3 27 4 2 2" xfId="46138" xr:uid="{D2C84A9B-D615-4EA1-AB4A-69D491BBD459}"/>
    <cellStyle name="40% - Énfasis3 27 4 3" xfId="46137" xr:uid="{C69C361B-26F6-4CBD-AD27-D065E8707700}"/>
    <cellStyle name="40% - Énfasis3 27 5" xfId="17002" xr:uid="{3DDBC9FA-7AEB-4318-9E91-4C08149850BA}"/>
    <cellStyle name="40% - Énfasis3 27 5 2" xfId="46139" xr:uid="{3341A7A4-DC39-4E18-96C0-749EDC1302C5}"/>
    <cellStyle name="40% - Énfasis3 27 6" xfId="46124" xr:uid="{716777F1-A3DA-4439-BF6E-A516679203B5}"/>
    <cellStyle name="40% - Énfasis3 28" xfId="1598" xr:uid="{8DDDB96A-A28A-4174-91A7-6C2D867B27DF}"/>
    <cellStyle name="40% - Énfasis3 28 2" xfId="3063" xr:uid="{7495DF8A-0A2B-49C2-9574-E5EE4653FCD0}"/>
    <cellStyle name="40% - Énfasis3 28 2 2" xfId="6795" xr:uid="{29536B9E-A476-42B4-B645-805CD1060ABD}"/>
    <cellStyle name="40% - Énfasis3 28 2 2 2" xfId="14503" xr:uid="{7F392CD2-D84D-4FEA-874D-FBEDE1A38947}"/>
    <cellStyle name="40% - Énfasis3 28 2 2 2 2" xfId="29915" xr:uid="{53E804F7-E99F-47A9-B7FA-A7438747B61F}"/>
    <cellStyle name="40% - Énfasis3 28 2 2 2 2 2" xfId="46144" xr:uid="{9A802519-FA01-4CB6-AB8A-61241A63F5AE}"/>
    <cellStyle name="40% - Énfasis3 28 2 2 2 3" xfId="46143" xr:uid="{8CFB6FC6-0CED-4D19-AD85-97A60E1B1A4A}"/>
    <cellStyle name="40% - Énfasis3 28 2 2 3" xfId="22210" xr:uid="{305C3A5B-AD08-4452-A13F-17381E06D577}"/>
    <cellStyle name="40% - Énfasis3 28 2 2 3 2" xfId="46145" xr:uid="{BF5FF369-7CE1-4F1C-AAC9-8B7DBEDC478C}"/>
    <cellStyle name="40% - Énfasis3 28 2 2 4" xfId="46142" xr:uid="{BC4C4EAC-BED6-4FD7-83C5-2776F83EA9B7}"/>
    <cellStyle name="40% - Énfasis3 28 2 3" xfId="10774" xr:uid="{014B8EC1-FEB1-4375-9EE0-179BAC51BC65}"/>
    <cellStyle name="40% - Énfasis3 28 2 3 2" xfId="26187" xr:uid="{76A2F602-1042-46AB-B17B-973CFBFD22ED}"/>
    <cellStyle name="40% - Énfasis3 28 2 3 2 2" xfId="46147" xr:uid="{44DAAD3D-DEC9-45CD-A08B-F1F92740E1A3}"/>
    <cellStyle name="40% - Énfasis3 28 2 3 3" xfId="46146" xr:uid="{90E00CDF-BEC4-4708-8227-AFA353C375D2}"/>
    <cellStyle name="40% - Énfasis3 28 2 4" xfId="18482" xr:uid="{234610C8-ECEF-444A-9A25-CC783FCAEA47}"/>
    <cellStyle name="40% - Énfasis3 28 2 4 2" xfId="46148" xr:uid="{BAAFDEE7-98CB-4778-BB35-CFA380F9388E}"/>
    <cellStyle name="40% - Énfasis3 28 2 5" xfId="46141" xr:uid="{AFF2C96C-4CA0-465C-B3EF-E482C65AB26D}"/>
    <cellStyle name="40% - Énfasis3 28 3" xfId="5334" xr:uid="{6A93E6DA-05F7-4EC7-A6DE-4E948E2A6906}"/>
    <cellStyle name="40% - Énfasis3 28 3 2" xfId="13042" xr:uid="{06F94492-80FB-4891-BB69-32331C3E24C2}"/>
    <cellStyle name="40% - Énfasis3 28 3 2 2" xfId="28454" xr:uid="{8054DC2D-AEBF-4D0B-A758-ECBA740E46CB}"/>
    <cellStyle name="40% - Énfasis3 28 3 2 2 2" xfId="46151" xr:uid="{11B4035F-A76E-4CF0-978A-8E9D95F2A6DB}"/>
    <cellStyle name="40% - Énfasis3 28 3 2 3" xfId="46150" xr:uid="{00AA9899-AF95-45EC-9F17-C533CD5F58F5}"/>
    <cellStyle name="40% - Énfasis3 28 3 3" xfId="20749" xr:uid="{C09E962D-2EBD-4F37-8A5D-CEC72DCF92B6}"/>
    <cellStyle name="40% - Énfasis3 28 3 3 2" xfId="46152" xr:uid="{8D22BF04-74C3-42F5-9063-ABB7CF342279}"/>
    <cellStyle name="40% - Énfasis3 28 3 4" xfId="46149" xr:uid="{362C27FF-4BD0-42C0-ACC1-9108764C84D7}"/>
    <cellStyle name="40% - Énfasis3 28 4" xfId="9315" xr:uid="{1598B27E-C84F-4F4A-B857-DC4CC6376749}"/>
    <cellStyle name="40% - Énfasis3 28 4 2" xfId="24728" xr:uid="{2716738F-E08C-4202-96E7-57D9E869B167}"/>
    <cellStyle name="40% - Énfasis3 28 4 2 2" xfId="46154" xr:uid="{B04F4590-637C-4F34-8064-648B18BD5DA7}"/>
    <cellStyle name="40% - Énfasis3 28 4 3" xfId="46153" xr:uid="{A7FC736C-603F-4E98-9A76-6AB1FECEFE86}"/>
    <cellStyle name="40% - Énfasis3 28 5" xfId="17023" xr:uid="{0A86E75F-4C3E-44B4-BF31-1D4150365208}"/>
    <cellStyle name="40% - Énfasis3 28 5 2" xfId="46155" xr:uid="{071BB647-D7FA-4D75-BF1A-1F95D4037F21}"/>
    <cellStyle name="40% - Énfasis3 28 6" xfId="46140" xr:uid="{62AB3561-B9C1-4A3D-913A-E25B66832B7D}"/>
    <cellStyle name="40% - Énfasis3 29" xfId="3083" xr:uid="{9C824954-C6DB-4D28-8450-EB04A4C04A7B}"/>
    <cellStyle name="40% - Énfasis3 29 2" xfId="6815" xr:uid="{8BD1F272-D6F8-4A90-83F5-4E966ED8FA73}"/>
    <cellStyle name="40% - Énfasis3 29 2 2" xfId="14523" xr:uid="{2AEFFCEE-3F07-4057-8E81-3FE7A3C93FDD}"/>
    <cellStyle name="40% - Énfasis3 29 2 2 2" xfId="29935" xr:uid="{3836FEC2-622A-468C-B4B2-286979E3F54C}"/>
    <cellStyle name="40% - Énfasis3 29 2 2 2 2" xfId="46159" xr:uid="{5148A871-E509-4754-9AF2-51B0C6FBF68A}"/>
    <cellStyle name="40% - Énfasis3 29 2 2 3" xfId="46158" xr:uid="{A51D6110-ABE1-4943-8A68-F9DBD14067A3}"/>
    <cellStyle name="40% - Énfasis3 29 2 3" xfId="22230" xr:uid="{A0771FD0-7A9F-47AD-B53F-9679DA0C4776}"/>
    <cellStyle name="40% - Énfasis3 29 2 3 2" xfId="46160" xr:uid="{B48D9B56-3F5E-49BD-B39E-8958F02E3668}"/>
    <cellStyle name="40% - Énfasis3 29 2 4" xfId="46157" xr:uid="{AC498137-0B46-44A6-ABCB-959943434002}"/>
    <cellStyle name="40% - Énfasis3 29 3" xfId="10794" xr:uid="{42574DAE-1D7D-4559-A288-4F027AE5CE62}"/>
    <cellStyle name="40% - Énfasis3 29 3 2" xfId="26207" xr:uid="{10DDC83A-BC2F-4AFC-8F9F-3699FDB98945}"/>
    <cellStyle name="40% - Énfasis3 29 3 2 2" xfId="46162" xr:uid="{2679825C-64D5-477F-9BA9-6F50CC040958}"/>
    <cellStyle name="40% - Énfasis3 29 3 3" xfId="46161" xr:uid="{75F814C3-5789-4928-93D7-5874DECE5F27}"/>
    <cellStyle name="40% - Énfasis3 29 4" xfId="18502" xr:uid="{4603F253-A081-40BA-A2FB-E759D3445333}"/>
    <cellStyle name="40% - Énfasis3 29 4 2" xfId="46163" xr:uid="{B7380E3D-AE0F-4E35-9B30-39D238B3799A}"/>
    <cellStyle name="40% - Énfasis3 29 5" xfId="46156" xr:uid="{082B44C4-923F-4916-A0EE-2873E7DE373B}"/>
    <cellStyle name="40% - Énfasis3 3" xfId="245" xr:uid="{664D165F-A68E-4445-99DE-107F62A582BD}"/>
    <cellStyle name="40% - Énfasis3 3 2" xfId="447" xr:uid="{2A400138-EE35-4DDA-A783-9D8D228A0D57}"/>
    <cellStyle name="40% - Énfasis3 3 2 2" xfId="1108" xr:uid="{16F01A54-ED85-40AF-88F0-B6276C3BDFF7}"/>
    <cellStyle name="40% - Énfasis3 3 2 2 2" xfId="2576" xr:uid="{07B3C06D-076E-4B6F-A695-F0B331BF84DB}"/>
    <cellStyle name="40% - Énfasis3 3 2 2 2 2" xfId="6308" xr:uid="{61C92287-EB46-41F9-BA85-996B7EDDD3E0}"/>
    <cellStyle name="40% - Énfasis3 3 2 2 2 2 2" xfId="14016" xr:uid="{5680AB40-8DA4-482E-A16C-183E897FB37C}"/>
    <cellStyle name="40% - Énfasis3 3 2 2 2 2 2 2" xfId="29428" xr:uid="{D4E35187-BCD6-4EFF-BF44-711D69CE17F1}"/>
    <cellStyle name="40% - Énfasis3 3 2 2 2 2 2 2 2" xfId="46170" xr:uid="{DE02DA32-7FBB-4E3F-B431-9F37453A6900}"/>
    <cellStyle name="40% - Énfasis3 3 2 2 2 2 2 3" xfId="46169" xr:uid="{01E4FE5A-2B20-4884-8A6C-3371C794D976}"/>
    <cellStyle name="40% - Énfasis3 3 2 2 2 2 3" xfId="21723" xr:uid="{2759BB8C-2CDA-4EE1-94AE-052699EA3B63}"/>
    <cellStyle name="40% - Énfasis3 3 2 2 2 2 3 2" xfId="46171" xr:uid="{C17D96AB-E3AD-4FFB-BED0-19A10B446C6D}"/>
    <cellStyle name="40% - Énfasis3 3 2 2 2 2 4" xfId="46168" xr:uid="{97FFAE7F-C7B8-4252-A199-230732BB9F99}"/>
    <cellStyle name="40% - Énfasis3 3 2 2 2 3" xfId="10287" xr:uid="{D90D7840-7453-4763-B5E6-8CCB91B269CB}"/>
    <cellStyle name="40% - Énfasis3 3 2 2 2 3 2" xfId="25700" xr:uid="{3219572A-0189-44BE-86F2-92F166CDCC68}"/>
    <cellStyle name="40% - Énfasis3 3 2 2 2 3 2 2" xfId="46173" xr:uid="{B736B59A-AEAB-4F2E-8F34-7F74CB97E77F}"/>
    <cellStyle name="40% - Énfasis3 3 2 2 2 3 3" xfId="46172" xr:uid="{C41D9820-2AE8-4103-919B-B34B1206BDBB}"/>
    <cellStyle name="40% - Énfasis3 3 2 2 2 4" xfId="17995" xr:uid="{8A64FA96-3AD8-4A47-8FAC-75706F9790DF}"/>
    <cellStyle name="40% - Énfasis3 3 2 2 2 4 2" xfId="46174" xr:uid="{5A946002-8084-4061-8622-5BE79D6C6ABF}"/>
    <cellStyle name="40% - Énfasis3 3 2 2 2 5" xfId="46167" xr:uid="{ECB57536-ED19-4FCC-BA92-1A75C96CC585}"/>
    <cellStyle name="40% - Énfasis3 3 2 2 3" xfId="4845" xr:uid="{CF9C1B9F-A809-4736-854F-AC6E216CAA6A}"/>
    <cellStyle name="40% - Énfasis3 3 2 2 3 2" xfId="12553" xr:uid="{4AE75F10-00E3-404B-9C72-B8DBE0B174D4}"/>
    <cellStyle name="40% - Énfasis3 3 2 2 3 2 2" xfId="27965" xr:uid="{EDC9C4E5-274F-4E77-B4A3-E7FFD02BDB88}"/>
    <cellStyle name="40% - Énfasis3 3 2 2 3 2 2 2" xfId="46177" xr:uid="{E606CF91-FEC8-4C7D-AE84-AB8481D356A6}"/>
    <cellStyle name="40% - Énfasis3 3 2 2 3 2 3" xfId="46176" xr:uid="{D0CD139E-9973-428A-ADC9-2945A5E75732}"/>
    <cellStyle name="40% - Énfasis3 3 2 2 3 3" xfId="20260" xr:uid="{DE0C54AD-E440-4A25-B925-B26F09F7B51A}"/>
    <cellStyle name="40% - Énfasis3 3 2 2 3 3 2" xfId="46178" xr:uid="{2CFFDBC5-11FC-481D-A5E2-0004B34B5AAD}"/>
    <cellStyle name="40% - Énfasis3 3 2 2 3 4" xfId="46175" xr:uid="{CF20796A-3922-48B2-879B-164A2581E72D}"/>
    <cellStyle name="40% - Énfasis3 3 2 2 4" xfId="8828" xr:uid="{D081E307-7127-4EAB-A843-230C0984B9CC}"/>
    <cellStyle name="40% - Énfasis3 3 2 2 4 2" xfId="24241" xr:uid="{C8ED0EFA-DD61-4A4E-8F9A-45C20BED3A5C}"/>
    <cellStyle name="40% - Énfasis3 3 2 2 4 2 2" xfId="46180" xr:uid="{E610B219-9A98-48C9-A725-8D3DBA672B94}"/>
    <cellStyle name="40% - Énfasis3 3 2 2 4 3" xfId="46179" xr:uid="{18208F36-FFA9-474C-9620-E37B1BC41025}"/>
    <cellStyle name="40% - Énfasis3 3 2 2 5" xfId="16536" xr:uid="{3B0D003A-7C9B-4994-81DC-DAF7B3CD21B7}"/>
    <cellStyle name="40% - Énfasis3 3 2 2 5 2" xfId="46181" xr:uid="{C26FF257-4461-4782-9693-3A2CD52A8ED6}"/>
    <cellStyle name="40% - Énfasis3 3 2 2 6" xfId="46166" xr:uid="{2A08D133-A933-4327-AB31-C86D7C2514C5}"/>
    <cellStyle name="40% - Énfasis3 3 2 3" xfId="1938" xr:uid="{A6005117-8DE1-4401-BFF4-2FEC98DC4D53}"/>
    <cellStyle name="40% - Énfasis3 3 2 3 2" xfId="5670" xr:uid="{9A5C62A6-961F-4944-8A03-81C0AB695F22}"/>
    <cellStyle name="40% - Énfasis3 3 2 3 2 2" xfId="13378" xr:uid="{6A71B2C5-28D5-460B-8931-08E0A61BB8D7}"/>
    <cellStyle name="40% - Énfasis3 3 2 3 2 2 2" xfId="28790" xr:uid="{65DDDE1B-7F1D-4CD5-9405-C257BED571AB}"/>
    <cellStyle name="40% - Énfasis3 3 2 3 2 2 2 2" xfId="46185" xr:uid="{C199EFB8-8FD8-4D67-AF9B-357961C399B8}"/>
    <cellStyle name="40% - Énfasis3 3 2 3 2 2 3" xfId="46184" xr:uid="{C1FC61A7-76DE-446E-8072-C7D3C6653637}"/>
    <cellStyle name="40% - Énfasis3 3 2 3 2 3" xfId="21085" xr:uid="{116C839B-5735-44DE-8278-4BFABBC5B915}"/>
    <cellStyle name="40% - Énfasis3 3 2 3 2 3 2" xfId="46186" xr:uid="{B538CBF8-033D-4A4E-8B13-BE04D27E2CA8}"/>
    <cellStyle name="40% - Énfasis3 3 2 3 2 4" xfId="46183" xr:uid="{DDBBA414-FB26-45DB-821C-BC4C8ABC526B}"/>
    <cellStyle name="40% - Énfasis3 3 2 3 3" xfId="9649" xr:uid="{E6B41288-2459-4F1F-9A72-23565113E21D}"/>
    <cellStyle name="40% - Énfasis3 3 2 3 3 2" xfId="25062" xr:uid="{4488699C-1EE7-40E3-9B2D-B3E7C84DA3CF}"/>
    <cellStyle name="40% - Énfasis3 3 2 3 3 2 2" xfId="46188" xr:uid="{BDBDEB81-770F-41B4-AE72-D5D356F1776D}"/>
    <cellStyle name="40% - Énfasis3 3 2 3 3 3" xfId="46187" xr:uid="{0DB5FB2C-CF85-4E85-B13A-DA096A162524}"/>
    <cellStyle name="40% - Énfasis3 3 2 3 4" xfId="17357" xr:uid="{35F49454-87DF-460F-9FB9-603BB5703CA9}"/>
    <cellStyle name="40% - Énfasis3 3 2 3 4 2" xfId="46189" xr:uid="{2992173B-F321-49A4-82A3-71CEE111C293}"/>
    <cellStyle name="40% - Énfasis3 3 2 3 5" xfId="46182" xr:uid="{17880E07-BD8E-4CA0-818F-E4778D6E55CF}"/>
    <cellStyle name="40% - Énfasis3 3 2 4" xfId="4193" xr:uid="{A9E5F732-D52F-46D4-A3B4-43D1B9A3B98F}"/>
    <cellStyle name="40% - Énfasis3 3 2 4 2" xfId="11901" xr:uid="{1640E0E7-3337-4EAC-AB9A-D6770FE3E9F0}"/>
    <cellStyle name="40% - Énfasis3 3 2 4 2 2" xfId="27313" xr:uid="{8A8B6C18-EEAC-468B-A0B0-2C9BF0000A7D}"/>
    <cellStyle name="40% - Énfasis3 3 2 4 2 2 2" xfId="46192" xr:uid="{C98D1C06-C3BC-401F-B7B5-F946AB3E36B7}"/>
    <cellStyle name="40% - Énfasis3 3 2 4 2 3" xfId="46191" xr:uid="{9BF6D737-2F17-44F1-A57E-99A2B2E3F693}"/>
    <cellStyle name="40% - Énfasis3 3 2 4 3" xfId="19608" xr:uid="{FC3A9A28-88BB-445B-B00C-20E953D5D7B4}"/>
    <cellStyle name="40% - Énfasis3 3 2 4 3 2" xfId="46193" xr:uid="{383A9C3C-EEAF-4A1B-8853-E580335BB89D}"/>
    <cellStyle name="40% - Énfasis3 3 2 4 4" xfId="46190" xr:uid="{49EAA6B6-BB3F-40A1-BD97-A9F38EBBCF19}"/>
    <cellStyle name="40% - Énfasis3 3 2 5" xfId="8190" xr:uid="{6F375C17-FB74-4C95-9ABA-1CA600274151}"/>
    <cellStyle name="40% - Énfasis3 3 2 5 2" xfId="23603" xr:uid="{91D61734-C332-4077-A61F-F78180A58A50}"/>
    <cellStyle name="40% - Énfasis3 3 2 5 2 2" xfId="46195" xr:uid="{5C4E9B4B-30CE-46D0-A950-E3085D4F4EA3}"/>
    <cellStyle name="40% - Énfasis3 3 2 5 3" xfId="46194" xr:uid="{D580EBEF-003E-40CA-ADF7-1B7549D3D62C}"/>
    <cellStyle name="40% - Énfasis3 3 2 6" xfId="15898" xr:uid="{E4E38B90-6CB9-416A-95E8-7B51A80086FE}"/>
    <cellStyle name="40% - Énfasis3 3 2 6 2" xfId="46196" xr:uid="{8882280A-48F5-4BA9-A41C-A32A695471F6}"/>
    <cellStyle name="40% - Énfasis3 3 2 7" xfId="46165" xr:uid="{0C6FCB54-0C08-4CAC-9AC1-1345CA91438C}"/>
    <cellStyle name="40% - Énfasis3 3 3" xfId="908" xr:uid="{BD6AD566-E807-474A-BDB7-3F35F9E24DBE}"/>
    <cellStyle name="40% - Énfasis3 3 3 2" xfId="2378" xr:uid="{F1E2BEF6-6B55-436F-8A63-874168FA2BAF}"/>
    <cellStyle name="40% - Énfasis3 3 3 2 2" xfId="6110" xr:uid="{247E60E7-FCE9-4263-840F-B3497648CC00}"/>
    <cellStyle name="40% - Énfasis3 3 3 2 2 2" xfId="13818" xr:uid="{B3DFD236-A973-45C1-B877-24FD2B39D118}"/>
    <cellStyle name="40% - Énfasis3 3 3 2 2 2 2" xfId="29230" xr:uid="{6DE22915-30D0-421D-8B6F-A17E658BB3EC}"/>
    <cellStyle name="40% - Énfasis3 3 3 2 2 2 2 2" xfId="46201" xr:uid="{264AAB74-694E-40E3-89E5-5C5914D0F2AA}"/>
    <cellStyle name="40% - Énfasis3 3 3 2 2 2 3" xfId="46200" xr:uid="{49815025-83CD-477F-89AC-2246E3C2E51A}"/>
    <cellStyle name="40% - Énfasis3 3 3 2 2 3" xfId="21525" xr:uid="{15895777-CFA5-465E-92B2-D2E2D8070E76}"/>
    <cellStyle name="40% - Énfasis3 3 3 2 2 3 2" xfId="46202" xr:uid="{0A257214-8475-4F94-ADF3-D8A607D704AE}"/>
    <cellStyle name="40% - Énfasis3 3 3 2 2 4" xfId="46199" xr:uid="{7E570BE6-661B-4CFA-9C1A-6EB5D9A10B36}"/>
    <cellStyle name="40% - Énfasis3 3 3 2 3" xfId="10089" xr:uid="{11ADE9B4-3114-42F4-A714-4197AED88ECF}"/>
    <cellStyle name="40% - Énfasis3 3 3 2 3 2" xfId="25502" xr:uid="{730C8137-84C4-42E0-AE78-1B04B2C948B8}"/>
    <cellStyle name="40% - Énfasis3 3 3 2 3 2 2" xfId="46204" xr:uid="{756AEAB7-5F65-4930-8EE5-BD490054035A}"/>
    <cellStyle name="40% - Énfasis3 3 3 2 3 3" xfId="46203" xr:uid="{87755BF2-43AA-4D48-81D3-3AAD2B1F951C}"/>
    <cellStyle name="40% - Énfasis3 3 3 2 4" xfId="17797" xr:uid="{C71065A7-1926-427F-B4F5-7712FAC81A8E}"/>
    <cellStyle name="40% - Énfasis3 3 3 2 4 2" xfId="46205" xr:uid="{A60A4BBA-2582-4682-AEFD-F51C5FBD8906}"/>
    <cellStyle name="40% - Énfasis3 3 3 2 5" xfId="46198" xr:uid="{CABEFD3A-5758-414C-A986-C612DE53BCBE}"/>
    <cellStyle name="40% - Énfasis3 3 3 3" xfId="4645" xr:uid="{BAB77304-4F70-488E-8AD1-F74D7FF2664F}"/>
    <cellStyle name="40% - Énfasis3 3 3 3 2" xfId="12353" xr:uid="{7247B09B-0BD6-40EE-A4F0-ADEAD3148F3E}"/>
    <cellStyle name="40% - Énfasis3 3 3 3 2 2" xfId="27765" xr:uid="{23D614A7-B708-462E-8D43-C73C4339E098}"/>
    <cellStyle name="40% - Énfasis3 3 3 3 2 2 2" xfId="46208" xr:uid="{6695844C-723C-4187-BDD4-2D757FBD34B6}"/>
    <cellStyle name="40% - Énfasis3 3 3 3 2 3" xfId="46207" xr:uid="{57F1F398-8249-4E86-96FB-ADD16DB1D780}"/>
    <cellStyle name="40% - Énfasis3 3 3 3 3" xfId="20060" xr:uid="{28C174E1-0FEE-45A4-9DF0-D6EF0CF42912}"/>
    <cellStyle name="40% - Énfasis3 3 3 3 3 2" xfId="46209" xr:uid="{3E14843B-705C-4E6C-AD3F-7DD6D099FAE4}"/>
    <cellStyle name="40% - Énfasis3 3 3 3 4" xfId="46206" xr:uid="{72AA3009-0D74-4986-86FC-738CBE5A266C}"/>
    <cellStyle name="40% - Énfasis3 3 3 4" xfId="8630" xr:uid="{9837328B-43BA-443A-9972-87D78FC81AC9}"/>
    <cellStyle name="40% - Énfasis3 3 3 4 2" xfId="24043" xr:uid="{D72D53A1-4C9D-47ED-841C-EEBE52A3A28B}"/>
    <cellStyle name="40% - Énfasis3 3 3 4 2 2" xfId="46211" xr:uid="{A2659A64-CB38-4076-A489-907856693BB5}"/>
    <cellStyle name="40% - Énfasis3 3 3 4 3" xfId="46210" xr:uid="{CE7766E7-5450-4FFF-84F8-57BAC3A4DB6F}"/>
    <cellStyle name="40% - Énfasis3 3 3 5" xfId="16338" xr:uid="{2FA03CF1-EA64-4343-B8B8-F48E1D6C30F3}"/>
    <cellStyle name="40% - Énfasis3 3 3 5 2" xfId="46212" xr:uid="{FB73770A-80BD-4EC2-8B8C-E4AA97D2C282}"/>
    <cellStyle name="40% - Énfasis3 3 3 6" xfId="46197" xr:uid="{4889DD0E-789F-46CE-83CD-8CA6CC561C26}"/>
    <cellStyle name="40% - Énfasis3 3 4" xfId="1740" xr:uid="{8BB746EC-CD36-418A-8134-7F5BC4BB401F}"/>
    <cellStyle name="40% - Énfasis3 3 4 2" xfId="5472" xr:uid="{1F18D3BD-04F0-4CE7-BB3E-D48E79CA277B}"/>
    <cellStyle name="40% - Énfasis3 3 4 2 2" xfId="13180" xr:uid="{1016A3E7-B311-47B6-92AE-F1EEF6AA6E2F}"/>
    <cellStyle name="40% - Énfasis3 3 4 2 2 2" xfId="28592" xr:uid="{076DE23C-4D3A-49A2-811C-8BED935D91CB}"/>
    <cellStyle name="40% - Énfasis3 3 4 2 2 2 2" xfId="46216" xr:uid="{7B8E7BD7-E4B2-4C56-BAE5-C1CDB22BE164}"/>
    <cellStyle name="40% - Énfasis3 3 4 2 2 3" xfId="46215" xr:uid="{A843BE50-6397-4429-B23F-5B2EA95ABF0F}"/>
    <cellStyle name="40% - Énfasis3 3 4 2 3" xfId="20887" xr:uid="{CD53539A-854C-41E2-ABB0-C2EECB7531A4}"/>
    <cellStyle name="40% - Énfasis3 3 4 2 3 2" xfId="46217" xr:uid="{AD4616A7-756C-402E-80A8-EAE370D91FDC}"/>
    <cellStyle name="40% - Énfasis3 3 4 2 4" xfId="46214" xr:uid="{1FA7679D-928E-4414-9D0A-603DB52E74FE}"/>
    <cellStyle name="40% - Énfasis3 3 4 3" xfId="9451" xr:uid="{E4E1B17E-D04D-4DFE-B27D-84F6798D1C78}"/>
    <cellStyle name="40% - Énfasis3 3 4 3 2" xfId="24864" xr:uid="{B1DCE96F-D7F9-455F-999A-58E19AD9EEC0}"/>
    <cellStyle name="40% - Énfasis3 3 4 3 2 2" xfId="46219" xr:uid="{CED434AA-03CA-4A7E-B73A-E73C14A80139}"/>
    <cellStyle name="40% - Énfasis3 3 4 3 3" xfId="46218" xr:uid="{6DB68DAE-D415-40C8-8722-9A599493C00F}"/>
    <cellStyle name="40% - Énfasis3 3 4 4" xfId="17159" xr:uid="{8FCF2519-E6EF-4032-8E8C-218FA5CF74EE}"/>
    <cellStyle name="40% - Énfasis3 3 4 4 2" xfId="46220" xr:uid="{274DD0EA-2E89-4EBB-9C47-DBF771130D9C}"/>
    <cellStyle name="40% - Énfasis3 3 4 5" xfId="46213" xr:uid="{6F0DE7D6-5F9F-44B4-87AD-E117EB1A4E03}"/>
    <cellStyle name="40% - Énfasis3 3 5" xfId="3993" xr:uid="{6DB69FC1-37B5-4435-B444-1A62FCDBF4B4}"/>
    <cellStyle name="40% - Énfasis3 3 5 2" xfId="11701" xr:uid="{AB8804E9-2BE4-4979-B700-46CAF01792EB}"/>
    <cellStyle name="40% - Énfasis3 3 5 2 2" xfId="27113" xr:uid="{E5ABC7B4-EAF2-4614-B7A8-623B2AF5649A}"/>
    <cellStyle name="40% - Énfasis3 3 5 2 2 2" xfId="46223" xr:uid="{7416B313-18BD-4587-8011-311D6D43409E}"/>
    <cellStyle name="40% - Énfasis3 3 5 2 3" xfId="46222" xr:uid="{9BAB55A7-DB42-434E-8A62-9662FC3CFB14}"/>
    <cellStyle name="40% - Énfasis3 3 5 3" xfId="19408" xr:uid="{4534B2E2-BF68-4246-9BFC-4C6B37D880B5}"/>
    <cellStyle name="40% - Énfasis3 3 5 3 2" xfId="46224" xr:uid="{B9F65F69-F862-4F80-8B54-4FDC41C44FC4}"/>
    <cellStyle name="40% - Énfasis3 3 5 4" xfId="46221" xr:uid="{8BE3BB5A-6E2C-4CF3-83A8-7A5368EFF03F}"/>
    <cellStyle name="40% - Énfasis3 3 6" xfId="7992" xr:uid="{6214B6A6-12AE-4AAD-ADC6-1AD48EA96D7C}"/>
    <cellStyle name="40% - Énfasis3 3 6 2" xfId="23405" xr:uid="{756C315F-64F0-4019-BCCC-AF449B438746}"/>
    <cellStyle name="40% - Énfasis3 3 6 2 2" xfId="46226" xr:uid="{A0278F5E-8E92-498E-90A2-DF3AF512118E}"/>
    <cellStyle name="40% - Énfasis3 3 6 3" xfId="46225" xr:uid="{258B50A8-8C2F-4224-A155-FFFE070BF8A8}"/>
    <cellStyle name="40% - Énfasis3 3 7" xfId="15700" xr:uid="{735F3A19-E481-4A58-897A-C64E8AC2A2F6}"/>
    <cellStyle name="40% - Énfasis3 3 7 2" xfId="46227" xr:uid="{C5B97EA8-4F62-4438-A28B-CD819354212B}"/>
    <cellStyle name="40% - Énfasis3 3 8" xfId="46164" xr:uid="{B51E0F3A-41AD-4231-A24F-C711E2BDF449}"/>
    <cellStyle name="40% - Énfasis3 30" xfId="3103" xr:uid="{E12F6DB1-0376-49FF-87BE-0473EA8017D4}"/>
    <cellStyle name="40% - Énfasis3 30 2" xfId="6835" xr:uid="{ABE08E8E-3536-4B91-8BE6-3BFD3781C94C}"/>
    <cellStyle name="40% - Énfasis3 30 2 2" xfId="14543" xr:uid="{FF1AF0BA-FB67-4184-81B1-1CDF9DB3B6B3}"/>
    <cellStyle name="40% - Énfasis3 30 2 2 2" xfId="29955" xr:uid="{87C93426-51F0-4164-B4B3-AE644441046A}"/>
    <cellStyle name="40% - Énfasis3 30 2 2 2 2" xfId="46231" xr:uid="{30DB9F0E-E60F-4A8A-A8DF-B7F19B9E1C04}"/>
    <cellStyle name="40% - Énfasis3 30 2 2 3" xfId="46230" xr:uid="{E5F67AB8-F401-4F9B-A2F0-E8D0AB0208D5}"/>
    <cellStyle name="40% - Énfasis3 30 2 3" xfId="22250" xr:uid="{9F086303-86CC-47FD-9FEB-A07ADA5C2890}"/>
    <cellStyle name="40% - Énfasis3 30 2 3 2" xfId="46232" xr:uid="{9DC41D50-F46F-488C-8C8C-2851C6A23B1C}"/>
    <cellStyle name="40% - Énfasis3 30 2 4" xfId="46229" xr:uid="{3D392B0B-618B-4F7D-91E6-61528579BC21}"/>
    <cellStyle name="40% - Énfasis3 30 3" xfId="10814" xr:uid="{8FA1B2F9-90F1-4421-87E0-F5D03541A566}"/>
    <cellStyle name="40% - Énfasis3 30 3 2" xfId="26227" xr:uid="{40063744-2EDF-43AE-9F0D-F00434B2E910}"/>
    <cellStyle name="40% - Énfasis3 30 3 2 2" xfId="46234" xr:uid="{CF1839CF-CD4A-4B62-AF66-5AB625CEA8A0}"/>
    <cellStyle name="40% - Énfasis3 30 3 3" xfId="46233" xr:uid="{A3358BD0-FC29-4DC3-8DCF-E665C72EA1EB}"/>
    <cellStyle name="40% - Énfasis3 30 4" xfId="18522" xr:uid="{54032AFB-770E-4799-BAA5-3EABEBC20CAC}"/>
    <cellStyle name="40% - Énfasis3 30 4 2" xfId="46235" xr:uid="{528F647C-4F3F-41F0-9811-01D660D2C68D}"/>
    <cellStyle name="40% - Énfasis3 30 5" xfId="46228" xr:uid="{ED2EF641-85F8-4E14-ACF9-7678047026B9}"/>
    <cellStyle name="40% - Énfasis3 31" xfId="3123" xr:uid="{DD3457B6-99E5-4841-B7C2-4AFCA7AF36C0}"/>
    <cellStyle name="40% - Énfasis3 31 2" xfId="6855" xr:uid="{6E9C9CA8-C545-43B7-99FE-674785EE9D0B}"/>
    <cellStyle name="40% - Énfasis3 31 2 2" xfId="14563" xr:uid="{4DF8B3FE-4445-4E8A-B571-3D9AB9462B46}"/>
    <cellStyle name="40% - Énfasis3 31 2 2 2" xfId="29975" xr:uid="{E5B3FFC5-46B6-4514-B3D4-C680FF3C5F2A}"/>
    <cellStyle name="40% - Énfasis3 31 2 2 2 2" xfId="46239" xr:uid="{09BC1B71-631C-4F39-B425-B65F0032526F}"/>
    <cellStyle name="40% - Énfasis3 31 2 2 3" xfId="46238" xr:uid="{0804CCDE-005F-45B1-9235-3DA72157A7BD}"/>
    <cellStyle name="40% - Énfasis3 31 2 3" xfId="22270" xr:uid="{30298DD0-836D-44F8-ADC4-7D215EF1C9B3}"/>
    <cellStyle name="40% - Énfasis3 31 2 3 2" xfId="46240" xr:uid="{D0A34637-F89C-4208-B6C7-EDE3ED8DA596}"/>
    <cellStyle name="40% - Énfasis3 31 2 4" xfId="46237" xr:uid="{34753E1C-B5A6-42C0-8A23-95067A022C41}"/>
    <cellStyle name="40% - Énfasis3 31 3" xfId="10834" xr:uid="{67092626-EAFF-463F-9D77-076615736ED0}"/>
    <cellStyle name="40% - Énfasis3 31 3 2" xfId="26247" xr:uid="{CACD9CD0-0EC4-412D-8B34-0EB88E0F1D1F}"/>
    <cellStyle name="40% - Énfasis3 31 3 2 2" xfId="46242" xr:uid="{F95BB48E-225F-4BF7-893A-A47925ABE884}"/>
    <cellStyle name="40% - Énfasis3 31 3 3" xfId="46241" xr:uid="{057C1FF0-6234-4CD8-AEF5-BAF133AD09D9}"/>
    <cellStyle name="40% - Énfasis3 31 4" xfId="18542" xr:uid="{1E8684A5-E1E3-411C-8A15-4154ADA714EA}"/>
    <cellStyle name="40% - Énfasis3 31 4 2" xfId="46243" xr:uid="{BF12BC71-B9B0-4639-AC18-E3BD65A7F7BF}"/>
    <cellStyle name="40% - Énfasis3 31 5" xfId="46236" xr:uid="{3789631A-D093-4218-AAF0-4254CEA402CC}"/>
    <cellStyle name="40% - Énfasis3 32" xfId="3143" xr:uid="{FBC884FD-6BCA-4CB9-97FE-C525A727290A}"/>
    <cellStyle name="40% - Énfasis3 32 2" xfId="6875" xr:uid="{356559B0-9B4C-4674-9A4B-F9AB25FD4BFD}"/>
    <cellStyle name="40% - Énfasis3 32 2 2" xfId="14583" xr:uid="{DB16AD14-9DEF-403A-B743-EF2DEC9C4D41}"/>
    <cellStyle name="40% - Énfasis3 32 2 2 2" xfId="29995" xr:uid="{8FBF4CB9-1E66-4476-989A-9950ED360D41}"/>
    <cellStyle name="40% - Énfasis3 32 2 2 2 2" xfId="46247" xr:uid="{8CB0C5E6-8B57-4F06-A4E6-8C0F8CA9B069}"/>
    <cellStyle name="40% - Énfasis3 32 2 2 3" xfId="46246" xr:uid="{9D6C4963-A460-4304-A341-B8C7E2BCF72E}"/>
    <cellStyle name="40% - Énfasis3 32 2 3" xfId="22290" xr:uid="{14A9F191-8D36-40B2-8629-7C2DA208770A}"/>
    <cellStyle name="40% - Énfasis3 32 2 3 2" xfId="46248" xr:uid="{F9D64508-6967-4EEB-A2C5-3FEE2525C3AF}"/>
    <cellStyle name="40% - Énfasis3 32 2 4" xfId="46245" xr:uid="{40CBDBF4-71FE-453D-9791-C42EC9AF4A71}"/>
    <cellStyle name="40% - Énfasis3 32 3" xfId="10854" xr:uid="{B5C28A9C-150C-445C-A0D9-9C690B67FB45}"/>
    <cellStyle name="40% - Énfasis3 32 3 2" xfId="26267" xr:uid="{357FEFE8-3431-4320-82F4-548FAD71A332}"/>
    <cellStyle name="40% - Énfasis3 32 3 2 2" xfId="46250" xr:uid="{22957317-DC2E-41B7-9AE7-A8D5566F9E60}"/>
    <cellStyle name="40% - Énfasis3 32 3 3" xfId="46249" xr:uid="{20FE052D-437B-4889-8D62-5A1BAC37BAE1}"/>
    <cellStyle name="40% - Énfasis3 32 4" xfId="18562" xr:uid="{FA28F2E2-A061-45D2-9214-349CD6904CAE}"/>
    <cellStyle name="40% - Énfasis3 32 4 2" xfId="46251" xr:uid="{6802BDBD-921D-4062-B1F4-CC02909026D1}"/>
    <cellStyle name="40% - Énfasis3 32 5" xfId="46244" xr:uid="{80E3A3C3-60C2-4ABC-ACCE-A8FD4E92738E}"/>
    <cellStyle name="40% - Énfasis3 33" xfId="3163" xr:uid="{E649DB7D-1847-414C-BE68-67DB0D25D82E}"/>
    <cellStyle name="40% - Énfasis3 33 2" xfId="6895" xr:uid="{A89A6F94-1D3A-44AF-80D6-5BED1BEAD350}"/>
    <cellStyle name="40% - Énfasis3 33 2 2" xfId="14603" xr:uid="{A9A198A7-7198-482C-A141-33BB635D134B}"/>
    <cellStyle name="40% - Énfasis3 33 2 2 2" xfId="30015" xr:uid="{110F4C72-1216-427C-A003-2D8A9D360EC0}"/>
    <cellStyle name="40% - Énfasis3 33 2 2 2 2" xfId="46255" xr:uid="{87752EDE-B15E-4674-802A-0732ACC72126}"/>
    <cellStyle name="40% - Énfasis3 33 2 2 3" xfId="46254" xr:uid="{65B1A10C-0733-4335-80D7-F854AD7CF41C}"/>
    <cellStyle name="40% - Énfasis3 33 2 3" xfId="22310" xr:uid="{7EE88728-3A67-4145-933B-1B4651D31089}"/>
    <cellStyle name="40% - Énfasis3 33 2 3 2" xfId="46256" xr:uid="{E8A4A006-30E5-4EEE-B45F-AD9BFF1289C7}"/>
    <cellStyle name="40% - Énfasis3 33 2 4" xfId="46253" xr:uid="{29600D1C-CFB2-4E61-8698-97328CED51D2}"/>
    <cellStyle name="40% - Énfasis3 33 3" xfId="10874" xr:uid="{8649243D-79E0-4DEA-A3C6-3C23608F625F}"/>
    <cellStyle name="40% - Énfasis3 33 3 2" xfId="26287" xr:uid="{A5F7E845-DCF3-4A6A-A060-61B7E6981418}"/>
    <cellStyle name="40% - Énfasis3 33 3 2 2" xfId="46258" xr:uid="{BDA65A02-63C6-4B81-A4DB-2F23FEBC1E6A}"/>
    <cellStyle name="40% - Énfasis3 33 3 3" xfId="46257" xr:uid="{C7B3D4D7-D622-43FE-832D-32AEC12A4179}"/>
    <cellStyle name="40% - Énfasis3 33 4" xfId="18582" xr:uid="{509664F4-23E3-4777-9A1B-4C60B29D5689}"/>
    <cellStyle name="40% - Énfasis3 33 4 2" xfId="46259" xr:uid="{4A648C84-A6F2-4E0B-AD89-1C52CB4FF0C9}"/>
    <cellStyle name="40% - Énfasis3 33 5" xfId="46252" xr:uid="{A246C1CD-46D1-4624-8836-1E5CC6FE4648}"/>
    <cellStyle name="40% - Énfasis3 34" xfId="3183" xr:uid="{64030AF7-1BE5-4ECA-80C1-BEC60423ED9F}"/>
    <cellStyle name="40% - Énfasis3 34 2" xfId="6915" xr:uid="{2E5C7B44-C973-492B-A0F3-56D547223592}"/>
    <cellStyle name="40% - Énfasis3 34 2 2" xfId="14623" xr:uid="{C5C06FB8-85F5-4DFB-A974-780A408F2A3D}"/>
    <cellStyle name="40% - Énfasis3 34 2 2 2" xfId="30035" xr:uid="{EF57C5F0-143E-4844-A469-64C184A42AD5}"/>
    <cellStyle name="40% - Énfasis3 34 2 2 2 2" xfId="46263" xr:uid="{85AD07DB-0F95-40A6-ABB2-C5A7E04069E6}"/>
    <cellStyle name="40% - Énfasis3 34 2 2 3" xfId="46262" xr:uid="{A26E5D57-ECD7-4E04-B0E7-351951A62249}"/>
    <cellStyle name="40% - Énfasis3 34 2 3" xfId="22330" xr:uid="{760E32DF-F598-4649-9A04-139B8DB06AC5}"/>
    <cellStyle name="40% - Énfasis3 34 2 3 2" xfId="46264" xr:uid="{134314FC-D09A-418B-80FB-4C8BF60AA57B}"/>
    <cellStyle name="40% - Énfasis3 34 2 4" xfId="46261" xr:uid="{4299CA4F-2D4B-4E84-9FAF-208313333773}"/>
    <cellStyle name="40% - Énfasis3 34 3" xfId="10894" xr:uid="{F38250CA-B4C7-4067-8FF0-9A408E30C795}"/>
    <cellStyle name="40% - Énfasis3 34 3 2" xfId="26307" xr:uid="{43B9C7C3-1582-4348-9EE5-F609EE50E8E9}"/>
    <cellStyle name="40% - Énfasis3 34 3 2 2" xfId="46266" xr:uid="{B0DA1D33-A790-4EBD-9B23-251BFFCDF03F}"/>
    <cellStyle name="40% - Énfasis3 34 3 3" xfId="46265" xr:uid="{CFA2A2F2-18F6-4D1D-BEA8-520AFC9AC6F8}"/>
    <cellStyle name="40% - Énfasis3 34 4" xfId="18602" xr:uid="{19FFA5D3-CAE1-4AC7-A898-0935D986B12B}"/>
    <cellStyle name="40% - Énfasis3 34 4 2" xfId="46267" xr:uid="{3569AE67-FB26-4EAE-AA1A-490E67BB9391}"/>
    <cellStyle name="40% - Énfasis3 34 5" xfId="46260" xr:uid="{3FF03427-3468-47BB-BC9D-2C9A095BD4C1}"/>
    <cellStyle name="40% - Énfasis3 35" xfId="3203" xr:uid="{AC53C1E3-4B2F-46B2-9521-BEE05827BD51}"/>
    <cellStyle name="40% - Énfasis3 35 2" xfId="6935" xr:uid="{62567C41-83B2-4C12-AE1C-0BE3B0635583}"/>
    <cellStyle name="40% - Énfasis3 35 2 2" xfId="14643" xr:uid="{A8517F6B-72F7-4392-A79E-97CB8C9BA048}"/>
    <cellStyle name="40% - Énfasis3 35 2 2 2" xfId="30055" xr:uid="{120FFF42-E47A-4E09-A84D-FE7FC1E47F19}"/>
    <cellStyle name="40% - Énfasis3 35 2 2 2 2" xfId="46271" xr:uid="{042AECFB-71F2-442C-9672-B0C71B00EA62}"/>
    <cellStyle name="40% - Énfasis3 35 2 2 3" xfId="46270" xr:uid="{D88303C2-5D90-40ED-BD54-C5D5157016E4}"/>
    <cellStyle name="40% - Énfasis3 35 2 3" xfId="22350" xr:uid="{41B66212-09E7-4DB3-BE82-DA78E64649E9}"/>
    <cellStyle name="40% - Énfasis3 35 2 3 2" xfId="46272" xr:uid="{5DCA3EC4-277F-414D-B2CB-9F82FD21F5A8}"/>
    <cellStyle name="40% - Énfasis3 35 2 4" xfId="46269" xr:uid="{20632257-9585-49B4-87B5-D4659E973176}"/>
    <cellStyle name="40% - Énfasis3 35 3" xfId="10914" xr:uid="{613F9D13-E3DA-4B0F-960A-9CFF29497375}"/>
    <cellStyle name="40% - Énfasis3 35 3 2" xfId="26327" xr:uid="{9D36CE37-D50E-4764-8596-0BDCB3BBD49D}"/>
    <cellStyle name="40% - Énfasis3 35 3 2 2" xfId="46274" xr:uid="{ADD25653-7A19-4E8D-93F0-73119467729D}"/>
    <cellStyle name="40% - Énfasis3 35 3 3" xfId="46273" xr:uid="{BEACB76B-3EA8-4D1F-8B76-2243FE290B28}"/>
    <cellStyle name="40% - Énfasis3 35 4" xfId="18622" xr:uid="{4C206B0B-DC7F-49A9-88E3-324B50AF82D6}"/>
    <cellStyle name="40% - Énfasis3 35 4 2" xfId="46275" xr:uid="{89503A5D-B0A3-4221-8B41-FD2BF05C5E9A}"/>
    <cellStyle name="40% - Énfasis3 35 5" xfId="46268" xr:uid="{7F97FA86-BFC5-496D-BDAB-61AE342E549F}"/>
    <cellStyle name="40% - Énfasis3 36" xfId="3223" xr:uid="{2CF37BF3-2D0A-4E90-A3F3-DA602E4B8272}"/>
    <cellStyle name="40% - Énfasis3 36 2" xfId="6955" xr:uid="{D59A42C1-2453-4437-AF99-BC5DBF01CCC5}"/>
    <cellStyle name="40% - Énfasis3 36 2 2" xfId="14663" xr:uid="{F312A464-8F89-4744-9122-1B6796AF36EB}"/>
    <cellStyle name="40% - Énfasis3 36 2 2 2" xfId="30075" xr:uid="{AD33E89E-F5D7-42B4-A2DA-F565FE79A3B4}"/>
    <cellStyle name="40% - Énfasis3 36 2 2 2 2" xfId="46279" xr:uid="{49FA2DF3-6EB8-4669-A0DC-19A47DE65829}"/>
    <cellStyle name="40% - Énfasis3 36 2 2 3" xfId="46278" xr:uid="{912D273E-6651-44D2-8364-1F920A10A77A}"/>
    <cellStyle name="40% - Énfasis3 36 2 3" xfId="22370" xr:uid="{FA1684F4-5696-47F4-83C5-06317AB50C07}"/>
    <cellStyle name="40% - Énfasis3 36 2 3 2" xfId="46280" xr:uid="{CBAE3947-9E05-4C4C-A89F-C3B73D608F2F}"/>
    <cellStyle name="40% - Énfasis3 36 2 4" xfId="46277" xr:uid="{A62AAD13-27DB-48BB-8C3A-358F94BE039B}"/>
    <cellStyle name="40% - Énfasis3 36 3" xfId="10934" xr:uid="{7BB028FC-64E1-45C7-BCF8-D06667712675}"/>
    <cellStyle name="40% - Énfasis3 36 3 2" xfId="26347" xr:uid="{C28241FD-9B75-4209-B55D-6CC2D781F12A}"/>
    <cellStyle name="40% - Énfasis3 36 3 2 2" xfId="46282" xr:uid="{40676CEB-6AED-4299-8BC2-BBF1C85E7770}"/>
    <cellStyle name="40% - Énfasis3 36 3 3" xfId="46281" xr:uid="{C4BAC934-866A-4CF6-B8F9-8D9DA406B0E9}"/>
    <cellStyle name="40% - Énfasis3 36 4" xfId="18642" xr:uid="{9335678D-6A47-4A07-BAF5-7F6978F6220E}"/>
    <cellStyle name="40% - Énfasis3 36 4 2" xfId="46283" xr:uid="{94B396EA-9F9A-4CA6-ACB9-4D86387B415E}"/>
    <cellStyle name="40% - Énfasis3 36 5" xfId="46276" xr:uid="{8AA99BDC-77D2-4223-B830-96A3348C214E}"/>
    <cellStyle name="40% - Énfasis3 37" xfId="3243" xr:uid="{3E7C3A2C-A12D-4183-8721-82C0959D536C}"/>
    <cellStyle name="40% - Énfasis3 37 2" xfId="6975" xr:uid="{DA90C091-0A46-4417-8100-F6A413777938}"/>
    <cellStyle name="40% - Énfasis3 37 2 2" xfId="14683" xr:uid="{FAF9A918-85E4-4B18-963F-0895911857C8}"/>
    <cellStyle name="40% - Énfasis3 37 2 2 2" xfId="30095" xr:uid="{8D0C917A-0040-4C47-842E-8D9170B3CCD7}"/>
    <cellStyle name="40% - Énfasis3 37 2 2 2 2" xfId="46287" xr:uid="{A6B41693-0B42-4A91-8CAA-4CD8EFEB3B22}"/>
    <cellStyle name="40% - Énfasis3 37 2 2 3" xfId="46286" xr:uid="{C6C93D99-292A-41F7-832B-D7EB562AA0BB}"/>
    <cellStyle name="40% - Énfasis3 37 2 3" xfId="22390" xr:uid="{1C8BA621-4D29-4B9E-AA00-11E39ED96BB2}"/>
    <cellStyle name="40% - Énfasis3 37 2 3 2" xfId="46288" xr:uid="{20426E26-BC86-4C70-8623-7EF92D6EE077}"/>
    <cellStyle name="40% - Énfasis3 37 2 4" xfId="46285" xr:uid="{6AAE8966-3200-4341-8BFE-0A2C220CB324}"/>
    <cellStyle name="40% - Énfasis3 37 3" xfId="10954" xr:uid="{A588EB06-EE9B-4281-BF42-95A0369F5102}"/>
    <cellStyle name="40% - Énfasis3 37 3 2" xfId="26367" xr:uid="{31686500-2546-4EDF-AFD8-EED0FD62A7BB}"/>
    <cellStyle name="40% - Énfasis3 37 3 2 2" xfId="46290" xr:uid="{A6104D53-A996-4A74-BFAC-68D9EC2A71AE}"/>
    <cellStyle name="40% - Énfasis3 37 3 3" xfId="46289" xr:uid="{D234F101-4FFA-4FD4-B513-441C6691EC74}"/>
    <cellStyle name="40% - Énfasis3 37 4" xfId="18662" xr:uid="{6D4797EF-C41A-4097-A909-065014948B30}"/>
    <cellStyle name="40% - Énfasis3 37 4 2" xfId="46291" xr:uid="{FC876726-27E3-4FED-B52F-AC3F1DCE6791}"/>
    <cellStyle name="40% - Énfasis3 37 5" xfId="46284" xr:uid="{6CE2CC01-0F13-4C73-B52D-59040852A211}"/>
    <cellStyle name="40% - Énfasis3 38" xfId="3263" xr:uid="{F862CC39-8A0B-4DB9-A9C1-C6DB01D88127}"/>
    <cellStyle name="40% - Énfasis3 38 2" xfId="6995" xr:uid="{96C73E0B-A8C1-4D9D-9E5C-7E924790CA89}"/>
    <cellStyle name="40% - Énfasis3 38 2 2" xfId="14703" xr:uid="{4428C451-C2F6-4B0B-90CF-16B5C50BC061}"/>
    <cellStyle name="40% - Énfasis3 38 2 2 2" xfId="30115" xr:uid="{2D954C9B-3F99-4A9C-BBA8-506B281E2CB1}"/>
    <cellStyle name="40% - Énfasis3 38 2 2 2 2" xfId="46295" xr:uid="{6214CA16-C62C-4A68-8EB5-0D5B41682BAF}"/>
    <cellStyle name="40% - Énfasis3 38 2 2 3" xfId="46294" xr:uid="{613D4833-2C4F-482F-81E3-7BCBFBB4748D}"/>
    <cellStyle name="40% - Énfasis3 38 2 3" xfId="22410" xr:uid="{4F3129C0-C206-43D8-91E4-541FA0CAC38E}"/>
    <cellStyle name="40% - Énfasis3 38 2 3 2" xfId="46296" xr:uid="{27F9B4A9-5738-4148-B7BD-D34BF0162A7C}"/>
    <cellStyle name="40% - Énfasis3 38 2 4" xfId="46293" xr:uid="{1501152D-4A9B-4BEC-A0C3-0A7BF5A91B59}"/>
    <cellStyle name="40% - Énfasis3 38 3" xfId="10974" xr:uid="{6219E113-EE7B-4506-9CF6-85C38624FC07}"/>
    <cellStyle name="40% - Énfasis3 38 3 2" xfId="26387" xr:uid="{1307AEB9-0EF5-4396-AC35-61FDC6359F68}"/>
    <cellStyle name="40% - Énfasis3 38 3 2 2" xfId="46298" xr:uid="{D8032475-64A3-4029-81C4-FDA8CCAEE519}"/>
    <cellStyle name="40% - Énfasis3 38 3 3" xfId="46297" xr:uid="{4806CAD7-B59A-444D-BD68-04902A21817A}"/>
    <cellStyle name="40% - Énfasis3 38 4" xfId="18682" xr:uid="{6445BCFF-F626-4AD2-945B-32EACDBD4C0E}"/>
    <cellStyle name="40% - Énfasis3 38 4 2" xfId="46299" xr:uid="{F448D3BD-23F7-44E7-8989-DF99BB3F62F8}"/>
    <cellStyle name="40% - Énfasis3 38 5" xfId="46292" xr:uid="{A927BFCA-F571-4652-8479-7FC6EA1031F5}"/>
    <cellStyle name="40% - Énfasis3 39" xfId="3283" xr:uid="{323B1680-AD8E-42E1-BB59-320D4F2BFEBE}"/>
    <cellStyle name="40% - Énfasis3 39 2" xfId="7015" xr:uid="{73E1A01A-C96C-465B-B851-96EE31CCB52F}"/>
    <cellStyle name="40% - Énfasis3 39 2 2" xfId="14723" xr:uid="{88CF3147-040A-4BAA-8EBE-79AE41F11B8C}"/>
    <cellStyle name="40% - Énfasis3 39 2 2 2" xfId="30135" xr:uid="{A6D834FF-148D-46D2-A10D-3CDD27A7E8FB}"/>
    <cellStyle name="40% - Énfasis3 39 2 2 2 2" xfId="46303" xr:uid="{A18CE960-7961-402C-A799-BA745F8018FF}"/>
    <cellStyle name="40% - Énfasis3 39 2 2 3" xfId="46302" xr:uid="{72235E63-01F2-4AFC-BEF6-B341319FA2D9}"/>
    <cellStyle name="40% - Énfasis3 39 2 3" xfId="22430" xr:uid="{AD320D04-B3B8-4223-8F70-A62305147E69}"/>
    <cellStyle name="40% - Énfasis3 39 2 3 2" xfId="46304" xr:uid="{7BDE2F1E-FBC7-4C99-A5D5-24929FFA87F8}"/>
    <cellStyle name="40% - Énfasis3 39 2 4" xfId="46301" xr:uid="{A97F6B1F-2B35-400A-8D0E-F892A0621259}"/>
    <cellStyle name="40% - Énfasis3 39 3" xfId="10994" xr:uid="{038C9B5B-73FF-432E-BBCD-35106E5533D1}"/>
    <cellStyle name="40% - Énfasis3 39 3 2" xfId="26407" xr:uid="{D0B4167E-B538-4EA8-BC81-5DE5F04574E3}"/>
    <cellStyle name="40% - Énfasis3 39 3 2 2" xfId="46306" xr:uid="{3BBF2B3E-1ECA-4B5B-B740-EF89E3E6A3E2}"/>
    <cellStyle name="40% - Énfasis3 39 3 3" xfId="46305" xr:uid="{E7F7A4A7-C7F5-4261-9BE7-4AD465136B3B}"/>
    <cellStyle name="40% - Énfasis3 39 4" xfId="18702" xr:uid="{66F3CF49-B064-4279-B5E9-5E29B60840BE}"/>
    <cellStyle name="40% - Énfasis3 39 4 2" xfId="46307" xr:uid="{6CC7FF41-D94E-4114-B7C6-A2943471678A}"/>
    <cellStyle name="40% - Énfasis3 39 5" xfId="46300" xr:uid="{5ACBF8E9-508B-4198-B1B7-B08D9FC7132B}"/>
    <cellStyle name="40% - Énfasis3 4" xfId="268" xr:uid="{85729CA1-414C-41E5-B3E6-ADCA3D4C7DEE}"/>
    <cellStyle name="40% - Énfasis3 4 2" xfId="471" xr:uid="{8F6BFB4C-7EE1-4157-BE45-4E5BC079ACA2}"/>
    <cellStyle name="40% - Énfasis3 4 2 2" xfId="1132" xr:uid="{0E918A16-250A-4DC1-888D-8357972731E8}"/>
    <cellStyle name="40% - Énfasis3 4 2 2 2" xfId="2600" xr:uid="{F4FE6F36-78B5-4382-9A88-D7E9555B1D1C}"/>
    <cellStyle name="40% - Énfasis3 4 2 2 2 2" xfId="6332" xr:uid="{FA032B6F-5ED3-4E43-A251-F090841E6DBB}"/>
    <cellStyle name="40% - Énfasis3 4 2 2 2 2 2" xfId="14040" xr:uid="{C78FB93C-BE75-41CF-9FE3-6F514CD697A7}"/>
    <cellStyle name="40% - Énfasis3 4 2 2 2 2 2 2" xfId="29452" xr:uid="{FE58C05C-31BF-4FAD-87D3-89DF58733223}"/>
    <cellStyle name="40% - Énfasis3 4 2 2 2 2 2 2 2" xfId="46314" xr:uid="{124443C1-CA23-4227-BE64-58217D003EDA}"/>
    <cellStyle name="40% - Énfasis3 4 2 2 2 2 2 3" xfId="46313" xr:uid="{6BFC0199-5C8F-403D-8246-0E152381EDB5}"/>
    <cellStyle name="40% - Énfasis3 4 2 2 2 2 3" xfId="21747" xr:uid="{919AAB04-66B7-4857-91F6-9EDA5842E37C}"/>
    <cellStyle name="40% - Énfasis3 4 2 2 2 2 3 2" xfId="46315" xr:uid="{DCBEF932-ED46-45FB-9437-094FBD607682}"/>
    <cellStyle name="40% - Énfasis3 4 2 2 2 2 4" xfId="46312" xr:uid="{F5D049DA-4403-40D2-B017-656D5BB7E187}"/>
    <cellStyle name="40% - Énfasis3 4 2 2 2 3" xfId="10311" xr:uid="{46E6BAA5-460E-4D79-8F0F-D61072C1B842}"/>
    <cellStyle name="40% - Énfasis3 4 2 2 2 3 2" xfId="25724" xr:uid="{09D8E8F4-315B-400D-9DEC-438A1E4CD647}"/>
    <cellStyle name="40% - Énfasis3 4 2 2 2 3 2 2" xfId="46317" xr:uid="{1AC8E467-10AB-4042-89A7-C94B223549CA}"/>
    <cellStyle name="40% - Énfasis3 4 2 2 2 3 3" xfId="46316" xr:uid="{5DCC3AF8-B460-4EB6-9B51-26D1F61B9BA1}"/>
    <cellStyle name="40% - Énfasis3 4 2 2 2 4" xfId="18019" xr:uid="{7E445719-79E7-4653-A2BB-73FADFBA7234}"/>
    <cellStyle name="40% - Énfasis3 4 2 2 2 4 2" xfId="46318" xr:uid="{E610516C-5CAA-4BD6-8EEE-51D08D90C6F7}"/>
    <cellStyle name="40% - Énfasis3 4 2 2 2 5" xfId="46311" xr:uid="{9ED28F1E-BDF5-4359-8115-0808171CE51B}"/>
    <cellStyle name="40% - Énfasis3 4 2 2 3" xfId="4869" xr:uid="{E1DDB514-64C0-4849-8E35-19E17BD701FE}"/>
    <cellStyle name="40% - Énfasis3 4 2 2 3 2" xfId="12577" xr:uid="{2849F1B5-FE82-45ED-9DCB-AAC3934C2BC1}"/>
    <cellStyle name="40% - Énfasis3 4 2 2 3 2 2" xfId="27989" xr:uid="{C3294584-4D46-4F5C-9238-4C1A4F6CA745}"/>
    <cellStyle name="40% - Énfasis3 4 2 2 3 2 2 2" xfId="46321" xr:uid="{6107A260-AEBB-4421-9944-39517E73F27C}"/>
    <cellStyle name="40% - Énfasis3 4 2 2 3 2 3" xfId="46320" xr:uid="{1600C6E0-C7E4-4666-96D3-F3DF5431C57B}"/>
    <cellStyle name="40% - Énfasis3 4 2 2 3 3" xfId="20284" xr:uid="{7CEFD116-AE37-4242-BBB6-D1DB74FB410E}"/>
    <cellStyle name="40% - Énfasis3 4 2 2 3 3 2" xfId="46322" xr:uid="{49D57B45-09D0-443E-9AA4-3AE9349E2A29}"/>
    <cellStyle name="40% - Énfasis3 4 2 2 3 4" xfId="46319" xr:uid="{541F07F0-AD59-4FDB-B604-5E606D5DF8E0}"/>
    <cellStyle name="40% - Énfasis3 4 2 2 4" xfId="8852" xr:uid="{3EF27A8F-E92B-45EA-9CE9-A44EAFECCEDD}"/>
    <cellStyle name="40% - Énfasis3 4 2 2 4 2" xfId="24265" xr:uid="{602ABB24-6332-4F71-B7D5-79A7A53A7B35}"/>
    <cellStyle name="40% - Énfasis3 4 2 2 4 2 2" xfId="46324" xr:uid="{B85DE0A6-B746-4D81-BF14-B698DEC97B88}"/>
    <cellStyle name="40% - Énfasis3 4 2 2 4 3" xfId="46323" xr:uid="{14895CDE-26EE-47A6-BBA8-36F4E4F33AA9}"/>
    <cellStyle name="40% - Énfasis3 4 2 2 5" xfId="16560" xr:uid="{DE64F4F3-D651-4AA6-8DC6-1B16A2CA407E}"/>
    <cellStyle name="40% - Énfasis3 4 2 2 5 2" xfId="46325" xr:uid="{35212310-80CC-4CEC-9FC5-BAE5FBF0EC59}"/>
    <cellStyle name="40% - Énfasis3 4 2 2 6" xfId="46310" xr:uid="{63E1EDE5-5175-44CD-B5DC-65D1FAD57268}"/>
    <cellStyle name="40% - Énfasis3 4 2 3" xfId="1962" xr:uid="{F580EB80-E780-4DF8-99BB-CAACFF58D48A}"/>
    <cellStyle name="40% - Énfasis3 4 2 3 2" xfId="5694" xr:uid="{5FF17BB3-54A0-4659-BBC1-1EDDE115F348}"/>
    <cellStyle name="40% - Énfasis3 4 2 3 2 2" xfId="13402" xr:uid="{A84C0F46-8EEB-4E40-9353-885A43D3E1FB}"/>
    <cellStyle name="40% - Énfasis3 4 2 3 2 2 2" xfId="28814" xr:uid="{B57067EB-A638-41EA-B471-72530E017F5C}"/>
    <cellStyle name="40% - Énfasis3 4 2 3 2 2 2 2" xfId="46329" xr:uid="{31CE563D-7446-4CB1-836C-5A57918E0D4C}"/>
    <cellStyle name="40% - Énfasis3 4 2 3 2 2 3" xfId="46328" xr:uid="{D3439B4B-ECC3-4CA8-AABE-E89D4743C699}"/>
    <cellStyle name="40% - Énfasis3 4 2 3 2 3" xfId="21109" xr:uid="{3CA994C5-7E03-4B4E-8B82-A5CFE09260D6}"/>
    <cellStyle name="40% - Énfasis3 4 2 3 2 3 2" xfId="46330" xr:uid="{7A7CFB92-82BA-423C-90E3-F9DE66A06489}"/>
    <cellStyle name="40% - Énfasis3 4 2 3 2 4" xfId="46327" xr:uid="{2EB42FBF-5958-409B-A091-0212525DA78E}"/>
    <cellStyle name="40% - Énfasis3 4 2 3 3" xfId="9673" xr:uid="{EC3D7CFC-9B11-4307-B34F-8CCCB46BD0DB}"/>
    <cellStyle name="40% - Énfasis3 4 2 3 3 2" xfId="25086" xr:uid="{24B392F2-1F3D-4D3C-BBAA-1EBF7A10F360}"/>
    <cellStyle name="40% - Énfasis3 4 2 3 3 2 2" xfId="46332" xr:uid="{ECC02C06-40E3-4C51-9787-87B447BFEAC6}"/>
    <cellStyle name="40% - Énfasis3 4 2 3 3 3" xfId="46331" xr:uid="{84C247B7-73AC-439B-AFCA-813C4F5C01E6}"/>
    <cellStyle name="40% - Énfasis3 4 2 3 4" xfId="17381" xr:uid="{77DC1AD3-F383-4F1E-ADE2-A43EB4A83339}"/>
    <cellStyle name="40% - Énfasis3 4 2 3 4 2" xfId="46333" xr:uid="{7AAC2290-5EAF-4CF3-B0B0-FFBCBD9F7E9C}"/>
    <cellStyle name="40% - Énfasis3 4 2 3 5" xfId="46326" xr:uid="{B8CA5494-86BE-420A-BF44-B1DA353FD6D2}"/>
    <cellStyle name="40% - Énfasis3 4 2 4" xfId="4217" xr:uid="{65514B76-8ABD-412B-AFB1-15F2EC42EE84}"/>
    <cellStyle name="40% - Énfasis3 4 2 4 2" xfId="11925" xr:uid="{14259E7A-DD32-4D71-B700-19F8B122F75E}"/>
    <cellStyle name="40% - Énfasis3 4 2 4 2 2" xfId="27337" xr:uid="{E3CE32A1-6925-491B-B602-D5CAEE2E9BFF}"/>
    <cellStyle name="40% - Énfasis3 4 2 4 2 2 2" xfId="46336" xr:uid="{78ABCB67-39DE-4951-B951-9D12DD87A373}"/>
    <cellStyle name="40% - Énfasis3 4 2 4 2 3" xfId="46335" xr:uid="{2C14155E-F882-43A7-AC10-A70317BB8377}"/>
    <cellStyle name="40% - Énfasis3 4 2 4 3" xfId="19632" xr:uid="{5CC59A28-8F84-49EE-A709-C54FB4D1C485}"/>
    <cellStyle name="40% - Énfasis3 4 2 4 3 2" xfId="46337" xr:uid="{5FC5485B-8551-4DA7-8AA7-F801F7CBDBDE}"/>
    <cellStyle name="40% - Énfasis3 4 2 4 4" xfId="46334" xr:uid="{CB15D6D0-EAF6-49AD-A019-F3CDCB92C95D}"/>
    <cellStyle name="40% - Énfasis3 4 2 5" xfId="8214" xr:uid="{52A528AC-5C44-4416-BEE3-6877974E9A3D}"/>
    <cellStyle name="40% - Énfasis3 4 2 5 2" xfId="23627" xr:uid="{8AC75AE9-6A35-435D-8795-40B94A37DED4}"/>
    <cellStyle name="40% - Énfasis3 4 2 5 2 2" xfId="46339" xr:uid="{F7F1A4ED-6B35-43D6-88BB-0AA208FBB6CA}"/>
    <cellStyle name="40% - Énfasis3 4 2 5 3" xfId="46338" xr:uid="{F4E3212A-BBE6-429F-8BA0-4EA5BC472BF6}"/>
    <cellStyle name="40% - Énfasis3 4 2 6" xfId="15922" xr:uid="{45CC4927-39D4-437B-9E49-8ED4F3D5C8E7}"/>
    <cellStyle name="40% - Énfasis3 4 2 6 2" xfId="46340" xr:uid="{08C7DFE9-3A32-4CA4-8579-667F963F823C}"/>
    <cellStyle name="40% - Énfasis3 4 2 7" xfId="46309" xr:uid="{333815E7-AD85-478F-B73A-824BCB46446B}"/>
    <cellStyle name="40% - Énfasis3 4 3" xfId="932" xr:uid="{5EDF947E-7147-4EB5-8063-6203A821AEAB}"/>
    <cellStyle name="40% - Énfasis3 4 3 2" xfId="2402" xr:uid="{75C3FF68-6AAE-4C99-B716-65BA887C5831}"/>
    <cellStyle name="40% - Énfasis3 4 3 2 2" xfId="6134" xr:uid="{7E3AEF76-1E25-4C00-B891-C669049379AF}"/>
    <cellStyle name="40% - Énfasis3 4 3 2 2 2" xfId="13842" xr:uid="{EC907668-A0D6-4C65-886C-9E28823CC100}"/>
    <cellStyle name="40% - Énfasis3 4 3 2 2 2 2" xfId="29254" xr:uid="{46689B47-A25B-4821-AF86-60F223C7072E}"/>
    <cellStyle name="40% - Énfasis3 4 3 2 2 2 2 2" xfId="46345" xr:uid="{9BA0E8D2-C900-4822-BCC2-DB64BB6DC118}"/>
    <cellStyle name="40% - Énfasis3 4 3 2 2 2 3" xfId="46344" xr:uid="{91D1607E-B576-4C1D-A6F7-00F5FB5BEA90}"/>
    <cellStyle name="40% - Énfasis3 4 3 2 2 3" xfId="21549" xr:uid="{69BDA0E0-6C99-4001-BCDC-B208CBEE5667}"/>
    <cellStyle name="40% - Énfasis3 4 3 2 2 3 2" xfId="46346" xr:uid="{A9BAB2A5-BBD5-4B74-B595-5A1889936E80}"/>
    <cellStyle name="40% - Énfasis3 4 3 2 2 4" xfId="46343" xr:uid="{7DB4BB6D-8F9D-4CC7-965F-329CAA8C5F3A}"/>
    <cellStyle name="40% - Énfasis3 4 3 2 3" xfId="10113" xr:uid="{68DE8AEF-C309-458A-AF04-C98CA2C74484}"/>
    <cellStyle name="40% - Énfasis3 4 3 2 3 2" xfId="25526" xr:uid="{AEDCF9C4-DEE5-4528-A5D4-5AA9EE410D1D}"/>
    <cellStyle name="40% - Énfasis3 4 3 2 3 2 2" xfId="46348" xr:uid="{D4180EED-7F55-4237-BD43-B626226FA0BF}"/>
    <cellStyle name="40% - Énfasis3 4 3 2 3 3" xfId="46347" xr:uid="{5D227F91-BCA5-48B9-82EF-3CB74DD74661}"/>
    <cellStyle name="40% - Énfasis3 4 3 2 4" xfId="17821" xr:uid="{8A54741F-34DF-4C4D-84EB-14C5A250456B}"/>
    <cellStyle name="40% - Énfasis3 4 3 2 4 2" xfId="46349" xr:uid="{148B54AB-5958-4B78-AAB8-C3E51ED03AC8}"/>
    <cellStyle name="40% - Énfasis3 4 3 2 5" xfId="46342" xr:uid="{7DC06F4C-BCF6-420C-A4A9-933B1696118E}"/>
    <cellStyle name="40% - Énfasis3 4 3 3" xfId="4669" xr:uid="{FE2B98C2-6DEF-4C8C-9D3B-7E29D9600173}"/>
    <cellStyle name="40% - Énfasis3 4 3 3 2" xfId="12377" xr:uid="{2FA8B46C-FD2A-4EAB-A625-E57F707187F7}"/>
    <cellStyle name="40% - Énfasis3 4 3 3 2 2" xfId="27789" xr:uid="{3F851B58-6AB4-422C-AF5B-5F49D3C7E292}"/>
    <cellStyle name="40% - Énfasis3 4 3 3 2 2 2" xfId="46352" xr:uid="{38A590E3-72CF-4E85-9C71-FE02FEA93FC1}"/>
    <cellStyle name="40% - Énfasis3 4 3 3 2 3" xfId="46351" xr:uid="{B157EDDE-C79F-47EC-BDAC-DAFC8E3EDA09}"/>
    <cellStyle name="40% - Énfasis3 4 3 3 3" xfId="20084" xr:uid="{326A3693-93EF-4AF0-BAE7-3FC61614049A}"/>
    <cellStyle name="40% - Énfasis3 4 3 3 3 2" xfId="46353" xr:uid="{093D5536-D164-40CA-A591-C1BF5E285C60}"/>
    <cellStyle name="40% - Énfasis3 4 3 3 4" xfId="46350" xr:uid="{E943AB8E-0D55-4518-9E66-18DD796A44E8}"/>
    <cellStyle name="40% - Énfasis3 4 3 4" xfId="8654" xr:uid="{AAC33C27-F8E4-4BC7-A939-A4FFB6D9284D}"/>
    <cellStyle name="40% - Énfasis3 4 3 4 2" xfId="24067" xr:uid="{A6077283-8DA7-4D40-BFC5-698209FB37EB}"/>
    <cellStyle name="40% - Énfasis3 4 3 4 2 2" xfId="46355" xr:uid="{C2307F8B-2FBE-4327-9425-D19B95C5CCB9}"/>
    <cellStyle name="40% - Énfasis3 4 3 4 3" xfId="46354" xr:uid="{CDEA9FCA-7915-4F4B-B9AB-95B75D9DE8F9}"/>
    <cellStyle name="40% - Énfasis3 4 3 5" xfId="16362" xr:uid="{B9C989E1-379E-4DD1-AFF1-2395A978AE6E}"/>
    <cellStyle name="40% - Énfasis3 4 3 5 2" xfId="46356" xr:uid="{347F189F-D77B-454E-AF37-FAC49F9DC3DC}"/>
    <cellStyle name="40% - Énfasis3 4 3 6" xfId="46341" xr:uid="{14EC1AB6-C446-4990-B5A5-774AB0F87089}"/>
    <cellStyle name="40% - Énfasis3 4 4" xfId="1764" xr:uid="{1E8B2393-B00E-409F-A867-EBCE4FEB23C4}"/>
    <cellStyle name="40% - Énfasis3 4 4 2" xfId="5496" xr:uid="{61D46789-DB78-4DAE-A80D-4BEA8C5F4A70}"/>
    <cellStyle name="40% - Énfasis3 4 4 2 2" xfId="13204" xr:uid="{A82D76BC-0E82-4409-82D1-7506CE97D61E}"/>
    <cellStyle name="40% - Énfasis3 4 4 2 2 2" xfId="28616" xr:uid="{D1AF39A5-CF3A-4E3F-A283-83A56EE80026}"/>
    <cellStyle name="40% - Énfasis3 4 4 2 2 2 2" xfId="46360" xr:uid="{183236E1-3D5F-4A65-B630-9A7A6E2E0417}"/>
    <cellStyle name="40% - Énfasis3 4 4 2 2 3" xfId="46359" xr:uid="{9D713FC8-D7A2-44FF-9B34-6E99AE463C87}"/>
    <cellStyle name="40% - Énfasis3 4 4 2 3" xfId="20911" xr:uid="{6D991E25-D8A8-480F-BB6E-41EE75690016}"/>
    <cellStyle name="40% - Énfasis3 4 4 2 3 2" xfId="46361" xr:uid="{4A2F1A27-05E7-4A33-9D1E-9BB4F8AE33E4}"/>
    <cellStyle name="40% - Énfasis3 4 4 2 4" xfId="46358" xr:uid="{DEBD23B2-B465-4E4A-AFAB-7A29A6CD5BFA}"/>
    <cellStyle name="40% - Énfasis3 4 4 3" xfId="9475" xr:uid="{7394B366-3A5D-4A84-8209-A03A2D4D73C9}"/>
    <cellStyle name="40% - Énfasis3 4 4 3 2" xfId="24888" xr:uid="{0465F113-A6EC-4AD7-95DB-00096000A010}"/>
    <cellStyle name="40% - Énfasis3 4 4 3 2 2" xfId="46363" xr:uid="{9E6920C3-C76E-45A7-A17B-54B777E41E55}"/>
    <cellStyle name="40% - Énfasis3 4 4 3 3" xfId="46362" xr:uid="{FE78EDA0-B51C-4E9D-A8D3-176C2D8CD0F7}"/>
    <cellStyle name="40% - Énfasis3 4 4 4" xfId="17183" xr:uid="{985595E6-6047-4EC2-9F6F-3A6F63E27B59}"/>
    <cellStyle name="40% - Énfasis3 4 4 4 2" xfId="46364" xr:uid="{A87B48CA-5B31-4F69-87DA-E0A06F40C6DA}"/>
    <cellStyle name="40% - Énfasis3 4 4 5" xfId="46357" xr:uid="{6B629791-52EA-4E1A-A4B8-E525BCBFB6FE}"/>
    <cellStyle name="40% - Énfasis3 4 5" xfId="4017" xr:uid="{DF87694F-6C49-4E9C-A337-B32903013BB1}"/>
    <cellStyle name="40% - Énfasis3 4 5 2" xfId="11725" xr:uid="{F2D8BD1B-D286-4B6E-B94C-82D6653EA72E}"/>
    <cellStyle name="40% - Énfasis3 4 5 2 2" xfId="27137" xr:uid="{D83F851D-8B70-424B-AE5D-69493151DEFD}"/>
    <cellStyle name="40% - Énfasis3 4 5 2 2 2" xfId="46367" xr:uid="{E525E67E-AEA6-427F-A563-F29A5BC325BF}"/>
    <cellStyle name="40% - Énfasis3 4 5 2 3" xfId="46366" xr:uid="{F63BF52D-F838-4FDA-AA07-413FDAD88B6C}"/>
    <cellStyle name="40% - Énfasis3 4 5 3" xfId="19432" xr:uid="{FB919CD0-AE1F-43B1-A6E2-9790D6C2C49B}"/>
    <cellStyle name="40% - Énfasis3 4 5 3 2" xfId="46368" xr:uid="{208A89ED-8314-4F2F-8D21-D1F481E9622B}"/>
    <cellStyle name="40% - Énfasis3 4 5 4" xfId="46365" xr:uid="{6BB6F0C9-A75E-42CA-BAB3-F777520EC94D}"/>
    <cellStyle name="40% - Énfasis3 4 6" xfId="8016" xr:uid="{10C39B74-96C9-43AE-88E7-1ADD3FE15ACB}"/>
    <cellStyle name="40% - Énfasis3 4 6 2" xfId="23429" xr:uid="{2D6D9FB7-4294-4A75-93A7-FC66F20DD704}"/>
    <cellStyle name="40% - Énfasis3 4 6 2 2" xfId="46370" xr:uid="{13C90921-CA4D-478B-A748-EE259CE00E91}"/>
    <cellStyle name="40% - Énfasis3 4 6 3" xfId="46369" xr:uid="{B7313134-0142-4992-A124-9D732250EB48}"/>
    <cellStyle name="40% - Énfasis3 4 7" xfId="15724" xr:uid="{2089BE2F-D856-4308-A0C5-435DBAFC4682}"/>
    <cellStyle name="40% - Énfasis3 4 7 2" xfId="46371" xr:uid="{9C25DB23-BDC8-4B3E-8553-419A83E3D82B}"/>
    <cellStyle name="40% - Énfasis3 4 8" xfId="46308" xr:uid="{5A4622DE-95B7-4670-ACEA-D9B7C84BA886}"/>
    <cellStyle name="40% - Énfasis3 5" xfId="288" xr:uid="{6E3DC4F9-3B26-4BAA-9A0B-B31CE10377DB}"/>
    <cellStyle name="40% - Énfasis3 5 2" xfId="491" xr:uid="{FFE0C5AE-390B-40C6-8313-30FD602EFFA4}"/>
    <cellStyle name="40% - Énfasis3 5 2 2" xfId="1152" xr:uid="{D4F45D1D-9143-4B59-BE8F-8A2B25B6CCC2}"/>
    <cellStyle name="40% - Énfasis3 5 2 2 2" xfId="2620" xr:uid="{AE873A31-878D-43D3-B1E6-6900861E6392}"/>
    <cellStyle name="40% - Énfasis3 5 2 2 2 2" xfId="6352" xr:uid="{32B612DE-7302-4E80-8720-7C70FBDC792F}"/>
    <cellStyle name="40% - Énfasis3 5 2 2 2 2 2" xfId="14060" xr:uid="{F6A5BD72-F590-456E-B20C-447BB828CEE8}"/>
    <cellStyle name="40% - Énfasis3 5 2 2 2 2 2 2" xfId="29472" xr:uid="{04AE040C-0260-4C72-AAC8-882D88718BF8}"/>
    <cellStyle name="40% - Énfasis3 5 2 2 2 2 2 2 2" xfId="46378" xr:uid="{9632A5D8-E280-4821-B9A2-86DE01954DF8}"/>
    <cellStyle name="40% - Énfasis3 5 2 2 2 2 2 3" xfId="46377" xr:uid="{FC3B0354-DFF9-4D25-9CBF-674A038AE65D}"/>
    <cellStyle name="40% - Énfasis3 5 2 2 2 2 3" xfId="21767" xr:uid="{990FC87D-3D86-427E-95C5-A6493C39B8DB}"/>
    <cellStyle name="40% - Énfasis3 5 2 2 2 2 3 2" xfId="46379" xr:uid="{E888D286-1032-4B97-A2B1-2474633B8DF0}"/>
    <cellStyle name="40% - Énfasis3 5 2 2 2 2 4" xfId="46376" xr:uid="{C2A42778-8A50-489A-BA47-E7BC4FE4B1A6}"/>
    <cellStyle name="40% - Énfasis3 5 2 2 2 3" xfId="10331" xr:uid="{EFBA29AE-3260-4BDE-A8F4-6B26F2717EFD}"/>
    <cellStyle name="40% - Énfasis3 5 2 2 2 3 2" xfId="25744" xr:uid="{580A3786-B068-4C4F-B332-5C18E25E9B2B}"/>
    <cellStyle name="40% - Énfasis3 5 2 2 2 3 2 2" xfId="46381" xr:uid="{A14D4840-173A-4B4D-B612-B45AD262EBA0}"/>
    <cellStyle name="40% - Énfasis3 5 2 2 2 3 3" xfId="46380" xr:uid="{2969A914-8662-4DD6-9F1F-F463F8E25DF0}"/>
    <cellStyle name="40% - Énfasis3 5 2 2 2 4" xfId="18039" xr:uid="{11F451B1-B81B-403C-A351-E3B8FC34C5C0}"/>
    <cellStyle name="40% - Énfasis3 5 2 2 2 4 2" xfId="46382" xr:uid="{5C955037-4619-45ED-9754-9798E1335FA0}"/>
    <cellStyle name="40% - Énfasis3 5 2 2 2 5" xfId="46375" xr:uid="{97AE9BA2-2B96-4B18-AEFE-E3DA14C96F95}"/>
    <cellStyle name="40% - Énfasis3 5 2 2 3" xfId="4889" xr:uid="{E02A6799-E5C3-47EE-9750-3747AE710DF6}"/>
    <cellStyle name="40% - Énfasis3 5 2 2 3 2" xfId="12597" xr:uid="{1F615982-7B64-43B1-84E8-233DB1274551}"/>
    <cellStyle name="40% - Énfasis3 5 2 2 3 2 2" xfId="28009" xr:uid="{696E31BE-7E4B-4261-80EE-2F33F9288428}"/>
    <cellStyle name="40% - Énfasis3 5 2 2 3 2 2 2" xfId="46385" xr:uid="{3DE4EC6E-7AE0-45CC-8BA8-B312AA6F5165}"/>
    <cellStyle name="40% - Énfasis3 5 2 2 3 2 3" xfId="46384" xr:uid="{2A4B612F-54B7-4391-AF41-8F52C8CC46FD}"/>
    <cellStyle name="40% - Énfasis3 5 2 2 3 3" xfId="20304" xr:uid="{C0104592-C713-4E56-BDCD-FDC6E64374C6}"/>
    <cellStyle name="40% - Énfasis3 5 2 2 3 3 2" xfId="46386" xr:uid="{7B0ECBFB-E1C7-49D4-B95E-9528126E0410}"/>
    <cellStyle name="40% - Énfasis3 5 2 2 3 4" xfId="46383" xr:uid="{093C5E95-B621-4508-BDB4-92A6F1BAAD6C}"/>
    <cellStyle name="40% - Énfasis3 5 2 2 4" xfId="8872" xr:uid="{5E719E6E-9F8C-4C80-8058-0880E23B02AB}"/>
    <cellStyle name="40% - Énfasis3 5 2 2 4 2" xfId="24285" xr:uid="{6564DFEA-208B-45D4-874F-4B42133B065D}"/>
    <cellStyle name="40% - Énfasis3 5 2 2 4 2 2" xfId="46388" xr:uid="{044213F9-04A5-4FFA-8D6C-196AF7443727}"/>
    <cellStyle name="40% - Énfasis3 5 2 2 4 3" xfId="46387" xr:uid="{E1FF0011-F7D3-4D57-9EE7-B339400F9EE2}"/>
    <cellStyle name="40% - Énfasis3 5 2 2 5" xfId="16580" xr:uid="{2D8EF5D2-42ED-4A46-8AC4-2EAF805945A8}"/>
    <cellStyle name="40% - Énfasis3 5 2 2 5 2" xfId="46389" xr:uid="{84B6DF56-986F-4817-8C18-159C2431D1BE}"/>
    <cellStyle name="40% - Énfasis3 5 2 2 6" xfId="46374" xr:uid="{E0351299-FD76-4A7D-94AA-F7773B2F0BA3}"/>
    <cellStyle name="40% - Énfasis3 5 2 3" xfId="1982" xr:uid="{43A2CCDD-C8BA-4032-8A4E-E01F09C05AE6}"/>
    <cellStyle name="40% - Énfasis3 5 2 3 2" xfId="5714" xr:uid="{524AF443-A9D9-4D13-9AE9-5034DA824F94}"/>
    <cellStyle name="40% - Énfasis3 5 2 3 2 2" xfId="13422" xr:uid="{200084D7-CDC0-4A6D-9713-98F2085B3FEA}"/>
    <cellStyle name="40% - Énfasis3 5 2 3 2 2 2" xfId="28834" xr:uid="{78C9F7F3-F449-4A62-B259-DCCF9350B2C8}"/>
    <cellStyle name="40% - Énfasis3 5 2 3 2 2 2 2" xfId="46393" xr:uid="{C032BCA7-ABEF-4229-B96B-80F0FFFB4D3E}"/>
    <cellStyle name="40% - Énfasis3 5 2 3 2 2 3" xfId="46392" xr:uid="{FD764A70-86D5-41E6-8AD3-2318CE359533}"/>
    <cellStyle name="40% - Énfasis3 5 2 3 2 3" xfId="21129" xr:uid="{DCF249CC-024D-41E7-85A1-65EF4B31894D}"/>
    <cellStyle name="40% - Énfasis3 5 2 3 2 3 2" xfId="46394" xr:uid="{43F94467-A7C5-4999-9B35-5BEB6F000D04}"/>
    <cellStyle name="40% - Énfasis3 5 2 3 2 4" xfId="46391" xr:uid="{A4A97E71-E7C1-46FB-9CAC-AF927CF062F1}"/>
    <cellStyle name="40% - Énfasis3 5 2 3 3" xfId="9693" xr:uid="{11F454C1-026D-4359-836A-7BCE131EE79F}"/>
    <cellStyle name="40% - Énfasis3 5 2 3 3 2" xfId="25106" xr:uid="{5A4CCBEC-1621-41E2-AC72-553AADFCB3A6}"/>
    <cellStyle name="40% - Énfasis3 5 2 3 3 2 2" xfId="46396" xr:uid="{9B598370-D6A6-4C16-BA36-599127908033}"/>
    <cellStyle name="40% - Énfasis3 5 2 3 3 3" xfId="46395" xr:uid="{29FD04CD-1FF1-4F77-9611-6179866B85C5}"/>
    <cellStyle name="40% - Énfasis3 5 2 3 4" xfId="17401" xr:uid="{54048CBD-DFC7-4B4E-BF76-14EDA7C3D1B4}"/>
    <cellStyle name="40% - Énfasis3 5 2 3 4 2" xfId="46397" xr:uid="{085BDEA5-552A-4C94-B86A-E959DADBC488}"/>
    <cellStyle name="40% - Énfasis3 5 2 3 5" xfId="46390" xr:uid="{8E679B55-A31B-4462-BB32-5BC90FD4BB5F}"/>
    <cellStyle name="40% - Énfasis3 5 2 4" xfId="4237" xr:uid="{EA10BE84-A560-47AF-B479-21ABF211B61B}"/>
    <cellStyle name="40% - Énfasis3 5 2 4 2" xfId="11945" xr:uid="{F79B6AD0-0FD3-4B15-89B5-32AB439E6341}"/>
    <cellStyle name="40% - Énfasis3 5 2 4 2 2" xfId="27357" xr:uid="{F6D33F6A-9BDC-4BF4-BD21-B3523EF8F5E8}"/>
    <cellStyle name="40% - Énfasis3 5 2 4 2 2 2" xfId="46400" xr:uid="{CFCDC5F4-2564-4BAD-A9D7-DF941B65E8D6}"/>
    <cellStyle name="40% - Énfasis3 5 2 4 2 3" xfId="46399" xr:uid="{E917E874-A249-4667-BDFB-E24898F42EAB}"/>
    <cellStyle name="40% - Énfasis3 5 2 4 3" xfId="19652" xr:uid="{A23538FE-92E7-44BE-9AFA-60BEB69D7257}"/>
    <cellStyle name="40% - Énfasis3 5 2 4 3 2" xfId="46401" xr:uid="{9EB7C10F-13FD-47D3-8B5E-CFBF8A553BD6}"/>
    <cellStyle name="40% - Énfasis3 5 2 4 4" xfId="46398" xr:uid="{748CF42A-CB55-4837-8D14-C12DE42F960F}"/>
    <cellStyle name="40% - Énfasis3 5 2 5" xfId="8234" xr:uid="{257E6A31-30C7-4631-9DCF-A48DF9F25B10}"/>
    <cellStyle name="40% - Énfasis3 5 2 5 2" xfId="23647" xr:uid="{33D590BE-A24B-4018-971D-60D42CA8C46A}"/>
    <cellStyle name="40% - Énfasis3 5 2 5 2 2" xfId="46403" xr:uid="{E3901015-CAB5-4CF3-991C-3AF66D266915}"/>
    <cellStyle name="40% - Énfasis3 5 2 5 3" xfId="46402" xr:uid="{643B2A20-08DE-40C4-9D22-0F7DD67C09F7}"/>
    <cellStyle name="40% - Énfasis3 5 2 6" xfId="15942" xr:uid="{B2FCB816-EB04-4A89-B991-986EB1BBDA89}"/>
    <cellStyle name="40% - Énfasis3 5 2 6 2" xfId="46404" xr:uid="{F0F0A5E0-87B5-4B79-9B1F-23123275F10C}"/>
    <cellStyle name="40% - Énfasis3 5 2 7" xfId="46373" xr:uid="{99B6755D-AE3E-4740-B5A7-4D284DE0B28D}"/>
    <cellStyle name="40% - Énfasis3 5 3" xfId="952" xr:uid="{FBF72A3A-78EE-40CF-BA82-CAA6F074C1A3}"/>
    <cellStyle name="40% - Énfasis3 5 3 2" xfId="2422" xr:uid="{181D9678-7060-4B6B-945C-CB3783DC4DB9}"/>
    <cellStyle name="40% - Énfasis3 5 3 2 2" xfId="6154" xr:uid="{BC7EE35B-B363-46C3-8D40-7FD5046F1E87}"/>
    <cellStyle name="40% - Énfasis3 5 3 2 2 2" xfId="13862" xr:uid="{6A2DF59D-C809-4C57-86CD-1A92E91683E3}"/>
    <cellStyle name="40% - Énfasis3 5 3 2 2 2 2" xfId="29274" xr:uid="{6CFFA11A-2D59-45C9-87D4-AB1D3085ED91}"/>
    <cellStyle name="40% - Énfasis3 5 3 2 2 2 2 2" xfId="46409" xr:uid="{FEDD2587-92E7-4BF7-B8D3-4D1F454D65EF}"/>
    <cellStyle name="40% - Énfasis3 5 3 2 2 2 3" xfId="46408" xr:uid="{AE8C4B74-69B8-47D7-91D2-2B6B9D832304}"/>
    <cellStyle name="40% - Énfasis3 5 3 2 2 3" xfId="21569" xr:uid="{272E36DC-8622-4839-9847-76E01D7C08DA}"/>
    <cellStyle name="40% - Énfasis3 5 3 2 2 3 2" xfId="46410" xr:uid="{D747823B-8A90-4820-91F7-458CC66C4F92}"/>
    <cellStyle name="40% - Énfasis3 5 3 2 2 4" xfId="46407" xr:uid="{02BD422B-5A9A-4A62-AF3B-1CC00EF8199C}"/>
    <cellStyle name="40% - Énfasis3 5 3 2 3" xfId="10133" xr:uid="{235D2E2F-48BB-40AA-85F2-7045E39CEB71}"/>
    <cellStyle name="40% - Énfasis3 5 3 2 3 2" xfId="25546" xr:uid="{41B47007-E217-421D-8DEC-4EF41465A014}"/>
    <cellStyle name="40% - Énfasis3 5 3 2 3 2 2" xfId="46412" xr:uid="{2AE2643B-2719-4F35-B261-DB6B1055E2B3}"/>
    <cellStyle name="40% - Énfasis3 5 3 2 3 3" xfId="46411" xr:uid="{70F05C5A-C6AC-462C-A8F7-22E91901D572}"/>
    <cellStyle name="40% - Énfasis3 5 3 2 4" xfId="17841" xr:uid="{6A703C03-1C59-42D4-A20E-6E64D4EEB4D9}"/>
    <cellStyle name="40% - Énfasis3 5 3 2 4 2" xfId="46413" xr:uid="{772283CD-1BD9-4E55-8819-76F7FFC1BBEE}"/>
    <cellStyle name="40% - Énfasis3 5 3 2 5" xfId="46406" xr:uid="{BA84C4B0-6DAB-4B0B-8C24-E32E12ADF8D1}"/>
    <cellStyle name="40% - Énfasis3 5 3 3" xfId="4689" xr:uid="{6BB0AD04-661A-496C-97C6-4E5D8A7A3081}"/>
    <cellStyle name="40% - Énfasis3 5 3 3 2" xfId="12397" xr:uid="{D3E4F0E8-1487-41D1-BC6A-CFCEF6083311}"/>
    <cellStyle name="40% - Énfasis3 5 3 3 2 2" xfId="27809" xr:uid="{3A2A2DF9-CAEC-4C9C-99E8-EB3658D9D1D9}"/>
    <cellStyle name="40% - Énfasis3 5 3 3 2 2 2" xfId="46416" xr:uid="{6DDBC6B7-888D-489E-B89F-C21202FB7859}"/>
    <cellStyle name="40% - Énfasis3 5 3 3 2 3" xfId="46415" xr:uid="{52F4F80E-BEEB-4190-ABE5-60E6CD7DF38B}"/>
    <cellStyle name="40% - Énfasis3 5 3 3 3" xfId="20104" xr:uid="{CEC7E470-EE3C-4651-B7E7-078C42E92B15}"/>
    <cellStyle name="40% - Énfasis3 5 3 3 3 2" xfId="46417" xr:uid="{EE83D395-8C41-4299-8A49-F1C59DABC75D}"/>
    <cellStyle name="40% - Énfasis3 5 3 3 4" xfId="46414" xr:uid="{1A63C81C-305D-4152-9EF0-13F03E13028B}"/>
    <cellStyle name="40% - Énfasis3 5 3 4" xfId="8674" xr:uid="{D0CB53A5-D496-4D82-806A-6BD5316C8A26}"/>
    <cellStyle name="40% - Énfasis3 5 3 4 2" xfId="24087" xr:uid="{67E390B2-0447-4D69-9376-B08E3FE5ED39}"/>
    <cellStyle name="40% - Énfasis3 5 3 4 2 2" xfId="46419" xr:uid="{36C88D13-DC44-45AF-9AF4-06CF4465F140}"/>
    <cellStyle name="40% - Énfasis3 5 3 4 3" xfId="46418" xr:uid="{1293B962-974F-4A72-B105-F099D0D856E5}"/>
    <cellStyle name="40% - Énfasis3 5 3 5" xfId="16382" xr:uid="{8104CC99-6028-48FE-9030-46DFB36D9ED8}"/>
    <cellStyle name="40% - Énfasis3 5 3 5 2" xfId="46420" xr:uid="{D9075D7B-3A3D-49B6-9B15-95C951910AD5}"/>
    <cellStyle name="40% - Énfasis3 5 3 6" xfId="46405" xr:uid="{A61E4808-A66F-4856-9E52-FDF9B9F23AA5}"/>
    <cellStyle name="40% - Énfasis3 5 4" xfId="1784" xr:uid="{148A1456-3325-42AD-8B4A-8504D029B7F5}"/>
    <cellStyle name="40% - Énfasis3 5 4 2" xfId="5516" xr:uid="{E726AEE6-F19C-4A8B-A60A-37D7DE785DE9}"/>
    <cellStyle name="40% - Énfasis3 5 4 2 2" xfId="13224" xr:uid="{026E88F8-E8F3-4657-A85E-FB17050B86CA}"/>
    <cellStyle name="40% - Énfasis3 5 4 2 2 2" xfId="28636" xr:uid="{ABC85C42-649A-48A1-B575-506B17CDFB25}"/>
    <cellStyle name="40% - Énfasis3 5 4 2 2 2 2" xfId="46424" xr:uid="{8955014A-3AEB-46D7-BEFD-F1776D6A08D3}"/>
    <cellStyle name="40% - Énfasis3 5 4 2 2 3" xfId="46423" xr:uid="{94BFBA81-5AE3-4D1E-85FA-6412B63F8A0A}"/>
    <cellStyle name="40% - Énfasis3 5 4 2 3" xfId="20931" xr:uid="{3E36A283-B285-42D4-A32A-FB55502EAF19}"/>
    <cellStyle name="40% - Énfasis3 5 4 2 3 2" xfId="46425" xr:uid="{04C9D21C-ACC3-42EF-8999-FDEFA657F978}"/>
    <cellStyle name="40% - Énfasis3 5 4 2 4" xfId="46422" xr:uid="{3096ADCC-963F-4A2C-A29E-079943A18879}"/>
    <cellStyle name="40% - Énfasis3 5 4 3" xfId="9495" xr:uid="{6047FB4A-DD79-400A-A875-1E9E357FC41C}"/>
    <cellStyle name="40% - Énfasis3 5 4 3 2" xfId="24908" xr:uid="{AAF674EB-41D1-4F01-8C7A-853A8A61D4C3}"/>
    <cellStyle name="40% - Énfasis3 5 4 3 2 2" xfId="46427" xr:uid="{86A3375A-7F6A-4A04-9E45-66FDF9776F75}"/>
    <cellStyle name="40% - Énfasis3 5 4 3 3" xfId="46426" xr:uid="{AA673F98-F0CD-4CF1-B893-A42339F21205}"/>
    <cellStyle name="40% - Énfasis3 5 4 4" xfId="17203" xr:uid="{EA4921F0-F697-4B8B-97C8-1A2AEC817FB1}"/>
    <cellStyle name="40% - Énfasis3 5 4 4 2" xfId="46428" xr:uid="{7AE37605-A9DA-4903-B806-98E1288000D7}"/>
    <cellStyle name="40% - Énfasis3 5 4 5" xfId="46421" xr:uid="{51FF6443-88F5-43D5-99DD-9CAAB18232CF}"/>
    <cellStyle name="40% - Énfasis3 5 5" xfId="4037" xr:uid="{06D0D2ED-4E2B-4177-A33F-A21B642A1044}"/>
    <cellStyle name="40% - Énfasis3 5 5 2" xfId="11745" xr:uid="{5F668064-C661-4B6A-995C-05EC91EF0E5D}"/>
    <cellStyle name="40% - Énfasis3 5 5 2 2" xfId="27157" xr:uid="{53DAD806-83C4-48DE-8E43-C34E7AB3CEB8}"/>
    <cellStyle name="40% - Énfasis3 5 5 2 2 2" xfId="46431" xr:uid="{24FA254C-F15A-46DA-BD4C-31ACE96299D3}"/>
    <cellStyle name="40% - Énfasis3 5 5 2 3" xfId="46430" xr:uid="{0CA3167D-BBD5-4FB2-BA76-ED1026C17A6F}"/>
    <cellStyle name="40% - Énfasis3 5 5 3" xfId="19452" xr:uid="{E8647119-5E3A-4931-A7E6-3297BF0A1CD2}"/>
    <cellStyle name="40% - Énfasis3 5 5 3 2" xfId="46432" xr:uid="{AF88AF5C-2FFB-4473-9EB5-965BE5B96603}"/>
    <cellStyle name="40% - Énfasis3 5 5 4" xfId="46429" xr:uid="{46B06372-8C1A-4B1E-90D2-2B3B5873ACF9}"/>
    <cellStyle name="40% - Énfasis3 5 6" xfId="8036" xr:uid="{2977BD91-13A2-48DA-9706-8736E138282C}"/>
    <cellStyle name="40% - Énfasis3 5 6 2" xfId="23449" xr:uid="{4E6712B6-CE29-4563-959C-7F0EB9132AAF}"/>
    <cellStyle name="40% - Énfasis3 5 6 2 2" xfId="46434" xr:uid="{F0BCAA2E-4BC3-4A3C-BFFC-686F0BFED919}"/>
    <cellStyle name="40% - Énfasis3 5 6 3" xfId="46433" xr:uid="{EB54A6D6-B1D0-48A1-B0CD-AE30FFEE1EE5}"/>
    <cellStyle name="40% - Énfasis3 5 7" xfId="15744" xr:uid="{D88799FE-D7CE-4AAA-BB29-F11410DD1DA0}"/>
    <cellStyle name="40% - Énfasis3 5 7 2" xfId="46435" xr:uid="{B97B446B-A4F3-478D-A841-521EA5CD5CA1}"/>
    <cellStyle name="40% - Énfasis3 5 8" xfId="46372" xr:uid="{14204148-EF13-4D03-B413-43F4D9DEEFBF}"/>
    <cellStyle name="40% - Énfasis3 6" xfId="308" xr:uid="{77F55CF2-07F6-4912-BBF9-7C871C2F39CF}"/>
    <cellStyle name="40% - Énfasis3 6 2" xfId="511" xr:uid="{C8D268F0-A668-4D43-B334-D81C61C547CB}"/>
    <cellStyle name="40% - Énfasis3 6 2 2" xfId="1172" xr:uid="{8B91582B-21BA-4CD5-902B-1674FF36066D}"/>
    <cellStyle name="40% - Énfasis3 6 2 2 2" xfId="2640" xr:uid="{AD817567-DB1A-451E-9294-BF6F25C7B441}"/>
    <cellStyle name="40% - Énfasis3 6 2 2 2 2" xfId="6372" xr:uid="{9C9B00BD-0BC0-4F88-9D74-F66AEAD6A9BA}"/>
    <cellStyle name="40% - Énfasis3 6 2 2 2 2 2" xfId="14080" xr:uid="{AEE50D00-5DF7-4A65-82D2-31B0BC23B0D9}"/>
    <cellStyle name="40% - Énfasis3 6 2 2 2 2 2 2" xfId="29492" xr:uid="{DDFF577C-15E8-45F3-BC00-9E471FF2A92B}"/>
    <cellStyle name="40% - Énfasis3 6 2 2 2 2 2 2 2" xfId="46442" xr:uid="{D86F58B0-4255-4F96-90DF-AAD4BE1A93C2}"/>
    <cellStyle name="40% - Énfasis3 6 2 2 2 2 2 3" xfId="46441" xr:uid="{66521234-81AA-4C0D-B88A-D1CC3652DB48}"/>
    <cellStyle name="40% - Énfasis3 6 2 2 2 2 3" xfId="21787" xr:uid="{E242F8B7-2968-4B29-9377-4B5A45DDEDC3}"/>
    <cellStyle name="40% - Énfasis3 6 2 2 2 2 3 2" xfId="46443" xr:uid="{4F797DEB-52C4-4988-9438-B4ACCE926E6D}"/>
    <cellStyle name="40% - Énfasis3 6 2 2 2 2 4" xfId="46440" xr:uid="{DC991997-9104-4C15-871A-47907E691388}"/>
    <cellStyle name="40% - Énfasis3 6 2 2 2 3" xfId="10351" xr:uid="{86E18633-7944-4AF2-8BBC-885DF8167D85}"/>
    <cellStyle name="40% - Énfasis3 6 2 2 2 3 2" xfId="25764" xr:uid="{76856029-F9C8-4E2D-8786-613BE6EB4857}"/>
    <cellStyle name="40% - Énfasis3 6 2 2 2 3 2 2" xfId="46445" xr:uid="{6D017410-6710-4928-9827-1974E31F4CE7}"/>
    <cellStyle name="40% - Énfasis3 6 2 2 2 3 3" xfId="46444" xr:uid="{89E2E380-F0A9-4D44-AF19-D219ACA3ACC6}"/>
    <cellStyle name="40% - Énfasis3 6 2 2 2 4" xfId="18059" xr:uid="{E1ED5D2A-0CCB-48AD-A501-1AACAB3F2A91}"/>
    <cellStyle name="40% - Énfasis3 6 2 2 2 4 2" xfId="46446" xr:uid="{3673C04B-3790-460D-9CDD-4E5D1F43499F}"/>
    <cellStyle name="40% - Énfasis3 6 2 2 2 5" xfId="46439" xr:uid="{EC952D45-9B13-40C7-AF7B-E10B58B4ED12}"/>
    <cellStyle name="40% - Énfasis3 6 2 2 3" xfId="4909" xr:uid="{27DFDEAD-2D2C-4DDB-B259-7816453857F8}"/>
    <cellStyle name="40% - Énfasis3 6 2 2 3 2" xfId="12617" xr:uid="{1B7ACE9D-A1BA-4254-8E81-0B14FBBBAFED}"/>
    <cellStyle name="40% - Énfasis3 6 2 2 3 2 2" xfId="28029" xr:uid="{D3B6659E-21A6-41B2-9782-AEB599DB45CF}"/>
    <cellStyle name="40% - Énfasis3 6 2 2 3 2 2 2" xfId="46449" xr:uid="{27BBEEB3-4FF2-45EE-BF6B-DF2B29C4443C}"/>
    <cellStyle name="40% - Énfasis3 6 2 2 3 2 3" xfId="46448" xr:uid="{EF55BEF0-01FB-409B-A897-8C497ACAC16C}"/>
    <cellStyle name="40% - Énfasis3 6 2 2 3 3" xfId="20324" xr:uid="{DD9DCB0E-65FF-4361-83E5-1D689C806A8E}"/>
    <cellStyle name="40% - Énfasis3 6 2 2 3 3 2" xfId="46450" xr:uid="{FAF15D86-C4BE-4733-8E56-6F54954CFF0E}"/>
    <cellStyle name="40% - Énfasis3 6 2 2 3 4" xfId="46447" xr:uid="{F302C28D-A620-4CAA-835C-56DEE86DDA5F}"/>
    <cellStyle name="40% - Énfasis3 6 2 2 4" xfId="8892" xr:uid="{BF8F1F0E-1533-45B9-8C67-806E53DCB4DF}"/>
    <cellStyle name="40% - Énfasis3 6 2 2 4 2" xfId="24305" xr:uid="{8531DB4E-7F09-4142-ABA5-9E31A9D0341B}"/>
    <cellStyle name="40% - Énfasis3 6 2 2 4 2 2" xfId="46452" xr:uid="{9A542C1E-825D-474B-B155-42D69A10FB08}"/>
    <cellStyle name="40% - Énfasis3 6 2 2 4 3" xfId="46451" xr:uid="{26D59788-B7FF-4CFC-A709-A6E52FF2562C}"/>
    <cellStyle name="40% - Énfasis3 6 2 2 5" xfId="16600" xr:uid="{A27176BC-6CCE-4DFA-87E1-F0280ED82AD7}"/>
    <cellStyle name="40% - Énfasis3 6 2 2 5 2" xfId="46453" xr:uid="{22825D9C-7BCD-45C0-8A6B-7DF328F7EF66}"/>
    <cellStyle name="40% - Énfasis3 6 2 2 6" xfId="46438" xr:uid="{C7696B3B-7423-48DF-A76F-B20D249DF9F4}"/>
    <cellStyle name="40% - Énfasis3 6 2 3" xfId="2002" xr:uid="{DED6DDD8-82FA-4141-807E-EB81E4BC0208}"/>
    <cellStyle name="40% - Énfasis3 6 2 3 2" xfId="5734" xr:uid="{4EA965A2-CAF8-46E4-8E9B-1E510FD745B0}"/>
    <cellStyle name="40% - Énfasis3 6 2 3 2 2" xfId="13442" xr:uid="{609966D8-1BEE-4A88-9AC7-DE8FF121E001}"/>
    <cellStyle name="40% - Énfasis3 6 2 3 2 2 2" xfId="28854" xr:uid="{BF5022EC-DF38-4E92-AD43-7CF05C68EF8C}"/>
    <cellStyle name="40% - Énfasis3 6 2 3 2 2 2 2" xfId="46457" xr:uid="{8AC95C7C-0E23-4E4B-8646-66F39B861025}"/>
    <cellStyle name="40% - Énfasis3 6 2 3 2 2 3" xfId="46456" xr:uid="{7287E206-3693-4242-8EC6-739EFE9F05BD}"/>
    <cellStyle name="40% - Énfasis3 6 2 3 2 3" xfId="21149" xr:uid="{64D6C6CC-6EE6-4CA9-9320-458E6DFCB47B}"/>
    <cellStyle name="40% - Énfasis3 6 2 3 2 3 2" xfId="46458" xr:uid="{8AB4A669-89B2-41FC-8CD0-F613014DD89F}"/>
    <cellStyle name="40% - Énfasis3 6 2 3 2 4" xfId="46455" xr:uid="{630ED97A-773B-47B9-ABE4-6F034525BD4E}"/>
    <cellStyle name="40% - Énfasis3 6 2 3 3" xfId="9713" xr:uid="{B0D8C859-0630-4E70-AD3E-4A62DD8D9826}"/>
    <cellStyle name="40% - Énfasis3 6 2 3 3 2" xfId="25126" xr:uid="{715C0C90-81C2-41DC-A843-3F080F264EC5}"/>
    <cellStyle name="40% - Énfasis3 6 2 3 3 2 2" xfId="46460" xr:uid="{8D56E6D5-5B99-43FF-B0A6-70363F958C18}"/>
    <cellStyle name="40% - Énfasis3 6 2 3 3 3" xfId="46459" xr:uid="{7DE84A83-EB06-4B7C-8DB9-6F96591D4648}"/>
    <cellStyle name="40% - Énfasis3 6 2 3 4" xfId="17421" xr:uid="{4DCA763F-97A8-4227-9CF3-30F16F55596B}"/>
    <cellStyle name="40% - Énfasis3 6 2 3 4 2" xfId="46461" xr:uid="{B1394636-D379-490B-BB8C-14A3FF507A85}"/>
    <cellStyle name="40% - Énfasis3 6 2 3 5" xfId="46454" xr:uid="{57B2AB25-2F5A-48D0-B755-99F5076AF371}"/>
    <cellStyle name="40% - Énfasis3 6 2 4" xfId="4257" xr:uid="{BE421AB2-86E6-4866-B359-135D1E28FAD0}"/>
    <cellStyle name="40% - Énfasis3 6 2 4 2" xfId="11965" xr:uid="{8CCC8104-CCE6-4240-8860-919503B691A0}"/>
    <cellStyle name="40% - Énfasis3 6 2 4 2 2" xfId="27377" xr:uid="{3E30BD78-346C-4629-AC9D-E519115E5A78}"/>
    <cellStyle name="40% - Énfasis3 6 2 4 2 2 2" xfId="46464" xr:uid="{47F6B550-3CD5-4F3F-9CA1-B443A5EDFF69}"/>
    <cellStyle name="40% - Énfasis3 6 2 4 2 3" xfId="46463" xr:uid="{D60A9C80-52AF-43A3-97DD-E620D015095A}"/>
    <cellStyle name="40% - Énfasis3 6 2 4 3" xfId="19672" xr:uid="{59963865-FDE0-4655-89F6-F0608E43DFFB}"/>
    <cellStyle name="40% - Énfasis3 6 2 4 3 2" xfId="46465" xr:uid="{5EE2B8F7-5875-4337-861E-CFFB5E9CDC0A}"/>
    <cellStyle name="40% - Énfasis3 6 2 4 4" xfId="46462" xr:uid="{566C9CF5-B658-4B83-822E-78DCD20DD6C5}"/>
    <cellStyle name="40% - Énfasis3 6 2 5" xfId="8254" xr:uid="{A7300C47-3508-4953-9E7E-B0926CAF2F70}"/>
    <cellStyle name="40% - Énfasis3 6 2 5 2" xfId="23667" xr:uid="{41BCEE0E-3544-4EE3-B4EC-693EB339BA69}"/>
    <cellStyle name="40% - Énfasis3 6 2 5 2 2" xfId="46467" xr:uid="{F17C12BA-327E-41B1-825D-EA2C6A3145A1}"/>
    <cellStyle name="40% - Énfasis3 6 2 5 3" xfId="46466" xr:uid="{B52968C3-E58D-4E04-86F7-A13AC56F2E61}"/>
    <cellStyle name="40% - Énfasis3 6 2 6" xfId="15962" xr:uid="{17CADF02-5B52-439D-A781-83BA472E1F5E}"/>
    <cellStyle name="40% - Énfasis3 6 2 6 2" xfId="46468" xr:uid="{79308710-31B4-4EB9-9FB9-B5D62F95655E}"/>
    <cellStyle name="40% - Énfasis3 6 2 7" xfId="46437" xr:uid="{9F916C70-9C30-46C8-B3B5-F5223EC362C3}"/>
    <cellStyle name="40% - Énfasis3 6 3" xfId="972" xr:uid="{321D4326-1260-4134-B391-CA195A4C4008}"/>
    <cellStyle name="40% - Énfasis3 6 3 2" xfId="2442" xr:uid="{045589F9-45CD-4EFA-A1AE-CD5B0EDFD71C}"/>
    <cellStyle name="40% - Énfasis3 6 3 2 2" xfId="6174" xr:uid="{1EF3DE92-73E1-435B-AAEA-EE05B702DCA5}"/>
    <cellStyle name="40% - Énfasis3 6 3 2 2 2" xfId="13882" xr:uid="{66BBA945-6F3F-48E4-B678-40AE1A401ED5}"/>
    <cellStyle name="40% - Énfasis3 6 3 2 2 2 2" xfId="29294" xr:uid="{0F0D57BE-F759-4220-9042-B097BF6551DA}"/>
    <cellStyle name="40% - Énfasis3 6 3 2 2 2 2 2" xfId="46473" xr:uid="{59F86A25-A08D-4041-B87D-39F47293B1C4}"/>
    <cellStyle name="40% - Énfasis3 6 3 2 2 2 3" xfId="46472" xr:uid="{F3C22363-1EBA-4398-AFB8-B356B98D9B46}"/>
    <cellStyle name="40% - Énfasis3 6 3 2 2 3" xfId="21589" xr:uid="{B0790DDF-0216-4839-AA7B-7E38D77DFCD2}"/>
    <cellStyle name="40% - Énfasis3 6 3 2 2 3 2" xfId="46474" xr:uid="{19D74702-1302-4D04-9460-481A0A26E825}"/>
    <cellStyle name="40% - Énfasis3 6 3 2 2 4" xfId="46471" xr:uid="{81EA29D1-C9D7-4516-B2CC-4094BF7E8CBB}"/>
    <cellStyle name="40% - Énfasis3 6 3 2 3" xfId="10153" xr:uid="{80A62C03-0AA7-4432-8D42-23D4C8907F27}"/>
    <cellStyle name="40% - Énfasis3 6 3 2 3 2" xfId="25566" xr:uid="{6674EAAD-23A7-43BA-9E07-053AAD4AC8D1}"/>
    <cellStyle name="40% - Énfasis3 6 3 2 3 2 2" xfId="46476" xr:uid="{3B05DF1E-5C4D-4862-9289-FC36D49B2CAF}"/>
    <cellStyle name="40% - Énfasis3 6 3 2 3 3" xfId="46475" xr:uid="{314B48DF-5CBE-41C6-BC39-86BCAED47F29}"/>
    <cellStyle name="40% - Énfasis3 6 3 2 4" xfId="17861" xr:uid="{17413BDB-A852-4D14-BD05-068DCAB830A6}"/>
    <cellStyle name="40% - Énfasis3 6 3 2 4 2" xfId="46477" xr:uid="{7EEA5071-B46F-4DA5-8F17-63DFE00D039E}"/>
    <cellStyle name="40% - Énfasis3 6 3 2 5" xfId="46470" xr:uid="{64C410D7-E634-44CE-993A-6C637E81AB49}"/>
    <cellStyle name="40% - Énfasis3 6 3 3" xfId="4709" xr:uid="{5F183178-3A18-4C33-B63B-B938D6BB3B86}"/>
    <cellStyle name="40% - Énfasis3 6 3 3 2" xfId="12417" xr:uid="{AA816D93-BCBF-44B7-9EC5-497B943448C0}"/>
    <cellStyle name="40% - Énfasis3 6 3 3 2 2" xfId="27829" xr:uid="{CD377091-54EF-4D3A-8EF3-BE00E617807F}"/>
    <cellStyle name="40% - Énfasis3 6 3 3 2 2 2" xfId="46480" xr:uid="{63F9F45B-914E-493A-A262-D99E70BB70F6}"/>
    <cellStyle name="40% - Énfasis3 6 3 3 2 3" xfId="46479" xr:uid="{2B443276-BA3D-49BA-8054-BC674A9DFC2A}"/>
    <cellStyle name="40% - Énfasis3 6 3 3 3" xfId="20124" xr:uid="{BB974078-9EF6-449B-A11C-2BAA14016E0C}"/>
    <cellStyle name="40% - Énfasis3 6 3 3 3 2" xfId="46481" xr:uid="{C2F12FAE-00F0-4BFC-9435-424987FB5E34}"/>
    <cellStyle name="40% - Énfasis3 6 3 3 4" xfId="46478" xr:uid="{60208F3B-FD81-4C12-AFAB-4A6BC30304E5}"/>
    <cellStyle name="40% - Énfasis3 6 3 4" xfId="8694" xr:uid="{59D03690-2CD4-4344-8EDC-B8067D4862FB}"/>
    <cellStyle name="40% - Énfasis3 6 3 4 2" xfId="24107" xr:uid="{4CB6C977-39B6-4DD6-A8D0-C00259429E7C}"/>
    <cellStyle name="40% - Énfasis3 6 3 4 2 2" xfId="46483" xr:uid="{D5BD236A-25BF-42AB-9AB2-455AFA9C9CF8}"/>
    <cellStyle name="40% - Énfasis3 6 3 4 3" xfId="46482" xr:uid="{7C6E8751-B855-49C5-891F-F15CD9D42379}"/>
    <cellStyle name="40% - Énfasis3 6 3 5" xfId="16402" xr:uid="{8CD073D8-DAB4-4B62-B3C7-853490C0B370}"/>
    <cellStyle name="40% - Énfasis3 6 3 5 2" xfId="46484" xr:uid="{0749349A-DFDC-4F2E-A07C-6A55C95CE2DD}"/>
    <cellStyle name="40% - Énfasis3 6 3 6" xfId="46469" xr:uid="{A5055F8B-C38A-495A-979C-A03AAA20E410}"/>
    <cellStyle name="40% - Énfasis3 6 4" xfId="1804" xr:uid="{4E6C01F4-5F8A-48D9-B0D2-56CE36B4EC6E}"/>
    <cellStyle name="40% - Énfasis3 6 4 2" xfId="5536" xr:uid="{DD9A23C3-E145-47B6-9478-AD417A9EC903}"/>
    <cellStyle name="40% - Énfasis3 6 4 2 2" xfId="13244" xr:uid="{73C82EA1-1DC5-4D3C-B2B4-1B3471C17F25}"/>
    <cellStyle name="40% - Énfasis3 6 4 2 2 2" xfId="28656" xr:uid="{DF08831C-1311-4BE1-A5BD-D6A7028AFB58}"/>
    <cellStyle name="40% - Énfasis3 6 4 2 2 2 2" xfId="46488" xr:uid="{7F50A776-2E68-4833-BD78-715194FDBFAB}"/>
    <cellStyle name="40% - Énfasis3 6 4 2 2 3" xfId="46487" xr:uid="{3183E0B6-7282-42AA-95FD-45CB24375CCF}"/>
    <cellStyle name="40% - Énfasis3 6 4 2 3" xfId="20951" xr:uid="{2268C810-2BF5-476D-80EC-DC2B980B83D5}"/>
    <cellStyle name="40% - Énfasis3 6 4 2 3 2" xfId="46489" xr:uid="{B8090D2D-9288-4C1A-A875-2E5546D90F3A}"/>
    <cellStyle name="40% - Énfasis3 6 4 2 4" xfId="46486" xr:uid="{099EF4CB-CAC2-4922-A275-2520E7E361B7}"/>
    <cellStyle name="40% - Énfasis3 6 4 3" xfId="9515" xr:uid="{D9700899-F7B8-4BFB-A4E2-15949BC33226}"/>
    <cellStyle name="40% - Énfasis3 6 4 3 2" xfId="24928" xr:uid="{FC1587DC-6D0A-4D85-BCFF-A94E04A45AE9}"/>
    <cellStyle name="40% - Énfasis3 6 4 3 2 2" xfId="46491" xr:uid="{E8597F37-25B1-4F4E-9A76-7C549C2B7251}"/>
    <cellStyle name="40% - Énfasis3 6 4 3 3" xfId="46490" xr:uid="{BCECAEE8-8A52-4E53-8B12-E4DEF2EA6C9E}"/>
    <cellStyle name="40% - Énfasis3 6 4 4" xfId="17223" xr:uid="{40AE99EA-95C8-47D1-ACB2-3A1327B2173A}"/>
    <cellStyle name="40% - Énfasis3 6 4 4 2" xfId="46492" xr:uid="{9919DE80-8E41-4F23-9F0B-E2F00142D9E0}"/>
    <cellStyle name="40% - Énfasis3 6 4 5" xfId="46485" xr:uid="{2D183E8F-9A85-4C89-AB51-0C53B2B17632}"/>
    <cellStyle name="40% - Énfasis3 6 5" xfId="4057" xr:uid="{871BB709-F9F6-4DBB-8142-70BF282C32E1}"/>
    <cellStyle name="40% - Énfasis3 6 5 2" xfId="11765" xr:uid="{ED5B9F48-F7F7-4B6A-9CD9-E6487B83D0FC}"/>
    <cellStyle name="40% - Énfasis3 6 5 2 2" xfId="27177" xr:uid="{8E86F850-34B0-4818-ABC7-5392CE2A1A64}"/>
    <cellStyle name="40% - Énfasis3 6 5 2 2 2" xfId="46495" xr:uid="{F654E4CA-918A-4114-AFDF-684F42B578EE}"/>
    <cellStyle name="40% - Énfasis3 6 5 2 3" xfId="46494" xr:uid="{7FBACDA7-8B4F-42B0-BFDD-BDF1E0C8C022}"/>
    <cellStyle name="40% - Énfasis3 6 5 3" xfId="19472" xr:uid="{22B1D885-214F-4DBB-85C3-5A397AC8F5EB}"/>
    <cellStyle name="40% - Énfasis3 6 5 3 2" xfId="46496" xr:uid="{D0D1E07F-9F51-4EE1-9CD8-C4C6DE147796}"/>
    <cellStyle name="40% - Énfasis3 6 5 4" xfId="46493" xr:uid="{A9B5C2EB-9E78-4DA0-AF16-8320B50AA379}"/>
    <cellStyle name="40% - Énfasis3 6 6" xfId="8056" xr:uid="{C5D5EC77-1923-4367-B0A6-6F3C0512FA0A}"/>
    <cellStyle name="40% - Énfasis3 6 6 2" xfId="23469" xr:uid="{5C4E07AA-9969-4F3B-AA6C-937A5B2B584E}"/>
    <cellStyle name="40% - Énfasis3 6 6 2 2" xfId="46498" xr:uid="{D240FF0D-3176-4074-9798-C99CF767425E}"/>
    <cellStyle name="40% - Énfasis3 6 6 3" xfId="46497" xr:uid="{AA3CBD7C-CD96-4226-A012-84DB6B50DC0A}"/>
    <cellStyle name="40% - Énfasis3 6 7" xfId="15764" xr:uid="{F311C582-C14D-46E3-99B3-5B5B486293AE}"/>
    <cellStyle name="40% - Énfasis3 6 7 2" xfId="46499" xr:uid="{7127F1E7-4670-46BD-962D-7E8AF0835015}"/>
    <cellStyle name="40% - Énfasis3 6 8" xfId="46436" xr:uid="{0970205A-19D4-4FA6-8220-9AC19F0CF71B}"/>
    <cellStyle name="40% - Énfasis3 7" xfId="531" xr:uid="{7EB14CB6-5122-4510-B688-CEF306A432A2}"/>
    <cellStyle name="40% - Énfasis3 7 2" xfId="1192" xr:uid="{8887FF8F-CA9D-4311-9AD1-F9EAB798313D}"/>
    <cellStyle name="40% - Énfasis3 7 2 2" xfId="2660" xr:uid="{27940197-43F6-4363-8E9C-0BA6E4A835E7}"/>
    <cellStyle name="40% - Énfasis3 7 2 2 2" xfId="6392" xr:uid="{1126F97B-B2E4-42B5-A4A8-B14E1B6D4B3C}"/>
    <cellStyle name="40% - Énfasis3 7 2 2 2 2" xfId="14100" xr:uid="{9380B59A-4000-4B53-817D-C08448874983}"/>
    <cellStyle name="40% - Énfasis3 7 2 2 2 2 2" xfId="29512" xr:uid="{1C083448-98A1-47FA-88BF-6F25BC2C1441}"/>
    <cellStyle name="40% - Énfasis3 7 2 2 2 2 2 2" xfId="46505" xr:uid="{933E7AB1-29C1-4E5E-987D-BD4B12CCC8A8}"/>
    <cellStyle name="40% - Énfasis3 7 2 2 2 2 3" xfId="46504" xr:uid="{CC3200E0-4E73-4C40-BAC2-3E81FA80D351}"/>
    <cellStyle name="40% - Énfasis3 7 2 2 2 3" xfId="21807" xr:uid="{9F549C55-5C38-48C5-B7C6-B63F0D8C7720}"/>
    <cellStyle name="40% - Énfasis3 7 2 2 2 3 2" xfId="46506" xr:uid="{CD5E448A-69E6-40E3-909B-06AA1BF9C9A0}"/>
    <cellStyle name="40% - Énfasis3 7 2 2 2 4" xfId="46503" xr:uid="{E0AB3DA5-E9DD-4AC0-B4BB-AF7EEB0B0C42}"/>
    <cellStyle name="40% - Énfasis3 7 2 2 3" xfId="10371" xr:uid="{9C81B2B3-812B-4E84-AF05-64044F5F9F72}"/>
    <cellStyle name="40% - Énfasis3 7 2 2 3 2" xfId="25784" xr:uid="{D4CC8B0C-7CA6-4F69-9A3D-A4ADCA248D17}"/>
    <cellStyle name="40% - Énfasis3 7 2 2 3 2 2" xfId="46508" xr:uid="{1C50E623-0F0C-457E-889F-29AA050AB7FD}"/>
    <cellStyle name="40% - Énfasis3 7 2 2 3 3" xfId="46507" xr:uid="{B7070968-275C-4326-A0EC-58E1E7AE852B}"/>
    <cellStyle name="40% - Énfasis3 7 2 2 4" xfId="18079" xr:uid="{2B927996-06B7-49DD-9ABB-E21C3F4657D3}"/>
    <cellStyle name="40% - Énfasis3 7 2 2 4 2" xfId="46509" xr:uid="{C0BFA79F-5BDD-44D9-AE0B-10EB4BFB8D23}"/>
    <cellStyle name="40% - Énfasis3 7 2 2 5" xfId="46502" xr:uid="{BAFA9E80-3CCA-483D-AEE0-3C0281AB29C1}"/>
    <cellStyle name="40% - Énfasis3 7 2 3" xfId="4929" xr:uid="{37997F47-11A0-496F-AC89-5260A30BEA14}"/>
    <cellStyle name="40% - Énfasis3 7 2 3 2" xfId="12637" xr:uid="{F2AC042A-03CF-4492-B3D1-442190674736}"/>
    <cellStyle name="40% - Énfasis3 7 2 3 2 2" xfId="28049" xr:uid="{02947C9C-3FC3-4955-9BE6-1794336443C7}"/>
    <cellStyle name="40% - Énfasis3 7 2 3 2 2 2" xfId="46512" xr:uid="{C21D7D34-176D-45BF-B5B6-B6ADB2E83B5C}"/>
    <cellStyle name="40% - Énfasis3 7 2 3 2 3" xfId="46511" xr:uid="{848110D8-0D7D-48DD-B7AF-9E07E51C8D9D}"/>
    <cellStyle name="40% - Énfasis3 7 2 3 3" xfId="20344" xr:uid="{F4CDF8A7-B8FB-4473-A5C6-44EC2DA25262}"/>
    <cellStyle name="40% - Énfasis3 7 2 3 3 2" xfId="46513" xr:uid="{242C54C8-DCF8-4C89-8A18-F9120FB70941}"/>
    <cellStyle name="40% - Énfasis3 7 2 3 4" xfId="46510" xr:uid="{37DE7C38-2421-48DC-A75F-6BA1716DD610}"/>
    <cellStyle name="40% - Énfasis3 7 2 4" xfId="8912" xr:uid="{629E59D8-A137-4ED2-8BD0-C00135E589FB}"/>
    <cellStyle name="40% - Énfasis3 7 2 4 2" xfId="24325" xr:uid="{FCE5CD58-4D78-40B8-B473-E0FBC59BE845}"/>
    <cellStyle name="40% - Énfasis3 7 2 4 2 2" xfId="46515" xr:uid="{F3EB5191-5D24-4758-9E1A-32ED562E5A1D}"/>
    <cellStyle name="40% - Énfasis3 7 2 4 3" xfId="46514" xr:uid="{176156F3-3E54-40E3-87DB-EA1D991E7F49}"/>
    <cellStyle name="40% - Énfasis3 7 2 5" xfId="16620" xr:uid="{224C40A2-F533-42DA-9D2E-6A1133E16503}"/>
    <cellStyle name="40% - Énfasis3 7 2 5 2" xfId="46516" xr:uid="{3F341068-EEA9-46B7-B620-A7BD0DB1E357}"/>
    <cellStyle name="40% - Énfasis3 7 2 6" xfId="46501" xr:uid="{88827B36-82F6-46E5-8A4D-CE6536EA8956}"/>
    <cellStyle name="40% - Énfasis3 7 3" xfId="2022" xr:uid="{0408C92A-5539-4FC2-9923-A367A67932F7}"/>
    <cellStyle name="40% - Énfasis3 7 3 2" xfId="5754" xr:uid="{A9A9E981-2B59-491D-853B-96BDB5368E3F}"/>
    <cellStyle name="40% - Énfasis3 7 3 2 2" xfId="13462" xr:uid="{C73C5774-7CF0-435B-8D8B-58F30A6CFA6E}"/>
    <cellStyle name="40% - Énfasis3 7 3 2 2 2" xfId="28874" xr:uid="{594B26AF-53C2-49BC-9EEF-7392B99EDBA2}"/>
    <cellStyle name="40% - Énfasis3 7 3 2 2 2 2" xfId="46520" xr:uid="{961A0A52-6E0C-454F-B3C1-167B6DAC47F5}"/>
    <cellStyle name="40% - Énfasis3 7 3 2 2 3" xfId="46519" xr:uid="{CEEE212C-30B9-4C7C-BE07-7FBC561E05F1}"/>
    <cellStyle name="40% - Énfasis3 7 3 2 3" xfId="21169" xr:uid="{1B281CCB-30C9-4CF3-90FD-A582FD029D2E}"/>
    <cellStyle name="40% - Énfasis3 7 3 2 3 2" xfId="46521" xr:uid="{0F2C3694-411D-497B-92E3-A38E7C1C6B76}"/>
    <cellStyle name="40% - Énfasis3 7 3 2 4" xfId="46518" xr:uid="{359E7525-C8D9-4894-908B-69A243639A89}"/>
    <cellStyle name="40% - Énfasis3 7 3 3" xfId="9733" xr:uid="{ACC8859A-5243-4696-92C5-0F71F7775F62}"/>
    <cellStyle name="40% - Énfasis3 7 3 3 2" xfId="25146" xr:uid="{CEF711DA-3B8C-47C0-85A0-B39FE7D16437}"/>
    <cellStyle name="40% - Énfasis3 7 3 3 2 2" xfId="46523" xr:uid="{1E45EB7C-78EE-4317-B492-5A5A1FFE4CD9}"/>
    <cellStyle name="40% - Énfasis3 7 3 3 3" xfId="46522" xr:uid="{CDD582E7-4FBB-432C-972C-D1A198B90589}"/>
    <cellStyle name="40% - Énfasis3 7 3 4" xfId="17441" xr:uid="{2B9A3AEC-4A43-4BC8-A258-95BE8AE6F6C2}"/>
    <cellStyle name="40% - Énfasis3 7 3 4 2" xfId="46524" xr:uid="{38A6F568-6262-41D3-9E21-28D64BD390A7}"/>
    <cellStyle name="40% - Énfasis3 7 3 5" xfId="46517" xr:uid="{AF917A86-5860-4C85-A984-44F1EDD24BBE}"/>
    <cellStyle name="40% - Énfasis3 7 4" xfId="4277" xr:uid="{4DC57CE3-732C-4ACF-959E-1678A0F1432A}"/>
    <cellStyle name="40% - Énfasis3 7 4 2" xfId="11985" xr:uid="{516F1FF6-CFE9-4AE4-94A1-857F4D4E1B09}"/>
    <cellStyle name="40% - Énfasis3 7 4 2 2" xfId="27397" xr:uid="{989631E4-F6E5-4307-97A0-165EF74A1CA3}"/>
    <cellStyle name="40% - Énfasis3 7 4 2 2 2" xfId="46527" xr:uid="{CBFA82ED-9694-4248-89D8-85E5DDEA97E3}"/>
    <cellStyle name="40% - Énfasis3 7 4 2 3" xfId="46526" xr:uid="{527CC745-3B85-4883-81A6-418830B227A1}"/>
    <cellStyle name="40% - Énfasis3 7 4 3" xfId="19692" xr:uid="{E8592891-3611-4183-BE5C-01D840F69154}"/>
    <cellStyle name="40% - Énfasis3 7 4 3 2" xfId="46528" xr:uid="{BAF12405-375D-4522-823D-B6C4C6FC74AD}"/>
    <cellStyle name="40% - Énfasis3 7 4 4" xfId="46525" xr:uid="{EBA486FA-E6B1-4F62-AC4C-B13E07D693BE}"/>
    <cellStyle name="40% - Énfasis3 7 5" xfId="8274" xr:uid="{C781828C-0877-49B2-A7FB-9D4C4BD497F5}"/>
    <cellStyle name="40% - Énfasis3 7 5 2" xfId="23687" xr:uid="{6E44A737-9B55-4684-BBF1-C4F4A0C8B7F0}"/>
    <cellStyle name="40% - Énfasis3 7 5 2 2" xfId="46530" xr:uid="{8A9F289A-130D-41EC-BFF9-E3C46739D33A}"/>
    <cellStyle name="40% - Énfasis3 7 5 3" xfId="46529" xr:uid="{5C56CF69-CE18-4308-8E80-1E6D688E7A4A}"/>
    <cellStyle name="40% - Énfasis3 7 6" xfId="15982" xr:uid="{C4D5593F-9784-48FA-8EDB-A6F9B0F897E4}"/>
    <cellStyle name="40% - Énfasis3 7 6 2" xfId="46531" xr:uid="{6A2061C7-2474-4688-84DB-D1E149673488}"/>
    <cellStyle name="40% - Énfasis3 7 7" xfId="46500" xr:uid="{B6F0B7E2-A145-4086-9D9D-2BBB12950DCD}"/>
    <cellStyle name="40% - Énfasis3 8" xfId="551" xr:uid="{3306E631-46D7-4E89-88E8-E66FBEB3C967}"/>
    <cellStyle name="40% - Énfasis3 8 2" xfId="1212" xr:uid="{E9094A8F-92D2-44EF-B16B-AF7475EEC9D8}"/>
    <cellStyle name="40% - Énfasis3 8 2 2" xfId="2680" xr:uid="{0988F641-597D-4088-9BA3-6D8A5AEC1059}"/>
    <cellStyle name="40% - Énfasis3 8 2 2 2" xfId="6412" xr:uid="{13C912BE-DD88-4F08-B595-901F70172439}"/>
    <cellStyle name="40% - Énfasis3 8 2 2 2 2" xfId="14120" xr:uid="{B115DC84-3441-4B0C-8946-1B0A641ACCD5}"/>
    <cellStyle name="40% - Énfasis3 8 2 2 2 2 2" xfId="29532" xr:uid="{C870A31A-D570-4C8E-804C-115BABAB6AA4}"/>
    <cellStyle name="40% - Énfasis3 8 2 2 2 2 2 2" xfId="46537" xr:uid="{4FE55588-3459-401B-89DF-EBDF3A0328D0}"/>
    <cellStyle name="40% - Énfasis3 8 2 2 2 2 3" xfId="46536" xr:uid="{C3ABD3EC-E3AF-4603-B936-2A40959958A3}"/>
    <cellStyle name="40% - Énfasis3 8 2 2 2 3" xfId="21827" xr:uid="{CA51DDB7-5483-478F-841B-DA5FF8E2CCA3}"/>
    <cellStyle name="40% - Énfasis3 8 2 2 2 3 2" xfId="46538" xr:uid="{739DBE2B-6BB1-40C5-9474-F39BA5F93291}"/>
    <cellStyle name="40% - Énfasis3 8 2 2 2 4" xfId="46535" xr:uid="{1FAFDBDE-EBE4-48C2-9172-F201116D897F}"/>
    <cellStyle name="40% - Énfasis3 8 2 2 3" xfId="10391" xr:uid="{25B9C647-960A-40FA-A8CA-BF02D25ADC9E}"/>
    <cellStyle name="40% - Énfasis3 8 2 2 3 2" xfId="25804" xr:uid="{24BF8005-7546-470D-AF4E-9F2E89961573}"/>
    <cellStyle name="40% - Énfasis3 8 2 2 3 2 2" xfId="46540" xr:uid="{3896BFB2-33AB-4AA4-ABC4-1A7A353A1AB5}"/>
    <cellStyle name="40% - Énfasis3 8 2 2 3 3" xfId="46539" xr:uid="{A0A594AB-9F0C-4F37-A600-28E48833F64C}"/>
    <cellStyle name="40% - Énfasis3 8 2 2 4" xfId="18099" xr:uid="{58981BA7-A203-44B8-8986-570FBB56556B}"/>
    <cellStyle name="40% - Énfasis3 8 2 2 4 2" xfId="46541" xr:uid="{804E7F43-E137-4681-82AA-C71ADE16ECF8}"/>
    <cellStyle name="40% - Énfasis3 8 2 2 5" xfId="46534" xr:uid="{89D02932-344C-46F0-95CA-4712867B1C9C}"/>
    <cellStyle name="40% - Énfasis3 8 2 3" xfId="4949" xr:uid="{156E6921-0F7C-49AA-A488-94172D40DFBB}"/>
    <cellStyle name="40% - Énfasis3 8 2 3 2" xfId="12657" xr:uid="{E255E887-AF10-4FF0-B9B2-6E948258AEBD}"/>
    <cellStyle name="40% - Énfasis3 8 2 3 2 2" xfId="28069" xr:uid="{7D4FBA94-03F7-4811-89FB-079B41459DFC}"/>
    <cellStyle name="40% - Énfasis3 8 2 3 2 2 2" xfId="46544" xr:uid="{DFECD31F-7C3E-4C1C-902C-AA753CF53772}"/>
    <cellStyle name="40% - Énfasis3 8 2 3 2 3" xfId="46543" xr:uid="{9221A813-840E-40C8-B189-0AA1E16023D3}"/>
    <cellStyle name="40% - Énfasis3 8 2 3 3" xfId="20364" xr:uid="{782ED498-FB8F-4433-9A89-06DC7792F228}"/>
    <cellStyle name="40% - Énfasis3 8 2 3 3 2" xfId="46545" xr:uid="{E2C28BA5-9B57-4B6B-B366-52EB7F17E245}"/>
    <cellStyle name="40% - Énfasis3 8 2 3 4" xfId="46542" xr:uid="{D4378954-EF81-417D-AECB-3B706BDA701B}"/>
    <cellStyle name="40% - Énfasis3 8 2 4" xfId="8932" xr:uid="{2A950DEB-D8ED-467D-A592-6FA2AAF9C4CD}"/>
    <cellStyle name="40% - Énfasis3 8 2 4 2" xfId="24345" xr:uid="{7D690513-8E2D-45AB-AD54-3B44D98582C1}"/>
    <cellStyle name="40% - Énfasis3 8 2 4 2 2" xfId="46547" xr:uid="{8BB29DFB-35DC-428C-80F8-BD7F60D0559D}"/>
    <cellStyle name="40% - Énfasis3 8 2 4 3" xfId="46546" xr:uid="{255AC4C7-DC18-4AD0-BBD1-1C6A47932ED4}"/>
    <cellStyle name="40% - Énfasis3 8 2 5" xfId="16640" xr:uid="{4511F9D8-9E3E-4567-B8AC-A878FD6B7D76}"/>
    <cellStyle name="40% - Énfasis3 8 2 5 2" xfId="46548" xr:uid="{06328B72-D3E6-4D83-8EA0-99B5A33CEFE4}"/>
    <cellStyle name="40% - Énfasis3 8 2 6" xfId="46533" xr:uid="{5E14DA68-5BAC-4D86-A94F-9B0306CCC6DB}"/>
    <cellStyle name="40% - Énfasis3 8 3" xfId="2042" xr:uid="{3AFA6944-1B5C-43A1-B95B-A8740F9209EA}"/>
    <cellStyle name="40% - Énfasis3 8 3 2" xfId="5774" xr:uid="{E997E7C6-6E23-48B6-802A-B12E345B5BF3}"/>
    <cellStyle name="40% - Énfasis3 8 3 2 2" xfId="13482" xr:uid="{44956A87-A3E1-4CF4-8709-6E72340E09D4}"/>
    <cellStyle name="40% - Énfasis3 8 3 2 2 2" xfId="28894" xr:uid="{8D459E00-F19D-4143-9A86-615756B6BDFD}"/>
    <cellStyle name="40% - Énfasis3 8 3 2 2 2 2" xfId="46552" xr:uid="{277B5318-E28E-4A4B-8F80-958EF73ED198}"/>
    <cellStyle name="40% - Énfasis3 8 3 2 2 3" xfId="46551" xr:uid="{B071CE80-AF17-41BC-9647-E3DF5436F2D3}"/>
    <cellStyle name="40% - Énfasis3 8 3 2 3" xfId="21189" xr:uid="{4E436A15-7E4B-4F1D-934F-C20A84C2A424}"/>
    <cellStyle name="40% - Énfasis3 8 3 2 3 2" xfId="46553" xr:uid="{5830890B-7333-4733-8727-8900F6079F67}"/>
    <cellStyle name="40% - Énfasis3 8 3 2 4" xfId="46550" xr:uid="{9AEF6BE7-7A08-4828-B5C6-A33321AF9F39}"/>
    <cellStyle name="40% - Énfasis3 8 3 3" xfId="9753" xr:uid="{17501726-8A9B-44C3-99F6-174CCD3BB68D}"/>
    <cellStyle name="40% - Énfasis3 8 3 3 2" xfId="25166" xr:uid="{98FB8349-D17F-436F-BCE6-48F7CE831A27}"/>
    <cellStyle name="40% - Énfasis3 8 3 3 2 2" xfId="46555" xr:uid="{549804DA-7FD9-4069-A5CF-657B744156D2}"/>
    <cellStyle name="40% - Énfasis3 8 3 3 3" xfId="46554" xr:uid="{7D4114A9-D346-480C-A9E9-A03139C7976C}"/>
    <cellStyle name="40% - Énfasis3 8 3 4" xfId="17461" xr:uid="{D63276BC-B3B2-4D27-8909-D8A350128869}"/>
    <cellStyle name="40% - Énfasis3 8 3 4 2" xfId="46556" xr:uid="{3C650A76-EC92-484D-9D29-6DF8853E6166}"/>
    <cellStyle name="40% - Énfasis3 8 3 5" xfId="46549" xr:uid="{1D747431-D6F1-419C-BE21-0483C976DAE8}"/>
    <cellStyle name="40% - Énfasis3 8 4" xfId="4297" xr:uid="{EFCE0332-9733-4BC2-83A4-385B3AA959CF}"/>
    <cellStyle name="40% - Énfasis3 8 4 2" xfId="12005" xr:uid="{BB36B221-A1B5-4718-BF68-1D3F48F939B1}"/>
    <cellStyle name="40% - Énfasis3 8 4 2 2" xfId="27417" xr:uid="{B536407A-B6CE-4963-AC63-57EE50A67E77}"/>
    <cellStyle name="40% - Énfasis3 8 4 2 2 2" xfId="46559" xr:uid="{19A40528-47B6-4D57-B784-7D99F78FC4FE}"/>
    <cellStyle name="40% - Énfasis3 8 4 2 3" xfId="46558" xr:uid="{8CDF4F59-758A-4973-AD2D-26E6629C801A}"/>
    <cellStyle name="40% - Énfasis3 8 4 3" xfId="19712" xr:uid="{F54DDE1E-E562-47E7-A825-6AAAA9A4557D}"/>
    <cellStyle name="40% - Énfasis3 8 4 3 2" xfId="46560" xr:uid="{322853B2-E307-476B-A156-1E834E8DF76F}"/>
    <cellStyle name="40% - Énfasis3 8 4 4" xfId="46557" xr:uid="{2DA8307B-A7C5-4455-96EC-091876DA1063}"/>
    <cellStyle name="40% - Énfasis3 8 5" xfId="8294" xr:uid="{1CF09E97-0C5E-49BE-9319-C49C2FC0226A}"/>
    <cellStyle name="40% - Énfasis3 8 5 2" xfId="23707" xr:uid="{18AE0755-762F-4D18-8488-4CD3102CFD5F}"/>
    <cellStyle name="40% - Énfasis3 8 5 2 2" xfId="46562" xr:uid="{9A0C0CF6-F973-4D60-B850-D399A37297B2}"/>
    <cellStyle name="40% - Énfasis3 8 5 3" xfId="46561" xr:uid="{569BDF2A-7AF1-42C5-8E8D-77249BA04101}"/>
    <cellStyle name="40% - Énfasis3 8 6" xfId="16002" xr:uid="{FA5D31E4-09FF-4139-9F90-255D6AC7FFED}"/>
    <cellStyle name="40% - Énfasis3 8 6 2" xfId="46563" xr:uid="{774DC9AC-0470-419A-B7D8-1AE2EB037B75}"/>
    <cellStyle name="40% - Énfasis3 8 7" xfId="46532" xr:uid="{85CDDF05-C1F1-4F67-AAD5-BC288363A8CD}"/>
    <cellStyle name="40% - Énfasis3 9" xfId="571" xr:uid="{424A1122-176C-4CC4-A9C4-AB28C16CCED7}"/>
    <cellStyle name="40% - Énfasis3 9 2" xfId="1232" xr:uid="{FD12F2E9-3C57-43A8-999A-F46006FCAE55}"/>
    <cellStyle name="40% - Énfasis3 9 2 2" xfId="2700" xr:uid="{4C703D15-2249-4C51-8C99-8DD396D8D208}"/>
    <cellStyle name="40% - Énfasis3 9 2 2 2" xfId="6432" xr:uid="{8C62282F-9784-4F12-90C9-938E7EE0090A}"/>
    <cellStyle name="40% - Énfasis3 9 2 2 2 2" xfId="14140" xr:uid="{3134277C-CBE0-436A-AC02-DE9A7BF64539}"/>
    <cellStyle name="40% - Énfasis3 9 2 2 2 2 2" xfId="29552" xr:uid="{1D72E0D1-A021-44F1-A777-098D8F29BD20}"/>
    <cellStyle name="40% - Énfasis3 9 2 2 2 2 2 2" xfId="46569" xr:uid="{F7D56195-F7AF-42D5-B3E0-F2697F3C6448}"/>
    <cellStyle name="40% - Énfasis3 9 2 2 2 2 3" xfId="46568" xr:uid="{5EF7BC41-B4DE-4FAC-A765-CA94BD0D7E43}"/>
    <cellStyle name="40% - Énfasis3 9 2 2 2 3" xfId="21847" xr:uid="{8C596F32-E1BF-4B43-8AA8-D7F560771763}"/>
    <cellStyle name="40% - Énfasis3 9 2 2 2 3 2" xfId="46570" xr:uid="{D9EF760C-37EF-4460-BFF4-B93655DDA001}"/>
    <cellStyle name="40% - Énfasis3 9 2 2 2 4" xfId="46567" xr:uid="{D0D97C2D-1A22-4741-A6A5-A87C9D386A44}"/>
    <cellStyle name="40% - Énfasis3 9 2 2 3" xfId="10411" xr:uid="{42D3BEDB-6CF2-4089-B6F0-E56798D34DA2}"/>
    <cellStyle name="40% - Énfasis3 9 2 2 3 2" xfId="25824" xr:uid="{D23FBF60-C912-4A1C-A3FD-3834242AF5D3}"/>
    <cellStyle name="40% - Énfasis3 9 2 2 3 2 2" xfId="46572" xr:uid="{CABFF0CE-2D2A-47F3-8785-C5190D6F57B9}"/>
    <cellStyle name="40% - Énfasis3 9 2 2 3 3" xfId="46571" xr:uid="{802D4993-A12D-4384-B2B4-650E3B2C0DA5}"/>
    <cellStyle name="40% - Énfasis3 9 2 2 4" xfId="18119" xr:uid="{18C220FB-3A9C-4F13-99DE-47749F97F306}"/>
    <cellStyle name="40% - Énfasis3 9 2 2 4 2" xfId="46573" xr:uid="{5B3554FC-D0CC-48D2-BB84-CF7CD7C1B6B5}"/>
    <cellStyle name="40% - Énfasis3 9 2 2 5" xfId="46566" xr:uid="{140A8FF6-46C9-42B4-B0D0-600AB3C8660F}"/>
    <cellStyle name="40% - Énfasis3 9 2 3" xfId="4969" xr:uid="{4835D855-8D08-4720-9A41-F1FB64B809F3}"/>
    <cellStyle name="40% - Énfasis3 9 2 3 2" xfId="12677" xr:uid="{9E274321-E63A-4E89-9D6A-1519D6FB8D0C}"/>
    <cellStyle name="40% - Énfasis3 9 2 3 2 2" xfId="28089" xr:uid="{9F16D84A-B2D2-4433-BA06-CE5C7CC2F16C}"/>
    <cellStyle name="40% - Énfasis3 9 2 3 2 2 2" xfId="46576" xr:uid="{2369AD53-FCDF-4E04-8855-00D8B87F5635}"/>
    <cellStyle name="40% - Énfasis3 9 2 3 2 3" xfId="46575" xr:uid="{89D2DFEC-0C63-41C5-B063-1044965A0042}"/>
    <cellStyle name="40% - Énfasis3 9 2 3 3" xfId="20384" xr:uid="{65D32DFA-B553-4C16-AAB2-1C0623F09D94}"/>
    <cellStyle name="40% - Énfasis3 9 2 3 3 2" xfId="46577" xr:uid="{EC5FFF4F-BE9F-413E-BC92-C03027258331}"/>
    <cellStyle name="40% - Énfasis3 9 2 3 4" xfId="46574" xr:uid="{5ABAFCD5-A992-4862-814A-CA78459F3265}"/>
    <cellStyle name="40% - Énfasis3 9 2 4" xfId="8952" xr:uid="{7EB01E9C-3BDC-467D-942A-671C68B2CDF1}"/>
    <cellStyle name="40% - Énfasis3 9 2 4 2" xfId="24365" xr:uid="{53546626-2DC3-4D5D-8CFD-7C5AEF1409EA}"/>
    <cellStyle name="40% - Énfasis3 9 2 4 2 2" xfId="46579" xr:uid="{5B3F9981-4807-4933-8784-A4768938EA8D}"/>
    <cellStyle name="40% - Énfasis3 9 2 4 3" xfId="46578" xr:uid="{EA88E961-8256-492C-B4D2-FCCEE6ADC1B2}"/>
    <cellStyle name="40% - Énfasis3 9 2 5" xfId="16660" xr:uid="{E88A5849-253F-4D08-9350-52A4D96506CE}"/>
    <cellStyle name="40% - Énfasis3 9 2 5 2" xfId="46580" xr:uid="{30BF8BD6-2C50-4046-8399-888EBF44992E}"/>
    <cellStyle name="40% - Énfasis3 9 2 6" xfId="46565" xr:uid="{B57CDA58-460E-4F15-81A8-3BD5F2BA7890}"/>
    <cellStyle name="40% - Énfasis3 9 3" xfId="2062" xr:uid="{7763F9EF-A49D-41BA-BE0B-5EB86741D9EE}"/>
    <cellStyle name="40% - Énfasis3 9 3 2" xfId="5794" xr:uid="{507D125A-31A7-47F8-BC3C-2E82BBF2B3FF}"/>
    <cellStyle name="40% - Énfasis3 9 3 2 2" xfId="13502" xr:uid="{4F448995-33BC-48A6-89A6-C7AAFA72DC78}"/>
    <cellStyle name="40% - Énfasis3 9 3 2 2 2" xfId="28914" xr:uid="{56987870-C167-454B-BC3A-BE775CFD0110}"/>
    <cellStyle name="40% - Énfasis3 9 3 2 2 2 2" xfId="46584" xr:uid="{03114B60-01FF-4EF2-9D9C-EB413D71CDB2}"/>
    <cellStyle name="40% - Énfasis3 9 3 2 2 3" xfId="46583" xr:uid="{DF0D465F-582C-4100-AE66-51EBED60A634}"/>
    <cellStyle name="40% - Énfasis3 9 3 2 3" xfId="21209" xr:uid="{4F7ADDDA-60A0-48C7-9224-AE149CF5BCD6}"/>
    <cellStyle name="40% - Énfasis3 9 3 2 3 2" xfId="46585" xr:uid="{F4213922-C6A1-4A20-BD26-BD5E978AA4BD}"/>
    <cellStyle name="40% - Énfasis3 9 3 2 4" xfId="46582" xr:uid="{A8EB9EA0-23F0-4EE9-8664-40621F997DD0}"/>
    <cellStyle name="40% - Énfasis3 9 3 3" xfId="9773" xr:uid="{9F7CDF83-E21F-4129-A760-85CD7CF7F81F}"/>
    <cellStyle name="40% - Énfasis3 9 3 3 2" xfId="25186" xr:uid="{9905CC09-5ECC-4639-B11E-6C7C0CB29756}"/>
    <cellStyle name="40% - Énfasis3 9 3 3 2 2" xfId="46587" xr:uid="{CF1532B1-E018-4526-9C76-1978E37B049C}"/>
    <cellStyle name="40% - Énfasis3 9 3 3 3" xfId="46586" xr:uid="{DCA9248B-EFE3-40D1-84C7-0D8E788C60EA}"/>
    <cellStyle name="40% - Énfasis3 9 3 4" xfId="17481" xr:uid="{C41E5FA9-0C50-463D-A8C8-479336577187}"/>
    <cellStyle name="40% - Énfasis3 9 3 4 2" xfId="46588" xr:uid="{4320FB90-C949-4FE6-8182-43BCDBEAF792}"/>
    <cellStyle name="40% - Énfasis3 9 3 5" xfId="46581" xr:uid="{E98C166B-3828-418E-AD8E-40072123E3EC}"/>
    <cellStyle name="40% - Énfasis3 9 4" xfId="4317" xr:uid="{48EA101C-CE44-4981-80D5-8B5B1C777DC8}"/>
    <cellStyle name="40% - Énfasis3 9 4 2" xfId="12025" xr:uid="{41765108-E307-4E34-9B1E-ACB675ED3472}"/>
    <cellStyle name="40% - Énfasis3 9 4 2 2" xfId="27437" xr:uid="{E1E34DA7-2F58-4DA4-A2AE-37461EEBC357}"/>
    <cellStyle name="40% - Énfasis3 9 4 2 2 2" xfId="46591" xr:uid="{07BCF0D4-DA70-48BE-8F30-63533315F45F}"/>
    <cellStyle name="40% - Énfasis3 9 4 2 3" xfId="46590" xr:uid="{7E898EA7-4EBD-43CD-AC0C-AB43282C7B1A}"/>
    <cellStyle name="40% - Énfasis3 9 4 3" xfId="19732" xr:uid="{6464C361-622E-4469-87C3-DA6BB466783B}"/>
    <cellStyle name="40% - Énfasis3 9 4 3 2" xfId="46592" xr:uid="{47F08AEF-E960-4524-A0CD-F0A0650120A1}"/>
    <cellStyle name="40% - Énfasis3 9 4 4" xfId="46589" xr:uid="{3A458125-2A82-4B12-8298-653EC8A7BB90}"/>
    <cellStyle name="40% - Énfasis3 9 5" xfId="8314" xr:uid="{B49822A0-1D56-4AD4-BC23-58C3DDAE5DD8}"/>
    <cellStyle name="40% - Énfasis3 9 5 2" xfId="23727" xr:uid="{075B77BB-1DC8-4B1A-B323-4AAB5D823EDA}"/>
    <cellStyle name="40% - Énfasis3 9 5 2 2" xfId="46594" xr:uid="{E3F7268E-F03D-478B-838D-DEF17F8ECC9B}"/>
    <cellStyle name="40% - Énfasis3 9 5 3" xfId="46593" xr:uid="{53AC9C9F-3D87-4820-9924-A869CDB2C109}"/>
    <cellStyle name="40% - Énfasis3 9 6" xfId="16022" xr:uid="{C6BF4A90-0567-4FD7-907A-03BDD2512FB3}"/>
    <cellStyle name="40% - Énfasis3 9 6 2" xfId="46595" xr:uid="{E8496BAF-5577-41C9-87DA-75E696F7E6E4}"/>
    <cellStyle name="40% - Énfasis3 9 7" xfId="46564" xr:uid="{C5BB8258-403A-4F79-B14F-56C0B1D86236}"/>
    <cellStyle name="40% - Énfasis4" xfId="31" builtinId="43" customBuiltin="1"/>
    <cellStyle name="40% - Énfasis4 10" xfId="594" xr:uid="{BBD9B771-DC6D-4647-B348-0426C1FEA714}"/>
    <cellStyle name="40% - Énfasis4 10 2" xfId="1255" xr:uid="{10EDD589-652D-4695-B65A-3CA900A00187}"/>
    <cellStyle name="40% - Énfasis4 10 2 2" xfId="2723" xr:uid="{0451DE2E-F68E-4E1D-B474-B6D677BB08EF}"/>
    <cellStyle name="40% - Énfasis4 10 2 2 2" xfId="6455" xr:uid="{C20EE039-F29E-4860-8776-07CB19BF36BD}"/>
    <cellStyle name="40% - Énfasis4 10 2 2 2 2" xfId="14163" xr:uid="{938B80F8-8BF2-48BC-BA4F-A3ADEF09B186}"/>
    <cellStyle name="40% - Énfasis4 10 2 2 2 2 2" xfId="29575" xr:uid="{B163DB1D-EB8C-4FB4-B54B-38DAB6D981CB}"/>
    <cellStyle name="40% - Énfasis4 10 2 2 2 2 2 2" xfId="46601" xr:uid="{7F40BA7F-E8B4-42BF-B563-D9021A42D7B0}"/>
    <cellStyle name="40% - Énfasis4 10 2 2 2 2 3" xfId="46600" xr:uid="{FBEF944B-5DDF-4FBA-A5A6-95ECB1E09F02}"/>
    <cellStyle name="40% - Énfasis4 10 2 2 2 3" xfId="21870" xr:uid="{7AA70733-F9BD-4434-BEB2-F743999B33BB}"/>
    <cellStyle name="40% - Énfasis4 10 2 2 2 3 2" xfId="46602" xr:uid="{EB838E8E-1410-4F8F-80FA-1A40CC0D0F8A}"/>
    <cellStyle name="40% - Énfasis4 10 2 2 2 4" xfId="46599" xr:uid="{FC3DF83D-2478-4FE7-B887-347B42657D10}"/>
    <cellStyle name="40% - Énfasis4 10 2 2 3" xfId="10434" xr:uid="{16EEBC49-5A7B-4730-A225-F01C2F538F8B}"/>
    <cellStyle name="40% - Énfasis4 10 2 2 3 2" xfId="25847" xr:uid="{9BAFDA13-E8D2-4F20-BD49-79491E8D00C8}"/>
    <cellStyle name="40% - Énfasis4 10 2 2 3 2 2" xfId="46604" xr:uid="{3AFFE2BD-5D2E-49E6-BF87-A10E6DA72423}"/>
    <cellStyle name="40% - Énfasis4 10 2 2 3 3" xfId="46603" xr:uid="{45386B4D-81F4-472E-A0F2-1782B6A42A68}"/>
    <cellStyle name="40% - Énfasis4 10 2 2 4" xfId="18142" xr:uid="{2CA8B626-8F62-42B7-8C25-25C38E54CAF5}"/>
    <cellStyle name="40% - Énfasis4 10 2 2 4 2" xfId="46605" xr:uid="{7EF83038-1941-46B5-BF99-A5AA965786B8}"/>
    <cellStyle name="40% - Énfasis4 10 2 2 5" xfId="46598" xr:uid="{B5EDF650-16F8-4263-A12D-ADAFEEDA075C}"/>
    <cellStyle name="40% - Énfasis4 10 2 3" xfId="4992" xr:uid="{1D1C8C6C-7B72-488A-A996-4AF1057E16A7}"/>
    <cellStyle name="40% - Énfasis4 10 2 3 2" xfId="12700" xr:uid="{027DCD19-3EEE-4A5D-B090-BE1EC79EF136}"/>
    <cellStyle name="40% - Énfasis4 10 2 3 2 2" xfId="28112" xr:uid="{A82DCCF0-FB93-454E-A95F-41989DF652DB}"/>
    <cellStyle name="40% - Énfasis4 10 2 3 2 2 2" xfId="46608" xr:uid="{6EF9B663-20DF-48D7-B3B8-0C209244BB24}"/>
    <cellStyle name="40% - Énfasis4 10 2 3 2 3" xfId="46607" xr:uid="{9C1DDE04-78DE-4E5E-B054-12F4FCAAD6F9}"/>
    <cellStyle name="40% - Énfasis4 10 2 3 3" xfId="20407" xr:uid="{EA98EE2B-61FA-43EF-9416-B5E66E489EA1}"/>
    <cellStyle name="40% - Énfasis4 10 2 3 3 2" xfId="46609" xr:uid="{EC0CD782-C5E5-44A7-B4AF-36656054035C}"/>
    <cellStyle name="40% - Énfasis4 10 2 3 4" xfId="46606" xr:uid="{E78F095E-E719-47AC-84AE-0CA4582A2A63}"/>
    <cellStyle name="40% - Énfasis4 10 2 4" xfId="8975" xr:uid="{92FD89D5-1374-4B7F-8103-E0B3085FAED1}"/>
    <cellStyle name="40% - Énfasis4 10 2 4 2" xfId="24388" xr:uid="{B1F4D76D-6FA4-4FF5-BE95-B9573A6C68F2}"/>
    <cellStyle name="40% - Énfasis4 10 2 4 2 2" xfId="46611" xr:uid="{E87A7F09-DAAC-4326-A13F-69CADDC9DF11}"/>
    <cellStyle name="40% - Énfasis4 10 2 4 3" xfId="46610" xr:uid="{E3273F2D-1FFC-40BA-A345-0BA2428368E7}"/>
    <cellStyle name="40% - Énfasis4 10 2 5" xfId="16683" xr:uid="{9ED8EE39-235B-4D0A-B30E-0273FEA37358}"/>
    <cellStyle name="40% - Énfasis4 10 2 5 2" xfId="46612" xr:uid="{BE916808-CC54-49BB-8162-75C6C1C8F51E}"/>
    <cellStyle name="40% - Énfasis4 10 2 6" xfId="46597" xr:uid="{199B4ED6-69C2-4CE6-A25B-6FCAB36E12E9}"/>
    <cellStyle name="40% - Énfasis4 10 3" xfId="2085" xr:uid="{9BA5A8AC-500E-48B6-928E-8D133B099C7E}"/>
    <cellStyle name="40% - Énfasis4 10 3 2" xfId="5817" xr:uid="{4D37EFEC-22C2-4BF5-8B9F-BB9D431A091C}"/>
    <cellStyle name="40% - Énfasis4 10 3 2 2" xfId="13525" xr:uid="{74D679B3-9BC8-4967-AC40-56BBA181C36D}"/>
    <cellStyle name="40% - Énfasis4 10 3 2 2 2" xfId="28937" xr:uid="{494A7BAA-71DD-4082-B3A8-A2E6E0DA59A9}"/>
    <cellStyle name="40% - Énfasis4 10 3 2 2 2 2" xfId="46616" xr:uid="{32E1C331-DF5F-4ECA-B589-65CF2EBE751D}"/>
    <cellStyle name="40% - Énfasis4 10 3 2 2 3" xfId="46615" xr:uid="{548F4002-57F5-4D88-8740-B2E7099CFD23}"/>
    <cellStyle name="40% - Énfasis4 10 3 2 3" xfId="21232" xr:uid="{25189365-0698-4931-9002-80297A0665EE}"/>
    <cellStyle name="40% - Énfasis4 10 3 2 3 2" xfId="46617" xr:uid="{D8EF449E-172A-4ABE-AAAB-71B044219C4F}"/>
    <cellStyle name="40% - Énfasis4 10 3 2 4" xfId="46614" xr:uid="{EAFF31B4-B574-47C2-95E4-E9B169A2E7E8}"/>
    <cellStyle name="40% - Énfasis4 10 3 3" xfId="9796" xr:uid="{4C657A98-5402-4FF7-8876-2DD92963CCCB}"/>
    <cellStyle name="40% - Énfasis4 10 3 3 2" xfId="25209" xr:uid="{68C6B5F4-875C-4945-8C2F-AEA8B26612C1}"/>
    <cellStyle name="40% - Énfasis4 10 3 3 2 2" xfId="46619" xr:uid="{C9712D20-66C9-4A72-AD50-453021A37406}"/>
    <cellStyle name="40% - Énfasis4 10 3 3 3" xfId="46618" xr:uid="{D8CB96B5-B3DE-4210-AD44-2D9D83F7CCD1}"/>
    <cellStyle name="40% - Énfasis4 10 3 4" xfId="17504" xr:uid="{D7985CF8-28E9-4D7A-966D-0D9D88EDDD8C}"/>
    <cellStyle name="40% - Énfasis4 10 3 4 2" xfId="46620" xr:uid="{04068F87-0A67-408C-9DBB-FD34494DEF8E}"/>
    <cellStyle name="40% - Énfasis4 10 3 5" xfId="46613" xr:uid="{C5CA390D-D3C8-45B0-938A-070DB0B889B4}"/>
    <cellStyle name="40% - Énfasis4 10 4" xfId="4340" xr:uid="{0C9914F9-5B93-4D07-94A0-BE27005908E0}"/>
    <cellStyle name="40% - Énfasis4 10 4 2" xfId="12048" xr:uid="{EFAF5641-0121-4EAB-807B-38FCF9EA9894}"/>
    <cellStyle name="40% - Énfasis4 10 4 2 2" xfId="27460" xr:uid="{E19ACF3E-2F0A-4398-93CF-9F1DC2FABCDC}"/>
    <cellStyle name="40% - Énfasis4 10 4 2 2 2" xfId="46623" xr:uid="{F41B2254-9D48-4209-A039-E68A40EFCA07}"/>
    <cellStyle name="40% - Énfasis4 10 4 2 3" xfId="46622" xr:uid="{07AADD88-0CE7-44DB-BAB5-2321A5448980}"/>
    <cellStyle name="40% - Énfasis4 10 4 3" xfId="19755" xr:uid="{DDA0079D-CF4E-490B-AE97-D9FEAE76A614}"/>
    <cellStyle name="40% - Énfasis4 10 4 3 2" xfId="46624" xr:uid="{89D1C961-F0BB-45D0-9DCB-CDC6AE3A61A3}"/>
    <cellStyle name="40% - Énfasis4 10 4 4" xfId="46621" xr:uid="{2714B9F2-06A8-40B2-BEF4-262ECD8C36EE}"/>
    <cellStyle name="40% - Énfasis4 10 5" xfId="8337" xr:uid="{481FEBA1-A1A9-4A58-8072-CF3127E6B966}"/>
    <cellStyle name="40% - Énfasis4 10 5 2" xfId="23750" xr:uid="{E841F0BF-76DA-4778-BF23-074D97805CE5}"/>
    <cellStyle name="40% - Énfasis4 10 5 2 2" xfId="46626" xr:uid="{6FBA4005-3725-4B0E-AAF0-6286AF7A464B}"/>
    <cellStyle name="40% - Énfasis4 10 5 3" xfId="46625" xr:uid="{E8878F3F-E362-4457-B1F3-52725D2C90F6}"/>
    <cellStyle name="40% - Énfasis4 10 6" xfId="16045" xr:uid="{CB3C4FD0-E19E-491A-BD40-625197C74908}"/>
    <cellStyle name="40% - Énfasis4 10 6 2" xfId="46627" xr:uid="{D32359AB-012C-4DF8-B28F-545C81277914}"/>
    <cellStyle name="40% - Énfasis4 10 7" xfId="46596" xr:uid="{78C07D0D-D129-438C-939E-B61D89EE98F3}"/>
    <cellStyle name="40% - Énfasis4 11" xfId="615" xr:uid="{768BC259-1FEB-4289-8863-0D95F3570B19}"/>
    <cellStyle name="40% - Énfasis4 11 2" xfId="1276" xr:uid="{0843D262-FC1D-4F03-B63A-9E891886AD0B}"/>
    <cellStyle name="40% - Énfasis4 11 2 2" xfId="2743" xr:uid="{2C2BF7F0-533A-4659-8A26-C0AD6F94935D}"/>
    <cellStyle name="40% - Énfasis4 11 2 2 2" xfId="6475" xr:uid="{C2D378FC-BB64-473F-AA98-FC9C1C4D637E}"/>
    <cellStyle name="40% - Énfasis4 11 2 2 2 2" xfId="14183" xr:uid="{56D5AA0E-48C9-4564-B53C-83C19C7CB102}"/>
    <cellStyle name="40% - Énfasis4 11 2 2 2 2 2" xfId="29595" xr:uid="{B13BFF5F-F458-4665-931E-7F7F42AFF6AF}"/>
    <cellStyle name="40% - Énfasis4 11 2 2 2 2 2 2" xfId="46633" xr:uid="{C2B1FA9B-F9C8-472A-88D4-EA5E254A79E0}"/>
    <cellStyle name="40% - Énfasis4 11 2 2 2 2 3" xfId="46632" xr:uid="{618B014F-4C1A-408A-9E9F-56829372500B}"/>
    <cellStyle name="40% - Énfasis4 11 2 2 2 3" xfId="21890" xr:uid="{3EBB4D5C-14E8-49EC-A704-1F232A62BC68}"/>
    <cellStyle name="40% - Énfasis4 11 2 2 2 3 2" xfId="46634" xr:uid="{A67DB342-EAB6-4DF1-978E-C505925C7186}"/>
    <cellStyle name="40% - Énfasis4 11 2 2 2 4" xfId="46631" xr:uid="{ED0FA1CE-A13E-4B17-AA53-93EB75B91F39}"/>
    <cellStyle name="40% - Énfasis4 11 2 2 3" xfId="10454" xr:uid="{F2371A8C-CD23-4C05-B977-F860FF3A25BF}"/>
    <cellStyle name="40% - Énfasis4 11 2 2 3 2" xfId="25867" xr:uid="{580F02CB-D2FC-47FB-9E42-6892FF3D502B}"/>
    <cellStyle name="40% - Énfasis4 11 2 2 3 2 2" xfId="46636" xr:uid="{DCDCD264-3B28-4571-8DE0-B9D77D97A26D}"/>
    <cellStyle name="40% - Énfasis4 11 2 2 3 3" xfId="46635" xr:uid="{C4A08F69-B17C-4EAC-B3A2-499AB1EDAFE7}"/>
    <cellStyle name="40% - Énfasis4 11 2 2 4" xfId="18162" xr:uid="{9F2BB358-83CA-454F-AEF0-9DD1254FE50C}"/>
    <cellStyle name="40% - Énfasis4 11 2 2 4 2" xfId="46637" xr:uid="{631E3DE4-6440-4804-BCBB-CBB9D59A3871}"/>
    <cellStyle name="40% - Énfasis4 11 2 2 5" xfId="46630" xr:uid="{B1FE7F82-42E4-4CDA-916A-3141A40C1223}"/>
    <cellStyle name="40% - Énfasis4 11 2 3" xfId="5012" xr:uid="{3D8C7711-755E-45D8-8ED6-01E8A27E23BD}"/>
    <cellStyle name="40% - Énfasis4 11 2 3 2" xfId="12720" xr:uid="{6265B3C6-E722-4047-A1CD-C9585FE4629B}"/>
    <cellStyle name="40% - Énfasis4 11 2 3 2 2" xfId="28132" xr:uid="{5FE7414F-A0EE-4A93-A3AC-E1D51FB55004}"/>
    <cellStyle name="40% - Énfasis4 11 2 3 2 2 2" xfId="46640" xr:uid="{CF84F934-B176-4C0E-A065-C1206C518018}"/>
    <cellStyle name="40% - Énfasis4 11 2 3 2 3" xfId="46639" xr:uid="{C76516ED-5EAF-470A-B29B-1848ABFD45E5}"/>
    <cellStyle name="40% - Énfasis4 11 2 3 3" xfId="20427" xr:uid="{74AE42C1-0773-44FB-98DF-E8B1F1417099}"/>
    <cellStyle name="40% - Énfasis4 11 2 3 3 2" xfId="46641" xr:uid="{F76C6A69-311A-4EF0-942B-037E27E9A8B3}"/>
    <cellStyle name="40% - Énfasis4 11 2 3 4" xfId="46638" xr:uid="{1C08D701-13BF-48B7-8421-6DC30EE4D5E6}"/>
    <cellStyle name="40% - Énfasis4 11 2 4" xfId="8995" xr:uid="{F1D115E8-68B2-463D-9F0E-0614901D10B6}"/>
    <cellStyle name="40% - Énfasis4 11 2 4 2" xfId="24408" xr:uid="{D7A6267B-9A72-427F-91D0-0534AA9A6011}"/>
    <cellStyle name="40% - Énfasis4 11 2 4 2 2" xfId="46643" xr:uid="{B1981C2D-1938-4A22-9C8E-0649A90D0DB1}"/>
    <cellStyle name="40% - Énfasis4 11 2 4 3" xfId="46642" xr:uid="{A4E109A7-104D-403D-B584-668CD63679DE}"/>
    <cellStyle name="40% - Énfasis4 11 2 5" xfId="16703" xr:uid="{D0845E3E-D15A-4261-8556-6B2879EFD43B}"/>
    <cellStyle name="40% - Énfasis4 11 2 5 2" xfId="46644" xr:uid="{6F843BA0-D2FB-4C8D-8E22-38413ED0BA95}"/>
    <cellStyle name="40% - Énfasis4 11 2 6" xfId="46629" xr:uid="{CCA72516-9C3B-4243-B8ED-F1D12ACE841C}"/>
    <cellStyle name="40% - Énfasis4 11 3" xfId="2105" xr:uid="{F02400DE-CFFB-4A6D-985E-FDD8A5423551}"/>
    <cellStyle name="40% - Énfasis4 11 3 2" xfId="5837" xr:uid="{C8B1D097-5796-4A7B-BA1E-025301C6DBF4}"/>
    <cellStyle name="40% - Énfasis4 11 3 2 2" xfId="13545" xr:uid="{D8AE5F74-132E-49D6-994D-72ED84B3D308}"/>
    <cellStyle name="40% - Énfasis4 11 3 2 2 2" xfId="28957" xr:uid="{5DCFD888-02A0-4166-9EF7-C902871A163D}"/>
    <cellStyle name="40% - Énfasis4 11 3 2 2 2 2" xfId="46648" xr:uid="{626B43AC-77FD-4AE9-8FA0-F8CC31BA89AF}"/>
    <cellStyle name="40% - Énfasis4 11 3 2 2 3" xfId="46647" xr:uid="{F4481B80-01E2-49A5-99B7-D74055BC88F9}"/>
    <cellStyle name="40% - Énfasis4 11 3 2 3" xfId="21252" xr:uid="{BE62ADA1-679C-4370-917E-DAF71BA9F973}"/>
    <cellStyle name="40% - Énfasis4 11 3 2 3 2" xfId="46649" xr:uid="{1BC5D566-1034-4852-95F2-D0363226A015}"/>
    <cellStyle name="40% - Énfasis4 11 3 2 4" xfId="46646" xr:uid="{F7037A54-BE76-48CA-B83A-178FFD18563E}"/>
    <cellStyle name="40% - Énfasis4 11 3 3" xfId="9816" xr:uid="{D32AD9BB-E022-4FB1-9A44-C81753FC1951}"/>
    <cellStyle name="40% - Énfasis4 11 3 3 2" xfId="25229" xr:uid="{2DA2C73E-9C5C-4728-A6E4-1B5C8300E564}"/>
    <cellStyle name="40% - Énfasis4 11 3 3 2 2" xfId="46651" xr:uid="{619C8067-8E31-4525-B865-4BC3AC00F817}"/>
    <cellStyle name="40% - Énfasis4 11 3 3 3" xfId="46650" xr:uid="{2027B525-21C1-4A60-886C-CDA57E3DE357}"/>
    <cellStyle name="40% - Énfasis4 11 3 4" xfId="17524" xr:uid="{47293096-C71B-4498-A4C1-FC3842075D07}"/>
    <cellStyle name="40% - Énfasis4 11 3 4 2" xfId="46652" xr:uid="{89FCAE27-D389-41E6-BFBC-5528B368182D}"/>
    <cellStyle name="40% - Énfasis4 11 3 5" xfId="46645" xr:uid="{25F73B07-A810-4E70-84E7-2D3443ADDB36}"/>
    <cellStyle name="40% - Énfasis4 11 4" xfId="4360" xr:uid="{48E1FCAB-A355-4722-A596-FAE1A721DBCF}"/>
    <cellStyle name="40% - Énfasis4 11 4 2" xfId="12068" xr:uid="{BD3654E3-CE65-458E-8219-AB790DF46DB6}"/>
    <cellStyle name="40% - Énfasis4 11 4 2 2" xfId="27480" xr:uid="{9C6F3125-AACF-4E72-8B7C-395A4C559667}"/>
    <cellStyle name="40% - Énfasis4 11 4 2 2 2" xfId="46655" xr:uid="{CB743993-76B1-4D5F-A406-83034FBD7F69}"/>
    <cellStyle name="40% - Énfasis4 11 4 2 3" xfId="46654" xr:uid="{662B7871-F07E-4CB3-9DFF-C3D0FD5D057F}"/>
    <cellStyle name="40% - Énfasis4 11 4 3" xfId="19775" xr:uid="{C991A2E6-C4DD-4890-B168-7B82F1BD5A51}"/>
    <cellStyle name="40% - Énfasis4 11 4 3 2" xfId="46656" xr:uid="{0B8B3E0A-A0E4-47CD-BECC-C371BE6E9B7B}"/>
    <cellStyle name="40% - Énfasis4 11 4 4" xfId="46653" xr:uid="{B0F9FFAC-03BB-483E-BCEC-38311FF89B2B}"/>
    <cellStyle name="40% - Énfasis4 11 5" xfId="8357" xr:uid="{DFD13447-9A31-4E46-B92A-69E4C71949AE}"/>
    <cellStyle name="40% - Énfasis4 11 5 2" xfId="23770" xr:uid="{4D2BA861-B286-4BAC-972A-82AA0FB263C0}"/>
    <cellStyle name="40% - Énfasis4 11 5 2 2" xfId="46658" xr:uid="{77BF17D5-D7F5-4FA2-B0BC-AAAE7EA4BEF4}"/>
    <cellStyle name="40% - Énfasis4 11 5 3" xfId="46657" xr:uid="{6C1C576B-3266-4D2B-93B7-E9273F1C82B9}"/>
    <cellStyle name="40% - Énfasis4 11 6" xfId="16065" xr:uid="{A143D17A-B031-40CF-BB7D-B434269311AF}"/>
    <cellStyle name="40% - Énfasis4 11 6 2" xfId="46659" xr:uid="{D5747191-4DAA-4562-8FE4-50E20DE1FDEF}"/>
    <cellStyle name="40% - Énfasis4 11 7" xfId="46628" xr:uid="{010CBD57-9CC8-4BB3-9DF3-2AFAF62B7EAC}"/>
    <cellStyle name="40% - Énfasis4 12" xfId="635" xr:uid="{45FD0BEA-F0E1-4A01-BBA0-185F4C27A9AE}"/>
    <cellStyle name="40% - Énfasis4 12 2" xfId="1296" xr:uid="{A97AB406-8C38-4660-A3E1-7815E2034441}"/>
    <cellStyle name="40% - Énfasis4 12 2 2" xfId="2763" xr:uid="{F303EAE9-2B08-4DEF-B9AB-6C91F81748CB}"/>
    <cellStyle name="40% - Énfasis4 12 2 2 2" xfId="6495" xr:uid="{CEB53277-3D1E-4C87-B8CB-DDE7ACE719CF}"/>
    <cellStyle name="40% - Énfasis4 12 2 2 2 2" xfId="14203" xr:uid="{3B8C96CD-D0D4-4794-AF55-7BAC7488ABD8}"/>
    <cellStyle name="40% - Énfasis4 12 2 2 2 2 2" xfId="29615" xr:uid="{A58DA163-35A8-435E-80A8-F94BF07A0A57}"/>
    <cellStyle name="40% - Énfasis4 12 2 2 2 2 2 2" xfId="46665" xr:uid="{9EF26750-E3A6-4272-B54E-D20DC01BF0A7}"/>
    <cellStyle name="40% - Énfasis4 12 2 2 2 2 3" xfId="46664" xr:uid="{3422CCF6-FA71-4E0D-8AA7-F4138C642316}"/>
    <cellStyle name="40% - Énfasis4 12 2 2 2 3" xfId="21910" xr:uid="{63ECBD49-7A4B-4D51-9916-9B7ECC0E33F6}"/>
    <cellStyle name="40% - Énfasis4 12 2 2 2 3 2" xfId="46666" xr:uid="{75139DC7-A4E2-45CA-B2FE-F754DFD86E6E}"/>
    <cellStyle name="40% - Énfasis4 12 2 2 2 4" xfId="46663" xr:uid="{7DF83384-FC13-4FD0-8E61-BA3AFE8108D0}"/>
    <cellStyle name="40% - Énfasis4 12 2 2 3" xfId="10474" xr:uid="{5DEB502B-B563-4996-A1FB-38103836730E}"/>
    <cellStyle name="40% - Énfasis4 12 2 2 3 2" xfId="25887" xr:uid="{897810EA-B77A-485D-A6F7-5056624E00D7}"/>
    <cellStyle name="40% - Énfasis4 12 2 2 3 2 2" xfId="46668" xr:uid="{0AC34B94-66FC-45BE-98AC-2D8D5A1A5115}"/>
    <cellStyle name="40% - Énfasis4 12 2 2 3 3" xfId="46667" xr:uid="{F5920F32-7539-4CC8-9501-F02CD57C1A0E}"/>
    <cellStyle name="40% - Énfasis4 12 2 2 4" xfId="18182" xr:uid="{3BBB9124-E7E6-4E7F-9F7F-ACCDC2283D7F}"/>
    <cellStyle name="40% - Énfasis4 12 2 2 4 2" xfId="46669" xr:uid="{6B85D16C-7F7F-473E-A48A-F59F052B4706}"/>
    <cellStyle name="40% - Énfasis4 12 2 2 5" xfId="46662" xr:uid="{A59019CD-ADFB-48B3-93EB-D3E8E3E1750A}"/>
    <cellStyle name="40% - Énfasis4 12 2 3" xfId="5032" xr:uid="{D522BBAA-6860-4F97-A295-D6F6D4B872AA}"/>
    <cellStyle name="40% - Énfasis4 12 2 3 2" xfId="12740" xr:uid="{247A1186-ED8E-4D49-9D00-621A16CD6996}"/>
    <cellStyle name="40% - Énfasis4 12 2 3 2 2" xfId="28152" xr:uid="{F9773611-3600-4318-9717-8FF195065750}"/>
    <cellStyle name="40% - Énfasis4 12 2 3 2 2 2" xfId="46672" xr:uid="{6468C6FA-9243-4914-AACD-63E7022F9130}"/>
    <cellStyle name="40% - Énfasis4 12 2 3 2 3" xfId="46671" xr:uid="{FF803D33-8683-464C-B718-A006EF11D3EE}"/>
    <cellStyle name="40% - Énfasis4 12 2 3 3" xfId="20447" xr:uid="{47BB7AA2-EFB6-4375-9150-1F9CB891E562}"/>
    <cellStyle name="40% - Énfasis4 12 2 3 3 2" xfId="46673" xr:uid="{3B4E961E-F752-4AE8-B09A-BE1841BFD15C}"/>
    <cellStyle name="40% - Énfasis4 12 2 3 4" xfId="46670" xr:uid="{901D25E4-315D-412B-B9CD-E12E25711711}"/>
    <cellStyle name="40% - Énfasis4 12 2 4" xfId="9015" xr:uid="{A9033603-A86F-483C-BE67-E1ACCF3E8D97}"/>
    <cellStyle name="40% - Énfasis4 12 2 4 2" xfId="24428" xr:uid="{BE13A302-7575-43AA-9EFE-2816B19D531A}"/>
    <cellStyle name="40% - Énfasis4 12 2 4 2 2" xfId="46675" xr:uid="{0A9F1C18-F17C-4BAE-B528-C8D7F977DC59}"/>
    <cellStyle name="40% - Énfasis4 12 2 4 3" xfId="46674" xr:uid="{FF50390F-1170-4BBC-B5B2-0B3402427DDE}"/>
    <cellStyle name="40% - Énfasis4 12 2 5" xfId="16723" xr:uid="{56DDF70A-C9FD-4762-A367-7E02003D58F7}"/>
    <cellStyle name="40% - Énfasis4 12 2 5 2" xfId="46676" xr:uid="{766FE6CE-46B1-42FB-B54F-D1BC13527172}"/>
    <cellStyle name="40% - Énfasis4 12 2 6" xfId="46661" xr:uid="{B22AB0B8-844D-4BA1-B70A-B631B6C2303E}"/>
    <cellStyle name="40% - Énfasis4 12 3" xfId="2125" xr:uid="{CA9BF178-AD15-410A-8BE9-22BC1E9CF1D5}"/>
    <cellStyle name="40% - Énfasis4 12 3 2" xfId="5857" xr:uid="{758E3CFB-5DAC-4E81-AA1B-ECBD5C7B83B4}"/>
    <cellStyle name="40% - Énfasis4 12 3 2 2" xfId="13565" xr:uid="{1EF34FF3-B3A0-44B6-B8C9-4E083035DF35}"/>
    <cellStyle name="40% - Énfasis4 12 3 2 2 2" xfId="28977" xr:uid="{3273A68C-81C9-4185-83D1-0909FFF67040}"/>
    <cellStyle name="40% - Énfasis4 12 3 2 2 2 2" xfId="46680" xr:uid="{56CC4420-33E4-4DA7-B1F9-17229EB2A6C0}"/>
    <cellStyle name="40% - Énfasis4 12 3 2 2 3" xfId="46679" xr:uid="{D7C04D35-DF65-47FE-9636-4AF492CD2A17}"/>
    <cellStyle name="40% - Énfasis4 12 3 2 3" xfId="21272" xr:uid="{EADC3B5F-243F-45D0-B0CF-7DCE5CAF9775}"/>
    <cellStyle name="40% - Énfasis4 12 3 2 3 2" xfId="46681" xr:uid="{A7E5CCEF-97F6-4F2D-AE2F-894BC8F67B17}"/>
    <cellStyle name="40% - Énfasis4 12 3 2 4" xfId="46678" xr:uid="{520EB619-AD32-46D1-977B-142B4CEECD88}"/>
    <cellStyle name="40% - Énfasis4 12 3 3" xfId="9836" xr:uid="{635F380C-9597-4340-B2D1-AF036732323F}"/>
    <cellStyle name="40% - Énfasis4 12 3 3 2" xfId="25249" xr:uid="{45CE6B15-A166-4473-AC18-5D96E30BBF54}"/>
    <cellStyle name="40% - Énfasis4 12 3 3 2 2" xfId="46683" xr:uid="{7A0C2BCB-5319-4410-84F4-A22B2CA9D4C8}"/>
    <cellStyle name="40% - Énfasis4 12 3 3 3" xfId="46682" xr:uid="{D8A9D2FC-843E-4069-957B-FF28E0E24A0B}"/>
    <cellStyle name="40% - Énfasis4 12 3 4" xfId="17544" xr:uid="{DB378606-B676-457B-B5B9-60877B7204C2}"/>
    <cellStyle name="40% - Énfasis4 12 3 4 2" xfId="46684" xr:uid="{7DE1FB2D-C3F8-4E16-B79A-0B4F7E01BBCA}"/>
    <cellStyle name="40% - Énfasis4 12 3 5" xfId="46677" xr:uid="{E0D02919-0058-4B51-B98A-294BF1FDDBC6}"/>
    <cellStyle name="40% - Énfasis4 12 4" xfId="4380" xr:uid="{A36E77B2-9B26-4170-B4A3-F2D36BBE054B}"/>
    <cellStyle name="40% - Énfasis4 12 4 2" xfId="12088" xr:uid="{AF64DB5F-483B-4F81-9AAE-F4B87E7B5F1B}"/>
    <cellStyle name="40% - Énfasis4 12 4 2 2" xfId="27500" xr:uid="{2C1ECF8E-08D6-485A-9ECF-E93159AB129B}"/>
    <cellStyle name="40% - Énfasis4 12 4 2 2 2" xfId="46687" xr:uid="{87A4F707-2CBC-4D5D-91A2-5914FF285A07}"/>
    <cellStyle name="40% - Énfasis4 12 4 2 3" xfId="46686" xr:uid="{AE6F5009-F563-4770-8A1A-978E09E1F261}"/>
    <cellStyle name="40% - Énfasis4 12 4 3" xfId="19795" xr:uid="{412FEDC3-C248-4E41-9E4C-54BDB068CFBE}"/>
    <cellStyle name="40% - Énfasis4 12 4 3 2" xfId="46688" xr:uid="{B0C3A12C-448B-4397-94B9-126DB8C46F8E}"/>
    <cellStyle name="40% - Énfasis4 12 4 4" xfId="46685" xr:uid="{DD4CF1DB-884C-46ED-91F9-5B1CFBC102DE}"/>
    <cellStyle name="40% - Énfasis4 12 5" xfId="8377" xr:uid="{30BFECAE-693A-45AA-91BB-B2DE60EDB0A0}"/>
    <cellStyle name="40% - Énfasis4 12 5 2" xfId="23790" xr:uid="{F1F31231-4D7F-4ABA-9CC5-523B83FD228B}"/>
    <cellStyle name="40% - Énfasis4 12 5 2 2" xfId="46690" xr:uid="{AEB4D3C7-313F-4251-A386-BE550C419D3F}"/>
    <cellStyle name="40% - Énfasis4 12 5 3" xfId="46689" xr:uid="{6BF78D2A-3F6B-43A6-A7CD-34F29094A874}"/>
    <cellStyle name="40% - Énfasis4 12 6" xfId="16085" xr:uid="{201B6FA4-5350-4013-B35D-54EDAF53D4A3}"/>
    <cellStyle name="40% - Énfasis4 12 6 2" xfId="46691" xr:uid="{379E7F5B-6495-4C93-94ED-7D6FAF396CB9}"/>
    <cellStyle name="40% - Énfasis4 12 7" xfId="46660" xr:uid="{769158DE-3BB8-4135-9D40-0D34182E6703}"/>
    <cellStyle name="40% - Énfasis4 13" xfId="656" xr:uid="{53722137-5492-456B-B32A-FC239F273FCB}"/>
    <cellStyle name="40% - Énfasis4 13 2" xfId="1317" xr:uid="{B3AC8E97-1FEE-4372-A771-29805FB4C63B}"/>
    <cellStyle name="40% - Énfasis4 13 2 2" xfId="2784" xr:uid="{07938267-16FD-4BFB-86C2-5426E1B54CEF}"/>
    <cellStyle name="40% - Énfasis4 13 2 2 2" xfId="6516" xr:uid="{838C7C05-8A91-498F-A2C0-88D3AC2B4C44}"/>
    <cellStyle name="40% - Énfasis4 13 2 2 2 2" xfId="14224" xr:uid="{26CC3B09-B46E-4AC6-82CE-4B6194F5C123}"/>
    <cellStyle name="40% - Énfasis4 13 2 2 2 2 2" xfId="29636" xr:uid="{312A1232-4ED6-4FEE-8C79-1B47D55CA869}"/>
    <cellStyle name="40% - Énfasis4 13 2 2 2 2 2 2" xfId="46697" xr:uid="{996F62A3-024C-40DA-8A90-A9D719266C89}"/>
    <cellStyle name="40% - Énfasis4 13 2 2 2 2 3" xfId="46696" xr:uid="{BAA65AA6-0697-4B24-B25A-C622D9ADF4E3}"/>
    <cellStyle name="40% - Énfasis4 13 2 2 2 3" xfId="21931" xr:uid="{CE5B2EE3-8E23-40B0-B958-14B5BB8C1581}"/>
    <cellStyle name="40% - Énfasis4 13 2 2 2 3 2" xfId="46698" xr:uid="{2B3B2D84-4C21-4EC0-8F0D-F27615E87B75}"/>
    <cellStyle name="40% - Énfasis4 13 2 2 2 4" xfId="46695" xr:uid="{6A6B70D1-B55C-4C91-96B3-AB9A00B769BE}"/>
    <cellStyle name="40% - Énfasis4 13 2 2 3" xfId="10495" xr:uid="{16D31FA3-58F2-4592-A7A5-B124886FB408}"/>
    <cellStyle name="40% - Énfasis4 13 2 2 3 2" xfId="25908" xr:uid="{31E8B1AF-C232-4DEA-A8BE-64E81974FE43}"/>
    <cellStyle name="40% - Énfasis4 13 2 2 3 2 2" xfId="46700" xr:uid="{D25F3C62-4AA7-4BCD-B337-61060C2CFAE6}"/>
    <cellStyle name="40% - Énfasis4 13 2 2 3 3" xfId="46699" xr:uid="{16B93C0B-FE92-4D8D-BD3C-74DB678A13CC}"/>
    <cellStyle name="40% - Énfasis4 13 2 2 4" xfId="18203" xr:uid="{83FCAE2A-BBCD-4037-8BFD-EE0691978755}"/>
    <cellStyle name="40% - Énfasis4 13 2 2 4 2" xfId="46701" xr:uid="{FEA76EE4-140B-434F-AE8E-A7A0A1906753}"/>
    <cellStyle name="40% - Énfasis4 13 2 2 5" xfId="46694" xr:uid="{23040513-4E83-4E70-B950-7B1E8F30F944}"/>
    <cellStyle name="40% - Énfasis4 13 2 3" xfId="5053" xr:uid="{97F45F0F-B522-4E45-88D7-55576DE462EA}"/>
    <cellStyle name="40% - Énfasis4 13 2 3 2" xfId="12761" xr:uid="{1467EABE-6347-4C7B-978E-3D793335A63B}"/>
    <cellStyle name="40% - Énfasis4 13 2 3 2 2" xfId="28173" xr:uid="{55FFFB05-FF4F-4334-8CE5-E4ACCAFFF1D9}"/>
    <cellStyle name="40% - Énfasis4 13 2 3 2 2 2" xfId="46704" xr:uid="{4E31B66A-3675-4CF0-8440-FC0691BE308D}"/>
    <cellStyle name="40% - Énfasis4 13 2 3 2 3" xfId="46703" xr:uid="{0D894655-DA67-45CC-9370-D092BBADC40C}"/>
    <cellStyle name="40% - Énfasis4 13 2 3 3" xfId="20468" xr:uid="{5141E244-C9D9-4089-8656-626DC91FA768}"/>
    <cellStyle name="40% - Énfasis4 13 2 3 3 2" xfId="46705" xr:uid="{CB93F070-A32A-426D-8525-4A6A9139F8FB}"/>
    <cellStyle name="40% - Énfasis4 13 2 3 4" xfId="46702" xr:uid="{6075F781-D368-47E9-93A6-D2BDADCA0B27}"/>
    <cellStyle name="40% - Énfasis4 13 2 4" xfId="9036" xr:uid="{83CA8DC6-FF6B-478F-ABEC-99C6C0619304}"/>
    <cellStyle name="40% - Énfasis4 13 2 4 2" xfId="24449" xr:uid="{05CC56E7-6814-4E50-9955-21166181F18F}"/>
    <cellStyle name="40% - Énfasis4 13 2 4 2 2" xfId="46707" xr:uid="{6DFE2EBB-8882-4063-889D-F2CD2DE285AB}"/>
    <cellStyle name="40% - Énfasis4 13 2 4 3" xfId="46706" xr:uid="{266A3356-E4D2-4061-95F1-76AACD8D4B9A}"/>
    <cellStyle name="40% - Énfasis4 13 2 5" xfId="16744" xr:uid="{90F247D2-DFF2-47BA-B94F-385E74820DE6}"/>
    <cellStyle name="40% - Énfasis4 13 2 5 2" xfId="46708" xr:uid="{306F7847-3AE4-4732-9907-D452E91A5F52}"/>
    <cellStyle name="40% - Énfasis4 13 2 6" xfId="46693" xr:uid="{1ADEBF3C-B62F-4737-AEF9-BEDC3FCA5EA7}"/>
    <cellStyle name="40% - Énfasis4 13 3" xfId="2146" xr:uid="{093F3F98-86E4-4059-AA23-FCA54927E862}"/>
    <cellStyle name="40% - Énfasis4 13 3 2" xfId="5878" xr:uid="{9D69BAF4-935A-4B66-8A5A-B66CC3298B3E}"/>
    <cellStyle name="40% - Énfasis4 13 3 2 2" xfId="13586" xr:uid="{744D0D37-F903-455C-A5BC-DB5B49346DCE}"/>
    <cellStyle name="40% - Énfasis4 13 3 2 2 2" xfId="28998" xr:uid="{A8E36417-C1EA-44D8-A09D-97DFB4131F9C}"/>
    <cellStyle name="40% - Énfasis4 13 3 2 2 2 2" xfId="46712" xr:uid="{885AF5A3-2296-4081-BD5D-0D13673959B3}"/>
    <cellStyle name="40% - Énfasis4 13 3 2 2 3" xfId="46711" xr:uid="{13786374-E903-4591-AA52-629741CB1079}"/>
    <cellStyle name="40% - Énfasis4 13 3 2 3" xfId="21293" xr:uid="{60A9F4DC-20DF-4852-91A0-EB075F390968}"/>
    <cellStyle name="40% - Énfasis4 13 3 2 3 2" xfId="46713" xr:uid="{18FD01FF-0A6A-4A9F-85A5-457AA5D6238E}"/>
    <cellStyle name="40% - Énfasis4 13 3 2 4" xfId="46710" xr:uid="{52E11CBB-758A-4DFE-A75E-E45ADF3AB553}"/>
    <cellStyle name="40% - Énfasis4 13 3 3" xfId="9857" xr:uid="{A88AD796-A1EC-4367-9444-7900D2969961}"/>
    <cellStyle name="40% - Énfasis4 13 3 3 2" xfId="25270" xr:uid="{86E6E42E-112E-4AC0-8F2C-310B4B65A566}"/>
    <cellStyle name="40% - Énfasis4 13 3 3 2 2" xfId="46715" xr:uid="{000708AD-705D-437F-AC12-1058702AEFA9}"/>
    <cellStyle name="40% - Énfasis4 13 3 3 3" xfId="46714" xr:uid="{EC95675C-7417-4BB5-9F66-DF48EF7DEA57}"/>
    <cellStyle name="40% - Énfasis4 13 3 4" xfId="17565" xr:uid="{710CCF31-405E-4547-A785-417AC55FE357}"/>
    <cellStyle name="40% - Énfasis4 13 3 4 2" xfId="46716" xr:uid="{E564E7BE-BE85-4676-B2C7-444FD663FC74}"/>
    <cellStyle name="40% - Énfasis4 13 3 5" xfId="46709" xr:uid="{7519F14C-84EB-48C4-8640-F6560171AFE2}"/>
    <cellStyle name="40% - Énfasis4 13 4" xfId="4401" xr:uid="{024E1A63-7044-4EC4-83A9-6ED31A0FA928}"/>
    <cellStyle name="40% - Énfasis4 13 4 2" xfId="12109" xr:uid="{EE23DD1F-34FF-4F09-984A-4228356FFCE5}"/>
    <cellStyle name="40% - Énfasis4 13 4 2 2" xfId="27521" xr:uid="{DA5C785A-07EB-47AD-BE3D-ED0168CD51E8}"/>
    <cellStyle name="40% - Énfasis4 13 4 2 2 2" xfId="46719" xr:uid="{936C571E-35C5-483B-A441-659A11D55E74}"/>
    <cellStyle name="40% - Énfasis4 13 4 2 3" xfId="46718" xr:uid="{0CC7476B-B5D1-4384-8F02-5ED7775FC86C}"/>
    <cellStyle name="40% - Énfasis4 13 4 3" xfId="19816" xr:uid="{705C7E8C-3B72-48D7-ADCD-CBFCF6B2C499}"/>
    <cellStyle name="40% - Énfasis4 13 4 3 2" xfId="46720" xr:uid="{024DC0F7-41BF-4A57-B859-1734D0FB0C6A}"/>
    <cellStyle name="40% - Énfasis4 13 4 4" xfId="46717" xr:uid="{37DAF6D0-960E-483A-A746-C62E14A7EB2E}"/>
    <cellStyle name="40% - Énfasis4 13 5" xfId="8398" xr:uid="{F4440398-2CEC-45A2-B864-70A56F977CBA}"/>
    <cellStyle name="40% - Énfasis4 13 5 2" xfId="23811" xr:uid="{498B84B8-3432-4CA4-BF31-E1592E1AA229}"/>
    <cellStyle name="40% - Énfasis4 13 5 2 2" xfId="46722" xr:uid="{AE23E32F-9D80-4661-AE87-D985C32BB1B6}"/>
    <cellStyle name="40% - Énfasis4 13 5 3" xfId="46721" xr:uid="{BD864E22-94CE-4CFB-9ED2-5E585BD23855}"/>
    <cellStyle name="40% - Énfasis4 13 6" xfId="16106" xr:uid="{33DB6C87-0E03-4F73-B58F-1EF18B89A0EC}"/>
    <cellStyle name="40% - Énfasis4 13 6 2" xfId="46723" xr:uid="{CF5CD59E-7CF5-4143-B975-00B685E80F80}"/>
    <cellStyle name="40% - Énfasis4 13 7" xfId="46692" xr:uid="{F97BA1D4-E196-439F-8843-811E03FE86A2}"/>
    <cellStyle name="40% - Énfasis4 14" xfId="676" xr:uid="{CEEFE564-CDAC-49E7-A6EF-8C43C06FEBD0}"/>
    <cellStyle name="40% - Énfasis4 14 2" xfId="1337" xr:uid="{1ABB1B67-8B02-42C3-B2C2-3D8C21F3EB93}"/>
    <cellStyle name="40% - Énfasis4 14 2 2" xfId="2804" xr:uid="{1EEA8857-E8F6-4046-90AC-30AC956A13DE}"/>
    <cellStyle name="40% - Énfasis4 14 2 2 2" xfId="6536" xr:uid="{8619971D-A2F4-4892-ADDA-28E5EF5496E7}"/>
    <cellStyle name="40% - Énfasis4 14 2 2 2 2" xfId="14244" xr:uid="{1A598140-6E45-4419-8973-DA7C203F6376}"/>
    <cellStyle name="40% - Énfasis4 14 2 2 2 2 2" xfId="29656" xr:uid="{CD56A2B4-E31C-43D7-BCC7-0CA491256B39}"/>
    <cellStyle name="40% - Énfasis4 14 2 2 2 2 2 2" xfId="46729" xr:uid="{C5D681ED-773D-4E5F-B6FA-3984311CA698}"/>
    <cellStyle name="40% - Énfasis4 14 2 2 2 2 3" xfId="46728" xr:uid="{1B1C1CCF-B976-4C08-A64E-425B494FC4AE}"/>
    <cellStyle name="40% - Énfasis4 14 2 2 2 3" xfId="21951" xr:uid="{F9259E43-3DEC-4EC2-A010-A4EFDF58281D}"/>
    <cellStyle name="40% - Énfasis4 14 2 2 2 3 2" xfId="46730" xr:uid="{E62426E1-3CA9-4D9E-877A-44D06DA02703}"/>
    <cellStyle name="40% - Énfasis4 14 2 2 2 4" xfId="46727" xr:uid="{955EBC46-5898-408C-9116-D686D3761BBD}"/>
    <cellStyle name="40% - Énfasis4 14 2 2 3" xfId="10515" xr:uid="{453573C3-4D4B-40D9-8D46-5E7DAEA475EF}"/>
    <cellStyle name="40% - Énfasis4 14 2 2 3 2" xfId="25928" xr:uid="{C227605D-E601-44EE-8FED-15992EDF7340}"/>
    <cellStyle name="40% - Énfasis4 14 2 2 3 2 2" xfId="46732" xr:uid="{0E57C401-59E9-42CE-AAF7-BA4FB3A1DE5F}"/>
    <cellStyle name="40% - Énfasis4 14 2 2 3 3" xfId="46731" xr:uid="{4AA15294-EE2D-49F4-9A3E-77EC5C6E515D}"/>
    <cellStyle name="40% - Énfasis4 14 2 2 4" xfId="18223" xr:uid="{D5D95505-AE9F-4DD0-85C5-5963DC0D74A0}"/>
    <cellStyle name="40% - Énfasis4 14 2 2 4 2" xfId="46733" xr:uid="{3F74F878-2002-4881-8C71-FCDB5F7C704C}"/>
    <cellStyle name="40% - Énfasis4 14 2 2 5" xfId="46726" xr:uid="{5291B654-4883-40C8-B52B-AA2D70C3F2F0}"/>
    <cellStyle name="40% - Énfasis4 14 2 3" xfId="5073" xr:uid="{795E7B0B-DC77-4C9F-8F61-E27C50843666}"/>
    <cellStyle name="40% - Énfasis4 14 2 3 2" xfId="12781" xr:uid="{B35C628B-C667-49B9-8CF4-14D24003C4D5}"/>
    <cellStyle name="40% - Énfasis4 14 2 3 2 2" xfId="28193" xr:uid="{AB72ABAD-47A4-4215-B452-8330689B4678}"/>
    <cellStyle name="40% - Énfasis4 14 2 3 2 2 2" xfId="46736" xr:uid="{AED3A298-DB8C-43AE-82A8-7CBA7EF2E4E5}"/>
    <cellStyle name="40% - Énfasis4 14 2 3 2 3" xfId="46735" xr:uid="{05073A4E-48DA-49C0-8B1A-B9C9F46E7496}"/>
    <cellStyle name="40% - Énfasis4 14 2 3 3" xfId="20488" xr:uid="{9C89DD90-D408-415E-84A7-C43172FF398B}"/>
    <cellStyle name="40% - Énfasis4 14 2 3 3 2" xfId="46737" xr:uid="{254B51FD-3CC7-4D75-AD25-E502FDACCC9D}"/>
    <cellStyle name="40% - Énfasis4 14 2 3 4" xfId="46734" xr:uid="{0F457804-29D3-486E-A145-3311B093746E}"/>
    <cellStyle name="40% - Énfasis4 14 2 4" xfId="9056" xr:uid="{3910C840-8691-45CC-9D62-02DE8D777B47}"/>
    <cellStyle name="40% - Énfasis4 14 2 4 2" xfId="24469" xr:uid="{C1C1423C-6D76-45E6-A24E-AEFDA2759C51}"/>
    <cellStyle name="40% - Énfasis4 14 2 4 2 2" xfId="46739" xr:uid="{85AFBC1D-0FD6-45E7-9A58-545172278A10}"/>
    <cellStyle name="40% - Énfasis4 14 2 4 3" xfId="46738" xr:uid="{892F8B3F-DAB6-44DA-9E7A-570997ECF2EF}"/>
    <cellStyle name="40% - Énfasis4 14 2 5" xfId="16764" xr:uid="{ED45180F-A3CF-4E68-BF60-0D8C66852D33}"/>
    <cellStyle name="40% - Énfasis4 14 2 5 2" xfId="46740" xr:uid="{E127BF55-2115-4419-B645-ED9825BB47D3}"/>
    <cellStyle name="40% - Énfasis4 14 2 6" xfId="46725" xr:uid="{2208A7C3-CFA6-478B-81F6-DF747D8227D0}"/>
    <cellStyle name="40% - Énfasis4 14 3" xfId="2166" xr:uid="{AF42E374-2590-4E21-83A0-F5C184A541CC}"/>
    <cellStyle name="40% - Énfasis4 14 3 2" xfId="5898" xr:uid="{DF93C7F9-F1E0-483E-AF42-38D2E2C6D66C}"/>
    <cellStyle name="40% - Énfasis4 14 3 2 2" xfId="13606" xr:uid="{5F50A984-FB25-46CD-9409-F114DFC8819A}"/>
    <cellStyle name="40% - Énfasis4 14 3 2 2 2" xfId="29018" xr:uid="{644AA508-139F-4968-8B95-E86C47AAF31B}"/>
    <cellStyle name="40% - Énfasis4 14 3 2 2 2 2" xfId="46744" xr:uid="{C89AC2CE-A0EF-4E4A-9542-F65C475A898B}"/>
    <cellStyle name="40% - Énfasis4 14 3 2 2 3" xfId="46743" xr:uid="{0B2B6577-3C17-4F88-8E3B-A415000B53BD}"/>
    <cellStyle name="40% - Énfasis4 14 3 2 3" xfId="21313" xr:uid="{46FC5069-E42F-457A-90F3-FDB9A93C0CD2}"/>
    <cellStyle name="40% - Énfasis4 14 3 2 3 2" xfId="46745" xr:uid="{95DEF5FF-EC55-4031-911F-241FBA7B27E5}"/>
    <cellStyle name="40% - Énfasis4 14 3 2 4" xfId="46742" xr:uid="{2963B365-A498-46D7-812E-F710779A028B}"/>
    <cellStyle name="40% - Énfasis4 14 3 3" xfId="9877" xr:uid="{E5A3B6A2-3668-41FD-96C4-E02AB6344F04}"/>
    <cellStyle name="40% - Énfasis4 14 3 3 2" xfId="25290" xr:uid="{BE052D87-569F-4562-9368-E3C8C289B135}"/>
    <cellStyle name="40% - Énfasis4 14 3 3 2 2" xfId="46747" xr:uid="{E6E104C7-4384-4221-B91E-DC41C82383C8}"/>
    <cellStyle name="40% - Énfasis4 14 3 3 3" xfId="46746" xr:uid="{D602D5AA-E478-40DE-85C0-D6FE3ADC8E37}"/>
    <cellStyle name="40% - Énfasis4 14 3 4" xfId="17585" xr:uid="{A63891EC-DBB6-4112-9612-C749A1C14EF8}"/>
    <cellStyle name="40% - Énfasis4 14 3 4 2" xfId="46748" xr:uid="{01DA77AA-4E53-42A2-955E-8C3E25BAB1F0}"/>
    <cellStyle name="40% - Énfasis4 14 3 5" xfId="46741" xr:uid="{F49E2DAC-BBC8-44C6-A211-928B8FA72FED}"/>
    <cellStyle name="40% - Énfasis4 14 4" xfId="4421" xr:uid="{BEDC3C96-CC09-4B37-9974-5C60AAF68A2C}"/>
    <cellStyle name="40% - Énfasis4 14 4 2" xfId="12129" xr:uid="{4C9C8F33-7900-407A-AFE1-BFB34CBB42F6}"/>
    <cellStyle name="40% - Énfasis4 14 4 2 2" xfId="27541" xr:uid="{D71E5AB3-F534-49DD-A94F-3B92BA613FE8}"/>
    <cellStyle name="40% - Énfasis4 14 4 2 2 2" xfId="46751" xr:uid="{0E9233DE-0BC4-4C93-8770-C965C17EFA2E}"/>
    <cellStyle name="40% - Énfasis4 14 4 2 3" xfId="46750" xr:uid="{F2A2768A-22C1-49D5-A440-769D3B11C192}"/>
    <cellStyle name="40% - Énfasis4 14 4 3" xfId="19836" xr:uid="{139530C5-B611-4DF9-A253-BD8294F4B1E1}"/>
    <cellStyle name="40% - Énfasis4 14 4 3 2" xfId="46752" xr:uid="{173E1CF2-430D-4EB7-B63C-60FC92DA4A0E}"/>
    <cellStyle name="40% - Énfasis4 14 4 4" xfId="46749" xr:uid="{358D8784-1104-4EE1-83EA-FF491FD0374C}"/>
    <cellStyle name="40% - Énfasis4 14 5" xfId="8418" xr:uid="{88FAFA54-7625-4C45-851A-248561FF8AD8}"/>
    <cellStyle name="40% - Énfasis4 14 5 2" xfId="23831" xr:uid="{0A8D38F3-34BC-4467-B836-32545D670463}"/>
    <cellStyle name="40% - Énfasis4 14 5 2 2" xfId="46754" xr:uid="{00A1CDC7-5AF7-45A0-BAB6-2CC269DED61D}"/>
    <cellStyle name="40% - Énfasis4 14 5 3" xfId="46753" xr:uid="{2BEDB106-54DE-4D76-A250-8FFF341BD250}"/>
    <cellStyle name="40% - Énfasis4 14 6" xfId="16126" xr:uid="{3A05E1BD-7A48-4219-A9B5-92E508DEA2ED}"/>
    <cellStyle name="40% - Énfasis4 14 6 2" xfId="46755" xr:uid="{07FED017-5CDD-457D-BBBC-F23DEC029B63}"/>
    <cellStyle name="40% - Énfasis4 14 7" xfId="46724" xr:uid="{890E233E-FBBA-458A-B6F4-68B973EDBB54}"/>
    <cellStyle name="40% - Énfasis4 15" xfId="696" xr:uid="{75C09F7C-301D-4C3F-A138-97022669E474}"/>
    <cellStyle name="40% - Énfasis4 15 2" xfId="1357" xr:uid="{487212AF-D4D1-424C-B54B-C2649543699B}"/>
    <cellStyle name="40% - Énfasis4 15 2 2" xfId="2824" xr:uid="{F6661C6E-58A9-4CA4-9FFE-E77C10874A0F}"/>
    <cellStyle name="40% - Énfasis4 15 2 2 2" xfId="6556" xr:uid="{88EBA8C8-FA23-4DD1-B22F-AC659516C7F4}"/>
    <cellStyle name="40% - Énfasis4 15 2 2 2 2" xfId="14264" xr:uid="{F025F275-56DA-403B-A944-59AD502A792B}"/>
    <cellStyle name="40% - Énfasis4 15 2 2 2 2 2" xfId="29676" xr:uid="{AACB8801-A84C-4D20-968E-E040757F9F84}"/>
    <cellStyle name="40% - Énfasis4 15 2 2 2 2 2 2" xfId="46761" xr:uid="{4B5F9C4F-33EB-4404-96B7-91E85E960E69}"/>
    <cellStyle name="40% - Énfasis4 15 2 2 2 2 3" xfId="46760" xr:uid="{5D7A1059-8F5D-4106-B596-41AA054D6AB3}"/>
    <cellStyle name="40% - Énfasis4 15 2 2 2 3" xfId="21971" xr:uid="{9BD2F0E0-249A-4DDA-89BC-8BBE67250169}"/>
    <cellStyle name="40% - Énfasis4 15 2 2 2 3 2" xfId="46762" xr:uid="{A8630D89-9235-4C04-AF6B-6437516B8BE0}"/>
    <cellStyle name="40% - Énfasis4 15 2 2 2 4" xfId="46759" xr:uid="{7E8701FF-5579-444F-BF05-5094FBB01869}"/>
    <cellStyle name="40% - Énfasis4 15 2 2 3" xfId="10535" xr:uid="{E88B8090-E270-481A-9835-61B4B4C00348}"/>
    <cellStyle name="40% - Énfasis4 15 2 2 3 2" xfId="25948" xr:uid="{E2E56390-B6B8-4715-9305-1E9BF789EE61}"/>
    <cellStyle name="40% - Énfasis4 15 2 2 3 2 2" xfId="46764" xr:uid="{E732F019-9A50-4675-86B5-B17AFCE488FB}"/>
    <cellStyle name="40% - Énfasis4 15 2 2 3 3" xfId="46763" xr:uid="{EDC16230-089A-496F-B5DE-1316EE36B57F}"/>
    <cellStyle name="40% - Énfasis4 15 2 2 4" xfId="18243" xr:uid="{51662F11-D947-472C-9DDD-425DD09B85ED}"/>
    <cellStyle name="40% - Énfasis4 15 2 2 4 2" xfId="46765" xr:uid="{FE1B6340-C8F3-44C1-9C65-07B8A0F7F975}"/>
    <cellStyle name="40% - Énfasis4 15 2 2 5" xfId="46758" xr:uid="{BFD80805-EBD4-4862-B43C-6059CD1C51B1}"/>
    <cellStyle name="40% - Énfasis4 15 2 3" xfId="5093" xr:uid="{2D5966AE-6AC9-418E-A30E-E13D95EB894C}"/>
    <cellStyle name="40% - Énfasis4 15 2 3 2" xfId="12801" xr:uid="{F4116859-CC74-4AB6-9F57-220FE180BC2B}"/>
    <cellStyle name="40% - Énfasis4 15 2 3 2 2" xfId="28213" xr:uid="{A37F0D6A-773F-4AD6-A28B-DEAE7F3FCB5A}"/>
    <cellStyle name="40% - Énfasis4 15 2 3 2 2 2" xfId="46768" xr:uid="{798D5849-428E-4FA9-A0DA-D8BFC8E3BBC7}"/>
    <cellStyle name="40% - Énfasis4 15 2 3 2 3" xfId="46767" xr:uid="{6D907B02-59D1-46AF-B2EA-918EB10AE30E}"/>
    <cellStyle name="40% - Énfasis4 15 2 3 3" xfId="20508" xr:uid="{51073753-BADB-4B64-8841-9E9BF9E9B67A}"/>
    <cellStyle name="40% - Énfasis4 15 2 3 3 2" xfId="46769" xr:uid="{227E0EF4-04CE-41A7-A35E-D2A9D62B28BC}"/>
    <cellStyle name="40% - Énfasis4 15 2 3 4" xfId="46766" xr:uid="{0EBFE5A6-1F71-4751-AABB-2C1384BDBD80}"/>
    <cellStyle name="40% - Énfasis4 15 2 4" xfId="9076" xr:uid="{76AA6BAD-0326-4BE1-8910-876F3A9C2918}"/>
    <cellStyle name="40% - Énfasis4 15 2 4 2" xfId="24489" xr:uid="{06111FD8-5E83-4AB2-A73E-F221B1759751}"/>
    <cellStyle name="40% - Énfasis4 15 2 4 2 2" xfId="46771" xr:uid="{06EA7235-180D-48E7-83A1-C11181ABDC28}"/>
    <cellStyle name="40% - Énfasis4 15 2 4 3" xfId="46770" xr:uid="{73FD9D4A-2F71-4A83-9AAB-F40BCDE88CE3}"/>
    <cellStyle name="40% - Énfasis4 15 2 5" xfId="16784" xr:uid="{C71B403C-8832-4BBD-81DA-FD373300E5A3}"/>
    <cellStyle name="40% - Énfasis4 15 2 5 2" xfId="46772" xr:uid="{A947243A-EEC1-4906-9D25-514CDF505616}"/>
    <cellStyle name="40% - Énfasis4 15 2 6" xfId="46757" xr:uid="{97E312FF-1F01-4D7C-B09C-9A5AC0BB18C9}"/>
    <cellStyle name="40% - Énfasis4 15 3" xfId="2186" xr:uid="{4C38B5AE-261A-4015-B2E0-E5E0957CAFAF}"/>
    <cellStyle name="40% - Énfasis4 15 3 2" xfId="5918" xr:uid="{EB046E18-1B3F-4197-920E-6F73004405EB}"/>
    <cellStyle name="40% - Énfasis4 15 3 2 2" xfId="13626" xr:uid="{F6C7BD1B-D65D-43FD-9321-81769F000A32}"/>
    <cellStyle name="40% - Énfasis4 15 3 2 2 2" xfId="29038" xr:uid="{113EFF41-7368-4E81-95EA-1F21616BA224}"/>
    <cellStyle name="40% - Énfasis4 15 3 2 2 2 2" xfId="46776" xr:uid="{E766F315-BD51-4D73-8D82-4CD8CF65E209}"/>
    <cellStyle name="40% - Énfasis4 15 3 2 2 3" xfId="46775" xr:uid="{C0B46CC5-F331-4D21-800A-05A51C54D9B0}"/>
    <cellStyle name="40% - Énfasis4 15 3 2 3" xfId="21333" xr:uid="{BFB1BD61-3979-4DBD-B815-AB0E27D80B3F}"/>
    <cellStyle name="40% - Énfasis4 15 3 2 3 2" xfId="46777" xr:uid="{62A708B7-D4B8-4170-B5B2-50EC3A038062}"/>
    <cellStyle name="40% - Énfasis4 15 3 2 4" xfId="46774" xr:uid="{5BBB2168-F508-41A8-9216-A5FBF1EA0583}"/>
    <cellStyle name="40% - Énfasis4 15 3 3" xfId="9897" xr:uid="{57DF53EE-6AEA-48EB-96A3-90C73F485AEF}"/>
    <cellStyle name="40% - Énfasis4 15 3 3 2" xfId="25310" xr:uid="{A8396005-57F4-4175-A6ED-537FDE31C117}"/>
    <cellStyle name="40% - Énfasis4 15 3 3 2 2" xfId="46779" xr:uid="{16D496D2-7D46-4B24-ACC7-635183A8D87F}"/>
    <cellStyle name="40% - Énfasis4 15 3 3 3" xfId="46778" xr:uid="{BFE0FD5E-3822-48D0-9473-F5F8A3A89C5E}"/>
    <cellStyle name="40% - Énfasis4 15 3 4" xfId="17605" xr:uid="{6EC5B60A-9AF8-4449-96A5-393D24BBD462}"/>
    <cellStyle name="40% - Énfasis4 15 3 4 2" xfId="46780" xr:uid="{C587E05B-F63B-447C-8580-1C508061AF7A}"/>
    <cellStyle name="40% - Énfasis4 15 3 5" xfId="46773" xr:uid="{46276023-8DE4-49D8-9A7B-9D5904E6400E}"/>
    <cellStyle name="40% - Énfasis4 15 4" xfId="4441" xr:uid="{F295CD59-53AB-44D9-B3D7-5EBB8E5AC215}"/>
    <cellStyle name="40% - Énfasis4 15 4 2" xfId="12149" xr:uid="{24460D62-B471-4E1B-80C3-262F6AD833EA}"/>
    <cellStyle name="40% - Énfasis4 15 4 2 2" xfId="27561" xr:uid="{A344C5E2-18CC-4E69-BE6B-E9E5BEF57C15}"/>
    <cellStyle name="40% - Énfasis4 15 4 2 2 2" xfId="46783" xr:uid="{BE882D2A-9EE9-4D35-8F8A-AE5509FEDE8A}"/>
    <cellStyle name="40% - Énfasis4 15 4 2 3" xfId="46782" xr:uid="{5FB1D650-FE56-4EA3-B78C-5B9B8B242533}"/>
    <cellStyle name="40% - Énfasis4 15 4 3" xfId="19856" xr:uid="{3289DE82-82B8-4FDC-A8D0-CD43641FCDF1}"/>
    <cellStyle name="40% - Énfasis4 15 4 3 2" xfId="46784" xr:uid="{4B7DA3F4-54E2-47F3-8BAE-F7C84CDE594D}"/>
    <cellStyle name="40% - Énfasis4 15 4 4" xfId="46781" xr:uid="{AAD090E3-F416-4120-A818-14A4EC358E3B}"/>
    <cellStyle name="40% - Énfasis4 15 5" xfId="8438" xr:uid="{81737913-0FD8-480A-BCF2-E83DC6ACFD3B}"/>
    <cellStyle name="40% - Énfasis4 15 5 2" xfId="23851" xr:uid="{FD72B688-3F9D-4EF1-90CF-2E1D93D25098}"/>
    <cellStyle name="40% - Énfasis4 15 5 2 2" xfId="46786" xr:uid="{5D383287-7397-43A6-A303-A63E239C0032}"/>
    <cellStyle name="40% - Énfasis4 15 5 3" xfId="46785" xr:uid="{C6B9390A-D74A-4EB2-A7B6-DAEDA79C53C6}"/>
    <cellStyle name="40% - Énfasis4 15 6" xfId="16146" xr:uid="{2A0EC9B0-7394-4200-9CD1-03C758BCD399}"/>
    <cellStyle name="40% - Énfasis4 15 6 2" xfId="46787" xr:uid="{170C00C5-F487-476D-A0C3-19FB6E690892}"/>
    <cellStyle name="40% - Énfasis4 15 7" xfId="46756" xr:uid="{8CC3FF3C-F072-4E87-9DA9-8E751EE573E3}"/>
    <cellStyle name="40% - Énfasis4 16" xfId="717" xr:uid="{5636DF07-2227-40A0-AF1F-7876F016470A}"/>
    <cellStyle name="40% - Énfasis4 16 2" xfId="1378" xr:uid="{453CEA4B-3E0F-495A-BB49-D6EB9741FD05}"/>
    <cellStyle name="40% - Énfasis4 16 2 2" xfId="2845" xr:uid="{85B251FE-2812-4148-A6B7-9DFD0C0B678D}"/>
    <cellStyle name="40% - Énfasis4 16 2 2 2" xfId="6577" xr:uid="{8EAF98D5-BF25-4DD5-ADBA-693A8320A2E4}"/>
    <cellStyle name="40% - Énfasis4 16 2 2 2 2" xfId="14285" xr:uid="{CF79ABBD-A6DB-4F7B-9CA1-54EBE1FA8C27}"/>
    <cellStyle name="40% - Énfasis4 16 2 2 2 2 2" xfId="29697" xr:uid="{17C7238A-50F6-46CC-9022-05C491558F29}"/>
    <cellStyle name="40% - Énfasis4 16 2 2 2 2 2 2" xfId="46793" xr:uid="{EDD9A477-B0DE-4DC5-9CA3-BE70BC77CC52}"/>
    <cellStyle name="40% - Énfasis4 16 2 2 2 2 3" xfId="46792" xr:uid="{C8C44568-C8BF-4067-8F72-A1A2BB26D972}"/>
    <cellStyle name="40% - Énfasis4 16 2 2 2 3" xfId="21992" xr:uid="{ABFAF986-3E08-487F-ABC0-B2F9CFC90274}"/>
    <cellStyle name="40% - Énfasis4 16 2 2 2 3 2" xfId="46794" xr:uid="{47E7326C-6569-4E5A-BBEB-D2298B32EAD8}"/>
    <cellStyle name="40% - Énfasis4 16 2 2 2 4" xfId="46791" xr:uid="{5FFBF8B9-3B4A-47A3-B581-1BECC49147C1}"/>
    <cellStyle name="40% - Énfasis4 16 2 2 3" xfId="10556" xr:uid="{0CBE9BBE-D9E1-4514-8849-06DFC8056CB1}"/>
    <cellStyle name="40% - Énfasis4 16 2 2 3 2" xfId="25969" xr:uid="{2B3D5FAD-A76A-48B4-ABBB-91202064845B}"/>
    <cellStyle name="40% - Énfasis4 16 2 2 3 2 2" xfId="46796" xr:uid="{461B9456-4DBE-4036-AD00-DDFE2BD19D14}"/>
    <cellStyle name="40% - Énfasis4 16 2 2 3 3" xfId="46795" xr:uid="{6CA8EE51-E865-4415-A5B3-575CC6DDB7AD}"/>
    <cellStyle name="40% - Énfasis4 16 2 2 4" xfId="18264" xr:uid="{77A179AA-85C8-4D2C-826F-6A8254D86AE5}"/>
    <cellStyle name="40% - Énfasis4 16 2 2 4 2" xfId="46797" xr:uid="{469253B1-CF9A-4337-8A42-EA01FB11A8B5}"/>
    <cellStyle name="40% - Énfasis4 16 2 2 5" xfId="46790" xr:uid="{9E7291EC-F42E-499C-AD67-729C57D56BF2}"/>
    <cellStyle name="40% - Énfasis4 16 2 3" xfId="5114" xr:uid="{A50196C4-784D-4C52-8454-9BC319D7F1A4}"/>
    <cellStyle name="40% - Énfasis4 16 2 3 2" xfId="12822" xr:uid="{9D62C307-AD6D-437D-BA4C-893FE5944A47}"/>
    <cellStyle name="40% - Énfasis4 16 2 3 2 2" xfId="28234" xr:uid="{2F87CA71-70C2-4EC0-87DF-D2641372948A}"/>
    <cellStyle name="40% - Énfasis4 16 2 3 2 2 2" xfId="46800" xr:uid="{A5F5DE6C-210D-4593-AEE9-7911E39B3A72}"/>
    <cellStyle name="40% - Énfasis4 16 2 3 2 3" xfId="46799" xr:uid="{55481BEC-C323-48E3-AC67-77F166C4168D}"/>
    <cellStyle name="40% - Énfasis4 16 2 3 3" xfId="20529" xr:uid="{E4F50E1E-61E4-43E7-AC77-982A4C2BEA72}"/>
    <cellStyle name="40% - Énfasis4 16 2 3 3 2" xfId="46801" xr:uid="{CC6DFAC3-E32E-48A2-8DCF-E4D4B03C9D22}"/>
    <cellStyle name="40% - Énfasis4 16 2 3 4" xfId="46798" xr:uid="{0F0B498C-EA35-490C-9F00-7994CE91EEC6}"/>
    <cellStyle name="40% - Énfasis4 16 2 4" xfId="9097" xr:uid="{31675882-7AD8-4CBC-B790-FDFEEBC49F12}"/>
    <cellStyle name="40% - Énfasis4 16 2 4 2" xfId="24510" xr:uid="{CA0C0604-FC70-4F37-B84C-5B78DBA4CE72}"/>
    <cellStyle name="40% - Énfasis4 16 2 4 2 2" xfId="46803" xr:uid="{81F93FDC-EC1D-4877-ADA8-80CF4E7B7CDF}"/>
    <cellStyle name="40% - Énfasis4 16 2 4 3" xfId="46802" xr:uid="{3A083118-FACD-45F0-9006-469E2FCA7B05}"/>
    <cellStyle name="40% - Énfasis4 16 2 5" xfId="16805" xr:uid="{F391F11F-45DA-4577-8932-8C20FB6F4FED}"/>
    <cellStyle name="40% - Énfasis4 16 2 5 2" xfId="46804" xr:uid="{CAF0FD54-05D3-46AC-A573-961C1B739AC3}"/>
    <cellStyle name="40% - Énfasis4 16 2 6" xfId="46789" xr:uid="{CD2ECC58-CC85-4571-8D83-B2C1FB2F5A3F}"/>
    <cellStyle name="40% - Énfasis4 16 3" xfId="2207" xr:uid="{A778E5C2-D8A8-45AC-B090-DE28AEBC490F}"/>
    <cellStyle name="40% - Énfasis4 16 3 2" xfId="5939" xr:uid="{C91A822F-98EF-4888-B397-5FA6E0A431D1}"/>
    <cellStyle name="40% - Énfasis4 16 3 2 2" xfId="13647" xr:uid="{2D557B27-C183-410E-89EB-AAF4A289DC38}"/>
    <cellStyle name="40% - Énfasis4 16 3 2 2 2" xfId="29059" xr:uid="{05FD54AC-4D7A-4795-8A68-FEB0B82AED73}"/>
    <cellStyle name="40% - Énfasis4 16 3 2 2 2 2" xfId="46808" xr:uid="{F2FA9DED-41C7-490D-87C6-2614C37526A3}"/>
    <cellStyle name="40% - Énfasis4 16 3 2 2 3" xfId="46807" xr:uid="{84922B50-C98E-48DA-8F63-C1F60D57F942}"/>
    <cellStyle name="40% - Énfasis4 16 3 2 3" xfId="21354" xr:uid="{58A0A9AE-3C82-4866-A8B2-DB9AB8D042FC}"/>
    <cellStyle name="40% - Énfasis4 16 3 2 3 2" xfId="46809" xr:uid="{25FB74C7-6952-4FDD-A685-FEB86AD6B272}"/>
    <cellStyle name="40% - Énfasis4 16 3 2 4" xfId="46806" xr:uid="{1FEA3712-8C57-40B4-B1E3-6993E1051142}"/>
    <cellStyle name="40% - Énfasis4 16 3 3" xfId="9918" xr:uid="{E338568C-AFFF-46E0-A1BE-4525D1F4E4DB}"/>
    <cellStyle name="40% - Énfasis4 16 3 3 2" xfId="25331" xr:uid="{57E71552-B21C-43E2-BD35-72B176EF2B5E}"/>
    <cellStyle name="40% - Énfasis4 16 3 3 2 2" xfId="46811" xr:uid="{321C7A97-48B6-4F94-BDB4-19CE5659FB3D}"/>
    <cellStyle name="40% - Énfasis4 16 3 3 3" xfId="46810" xr:uid="{C00A5BF9-AC7A-4A89-A710-931F12886D26}"/>
    <cellStyle name="40% - Énfasis4 16 3 4" xfId="17626" xr:uid="{0BFD44EF-B266-4013-82F8-853877F024F9}"/>
    <cellStyle name="40% - Énfasis4 16 3 4 2" xfId="46812" xr:uid="{D41CA9AD-9E38-4DD0-94B5-1C112A1DA989}"/>
    <cellStyle name="40% - Énfasis4 16 3 5" xfId="46805" xr:uid="{5B9C0259-C6FA-4EB6-BEF3-AF149EAB9979}"/>
    <cellStyle name="40% - Énfasis4 16 4" xfId="4462" xr:uid="{E30B0268-5A2E-464F-B5D3-21453DA68D61}"/>
    <cellStyle name="40% - Énfasis4 16 4 2" xfId="12170" xr:uid="{E6AF7B3D-C000-45C2-AEEC-EAF9522C6ABD}"/>
    <cellStyle name="40% - Énfasis4 16 4 2 2" xfId="27582" xr:uid="{D7E7A436-2F7A-492D-A7E1-748A6884E8E5}"/>
    <cellStyle name="40% - Énfasis4 16 4 2 2 2" xfId="46815" xr:uid="{29BB9318-A53B-4377-9385-E2BD9923FAC2}"/>
    <cellStyle name="40% - Énfasis4 16 4 2 3" xfId="46814" xr:uid="{F34E059C-5529-4F1B-A5D1-6617EEAF7976}"/>
    <cellStyle name="40% - Énfasis4 16 4 3" xfId="19877" xr:uid="{4E301D8A-BFE3-4216-9990-F3AAF5B68A84}"/>
    <cellStyle name="40% - Énfasis4 16 4 3 2" xfId="46816" xr:uid="{6D565D14-279B-4AAD-85AB-43F2D222963E}"/>
    <cellStyle name="40% - Énfasis4 16 4 4" xfId="46813" xr:uid="{54497B48-5846-4A60-840B-97A80811C7BD}"/>
    <cellStyle name="40% - Énfasis4 16 5" xfId="8459" xr:uid="{08734DD5-7291-4E2B-9A8C-BADFE1D08FE5}"/>
    <cellStyle name="40% - Énfasis4 16 5 2" xfId="23872" xr:uid="{F7424C2A-9C67-4A57-8DD6-E9FC4B688F6F}"/>
    <cellStyle name="40% - Énfasis4 16 5 2 2" xfId="46818" xr:uid="{10FA1670-399E-455A-A6A2-DEBF841C88AF}"/>
    <cellStyle name="40% - Énfasis4 16 5 3" xfId="46817" xr:uid="{5FB76EEB-7847-4854-9EBA-D8A254D44C40}"/>
    <cellStyle name="40% - Énfasis4 16 6" xfId="16167" xr:uid="{CDFECDC4-17E2-42AE-900F-9B6324CEE64B}"/>
    <cellStyle name="40% - Énfasis4 16 6 2" xfId="46819" xr:uid="{DFDDBCB2-9926-47AB-88FD-EBA97BD3399C}"/>
    <cellStyle name="40% - Énfasis4 16 7" xfId="46788" xr:uid="{D027DEA6-B537-4B9E-9849-17C7587DFA13}"/>
    <cellStyle name="40% - Énfasis4 17" xfId="737" xr:uid="{41598ADF-4E98-40BE-946F-AFAF198FD41D}"/>
    <cellStyle name="40% - Énfasis4 17 2" xfId="1398" xr:uid="{BD4815F8-6137-4F66-B17A-548CC1D83C36}"/>
    <cellStyle name="40% - Énfasis4 17 2 2" xfId="2865" xr:uid="{B7800D56-4DA1-4E62-A73D-D8861BB549C6}"/>
    <cellStyle name="40% - Énfasis4 17 2 2 2" xfId="6597" xr:uid="{FD5F2C41-A699-4F08-A29D-CC4BD1439202}"/>
    <cellStyle name="40% - Énfasis4 17 2 2 2 2" xfId="14305" xr:uid="{9B52F269-6B57-4DC0-951C-B3C1FE032240}"/>
    <cellStyle name="40% - Énfasis4 17 2 2 2 2 2" xfId="29717" xr:uid="{BB2FA42D-2042-4085-9BDB-8202ECDF6861}"/>
    <cellStyle name="40% - Énfasis4 17 2 2 2 2 2 2" xfId="46825" xr:uid="{1493ED52-D11F-4FBA-9073-31D1C19B113C}"/>
    <cellStyle name="40% - Énfasis4 17 2 2 2 2 3" xfId="46824" xr:uid="{6505673F-EEEE-4F1D-9770-3E41F4549A05}"/>
    <cellStyle name="40% - Énfasis4 17 2 2 2 3" xfId="22012" xr:uid="{16861997-B3FA-40F0-8575-228C2532412E}"/>
    <cellStyle name="40% - Énfasis4 17 2 2 2 3 2" xfId="46826" xr:uid="{82032C3D-19EA-4EA2-B3F2-E5E0E28B9271}"/>
    <cellStyle name="40% - Énfasis4 17 2 2 2 4" xfId="46823" xr:uid="{8BFCDDF9-E010-4B79-8ED0-71D1E0DE9D38}"/>
    <cellStyle name="40% - Énfasis4 17 2 2 3" xfId="10576" xr:uid="{8B33D90B-B477-4CB8-88A0-FD9ABD61402A}"/>
    <cellStyle name="40% - Énfasis4 17 2 2 3 2" xfId="25989" xr:uid="{AF257455-C80E-41D1-B9E3-19F185052C56}"/>
    <cellStyle name="40% - Énfasis4 17 2 2 3 2 2" xfId="46828" xr:uid="{89CF66F5-61C7-4228-BA9C-8ED84D2CB93A}"/>
    <cellStyle name="40% - Énfasis4 17 2 2 3 3" xfId="46827" xr:uid="{F4B23F91-0B8E-468E-8E68-AF3AC7C2F0D5}"/>
    <cellStyle name="40% - Énfasis4 17 2 2 4" xfId="18284" xr:uid="{FBCFF34E-A352-4EC1-94E9-6338A7F9BFA6}"/>
    <cellStyle name="40% - Énfasis4 17 2 2 4 2" xfId="46829" xr:uid="{C63374A3-DDC5-4553-9658-324C3FD05833}"/>
    <cellStyle name="40% - Énfasis4 17 2 2 5" xfId="46822" xr:uid="{DAAEB576-6D39-4F96-84F7-DCB8EAE8D06D}"/>
    <cellStyle name="40% - Énfasis4 17 2 3" xfId="5134" xr:uid="{B6C7972D-F1A1-4D7A-810C-3DF350B59769}"/>
    <cellStyle name="40% - Énfasis4 17 2 3 2" xfId="12842" xr:uid="{7924775A-24EA-49C3-B8FA-FC2F3AA158D8}"/>
    <cellStyle name="40% - Énfasis4 17 2 3 2 2" xfId="28254" xr:uid="{DD52584B-9D94-4B14-832C-070049701176}"/>
    <cellStyle name="40% - Énfasis4 17 2 3 2 2 2" xfId="46832" xr:uid="{D8455CA7-FD18-4BC0-A2A0-9AB64847E51E}"/>
    <cellStyle name="40% - Énfasis4 17 2 3 2 3" xfId="46831" xr:uid="{38D9270E-1F69-4000-929A-7C68E7FF8473}"/>
    <cellStyle name="40% - Énfasis4 17 2 3 3" xfId="20549" xr:uid="{CEA37EDA-FDD2-46EB-8236-40217456DA09}"/>
    <cellStyle name="40% - Énfasis4 17 2 3 3 2" xfId="46833" xr:uid="{ACFE3617-66A8-435E-9814-F356BF396020}"/>
    <cellStyle name="40% - Énfasis4 17 2 3 4" xfId="46830" xr:uid="{106C644C-0AFD-46FC-88C6-86F09C425295}"/>
    <cellStyle name="40% - Énfasis4 17 2 4" xfId="9117" xr:uid="{F445D141-0524-4AD6-AFFD-DA66BD0AE058}"/>
    <cellStyle name="40% - Énfasis4 17 2 4 2" xfId="24530" xr:uid="{F541B2C1-4C9E-441F-BFAF-9AB3EDA82C1A}"/>
    <cellStyle name="40% - Énfasis4 17 2 4 2 2" xfId="46835" xr:uid="{2C2F305F-A6C2-4176-A678-C78243C05C86}"/>
    <cellStyle name="40% - Énfasis4 17 2 4 3" xfId="46834" xr:uid="{DC88A953-3611-4C01-B0AB-C1861C048D81}"/>
    <cellStyle name="40% - Énfasis4 17 2 5" xfId="16825" xr:uid="{BE5C81B2-766E-4396-93F4-67EA13B9D331}"/>
    <cellStyle name="40% - Énfasis4 17 2 5 2" xfId="46836" xr:uid="{EE862C3C-0939-4363-A96F-59E80B309988}"/>
    <cellStyle name="40% - Énfasis4 17 2 6" xfId="46821" xr:uid="{286E0A32-783A-4919-98BD-9E62FA1B8369}"/>
    <cellStyle name="40% - Énfasis4 17 3" xfId="2227" xr:uid="{6F45A085-A5AC-4E20-8320-D42408266707}"/>
    <cellStyle name="40% - Énfasis4 17 3 2" xfId="5959" xr:uid="{2A85793F-5628-4B2A-9729-02D8FAD8EDB2}"/>
    <cellStyle name="40% - Énfasis4 17 3 2 2" xfId="13667" xr:uid="{33FB82CC-11A8-44D4-8342-C768416219D8}"/>
    <cellStyle name="40% - Énfasis4 17 3 2 2 2" xfId="29079" xr:uid="{A3B56FBB-0088-493B-9A04-EA2030A56265}"/>
    <cellStyle name="40% - Énfasis4 17 3 2 2 2 2" xfId="46840" xr:uid="{5FC6C8DB-D2C1-41DE-A4D3-193C72CB6195}"/>
    <cellStyle name="40% - Énfasis4 17 3 2 2 3" xfId="46839" xr:uid="{374D71C7-3368-4107-B643-748E736966CD}"/>
    <cellStyle name="40% - Énfasis4 17 3 2 3" xfId="21374" xr:uid="{8DCA7839-3AA5-4D09-B52A-F51DB8A43751}"/>
    <cellStyle name="40% - Énfasis4 17 3 2 3 2" xfId="46841" xr:uid="{F6AE069F-4304-4008-8AB9-FDE18902EED1}"/>
    <cellStyle name="40% - Énfasis4 17 3 2 4" xfId="46838" xr:uid="{2082CC40-7E5E-458D-92AA-B706EFC3C52B}"/>
    <cellStyle name="40% - Énfasis4 17 3 3" xfId="9938" xr:uid="{2580C1A8-6DEC-4A43-BFAF-1CE8E4EEDFBB}"/>
    <cellStyle name="40% - Énfasis4 17 3 3 2" xfId="25351" xr:uid="{7ACB1C4D-241D-4940-8A0F-478674FC603C}"/>
    <cellStyle name="40% - Énfasis4 17 3 3 2 2" xfId="46843" xr:uid="{2B8E106D-7174-485E-AACA-0456B4084FED}"/>
    <cellStyle name="40% - Énfasis4 17 3 3 3" xfId="46842" xr:uid="{A8715125-ADA5-40E0-8236-03F22512BF67}"/>
    <cellStyle name="40% - Énfasis4 17 3 4" xfId="17646" xr:uid="{0F0B3E05-9277-4038-9982-A3F36F572D43}"/>
    <cellStyle name="40% - Énfasis4 17 3 4 2" xfId="46844" xr:uid="{55B6A184-B183-4068-AAA3-D7C820B9AABC}"/>
    <cellStyle name="40% - Énfasis4 17 3 5" xfId="46837" xr:uid="{0C291FD1-212C-4436-9136-CEBBB3DE8795}"/>
    <cellStyle name="40% - Énfasis4 17 4" xfId="4482" xr:uid="{C812258F-2E43-4057-9412-60097CA3F2F7}"/>
    <cellStyle name="40% - Énfasis4 17 4 2" xfId="12190" xr:uid="{6D3FD02D-75C4-4C44-BB3B-0E1727652CB6}"/>
    <cellStyle name="40% - Énfasis4 17 4 2 2" xfId="27602" xr:uid="{8F676BF9-CDE5-4183-A233-E5ECECF345EC}"/>
    <cellStyle name="40% - Énfasis4 17 4 2 2 2" xfId="46847" xr:uid="{B631D5BE-60A4-4DC0-A9C7-B29D860CE4A7}"/>
    <cellStyle name="40% - Énfasis4 17 4 2 3" xfId="46846" xr:uid="{398EB270-B871-46CE-8054-C6A3DFA957C8}"/>
    <cellStyle name="40% - Énfasis4 17 4 3" xfId="19897" xr:uid="{501DBC02-EA26-4A42-8421-06BD8FD556A6}"/>
    <cellStyle name="40% - Énfasis4 17 4 3 2" xfId="46848" xr:uid="{60124668-0FE3-4C7E-80A1-F1507F0E297B}"/>
    <cellStyle name="40% - Énfasis4 17 4 4" xfId="46845" xr:uid="{2F44FB0F-CE20-4500-9B1F-767EEBB187CA}"/>
    <cellStyle name="40% - Énfasis4 17 5" xfId="8479" xr:uid="{910B864A-F16C-4271-BF04-BFFAA5564D57}"/>
    <cellStyle name="40% - Énfasis4 17 5 2" xfId="23892" xr:uid="{C885D011-A28B-4E1F-9C65-0CF26F7262B2}"/>
    <cellStyle name="40% - Énfasis4 17 5 2 2" xfId="46850" xr:uid="{CCE34BDB-501A-497E-973C-89AD27368597}"/>
    <cellStyle name="40% - Énfasis4 17 5 3" xfId="46849" xr:uid="{3C50ED54-21A4-4B02-94F1-E86048A4D11C}"/>
    <cellStyle name="40% - Énfasis4 17 6" xfId="16187" xr:uid="{00CAAF8B-8441-4770-B6F9-50163CD06ADB}"/>
    <cellStyle name="40% - Énfasis4 17 6 2" xfId="46851" xr:uid="{479FA0AA-4FF8-4D5D-8D10-2DB9F54ED963}"/>
    <cellStyle name="40% - Énfasis4 17 7" xfId="46820" xr:uid="{A61D363C-3694-45BB-8891-F7F594F873D4}"/>
    <cellStyle name="40% - Énfasis4 18" xfId="757" xr:uid="{449BF04F-86C9-4F2E-81EC-161BDEFA97B3}"/>
    <cellStyle name="40% - Énfasis4 18 2" xfId="1418" xr:uid="{CF67C681-5DB1-46B0-A926-377884F938CD}"/>
    <cellStyle name="40% - Énfasis4 18 2 2" xfId="2885" xr:uid="{435C17D7-7FFE-48E3-8599-1D6FA1B63643}"/>
    <cellStyle name="40% - Énfasis4 18 2 2 2" xfId="6617" xr:uid="{7F5B82F4-28CB-41AC-8708-A7E0847D3148}"/>
    <cellStyle name="40% - Énfasis4 18 2 2 2 2" xfId="14325" xr:uid="{8CB3EA15-0DF5-4B9D-BC59-A0F5C7F096CB}"/>
    <cellStyle name="40% - Énfasis4 18 2 2 2 2 2" xfId="29737" xr:uid="{0CEA442B-B0FE-4A8D-8D24-7831BF5C344A}"/>
    <cellStyle name="40% - Énfasis4 18 2 2 2 2 2 2" xfId="46857" xr:uid="{C1278D24-B0BF-4BD8-8D1A-3809D3A3037F}"/>
    <cellStyle name="40% - Énfasis4 18 2 2 2 2 3" xfId="46856" xr:uid="{B46D6CC4-CDCD-4C08-9B0C-379825596978}"/>
    <cellStyle name="40% - Énfasis4 18 2 2 2 3" xfId="22032" xr:uid="{A8028C87-ED88-4EDE-84C9-D5CDF22CAE08}"/>
    <cellStyle name="40% - Énfasis4 18 2 2 2 3 2" xfId="46858" xr:uid="{CB84FF84-F603-4E9F-BCD2-2CE072CC130A}"/>
    <cellStyle name="40% - Énfasis4 18 2 2 2 4" xfId="46855" xr:uid="{12B5447D-186D-4C14-9F7F-6F1915F6CF98}"/>
    <cellStyle name="40% - Énfasis4 18 2 2 3" xfId="10596" xr:uid="{46D9E429-9C06-4C9D-9AE2-743EEE2DC3C3}"/>
    <cellStyle name="40% - Énfasis4 18 2 2 3 2" xfId="26009" xr:uid="{CAE07001-1E0E-4C83-9CAE-0756DF8E62A3}"/>
    <cellStyle name="40% - Énfasis4 18 2 2 3 2 2" xfId="46860" xr:uid="{3AF47EB4-BFC5-4A41-93DD-12831886E323}"/>
    <cellStyle name="40% - Énfasis4 18 2 2 3 3" xfId="46859" xr:uid="{81741B5F-50A1-4A85-928F-220BBE18F7BA}"/>
    <cellStyle name="40% - Énfasis4 18 2 2 4" xfId="18304" xr:uid="{DD8381CF-4402-4149-A741-24E3E95EFB06}"/>
    <cellStyle name="40% - Énfasis4 18 2 2 4 2" xfId="46861" xr:uid="{EA974F6E-CECE-4C1E-88BF-7FBBAC543CAB}"/>
    <cellStyle name="40% - Énfasis4 18 2 2 5" xfId="46854" xr:uid="{74C0288F-C311-4C5C-8D96-73F2DAD8325C}"/>
    <cellStyle name="40% - Énfasis4 18 2 3" xfId="5154" xr:uid="{AE1EDD64-98D2-49E6-9781-DF511682DC09}"/>
    <cellStyle name="40% - Énfasis4 18 2 3 2" xfId="12862" xr:uid="{34C147CE-28CC-4A43-BCCA-A90368B3BA2B}"/>
    <cellStyle name="40% - Énfasis4 18 2 3 2 2" xfId="28274" xr:uid="{EDA5EAFD-E5B6-4022-8FBE-E0FD5E734A7A}"/>
    <cellStyle name="40% - Énfasis4 18 2 3 2 2 2" xfId="46864" xr:uid="{F17217D2-F668-4364-A2A4-5C650B7D03B8}"/>
    <cellStyle name="40% - Énfasis4 18 2 3 2 3" xfId="46863" xr:uid="{9E0EAA28-437A-45A2-B3FB-8CAAA5B34C07}"/>
    <cellStyle name="40% - Énfasis4 18 2 3 3" xfId="20569" xr:uid="{BAC353C8-317D-403B-B801-B77070B9C4E9}"/>
    <cellStyle name="40% - Énfasis4 18 2 3 3 2" xfId="46865" xr:uid="{99F16630-5CB1-4639-8AF8-8D2C618F18A7}"/>
    <cellStyle name="40% - Énfasis4 18 2 3 4" xfId="46862" xr:uid="{01115571-82FA-4A95-AF74-3ACE59D86F56}"/>
    <cellStyle name="40% - Énfasis4 18 2 4" xfId="9137" xr:uid="{BE5690F1-DE4E-4DE2-A3FF-2B3F8ACCD03B}"/>
    <cellStyle name="40% - Énfasis4 18 2 4 2" xfId="24550" xr:uid="{F4C73876-D7CC-429A-B3FA-17E1A802A0DB}"/>
    <cellStyle name="40% - Énfasis4 18 2 4 2 2" xfId="46867" xr:uid="{45D3DCAB-F654-4677-8B59-C09435A3BD60}"/>
    <cellStyle name="40% - Énfasis4 18 2 4 3" xfId="46866" xr:uid="{CC9C974B-256B-441D-821D-7AD5708B0D64}"/>
    <cellStyle name="40% - Énfasis4 18 2 5" xfId="16845" xr:uid="{CEB837CF-E001-4039-BC5E-4D0BFC818A28}"/>
    <cellStyle name="40% - Énfasis4 18 2 5 2" xfId="46868" xr:uid="{1D7B9E81-D4B0-47DF-B57A-35282FF731B4}"/>
    <cellStyle name="40% - Énfasis4 18 2 6" xfId="46853" xr:uid="{57314516-8888-416E-BC26-69C77D23FBD5}"/>
    <cellStyle name="40% - Énfasis4 18 3" xfId="2247" xr:uid="{A76FAA4B-E71E-4C36-A77F-7DA99943500E}"/>
    <cellStyle name="40% - Énfasis4 18 3 2" xfId="5979" xr:uid="{07D16F29-EE15-48BF-9BC0-4B3B87E0800C}"/>
    <cellStyle name="40% - Énfasis4 18 3 2 2" xfId="13687" xr:uid="{41ACD871-FE44-4C04-82F3-1A57840C3FEC}"/>
    <cellStyle name="40% - Énfasis4 18 3 2 2 2" xfId="29099" xr:uid="{31BFFB38-9638-4404-BA12-7A7D2E7EFBDC}"/>
    <cellStyle name="40% - Énfasis4 18 3 2 2 2 2" xfId="46872" xr:uid="{C58D00A3-E107-43E5-A8A5-63661E3C6593}"/>
    <cellStyle name="40% - Énfasis4 18 3 2 2 3" xfId="46871" xr:uid="{93C22B9D-C398-4730-AFC2-6B8FCEC5462B}"/>
    <cellStyle name="40% - Énfasis4 18 3 2 3" xfId="21394" xr:uid="{300002C1-F85F-4F9F-989B-0D2CDA3F3275}"/>
    <cellStyle name="40% - Énfasis4 18 3 2 3 2" xfId="46873" xr:uid="{0B4803B0-D1E4-44DA-91ED-B97A60295D23}"/>
    <cellStyle name="40% - Énfasis4 18 3 2 4" xfId="46870" xr:uid="{84C7CD30-AED7-4A2B-9C4B-C45E01C635F0}"/>
    <cellStyle name="40% - Énfasis4 18 3 3" xfId="9958" xr:uid="{16723C70-E3A4-4FED-A749-B7BA27961AA7}"/>
    <cellStyle name="40% - Énfasis4 18 3 3 2" xfId="25371" xr:uid="{7417848A-96F1-49F5-94AC-DA6A02D4D8F7}"/>
    <cellStyle name="40% - Énfasis4 18 3 3 2 2" xfId="46875" xr:uid="{0B770A82-3E3A-4436-941E-EE5EE9390C0C}"/>
    <cellStyle name="40% - Énfasis4 18 3 3 3" xfId="46874" xr:uid="{E594CD8C-A20A-47B5-9B4B-6F380C9AFA48}"/>
    <cellStyle name="40% - Énfasis4 18 3 4" xfId="17666" xr:uid="{53A6BDCC-EC44-4CA2-8B5F-FC1C9A26BD0F}"/>
    <cellStyle name="40% - Énfasis4 18 3 4 2" xfId="46876" xr:uid="{86A47903-CE5B-43D2-A14B-FC0BD760E83C}"/>
    <cellStyle name="40% - Énfasis4 18 3 5" xfId="46869" xr:uid="{AE78A51B-A745-41E9-BA05-9490D4AF0D65}"/>
    <cellStyle name="40% - Énfasis4 18 4" xfId="4502" xr:uid="{CB3EA365-A328-4DF2-8F45-609EF3801D2C}"/>
    <cellStyle name="40% - Énfasis4 18 4 2" xfId="12210" xr:uid="{89185AAD-7ADA-4565-9E98-853C8C553DD6}"/>
    <cellStyle name="40% - Énfasis4 18 4 2 2" xfId="27622" xr:uid="{474B97A2-BDCB-4025-A617-23D10CBD39BD}"/>
    <cellStyle name="40% - Énfasis4 18 4 2 2 2" xfId="46879" xr:uid="{81B577C2-9DF6-4094-8D59-CEBC787C3C73}"/>
    <cellStyle name="40% - Énfasis4 18 4 2 3" xfId="46878" xr:uid="{0F193228-D22F-493E-B6F6-84FA70685AFB}"/>
    <cellStyle name="40% - Énfasis4 18 4 3" xfId="19917" xr:uid="{3CB780D0-1738-4358-9BC4-A7DAB67CBFEB}"/>
    <cellStyle name="40% - Énfasis4 18 4 3 2" xfId="46880" xr:uid="{6A73FAD3-1A1F-45D9-B384-91D8FC5F7D5C}"/>
    <cellStyle name="40% - Énfasis4 18 4 4" xfId="46877" xr:uid="{9FC329D2-1AE2-404E-8857-CCBF8F2B4571}"/>
    <cellStyle name="40% - Énfasis4 18 5" xfId="8499" xr:uid="{AE44433D-EEC1-4133-8DF4-C16F5776096F}"/>
    <cellStyle name="40% - Énfasis4 18 5 2" xfId="23912" xr:uid="{62A73738-3636-4792-B7D0-A6EE322AA5E9}"/>
    <cellStyle name="40% - Énfasis4 18 5 2 2" xfId="46882" xr:uid="{F4A83A10-3F26-44D2-9A76-2B9B1584BE8B}"/>
    <cellStyle name="40% - Énfasis4 18 5 3" xfId="46881" xr:uid="{C4EF5A97-79B2-45B1-BE82-AEAEBCE3A040}"/>
    <cellStyle name="40% - Énfasis4 18 6" xfId="16207" xr:uid="{A0C7FBC8-C611-4472-B3DC-22B121F0A02B}"/>
    <cellStyle name="40% - Énfasis4 18 6 2" xfId="46883" xr:uid="{B21ADDF5-9D01-4CE1-B029-E4A8414F792E}"/>
    <cellStyle name="40% - Énfasis4 18 7" xfId="46852" xr:uid="{F492C76B-6185-4795-B96D-C48A2E7157A3}"/>
    <cellStyle name="40% - Énfasis4 19" xfId="776" xr:uid="{BFAF0D7B-398D-4469-A459-54EF643FB308}"/>
    <cellStyle name="40% - Énfasis4 19 2" xfId="2266" xr:uid="{B2483A28-2729-406E-9D67-B88ECC34DF0D}"/>
    <cellStyle name="40% - Énfasis4 19 2 2" xfId="5998" xr:uid="{314BE58F-03B6-4FEA-80E1-9CECA7E6B47D}"/>
    <cellStyle name="40% - Énfasis4 19 2 2 2" xfId="13706" xr:uid="{20156A5B-B56A-44D0-B699-44DAEDD3DEF9}"/>
    <cellStyle name="40% - Énfasis4 19 2 2 2 2" xfId="29118" xr:uid="{F93DD113-285A-4595-ACA2-53CC6DAAD1E5}"/>
    <cellStyle name="40% - Énfasis4 19 2 2 2 2 2" xfId="46888" xr:uid="{C94612C7-3751-48A2-8A9D-40E05B4825EF}"/>
    <cellStyle name="40% - Énfasis4 19 2 2 2 3" xfId="46887" xr:uid="{D10630FE-DDB2-44E3-8E14-75340FF48D81}"/>
    <cellStyle name="40% - Énfasis4 19 2 2 3" xfId="21413" xr:uid="{9FE64AF9-CCE2-4307-B37D-A80BDC15A6BA}"/>
    <cellStyle name="40% - Énfasis4 19 2 2 3 2" xfId="46889" xr:uid="{7537AF0C-908C-4CFD-91E7-B743E04F33D9}"/>
    <cellStyle name="40% - Énfasis4 19 2 2 4" xfId="46886" xr:uid="{A7DA6B59-B346-4EE1-B7E2-660B2E6C55CA}"/>
    <cellStyle name="40% - Énfasis4 19 2 3" xfId="9977" xr:uid="{DDF7FC72-F6B4-4F9C-9DB0-92BE60AC9ADE}"/>
    <cellStyle name="40% - Énfasis4 19 2 3 2" xfId="25390" xr:uid="{CBF20D14-04FB-4105-8536-D98C7E0F1C5B}"/>
    <cellStyle name="40% - Énfasis4 19 2 3 2 2" xfId="46891" xr:uid="{53071A7C-FDBD-45DA-9228-BD85B47ADE3D}"/>
    <cellStyle name="40% - Énfasis4 19 2 3 3" xfId="46890" xr:uid="{1F75D841-38F3-4382-A608-CC5F49FF4693}"/>
    <cellStyle name="40% - Énfasis4 19 2 4" xfId="17685" xr:uid="{ED7D365A-69E6-4C4A-B66E-B47F659D32A3}"/>
    <cellStyle name="40% - Énfasis4 19 2 4 2" xfId="46892" xr:uid="{80678C2E-0576-4BB0-9504-82C4DFF21311}"/>
    <cellStyle name="40% - Énfasis4 19 2 5" xfId="46885" xr:uid="{1E289654-49DB-41E8-A998-D7BDBDFA1EE2}"/>
    <cellStyle name="40% - Énfasis4 19 3" xfId="4521" xr:uid="{E0B85162-63F0-42EA-A3B7-59DE03400AF3}"/>
    <cellStyle name="40% - Énfasis4 19 3 2" xfId="12229" xr:uid="{DBB567A5-CA1D-4B53-A027-629AAC571885}"/>
    <cellStyle name="40% - Énfasis4 19 3 2 2" xfId="27641" xr:uid="{0210FE2E-A4E8-4658-81E1-B403DD5E6903}"/>
    <cellStyle name="40% - Énfasis4 19 3 2 2 2" xfId="46895" xr:uid="{5CFB1DFC-B559-4F1E-8EBF-3CEA157D91BD}"/>
    <cellStyle name="40% - Énfasis4 19 3 2 3" xfId="46894" xr:uid="{C0538D0A-D6E3-4F4D-A737-D9F0E25604B4}"/>
    <cellStyle name="40% - Énfasis4 19 3 3" xfId="19936" xr:uid="{628662E7-EBD7-4819-9F0C-2F98367C8466}"/>
    <cellStyle name="40% - Énfasis4 19 3 3 2" xfId="46896" xr:uid="{5CBC06FB-E495-41D9-AC43-4B3DA8A0FA76}"/>
    <cellStyle name="40% - Énfasis4 19 3 4" xfId="46893" xr:uid="{263D0318-D9CF-4427-9CFA-5886AAF251FB}"/>
    <cellStyle name="40% - Énfasis4 19 4" xfId="8518" xr:uid="{9BFA44D8-A950-43DF-9B93-3C2388E16DC5}"/>
    <cellStyle name="40% - Énfasis4 19 4 2" xfId="23931" xr:uid="{9055BAC2-E3FF-410A-99EC-2A8D773932AD}"/>
    <cellStyle name="40% - Énfasis4 19 4 2 2" xfId="46898" xr:uid="{538826AD-B7F9-4964-B4C6-92CA86AFDC8D}"/>
    <cellStyle name="40% - Énfasis4 19 4 3" xfId="46897" xr:uid="{2E9C0710-E76F-469A-B7B0-A05685BCE5B3}"/>
    <cellStyle name="40% - Énfasis4 19 5" xfId="16226" xr:uid="{6083F742-B9AC-437B-9264-790291A3D303}"/>
    <cellStyle name="40% - Énfasis4 19 5 2" xfId="46899" xr:uid="{B4BF5843-4192-4A0E-B1A5-8D3882CF60E9}"/>
    <cellStyle name="40% - Énfasis4 19 6" xfId="46884" xr:uid="{A8A060FE-0C2C-4EC9-B6AC-079A8EFC89DE}"/>
    <cellStyle name="40% - Énfasis4 2" xfId="177" xr:uid="{B4EBE2A3-12F2-4B59-B336-39728A099F71}"/>
    <cellStyle name="40% - Énfasis4 2 2" xfId="387" xr:uid="{20EC3CE9-4D5A-4140-8477-2146B03B34FC}"/>
    <cellStyle name="40% - Énfasis4 2 2 2" xfId="1049" xr:uid="{409395BC-24D1-491D-B9CF-4F380CCE29B2}"/>
    <cellStyle name="40% - Énfasis4 2 2 2 2" xfId="2517" xr:uid="{26283F36-EFDC-4C16-9B85-037AB8EC0A24}"/>
    <cellStyle name="40% - Énfasis4 2 2 2 2 2" xfId="6249" xr:uid="{999588DE-6560-4333-B5F2-A6D2E7E9DB34}"/>
    <cellStyle name="40% - Énfasis4 2 2 2 2 2 2" xfId="13957" xr:uid="{9B245E17-DEFC-44D8-AF0C-E783242188AD}"/>
    <cellStyle name="40% - Énfasis4 2 2 2 2 2 2 2" xfId="29369" xr:uid="{09D3D948-4AE2-4FBD-99F8-9FB478E31F07}"/>
    <cellStyle name="40% - Énfasis4 2 2 2 2 2 2 2 2" xfId="46906" xr:uid="{58C3BE7A-4FB9-419E-BFC9-25621E763AFD}"/>
    <cellStyle name="40% - Énfasis4 2 2 2 2 2 2 3" xfId="46905" xr:uid="{7CA9D7B2-C831-4AF9-AA89-8D78C19CEB25}"/>
    <cellStyle name="40% - Énfasis4 2 2 2 2 2 3" xfId="21664" xr:uid="{3FB46F20-F283-42B9-AEAE-4175610AD49C}"/>
    <cellStyle name="40% - Énfasis4 2 2 2 2 2 3 2" xfId="46907" xr:uid="{2B1CF45F-FCCA-44CA-A658-C103291A748E}"/>
    <cellStyle name="40% - Énfasis4 2 2 2 2 2 4" xfId="46904" xr:uid="{F8B475AA-454C-4F98-B389-E84E1B16D9F2}"/>
    <cellStyle name="40% - Énfasis4 2 2 2 2 3" xfId="10228" xr:uid="{B74F9DF7-CC31-4AA5-84EC-555218AA0CE5}"/>
    <cellStyle name="40% - Énfasis4 2 2 2 2 3 2" xfId="25641" xr:uid="{139F1C59-70DD-4AAF-9AF2-50BB5E65EC18}"/>
    <cellStyle name="40% - Énfasis4 2 2 2 2 3 2 2" xfId="46909" xr:uid="{A0E900C8-3B8E-4652-BA94-1E2D634FDF84}"/>
    <cellStyle name="40% - Énfasis4 2 2 2 2 3 3" xfId="46908" xr:uid="{09E30652-AA61-4AE9-9617-91E74640C05A}"/>
    <cellStyle name="40% - Énfasis4 2 2 2 2 4" xfId="17936" xr:uid="{6C043568-3264-4C33-BBCE-E29E35005174}"/>
    <cellStyle name="40% - Énfasis4 2 2 2 2 4 2" xfId="46910" xr:uid="{50769B2A-944B-4CC4-9A9B-F96D35AA3A60}"/>
    <cellStyle name="40% - Énfasis4 2 2 2 2 5" xfId="46903" xr:uid="{0FF22752-964C-4946-A646-0A7259EF4428}"/>
    <cellStyle name="40% - Énfasis4 2 2 2 3" xfId="4786" xr:uid="{F0B6375B-F67E-45B1-B418-C1B14F047FC3}"/>
    <cellStyle name="40% - Énfasis4 2 2 2 3 2" xfId="12494" xr:uid="{1A9ACF61-3B73-4E0E-8722-ECD330BA99CD}"/>
    <cellStyle name="40% - Énfasis4 2 2 2 3 2 2" xfId="27906" xr:uid="{2E8A7285-CCE7-4DF8-A4EC-2AF16F0D87E2}"/>
    <cellStyle name="40% - Énfasis4 2 2 2 3 2 2 2" xfId="46913" xr:uid="{CFF3A39D-55DF-4185-A26B-9DAC48718E75}"/>
    <cellStyle name="40% - Énfasis4 2 2 2 3 2 3" xfId="46912" xr:uid="{F070EFD4-FCB6-40F2-A9A6-DB9C31D5A459}"/>
    <cellStyle name="40% - Énfasis4 2 2 2 3 3" xfId="20201" xr:uid="{FB590A81-630E-4826-BB5C-EB476CB57B18}"/>
    <cellStyle name="40% - Énfasis4 2 2 2 3 3 2" xfId="46914" xr:uid="{4B8120E9-8494-4E9E-8E61-CC6A51DBA34E}"/>
    <cellStyle name="40% - Énfasis4 2 2 2 3 4" xfId="46911" xr:uid="{67C89A0B-00A2-4476-BFD8-8F260F79890A}"/>
    <cellStyle name="40% - Énfasis4 2 2 2 4" xfId="8769" xr:uid="{6E2F2310-A494-44BD-B0E3-699323ED3C95}"/>
    <cellStyle name="40% - Énfasis4 2 2 2 4 2" xfId="24182" xr:uid="{2E0399B9-3D1A-42CC-B005-6BF87252B51B}"/>
    <cellStyle name="40% - Énfasis4 2 2 2 4 2 2" xfId="46916" xr:uid="{8F6F98B2-59E8-4D80-89BC-1AB35F8CC4C1}"/>
    <cellStyle name="40% - Énfasis4 2 2 2 4 3" xfId="46915" xr:uid="{92A09EE0-44F5-4C2D-BD7C-4387B04183F4}"/>
    <cellStyle name="40% - Énfasis4 2 2 2 5" xfId="16477" xr:uid="{091213CF-8BA4-43F0-AA7C-5CFBFBB6D62A}"/>
    <cellStyle name="40% - Énfasis4 2 2 2 5 2" xfId="46917" xr:uid="{823B6BA2-57AB-43DD-A172-5728CE8114F3}"/>
    <cellStyle name="40% - Énfasis4 2 2 2 6" xfId="46902" xr:uid="{6898EC4D-0832-4430-97A9-06535A9CD309}"/>
    <cellStyle name="40% - Énfasis4 2 2 3" xfId="1879" xr:uid="{025FAAC8-36BA-4D08-881F-EEA727530159}"/>
    <cellStyle name="40% - Énfasis4 2 2 3 2" xfId="5611" xr:uid="{11FA02C5-4D67-4DC9-903E-E7A8B18835CB}"/>
    <cellStyle name="40% - Énfasis4 2 2 3 2 2" xfId="13319" xr:uid="{39C9B183-291B-49B9-A21D-A034E2EE2676}"/>
    <cellStyle name="40% - Énfasis4 2 2 3 2 2 2" xfId="28731" xr:uid="{28204741-E164-4BAA-808B-5FFA22F466A6}"/>
    <cellStyle name="40% - Énfasis4 2 2 3 2 2 2 2" xfId="46921" xr:uid="{08D80379-E4AD-4761-A103-29B2F7660AA8}"/>
    <cellStyle name="40% - Énfasis4 2 2 3 2 2 3" xfId="46920" xr:uid="{70D6A70D-2F30-4D7A-A7F6-EF36389B22F6}"/>
    <cellStyle name="40% - Énfasis4 2 2 3 2 3" xfId="21026" xr:uid="{980EBC5D-2323-4CF0-AA03-5CF8647C79D1}"/>
    <cellStyle name="40% - Énfasis4 2 2 3 2 3 2" xfId="46922" xr:uid="{AA88E363-2E74-41EF-8682-07F9A3D65D88}"/>
    <cellStyle name="40% - Énfasis4 2 2 3 2 4" xfId="46919" xr:uid="{27A0B809-1D01-4BC5-B07B-1964B8BC150E}"/>
    <cellStyle name="40% - Énfasis4 2 2 3 3" xfId="9590" xr:uid="{AC362236-6FB4-4B0C-BC27-653C35999C6E}"/>
    <cellStyle name="40% - Énfasis4 2 2 3 3 2" xfId="25003" xr:uid="{AF97A99C-E9AB-4089-8C7A-9B28B73ADFE2}"/>
    <cellStyle name="40% - Énfasis4 2 2 3 3 2 2" xfId="46924" xr:uid="{226AF6A1-996C-480F-919C-ACEBEDF717F8}"/>
    <cellStyle name="40% - Énfasis4 2 2 3 3 3" xfId="46923" xr:uid="{699A8C0A-E079-4046-81D1-EB4F4C7B58B1}"/>
    <cellStyle name="40% - Énfasis4 2 2 3 4" xfId="17298" xr:uid="{FC1BF137-A701-464D-B6E2-DA3EEFA6C3DD}"/>
    <cellStyle name="40% - Énfasis4 2 2 3 4 2" xfId="46925" xr:uid="{E37E28B1-865A-4747-8508-B96BF9CA8E96}"/>
    <cellStyle name="40% - Énfasis4 2 2 3 5" xfId="46918" xr:uid="{8C2C7B92-C941-4622-AD0B-7ECCEF8B08FA}"/>
    <cellStyle name="40% - Énfasis4 2 2 4" xfId="4134" xr:uid="{102FDA3B-DCE7-42B5-A6BB-1A8CF044A4DA}"/>
    <cellStyle name="40% - Énfasis4 2 2 4 2" xfId="11842" xr:uid="{B492E119-CFEF-41C6-B75C-B1BCD8858D5C}"/>
    <cellStyle name="40% - Énfasis4 2 2 4 2 2" xfId="27254" xr:uid="{E8589EF9-C4FD-476E-BF3F-B8869A250ECD}"/>
    <cellStyle name="40% - Énfasis4 2 2 4 2 2 2" xfId="46928" xr:uid="{2223D980-9B29-4974-B305-DF8FEFD36951}"/>
    <cellStyle name="40% - Énfasis4 2 2 4 2 3" xfId="46927" xr:uid="{1F85170C-C318-48E4-983B-CC7E82AB2B0B}"/>
    <cellStyle name="40% - Énfasis4 2 2 4 3" xfId="19549" xr:uid="{91536F9E-7B97-4489-A364-C5279F54BAEB}"/>
    <cellStyle name="40% - Énfasis4 2 2 4 3 2" xfId="46929" xr:uid="{9A949264-8DAA-46E4-AAC0-33290726F73B}"/>
    <cellStyle name="40% - Énfasis4 2 2 4 4" xfId="46926" xr:uid="{16BC62EE-7B3F-405A-89CA-E5F6A057AAFE}"/>
    <cellStyle name="40% - Énfasis4 2 2 5" xfId="8131" xr:uid="{6C538730-669B-4885-94C2-E52C3BE94D76}"/>
    <cellStyle name="40% - Énfasis4 2 2 5 2" xfId="23544" xr:uid="{95A953B6-226C-439F-987B-5BFDF76DD085}"/>
    <cellStyle name="40% - Énfasis4 2 2 5 2 2" xfId="46931" xr:uid="{04AC225A-4567-419C-8DB1-3A1785B74E7C}"/>
    <cellStyle name="40% - Énfasis4 2 2 5 3" xfId="46930" xr:uid="{19184DE9-B650-4528-BE30-4C3FBC30FF0E}"/>
    <cellStyle name="40% - Énfasis4 2 2 6" xfId="15839" xr:uid="{95D05E17-2D02-4A4F-ADF2-1A882F5C3F67}"/>
    <cellStyle name="40% - Énfasis4 2 2 6 2" xfId="46932" xr:uid="{F5D8725D-2367-4665-8B9D-2141D642CA5A}"/>
    <cellStyle name="40% - Énfasis4 2 2 7" xfId="46901" xr:uid="{9EA66725-0F27-4143-B1BF-B80B494CB197}"/>
    <cellStyle name="40% - Énfasis4 2 3" xfId="844" xr:uid="{8CF76891-28B5-48F7-BE66-9D42C4E191EA}"/>
    <cellStyle name="40% - Énfasis4 2 3 2" xfId="2319" xr:uid="{BE754000-AE51-4977-B7C8-438F49573EB0}"/>
    <cellStyle name="40% - Énfasis4 2 3 2 2" xfId="6051" xr:uid="{393A67B4-F136-40B1-877A-7F7AE908EF31}"/>
    <cellStyle name="40% - Énfasis4 2 3 2 2 2" xfId="13759" xr:uid="{E5C24D4E-1DA0-46A2-AFF0-01D2B3D8FE9E}"/>
    <cellStyle name="40% - Énfasis4 2 3 2 2 2 2" xfId="29171" xr:uid="{A8FC447D-4606-4E50-B7A9-5FA2C146E904}"/>
    <cellStyle name="40% - Énfasis4 2 3 2 2 2 2 2" xfId="46937" xr:uid="{97348591-BB9C-4054-9E07-FBD68F120E58}"/>
    <cellStyle name="40% - Énfasis4 2 3 2 2 2 3" xfId="46936" xr:uid="{3B237901-46AD-47DA-B7A5-D617C042DF5E}"/>
    <cellStyle name="40% - Énfasis4 2 3 2 2 3" xfId="21466" xr:uid="{5A2F440C-D905-4F04-8B44-2C1978503913}"/>
    <cellStyle name="40% - Énfasis4 2 3 2 2 3 2" xfId="46938" xr:uid="{A3C3C35C-2517-4697-8E0F-E25662E49DF6}"/>
    <cellStyle name="40% - Énfasis4 2 3 2 2 4" xfId="46935" xr:uid="{5E1AA55F-5D27-4772-BF10-DFD81BD5AF31}"/>
    <cellStyle name="40% - Énfasis4 2 3 2 3" xfId="10030" xr:uid="{DD4F0AC5-93F9-4223-BA7E-DC5507C032F3}"/>
    <cellStyle name="40% - Énfasis4 2 3 2 3 2" xfId="25443" xr:uid="{93D7C7BE-5400-4C34-824B-06B05594F413}"/>
    <cellStyle name="40% - Énfasis4 2 3 2 3 2 2" xfId="46940" xr:uid="{B027ADFF-EC7A-42E0-B36C-C3A6A715F477}"/>
    <cellStyle name="40% - Énfasis4 2 3 2 3 3" xfId="46939" xr:uid="{FF4F0014-84FD-42DB-BDC3-55C7F1B33EFE}"/>
    <cellStyle name="40% - Énfasis4 2 3 2 4" xfId="17738" xr:uid="{27EC2868-EC17-4474-A76B-6BDC74E85B7E}"/>
    <cellStyle name="40% - Énfasis4 2 3 2 4 2" xfId="46941" xr:uid="{F7DC4DA4-B97C-4749-BD7B-87819F4E6E12}"/>
    <cellStyle name="40% - Énfasis4 2 3 2 5" xfId="46934" xr:uid="{F798A4D6-42E8-475B-85A3-204B02EC791E}"/>
    <cellStyle name="40% - Énfasis4 2 3 3" xfId="4581" xr:uid="{5385B28B-430E-45F9-8BD1-C0098A0CF150}"/>
    <cellStyle name="40% - Énfasis4 2 3 3 2" xfId="12289" xr:uid="{23349991-63AB-41C0-B938-8BC3C25827DA}"/>
    <cellStyle name="40% - Énfasis4 2 3 3 2 2" xfId="27701" xr:uid="{BCDC9423-D08B-4C4C-84C7-35638C4A3715}"/>
    <cellStyle name="40% - Énfasis4 2 3 3 2 2 2" xfId="46944" xr:uid="{1B943835-0F36-4E34-A9FC-EF591EF97DDD}"/>
    <cellStyle name="40% - Énfasis4 2 3 3 2 3" xfId="46943" xr:uid="{7EC609F4-61C4-4CEA-B674-8A99894C80DD}"/>
    <cellStyle name="40% - Énfasis4 2 3 3 3" xfId="19996" xr:uid="{6F738ED5-0759-44FF-B3BE-D625C7B2C5D6}"/>
    <cellStyle name="40% - Énfasis4 2 3 3 3 2" xfId="46945" xr:uid="{334BDE1B-78A4-4B35-A566-907E8D4DDFFC}"/>
    <cellStyle name="40% - Énfasis4 2 3 3 4" xfId="46942" xr:uid="{944B97E9-CE45-43DE-91C1-219A4BFB4C1F}"/>
    <cellStyle name="40% - Énfasis4 2 3 4" xfId="8571" xr:uid="{BBB7814B-F197-49C5-810A-9838AEE3882F}"/>
    <cellStyle name="40% - Énfasis4 2 3 4 2" xfId="23984" xr:uid="{5183E6A7-CDE0-4BB1-B13E-3A19C98A91C4}"/>
    <cellStyle name="40% - Énfasis4 2 3 4 2 2" xfId="46947" xr:uid="{09EFB1C6-EE16-4940-9346-755A3F08B34F}"/>
    <cellStyle name="40% - Énfasis4 2 3 4 3" xfId="46946" xr:uid="{835AC0DC-4E15-4063-BFF5-56A313D688D3}"/>
    <cellStyle name="40% - Énfasis4 2 3 5" xfId="16279" xr:uid="{603AE28F-8A98-48B8-96A7-475755BCDA12}"/>
    <cellStyle name="40% - Énfasis4 2 3 5 2" xfId="46948" xr:uid="{F45D57ED-8C14-476C-B75B-5423834454A5}"/>
    <cellStyle name="40% - Énfasis4 2 3 6" xfId="46933" xr:uid="{CA07FE08-434E-4280-B330-1A0CB8C5AB13}"/>
    <cellStyle name="40% - Énfasis4 2 4" xfId="1681" xr:uid="{694AA314-D615-483E-BC94-DFBF9926361F}"/>
    <cellStyle name="40% - Énfasis4 2 4 2" xfId="5413" xr:uid="{2ACEB0BE-8051-4175-B9D4-564B30F3D8F2}"/>
    <cellStyle name="40% - Énfasis4 2 4 2 2" xfId="13121" xr:uid="{E9670BC6-30AF-481D-BE5C-C42BF92C33A2}"/>
    <cellStyle name="40% - Énfasis4 2 4 2 2 2" xfId="28533" xr:uid="{487EC225-DA3E-4FD2-824C-710A27B9DC29}"/>
    <cellStyle name="40% - Énfasis4 2 4 2 2 2 2" xfId="46952" xr:uid="{4F23A6AA-B1FD-4D78-A053-00B63C452E63}"/>
    <cellStyle name="40% - Énfasis4 2 4 2 2 3" xfId="46951" xr:uid="{8D6EFF93-FF80-442D-8CD7-3AF707BBB5C7}"/>
    <cellStyle name="40% - Énfasis4 2 4 2 3" xfId="20828" xr:uid="{1C1B4F03-C65F-4316-BCB8-7DB69FBB0BB5}"/>
    <cellStyle name="40% - Énfasis4 2 4 2 3 2" xfId="46953" xr:uid="{DFF3945B-4E15-4013-9DE6-9F8F2C45FFAA}"/>
    <cellStyle name="40% - Énfasis4 2 4 2 4" xfId="46950" xr:uid="{8D764081-670F-4741-A7F8-CB337D230599}"/>
    <cellStyle name="40% - Énfasis4 2 4 3" xfId="9392" xr:uid="{7F5797B8-4FDD-4174-9A53-4F6D50DBE3C6}"/>
    <cellStyle name="40% - Énfasis4 2 4 3 2" xfId="24805" xr:uid="{764C5742-4C7A-4AFA-B4AE-F1F6668D18AD}"/>
    <cellStyle name="40% - Énfasis4 2 4 3 2 2" xfId="46955" xr:uid="{8C56FC28-0D00-4616-B724-3EB434943944}"/>
    <cellStyle name="40% - Énfasis4 2 4 3 3" xfId="46954" xr:uid="{86ADE5CB-4DD4-4C36-BCF9-D3A7B1F6F72C}"/>
    <cellStyle name="40% - Énfasis4 2 4 4" xfId="17100" xr:uid="{5212471C-871A-476F-A118-34DFA372B673}"/>
    <cellStyle name="40% - Énfasis4 2 4 4 2" xfId="46956" xr:uid="{1B6118C3-45B8-48B8-9067-EA4DC1FD4653}"/>
    <cellStyle name="40% - Énfasis4 2 4 5" xfId="46949" xr:uid="{9A3FFADC-7EA5-400F-B197-2BBE1D7919F2}"/>
    <cellStyle name="40% - Énfasis4 2 5" xfId="3929" xr:uid="{EDE117FC-AF1A-4C6A-A28D-2EE496F2FD5B}"/>
    <cellStyle name="40% - Énfasis4 2 5 2" xfId="11637" xr:uid="{3B7AAA36-9ADD-44F4-815E-45DF95EC10B0}"/>
    <cellStyle name="40% - Énfasis4 2 5 2 2" xfId="27049" xr:uid="{48C11D80-1ABE-43CF-977C-3F5EC2C957A6}"/>
    <cellStyle name="40% - Énfasis4 2 5 2 2 2" xfId="46959" xr:uid="{9000D800-726A-49CF-881A-D0D178802F51}"/>
    <cellStyle name="40% - Énfasis4 2 5 2 3" xfId="46958" xr:uid="{8BDEB31D-C638-4790-A184-AE6BE4EB6830}"/>
    <cellStyle name="40% - Énfasis4 2 5 3" xfId="19344" xr:uid="{2D3F1117-C7D3-4359-8A19-92CE284BDFCE}"/>
    <cellStyle name="40% - Énfasis4 2 5 3 2" xfId="46960" xr:uid="{457A4128-DCC2-4AA5-AB78-32F0602921F1}"/>
    <cellStyle name="40% - Énfasis4 2 5 4" xfId="46957" xr:uid="{7378BB74-B9EC-40C6-BAF0-986486CAD608}"/>
    <cellStyle name="40% - Énfasis4 2 6" xfId="7933" xr:uid="{02127081-F5E7-4A4D-8FFC-E0AFAF847A83}"/>
    <cellStyle name="40% - Énfasis4 2 6 2" xfId="23346" xr:uid="{F8B6D9EE-44A3-4770-8394-783AE6B36DB6}"/>
    <cellStyle name="40% - Énfasis4 2 6 2 2" xfId="46962" xr:uid="{4DEF16B9-A882-411C-B286-7BE9FABAC629}"/>
    <cellStyle name="40% - Énfasis4 2 6 3" xfId="46961" xr:uid="{88A31E41-85FC-477D-9FA3-8D54A2CCA561}"/>
    <cellStyle name="40% - Énfasis4 2 7" xfId="15641" xr:uid="{4A4F6B67-E90A-401E-A9AA-0EFBF7FAB27B}"/>
    <cellStyle name="40% - Énfasis4 2 7 2" xfId="46963" xr:uid="{9C82D6D3-2890-459B-920F-C17380C0EE5B}"/>
    <cellStyle name="40% - Énfasis4 2 8" xfId="46900" xr:uid="{421B8DF6-7C08-40E8-8CFF-94907E40AE67}"/>
    <cellStyle name="40% - Énfasis4 20" xfId="1440" xr:uid="{DADAAB29-DF09-402A-B70D-C9E60AF2BF2A}"/>
    <cellStyle name="40% - Énfasis4 20 2" xfId="2905" xr:uid="{E4883F3F-A23D-4BF4-A9A2-7D97B367CB46}"/>
    <cellStyle name="40% - Énfasis4 20 2 2" xfId="6637" xr:uid="{6EB3331F-BE23-4C36-BC6F-7E6CDA4623C6}"/>
    <cellStyle name="40% - Énfasis4 20 2 2 2" xfId="14345" xr:uid="{D42D4E0A-42D0-4A57-B651-13E23B69F18C}"/>
    <cellStyle name="40% - Énfasis4 20 2 2 2 2" xfId="29757" xr:uid="{F8F2C8A3-8090-4088-B506-6D1A2B02DA90}"/>
    <cellStyle name="40% - Énfasis4 20 2 2 2 2 2" xfId="46968" xr:uid="{0ECDDDEF-EDA8-486A-B3E4-F1BD21065101}"/>
    <cellStyle name="40% - Énfasis4 20 2 2 2 3" xfId="46967" xr:uid="{ADF392E0-904C-4913-BEA3-2409388196C0}"/>
    <cellStyle name="40% - Énfasis4 20 2 2 3" xfId="22052" xr:uid="{68F07ACF-E371-4893-AFB4-91E32D6DD52A}"/>
    <cellStyle name="40% - Énfasis4 20 2 2 3 2" xfId="46969" xr:uid="{14871F0C-BB91-407D-A996-A2C42B995DEC}"/>
    <cellStyle name="40% - Énfasis4 20 2 2 4" xfId="46966" xr:uid="{8827831F-68DD-43B3-9A37-1524F969A6BB}"/>
    <cellStyle name="40% - Énfasis4 20 2 3" xfId="10616" xr:uid="{8CC1A64A-7DAF-4D26-A2C5-947C93025416}"/>
    <cellStyle name="40% - Énfasis4 20 2 3 2" xfId="26029" xr:uid="{BDBCBB68-9ACD-461D-8BA3-479685267D7B}"/>
    <cellStyle name="40% - Énfasis4 20 2 3 2 2" xfId="46971" xr:uid="{35B801BA-8F4F-41CB-8FE1-A3F54B007B4A}"/>
    <cellStyle name="40% - Énfasis4 20 2 3 3" xfId="46970" xr:uid="{F37D8799-A653-4B3D-846B-1C4245C2497C}"/>
    <cellStyle name="40% - Énfasis4 20 2 4" xfId="18324" xr:uid="{FDC7AB3B-FB50-4582-B9E0-D0C70A08FA32}"/>
    <cellStyle name="40% - Énfasis4 20 2 4 2" xfId="46972" xr:uid="{942EFB1D-D796-4062-BB09-2FC8E5DD4067}"/>
    <cellStyle name="40% - Énfasis4 20 2 5" xfId="46965" xr:uid="{5C998021-5716-4077-97E3-70264498BA47}"/>
    <cellStyle name="40% - Énfasis4 20 3" xfId="5176" xr:uid="{48D0F298-0F60-4F5A-AC17-E22584C2198E}"/>
    <cellStyle name="40% - Énfasis4 20 3 2" xfId="12884" xr:uid="{CC10CCE3-319F-4594-BF5E-A92F338C592D}"/>
    <cellStyle name="40% - Énfasis4 20 3 2 2" xfId="28296" xr:uid="{022F423A-BAF9-4DC2-A2D7-562C0B80CB43}"/>
    <cellStyle name="40% - Énfasis4 20 3 2 2 2" xfId="46975" xr:uid="{6C4D2C12-3EFD-47AA-B271-5A4039C615F0}"/>
    <cellStyle name="40% - Énfasis4 20 3 2 3" xfId="46974" xr:uid="{EB6F23C1-A3A7-4949-9D9A-C0B73DE140B2}"/>
    <cellStyle name="40% - Énfasis4 20 3 3" xfId="20591" xr:uid="{92E9A81D-B7CF-4BC8-BAE5-B2A4856DAD1D}"/>
    <cellStyle name="40% - Énfasis4 20 3 3 2" xfId="46976" xr:uid="{6F299DFD-E467-4AC4-93E3-63D0A775CFD5}"/>
    <cellStyle name="40% - Énfasis4 20 3 4" xfId="46973" xr:uid="{1FAF4541-D36A-45DB-8586-235E46B5835C}"/>
    <cellStyle name="40% - Énfasis4 20 4" xfId="9157" xr:uid="{08BEA5F8-7163-466B-849E-D4062F384B16}"/>
    <cellStyle name="40% - Énfasis4 20 4 2" xfId="24570" xr:uid="{A5D4FBCE-D8E7-4966-8A7F-6678B2B15155}"/>
    <cellStyle name="40% - Énfasis4 20 4 2 2" xfId="46978" xr:uid="{A845BF12-1E72-48FC-8AAB-DC395E344951}"/>
    <cellStyle name="40% - Énfasis4 20 4 3" xfId="46977" xr:uid="{9B40730B-1932-41BE-815E-D34DCCF05AE6}"/>
    <cellStyle name="40% - Énfasis4 20 5" xfId="16865" xr:uid="{F26485F0-5886-43AE-84AC-095CCA2CE748}"/>
    <cellStyle name="40% - Énfasis4 20 5 2" xfId="46979" xr:uid="{18FDD67E-BBC4-4270-A956-CB226BFB656C}"/>
    <cellStyle name="40% - Énfasis4 20 6" xfId="46964" xr:uid="{D00AAEE3-3388-48BA-932F-C90D25E4B24D}"/>
    <cellStyle name="40% - Énfasis4 21" xfId="1460" xr:uid="{FB53CDC8-726D-477C-B164-3EA19470F08B}"/>
    <cellStyle name="40% - Énfasis4 21 2" xfId="2925" xr:uid="{67ED7FB4-55D6-44E8-9870-E972E54058B8}"/>
    <cellStyle name="40% - Énfasis4 21 2 2" xfId="6657" xr:uid="{97F9F11F-8E1E-4CF4-80E0-E17306C4B351}"/>
    <cellStyle name="40% - Énfasis4 21 2 2 2" xfId="14365" xr:uid="{86F58A75-C0EA-4C9D-8781-DE557F9A8C9C}"/>
    <cellStyle name="40% - Énfasis4 21 2 2 2 2" xfId="29777" xr:uid="{314137B7-719D-418C-B785-A1A68B25F3E8}"/>
    <cellStyle name="40% - Énfasis4 21 2 2 2 2 2" xfId="46984" xr:uid="{45D83562-C7DE-4D2F-86FE-D54E561602EE}"/>
    <cellStyle name="40% - Énfasis4 21 2 2 2 3" xfId="46983" xr:uid="{343AEF12-6089-4693-A410-17BC7D4C09B3}"/>
    <cellStyle name="40% - Énfasis4 21 2 2 3" xfId="22072" xr:uid="{6B43A9B7-9B16-4D21-B776-1B899E8E786D}"/>
    <cellStyle name="40% - Énfasis4 21 2 2 3 2" xfId="46985" xr:uid="{9BEFD548-27FF-4F22-BB09-C1D1B432C2D2}"/>
    <cellStyle name="40% - Énfasis4 21 2 2 4" xfId="46982" xr:uid="{D1DC30FE-4CBB-426C-A306-8F60234182E7}"/>
    <cellStyle name="40% - Énfasis4 21 2 3" xfId="10636" xr:uid="{72A5C54A-6EA0-48A6-AFB2-C1AA1D3EEF42}"/>
    <cellStyle name="40% - Énfasis4 21 2 3 2" xfId="26049" xr:uid="{9D4D2ADA-81E6-4F90-919D-811B2565C006}"/>
    <cellStyle name="40% - Énfasis4 21 2 3 2 2" xfId="46987" xr:uid="{E4EBBE8F-35CD-4FC2-8B6F-9354B65D27C1}"/>
    <cellStyle name="40% - Énfasis4 21 2 3 3" xfId="46986" xr:uid="{8874050E-5CD1-43A2-B22F-CA782B40D5E6}"/>
    <cellStyle name="40% - Énfasis4 21 2 4" xfId="18344" xr:uid="{E51A0D29-147E-4CD2-BDC0-5BAC95696EE0}"/>
    <cellStyle name="40% - Énfasis4 21 2 4 2" xfId="46988" xr:uid="{1C885725-DD6C-450F-B403-255814F317D9}"/>
    <cellStyle name="40% - Énfasis4 21 2 5" xfId="46981" xr:uid="{DA8B3C5D-192B-4F98-BB09-7E4885A3BD85}"/>
    <cellStyle name="40% - Énfasis4 21 3" xfId="5196" xr:uid="{D5B642BB-708D-453D-9738-11C165F061A5}"/>
    <cellStyle name="40% - Énfasis4 21 3 2" xfId="12904" xr:uid="{4AB1D724-4EE2-4D83-A28D-CDE34EF41D88}"/>
    <cellStyle name="40% - Énfasis4 21 3 2 2" xfId="28316" xr:uid="{C5C56645-26A4-4255-85E9-F6A562457399}"/>
    <cellStyle name="40% - Énfasis4 21 3 2 2 2" xfId="46991" xr:uid="{E6DA487F-C334-4100-93F5-7C0C1262C3DB}"/>
    <cellStyle name="40% - Énfasis4 21 3 2 3" xfId="46990" xr:uid="{342E9BAF-424B-43FC-9801-A3E46A211619}"/>
    <cellStyle name="40% - Énfasis4 21 3 3" xfId="20611" xr:uid="{50D846C6-6A42-45B0-B702-E082237CA31E}"/>
    <cellStyle name="40% - Énfasis4 21 3 3 2" xfId="46992" xr:uid="{786C0E34-8DED-4893-A780-59F88E16249F}"/>
    <cellStyle name="40% - Énfasis4 21 3 4" xfId="46989" xr:uid="{6E431607-9BA4-4E87-9BA6-7BF00009ED0A}"/>
    <cellStyle name="40% - Énfasis4 21 4" xfId="9177" xr:uid="{6FB4BCA0-DEBC-42E5-BD8F-569144F2B5DB}"/>
    <cellStyle name="40% - Énfasis4 21 4 2" xfId="24590" xr:uid="{C6C38687-FC20-4F4E-A78B-248D2DB7F91F}"/>
    <cellStyle name="40% - Énfasis4 21 4 2 2" xfId="46994" xr:uid="{AD25498B-8550-4941-BE7B-BE18057458CD}"/>
    <cellStyle name="40% - Énfasis4 21 4 3" xfId="46993" xr:uid="{C22ADA60-0385-4A97-9EA6-66332C51D7A9}"/>
    <cellStyle name="40% - Énfasis4 21 5" xfId="16885" xr:uid="{95FE4C57-A901-4CD6-B188-10F978311577}"/>
    <cellStyle name="40% - Énfasis4 21 5 2" xfId="46995" xr:uid="{ECBF9212-E547-45CA-B1B4-12D6EF6ECA77}"/>
    <cellStyle name="40% - Énfasis4 21 6" xfId="46980" xr:uid="{CC1A4912-4373-4A25-B1B4-E7D5F8EC1902}"/>
    <cellStyle name="40% - Énfasis4 22" xfId="1480" xr:uid="{5DC4437C-54F4-437F-BC95-416F19B50363}"/>
    <cellStyle name="40% - Énfasis4 22 2" xfId="2945" xr:uid="{8A86D426-5D37-4967-B71C-B6EC8ECB0218}"/>
    <cellStyle name="40% - Énfasis4 22 2 2" xfId="6677" xr:uid="{CC29CBAD-2981-408F-850C-A8C1D0B77AA3}"/>
    <cellStyle name="40% - Énfasis4 22 2 2 2" xfId="14385" xr:uid="{331E688C-98B9-446B-93A5-074DEE33B438}"/>
    <cellStyle name="40% - Énfasis4 22 2 2 2 2" xfId="29797" xr:uid="{B07FE057-7548-40DF-B560-FA20F73E0E9C}"/>
    <cellStyle name="40% - Énfasis4 22 2 2 2 2 2" xfId="47000" xr:uid="{61F77D83-1B4B-47CA-B9D9-D4330B13501F}"/>
    <cellStyle name="40% - Énfasis4 22 2 2 2 3" xfId="46999" xr:uid="{512A19FC-5966-4EDB-A3E4-95E5866562EB}"/>
    <cellStyle name="40% - Énfasis4 22 2 2 3" xfId="22092" xr:uid="{65230D6E-BFF6-4E14-AB23-EA76AAA582AE}"/>
    <cellStyle name="40% - Énfasis4 22 2 2 3 2" xfId="47001" xr:uid="{8CA150CC-0179-4341-B2E6-55857B053FD4}"/>
    <cellStyle name="40% - Énfasis4 22 2 2 4" xfId="46998" xr:uid="{52D3A657-F125-499B-A810-C3037B751292}"/>
    <cellStyle name="40% - Énfasis4 22 2 3" xfId="10656" xr:uid="{CBCBB797-F069-4359-BEBD-9E72DADE4C8A}"/>
    <cellStyle name="40% - Énfasis4 22 2 3 2" xfId="26069" xr:uid="{91199676-A2F8-44D8-945E-D6907ECE8563}"/>
    <cellStyle name="40% - Énfasis4 22 2 3 2 2" xfId="47003" xr:uid="{0A33A68F-4DC6-420C-9B53-ED2071E8CDC0}"/>
    <cellStyle name="40% - Énfasis4 22 2 3 3" xfId="47002" xr:uid="{E1348769-6946-4E1C-AB25-3E88F3BB38E7}"/>
    <cellStyle name="40% - Énfasis4 22 2 4" xfId="18364" xr:uid="{CF7B4BC3-D194-4DCF-B27D-2C0293A1E38E}"/>
    <cellStyle name="40% - Énfasis4 22 2 4 2" xfId="47004" xr:uid="{742D6DC7-2272-4AE5-A02E-0818CA04D6C6}"/>
    <cellStyle name="40% - Énfasis4 22 2 5" xfId="46997" xr:uid="{9F7077E2-967B-45F4-BF46-C4A2D7172CAF}"/>
    <cellStyle name="40% - Énfasis4 22 3" xfId="5216" xr:uid="{02CBE4BE-9E9C-434C-B73E-F5F2BA2F67DE}"/>
    <cellStyle name="40% - Énfasis4 22 3 2" xfId="12924" xr:uid="{036E136A-4968-4A25-8C31-725B4BDF8454}"/>
    <cellStyle name="40% - Énfasis4 22 3 2 2" xfId="28336" xr:uid="{178D1519-8412-4C51-9B49-D112C3127408}"/>
    <cellStyle name="40% - Énfasis4 22 3 2 2 2" xfId="47007" xr:uid="{52B142D6-AAC7-4C72-ACED-0461B5A07121}"/>
    <cellStyle name="40% - Énfasis4 22 3 2 3" xfId="47006" xr:uid="{728F55FF-6FFA-4837-BB0D-13D635ECC690}"/>
    <cellStyle name="40% - Énfasis4 22 3 3" xfId="20631" xr:uid="{89C1E999-E7E6-4CAC-96A6-B85D6345B7DF}"/>
    <cellStyle name="40% - Énfasis4 22 3 3 2" xfId="47008" xr:uid="{40E672FB-3747-427D-8789-276762961807}"/>
    <cellStyle name="40% - Énfasis4 22 3 4" xfId="47005" xr:uid="{849DBEA5-9CC0-4CBE-A648-9B7C2341406B}"/>
    <cellStyle name="40% - Énfasis4 22 4" xfId="9197" xr:uid="{8B9A1613-BA4A-4F8A-A1CD-B4DCAE6DB3D7}"/>
    <cellStyle name="40% - Énfasis4 22 4 2" xfId="24610" xr:uid="{848330CC-74B2-4827-A570-BC90A791DA60}"/>
    <cellStyle name="40% - Énfasis4 22 4 2 2" xfId="47010" xr:uid="{51C2DD9D-B2F6-4166-9D0F-B71D1A1F50FB}"/>
    <cellStyle name="40% - Énfasis4 22 4 3" xfId="47009" xr:uid="{18C6C413-66EE-4A44-9979-46CA9A8A0459}"/>
    <cellStyle name="40% - Énfasis4 22 5" xfId="16905" xr:uid="{02B97758-F8DA-4C0A-9373-B606FFEE173F}"/>
    <cellStyle name="40% - Énfasis4 22 5 2" xfId="47011" xr:uid="{5AD690AB-D29F-4906-806E-80FB04FA4EAE}"/>
    <cellStyle name="40% - Énfasis4 22 6" xfId="46996" xr:uid="{62CEECEE-B7E2-4BAA-87E5-5572C0A7027A}"/>
    <cellStyle name="40% - Énfasis4 23" xfId="1500" xr:uid="{7798E28F-97A0-477D-ABA0-3E4914129E17}"/>
    <cellStyle name="40% - Énfasis4 23 2" xfId="2965" xr:uid="{0DBD9A01-3DC7-4CC3-B007-B5233DE1FFE2}"/>
    <cellStyle name="40% - Énfasis4 23 2 2" xfId="6697" xr:uid="{04E66753-002A-4BB1-946C-3B27A1B44E2A}"/>
    <cellStyle name="40% - Énfasis4 23 2 2 2" xfId="14405" xr:uid="{55624E90-F717-412A-ADE5-3EB5EB22BD97}"/>
    <cellStyle name="40% - Énfasis4 23 2 2 2 2" xfId="29817" xr:uid="{8DF6E3C9-1FEF-4821-B368-95F28A0DEE21}"/>
    <cellStyle name="40% - Énfasis4 23 2 2 2 2 2" xfId="47016" xr:uid="{9D3AE777-1BD0-4D04-A8CF-2786632956FF}"/>
    <cellStyle name="40% - Énfasis4 23 2 2 2 3" xfId="47015" xr:uid="{EA592CB0-542A-4F2C-BB98-E06483B5BFB6}"/>
    <cellStyle name="40% - Énfasis4 23 2 2 3" xfId="22112" xr:uid="{8B9BD787-F2F5-4CD3-9F32-553DE7384A51}"/>
    <cellStyle name="40% - Énfasis4 23 2 2 3 2" xfId="47017" xr:uid="{633DCA18-E063-44CB-A2E6-E9E4DB560B09}"/>
    <cellStyle name="40% - Énfasis4 23 2 2 4" xfId="47014" xr:uid="{6C31351F-E3DC-4D27-A3CE-6ECF7BB641A5}"/>
    <cellStyle name="40% - Énfasis4 23 2 3" xfId="10676" xr:uid="{566B819D-4469-4E2C-8BDB-8F329AD46C39}"/>
    <cellStyle name="40% - Énfasis4 23 2 3 2" xfId="26089" xr:uid="{43F5229A-6FB9-4D4B-80BF-56453F4E1D73}"/>
    <cellStyle name="40% - Énfasis4 23 2 3 2 2" xfId="47019" xr:uid="{F1546E00-7BC0-4F97-80B0-53B9FDD22124}"/>
    <cellStyle name="40% - Énfasis4 23 2 3 3" xfId="47018" xr:uid="{1C9B74A0-B544-4AF6-96C6-74B0AB30F9E0}"/>
    <cellStyle name="40% - Énfasis4 23 2 4" xfId="18384" xr:uid="{F9A36029-31DB-4CA5-B52D-2B686FA80E41}"/>
    <cellStyle name="40% - Énfasis4 23 2 4 2" xfId="47020" xr:uid="{24B2EB4B-9A01-4877-8145-27B10BBDBE95}"/>
    <cellStyle name="40% - Énfasis4 23 2 5" xfId="47013" xr:uid="{AACB063E-CD0B-49A0-9D5E-DEDDC571FB3D}"/>
    <cellStyle name="40% - Énfasis4 23 3" xfId="5236" xr:uid="{193802D3-C3A3-41E8-A9AC-33AE9CD19D7D}"/>
    <cellStyle name="40% - Énfasis4 23 3 2" xfId="12944" xr:uid="{FFDAFD9F-3C07-4146-A88C-926C857E8BDB}"/>
    <cellStyle name="40% - Énfasis4 23 3 2 2" xfId="28356" xr:uid="{2FE94D0B-95E4-45CF-B4EE-24C1305DE9FA}"/>
    <cellStyle name="40% - Énfasis4 23 3 2 2 2" xfId="47023" xr:uid="{60CECA14-B95A-4039-867A-B17A1B85D9D9}"/>
    <cellStyle name="40% - Énfasis4 23 3 2 3" xfId="47022" xr:uid="{5C823D0D-ABDF-48BF-9FFF-42841BBCD3C3}"/>
    <cellStyle name="40% - Énfasis4 23 3 3" xfId="20651" xr:uid="{3A073745-23DC-4982-AACC-0F5ABB64AFDA}"/>
    <cellStyle name="40% - Énfasis4 23 3 3 2" xfId="47024" xr:uid="{C0283DB2-B0C1-4C1F-BC08-036B60FD19F0}"/>
    <cellStyle name="40% - Énfasis4 23 3 4" xfId="47021" xr:uid="{04C8A4E0-D4EC-409C-BEC1-735DF8537534}"/>
    <cellStyle name="40% - Énfasis4 23 4" xfId="9217" xr:uid="{BB08FF7A-02BD-4CC4-879F-2549FAAFD290}"/>
    <cellStyle name="40% - Énfasis4 23 4 2" xfId="24630" xr:uid="{2B8CA528-FD8D-4CAE-B3AD-1B1A3BA417F3}"/>
    <cellStyle name="40% - Énfasis4 23 4 2 2" xfId="47026" xr:uid="{FB9B9ED3-DBB0-4CE9-A456-AB5FBB0A7283}"/>
    <cellStyle name="40% - Énfasis4 23 4 3" xfId="47025" xr:uid="{281CFC41-38F2-4C61-89B8-DAE808EBF89A}"/>
    <cellStyle name="40% - Énfasis4 23 5" xfId="16925" xr:uid="{58F875B0-6196-49A3-A3D2-C75F616383D7}"/>
    <cellStyle name="40% - Énfasis4 23 5 2" xfId="47027" xr:uid="{9CE2C499-78EC-4B3E-9D07-35FF08BADD08}"/>
    <cellStyle name="40% - Énfasis4 23 6" xfId="47012" xr:uid="{B3543402-1FD4-41C4-B008-002CC9150E75}"/>
    <cellStyle name="40% - Énfasis4 24" xfId="1520" xr:uid="{519381D1-E7F2-48A5-8672-E8B6EF917DAD}"/>
    <cellStyle name="40% - Énfasis4 24 2" xfId="2985" xr:uid="{BA767310-5A4C-4CE6-8191-DEDEA95511E2}"/>
    <cellStyle name="40% - Énfasis4 24 2 2" xfId="6717" xr:uid="{307CF2F2-A5D2-4D53-82CC-A6993B1952DC}"/>
    <cellStyle name="40% - Énfasis4 24 2 2 2" xfId="14425" xr:uid="{47F4B678-BC57-4C66-BC3B-D9BCB9302D08}"/>
    <cellStyle name="40% - Énfasis4 24 2 2 2 2" xfId="29837" xr:uid="{F474F3CC-9525-48D7-93F1-5A06B0C19A6C}"/>
    <cellStyle name="40% - Énfasis4 24 2 2 2 2 2" xfId="47032" xr:uid="{02F1534B-A77A-46B5-BFCB-F1A460723CE4}"/>
    <cellStyle name="40% - Énfasis4 24 2 2 2 3" xfId="47031" xr:uid="{BC85E732-BB90-41A8-811B-B801E76B445E}"/>
    <cellStyle name="40% - Énfasis4 24 2 2 3" xfId="22132" xr:uid="{856C75FC-3C52-4B2A-99D8-446034103C84}"/>
    <cellStyle name="40% - Énfasis4 24 2 2 3 2" xfId="47033" xr:uid="{AC8D9C92-C6AE-4EEC-8520-4F634938BAA6}"/>
    <cellStyle name="40% - Énfasis4 24 2 2 4" xfId="47030" xr:uid="{0EE5F4CF-627C-4F39-BC42-A0213AD14C53}"/>
    <cellStyle name="40% - Énfasis4 24 2 3" xfId="10696" xr:uid="{80CA5211-4C8D-4E44-A56F-6808307DD45C}"/>
    <cellStyle name="40% - Énfasis4 24 2 3 2" xfId="26109" xr:uid="{85028EE0-92A2-45CD-8CF8-020FC82684C7}"/>
    <cellStyle name="40% - Énfasis4 24 2 3 2 2" xfId="47035" xr:uid="{CF0DF395-3256-4EEF-84EB-5A89D583BF4A}"/>
    <cellStyle name="40% - Énfasis4 24 2 3 3" xfId="47034" xr:uid="{3CF99103-3A1B-44CD-A78D-02FD4828D714}"/>
    <cellStyle name="40% - Énfasis4 24 2 4" xfId="18404" xr:uid="{B97290CE-7AC7-40D2-89FA-EC494363AD2A}"/>
    <cellStyle name="40% - Énfasis4 24 2 4 2" xfId="47036" xr:uid="{AC67B28F-CB69-4041-BBB9-40E75D9B86EC}"/>
    <cellStyle name="40% - Énfasis4 24 2 5" xfId="47029" xr:uid="{8B3B0C6F-D8BA-4CC9-BFD3-95BCE74B1F12}"/>
    <cellStyle name="40% - Énfasis4 24 3" xfId="5256" xr:uid="{F918AD63-6B6D-4640-89F9-30C079AE23DB}"/>
    <cellStyle name="40% - Énfasis4 24 3 2" xfId="12964" xr:uid="{FF062682-73BE-4E67-AF6C-BF04F2C57D10}"/>
    <cellStyle name="40% - Énfasis4 24 3 2 2" xfId="28376" xr:uid="{BF2B3DB4-EA59-4BB6-9013-202B9A4E9505}"/>
    <cellStyle name="40% - Énfasis4 24 3 2 2 2" xfId="47039" xr:uid="{0AAD3996-FCEE-4843-BBFA-D88F9E322839}"/>
    <cellStyle name="40% - Énfasis4 24 3 2 3" xfId="47038" xr:uid="{6C866F71-7257-44FB-B2B2-A59FA6A30529}"/>
    <cellStyle name="40% - Énfasis4 24 3 3" xfId="20671" xr:uid="{00C53A65-D337-4299-BB5E-BE89EC61D91E}"/>
    <cellStyle name="40% - Énfasis4 24 3 3 2" xfId="47040" xr:uid="{1A7EA65C-C2CC-492F-9BBC-670D9B221095}"/>
    <cellStyle name="40% - Énfasis4 24 3 4" xfId="47037" xr:uid="{5ABFA2B4-DE9F-4A15-B722-A7FAF7C7CD32}"/>
    <cellStyle name="40% - Énfasis4 24 4" xfId="9237" xr:uid="{2168D712-239E-4DC9-A106-BB6897B3A983}"/>
    <cellStyle name="40% - Énfasis4 24 4 2" xfId="24650" xr:uid="{6236F189-99FB-40F0-91A3-A8388396075F}"/>
    <cellStyle name="40% - Énfasis4 24 4 2 2" xfId="47042" xr:uid="{F814DAF5-3885-4497-A917-CACFC2CCB9B3}"/>
    <cellStyle name="40% - Énfasis4 24 4 3" xfId="47041" xr:uid="{E11CFE5E-D837-472F-AADE-A907064CEDE4}"/>
    <cellStyle name="40% - Énfasis4 24 5" xfId="16945" xr:uid="{E20C48BD-C05B-42E2-B294-7E843898F25D}"/>
    <cellStyle name="40% - Énfasis4 24 5 2" xfId="47043" xr:uid="{890FA424-DAA3-4C34-8009-AC8060B63363}"/>
    <cellStyle name="40% - Énfasis4 24 6" xfId="47028" xr:uid="{0C354AB4-5F3F-47CC-9473-6463E4C30930}"/>
    <cellStyle name="40% - Énfasis4 25" xfId="1540" xr:uid="{9A86E498-6DFB-4903-8FED-FB992C288909}"/>
    <cellStyle name="40% - Énfasis4 25 2" xfId="3005" xr:uid="{8B8F2184-1A5D-4A18-B807-175FC659532A}"/>
    <cellStyle name="40% - Énfasis4 25 2 2" xfId="6737" xr:uid="{76EDCC67-13F0-4D4B-AEB8-9B403F564808}"/>
    <cellStyle name="40% - Énfasis4 25 2 2 2" xfId="14445" xr:uid="{8C24FE41-9721-4B68-817C-8B64C2EBD8AE}"/>
    <cellStyle name="40% - Énfasis4 25 2 2 2 2" xfId="29857" xr:uid="{B939AA5F-D3B4-4D63-AF29-FD49FE9D2408}"/>
    <cellStyle name="40% - Énfasis4 25 2 2 2 2 2" xfId="47048" xr:uid="{C5BD83CA-5286-4CBD-9141-825400A69D70}"/>
    <cellStyle name="40% - Énfasis4 25 2 2 2 3" xfId="47047" xr:uid="{61E3E016-9FDD-42D8-90E1-5C7B1784DBB4}"/>
    <cellStyle name="40% - Énfasis4 25 2 2 3" xfId="22152" xr:uid="{10A63533-3B0B-406F-9C51-3437AB86A495}"/>
    <cellStyle name="40% - Énfasis4 25 2 2 3 2" xfId="47049" xr:uid="{2763D329-2BE7-47E1-991F-EB681083D67E}"/>
    <cellStyle name="40% - Énfasis4 25 2 2 4" xfId="47046" xr:uid="{2E946DCF-7166-4D58-9D02-151DD9DDA854}"/>
    <cellStyle name="40% - Énfasis4 25 2 3" xfId="10716" xr:uid="{3A6A94FC-7DEA-489D-8CE4-D010776CAD61}"/>
    <cellStyle name="40% - Énfasis4 25 2 3 2" xfId="26129" xr:uid="{D71FFDEF-6E5B-435F-863C-DC65B658E26D}"/>
    <cellStyle name="40% - Énfasis4 25 2 3 2 2" xfId="47051" xr:uid="{D4B20522-1857-4746-9A6A-EEBF5D1B9F04}"/>
    <cellStyle name="40% - Énfasis4 25 2 3 3" xfId="47050" xr:uid="{08F047F2-9BDE-4011-A5A2-4C70EC332A1D}"/>
    <cellStyle name="40% - Énfasis4 25 2 4" xfId="18424" xr:uid="{A50C685E-841B-4EE2-B4A8-D2CF3445C99E}"/>
    <cellStyle name="40% - Énfasis4 25 2 4 2" xfId="47052" xr:uid="{C08F1DAA-6A48-418C-A548-080B355EB9FD}"/>
    <cellStyle name="40% - Énfasis4 25 2 5" xfId="47045" xr:uid="{1AAD3E77-4EEB-48A9-9B6C-4B001F4D532D}"/>
    <cellStyle name="40% - Énfasis4 25 3" xfId="5276" xr:uid="{5B079A29-59D7-49F5-AF59-0B5FEC2098DA}"/>
    <cellStyle name="40% - Énfasis4 25 3 2" xfId="12984" xr:uid="{71CC3346-976A-4CE1-A2C7-38FEA13137F3}"/>
    <cellStyle name="40% - Énfasis4 25 3 2 2" xfId="28396" xr:uid="{C10B6B38-E529-4778-BA70-E2373340227B}"/>
    <cellStyle name="40% - Énfasis4 25 3 2 2 2" xfId="47055" xr:uid="{05033F51-FBDC-4BAF-AAE2-0141BD4526E1}"/>
    <cellStyle name="40% - Énfasis4 25 3 2 3" xfId="47054" xr:uid="{074B75E4-A226-474A-B0E9-3D2889BAF502}"/>
    <cellStyle name="40% - Énfasis4 25 3 3" xfId="20691" xr:uid="{22723C6D-2B41-4699-AE01-14E4AA8BA022}"/>
    <cellStyle name="40% - Énfasis4 25 3 3 2" xfId="47056" xr:uid="{4CCBF364-180D-4B33-8342-4CA0F494D687}"/>
    <cellStyle name="40% - Énfasis4 25 3 4" xfId="47053" xr:uid="{371E23D7-1063-47E2-85E7-1DF9A6CF3F02}"/>
    <cellStyle name="40% - Énfasis4 25 4" xfId="9257" xr:uid="{5FC5CEE0-A73B-4E4A-A3E8-9209B6EBC82F}"/>
    <cellStyle name="40% - Énfasis4 25 4 2" xfId="24670" xr:uid="{FAAC05B8-9BEE-4070-81A7-F2A3C94795CE}"/>
    <cellStyle name="40% - Énfasis4 25 4 2 2" xfId="47058" xr:uid="{1D64C6B1-D1EC-4852-A32C-052A4A360C1C}"/>
    <cellStyle name="40% - Énfasis4 25 4 3" xfId="47057" xr:uid="{B7C414EA-13CC-4B81-AC73-E90026EE36B1}"/>
    <cellStyle name="40% - Énfasis4 25 5" xfId="16965" xr:uid="{B8253B45-1A2A-4DD5-A9AE-F9256B06D16E}"/>
    <cellStyle name="40% - Énfasis4 25 5 2" xfId="47059" xr:uid="{04E61B7E-9CCE-473D-B7C0-EF2D2D8AB99A}"/>
    <cellStyle name="40% - Énfasis4 25 6" xfId="47044" xr:uid="{8A35180D-0F6F-4316-A768-5E2BE475DC8A}"/>
    <cellStyle name="40% - Énfasis4 26" xfId="1560" xr:uid="{B1F12884-1886-4D52-966B-1802023639A9}"/>
    <cellStyle name="40% - Énfasis4 26 2" xfId="3025" xr:uid="{21E3F31C-A564-479B-86C0-74AC0B6541CE}"/>
    <cellStyle name="40% - Énfasis4 26 2 2" xfId="6757" xr:uid="{77C60688-2B32-4963-89B7-FE26404E25DD}"/>
    <cellStyle name="40% - Énfasis4 26 2 2 2" xfId="14465" xr:uid="{4B13110E-63E2-4483-8EB8-C22D314E6933}"/>
    <cellStyle name="40% - Énfasis4 26 2 2 2 2" xfId="29877" xr:uid="{971B55B3-47C4-4741-9016-05CD3C48A37A}"/>
    <cellStyle name="40% - Énfasis4 26 2 2 2 2 2" xfId="47064" xr:uid="{55E043A1-5CCB-4D5D-BF29-652B2E15C9C9}"/>
    <cellStyle name="40% - Énfasis4 26 2 2 2 3" xfId="47063" xr:uid="{ECF737AF-002E-4B0C-AEC4-F2F696FF0255}"/>
    <cellStyle name="40% - Énfasis4 26 2 2 3" xfId="22172" xr:uid="{CF1D72C8-FA73-4D3A-94ED-DD27AFD8C48A}"/>
    <cellStyle name="40% - Énfasis4 26 2 2 3 2" xfId="47065" xr:uid="{6DC907E0-764A-4871-982D-F0B39D588078}"/>
    <cellStyle name="40% - Énfasis4 26 2 2 4" xfId="47062" xr:uid="{C9E34776-F85C-4D37-B10C-2B29C41C0A5C}"/>
    <cellStyle name="40% - Énfasis4 26 2 3" xfId="10736" xr:uid="{B00F0242-B456-48C6-9C3A-79800A7AFE79}"/>
    <cellStyle name="40% - Énfasis4 26 2 3 2" xfId="26149" xr:uid="{E970D091-732F-4BE8-8FD7-85447A98E683}"/>
    <cellStyle name="40% - Énfasis4 26 2 3 2 2" xfId="47067" xr:uid="{6D33F83F-2011-44F7-AD9E-222DAAEF7906}"/>
    <cellStyle name="40% - Énfasis4 26 2 3 3" xfId="47066" xr:uid="{107AA8B8-8E5F-49AB-B13A-ED39A89778D6}"/>
    <cellStyle name="40% - Énfasis4 26 2 4" xfId="18444" xr:uid="{89FCD9FB-8B27-49FD-A01B-ABBAC28F166A}"/>
    <cellStyle name="40% - Énfasis4 26 2 4 2" xfId="47068" xr:uid="{B1CB0058-9428-487C-9F52-33F79E3E2E9D}"/>
    <cellStyle name="40% - Énfasis4 26 2 5" xfId="47061" xr:uid="{D94986F5-F934-4FD6-A765-3E6C863E5C86}"/>
    <cellStyle name="40% - Énfasis4 26 3" xfId="5296" xr:uid="{1B291437-6162-4885-AE71-65A9462882CC}"/>
    <cellStyle name="40% - Énfasis4 26 3 2" xfId="13004" xr:uid="{5579A6D3-97F3-4122-BCD2-12303C712F25}"/>
    <cellStyle name="40% - Énfasis4 26 3 2 2" xfId="28416" xr:uid="{98A2185C-5EE3-4934-B7DC-3C1F27A44A4A}"/>
    <cellStyle name="40% - Énfasis4 26 3 2 2 2" xfId="47071" xr:uid="{4BC7F352-76DD-4E90-BEDC-39095CDB577B}"/>
    <cellStyle name="40% - Énfasis4 26 3 2 3" xfId="47070" xr:uid="{D4351912-329E-4517-BD90-B1C422EECE30}"/>
    <cellStyle name="40% - Énfasis4 26 3 3" xfId="20711" xr:uid="{09895D0A-84C5-42A3-B48C-679C02EF637B}"/>
    <cellStyle name="40% - Énfasis4 26 3 3 2" xfId="47072" xr:uid="{BE3577D0-C876-405C-9EC7-0BF089F7D67D}"/>
    <cellStyle name="40% - Énfasis4 26 3 4" xfId="47069" xr:uid="{5506A90D-A131-49C4-BE3E-5B03B61B33FA}"/>
    <cellStyle name="40% - Énfasis4 26 4" xfId="9277" xr:uid="{FC359096-6645-4B9F-A9CC-BEEB68BD7D4D}"/>
    <cellStyle name="40% - Énfasis4 26 4 2" xfId="24690" xr:uid="{20364F9D-4124-4479-84A5-03A4FB29BBD8}"/>
    <cellStyle name="40% - Énfasis4 26 4 2 2" xfId="47074" xr:uid="{893F386B-3013-488D-A2A7-7D61BCF27942}"/>
    <cellStyle name="40% - Énfasis4 26 4 3" xfId="47073" xr:uid="{0EFA8270-C4E5-4F73-B444-F2F2B0F3E6EF}"/>
    <cellStyle name="40% - Énfasis4 26 5" xfId="16985" xr:uid="{CC27E50E-BCE5-40AE-82AE-5531F2BB3FBB}"/>
    <cellStyle name="40% - Énfasis4 26 5 2" xfId="47075" xr:uid="{0B690039-7622-4DCF-AB8E-AACC34C8A577}"/>
    <cellStyle name="40% - Énfasis4 26 6" xfId="47060" xr:uid="{274014E4-8495-4DE0-B032-FD38533537FA}"/>
    <cellStyle name="40% - Énfasis4 27" xfId="1580" xr:uid="{558A5E15-F82A-4C29-B482-1AFB7CC518A6}"/>
    <cellStyle name="40% - Énfasis4 27 2" xfId="3045" xr:uid="{5CD8CECA-3680-4347-BF31-ADF2BABCFFD8}"/>
    <cellStyle name="40% - Énfasis4 27 2 2" xfId="6777" xr:uid="{A1F6EDA3-9F33-4AC0-B3B0-AA057C9C26DA}"/>
    <cellStyle name="40% - Énfasis4 27 2 2 2" xfId="14485" xr:uid="{D97CA4F6-F6EB-4129-9B90-502276CEFECD}"/>
    <cellStyle name="40% - Énfasis4 27 2 2 2 2" xfId="29897" xr:uid="{F45EC948-019B-4D69-89A8-79CCB53BEB5C}"/>
    <cellStyle name="40% - Énfasis4 27 2 2 2 2 2" xfId="47080" xr:uid="{99BA4D42-2BB8-423A-9F36-7D4376841812}"/>
    <cellStyle name="40% - Énfasis4 27 2 2 2 3" xfId="47079" xr:uid="{8E8550A9-16EA-4554-B42D-E8BCD30E65D9}"/>
    <cellStyle name="40% - Énfasis4 27 2 2 3" xfId="22192" xr:uid="{9CC1B878-7C1D-47F9-9E51-388F51BB56DB}"/>
    <cellStyle name="40% - Énfasis4 27 2 2 3 2" xfId="47081" xr:uid="{7A72A775-7485-4426-8C40-E848D1AC0147}"/>
    <cellStyle name="40% - Énfasis4 27 2 2 4" xfId="47078" xr:uid="{6EC5BC4C-5EEA-4FC8-B859-5F54C77DD48E}"/>
    <cellStyle name="40% - Énfasis4 27 2 3" xfId="10756" xr:uid="{227F9BEC-D768-4F76-BEE3-3092CCF7DBE2}"/>
    <cellStyle name="40% - Énfasis4 27 2 3 2" xfId="26169" xr:uid="{E5B49629-8F4F-4646-9A26-7E365C050922}"/>
    <cellStyle name="40% - Énfasis4 27 2 3 2 2" xfId="47083" xr:uid="{05102E1E-E50B-4836-9BD1-91ADD10FB97D}"/>
    <cellStyle name="40% - Énfasis4 27 2 3 3" xfId="47082" xr:uid="{C32075F2-A6C1-4467-BD3B-6D1D4CD3ADDD}"/>
    <cellStyle name="40% - Énfasis4 27 2 4" xfId="18464" xr:uid="{EE3C07F9-78A5-4AFA-856B-078817185F96}"/>
    <cellStyle name="40% - Énfasis4 27 2 4 2" xfId="47084" xr:uid="{C663E818-E2D8-4C82-B850-4A4588BC4AF2}"/>
    <cellStyle name="40% - Énfasis4 27 2 5" xfId="47077" xr:uid="{38E6D3B3-7BE8-4D80-BB60-F7E9F010E974}"/>
    <cellStyle name="40% - Énfasis4 27 3" xfId="5316" xr:uid="{968DA67A-D521-4332-96FC-916A3C1EF6CA}"/>
    <cellStyle name="40% - Énfasis4 27 3 2" xfId="13024" xr:uid="{58812696-7A2C-4C99-BD90-1525B96DE27A}"/>
    <cellStyle name="40% - Énfasis4 27 3 2 2" xfId="28436" xr:uid="{79302F5D-1588-4C4C-B6D7-2D768F6C2092}"/>
    <cellStyle name="40% - Énfasis4 27 3 2 2 2" xfId="47087" xr:uid="{C1B8EB7E-C62A-4448-AF2C-77EA20F575C6}"/>
    <cellStyle name="40% - Énfasis4 27 3 2 3" xfId="47086" xr:uid="{608C04D6-DC74-4C15-895F-A8709FCD76DD}"/>
    <cellStyle name="40% - Énfasis4 27 3 3" xfId="20731" xr:uid="{4B9BEE4F-11E3-48A0-80CE-515797048845}"/>
    <cellStyle name="40% - Énfasis4 27 3 3 2" xfId="47088" xr:uid="{FFCEE234-513D-4536-B3AC-739340F41F8E}"/>
    <cellStyle name="40% - Énfasis4 27 3 4" xfId="47085" xr:uid="{3F4230C5-BF34-499A-8224-2CC163E237A7}"/>
    <cellStyle name="40% - Énfasis4 27 4" xfId="9297" xr:uid="{F32B16F8-BDDD-45C3-BAE4-0B25018A3C23}"/>
    <cellStyle name="40% - Énfasis4 27 4 2" xfId="24710" xr:uid="{CDAC20E9-C3C0-4EA6-9C48-409A4EE6F459}"/>
    <cellStyle name="40% - Énfasis4 27 4 2 2" xfId="47090" xr:uid="{DA1B0055-14D6-45AB-8541-7BF976F89B1C}"/>
    <cellStyle name="40% - Énfasis4 27 4 3" xfId="47089" xr:uid="{DB4D31A6-6D06-4435-8F6D-2EB0F8FF9AD1}"/>
    <cellStyle name="40% - Énfasis4 27 5" xfId="17005" xr:uid="{ED6C4059-FC2D-427F-949F-B5C02B54B60B}"/>
    <cellStyle name="40% - Énfasis4 27 5 2" xfId="47091" xr:uid="{331C9FE6-380B-4864-972C-913B416CCD0B}"/>
    <cellStyle name="40% - Énfasis4 27 6" xfId="47076" xr:uid="{AE49EBEB-5368-4ADF-8662-FB7A91B47DE7}"/>
    <cellStyle name="40% - Énfasis4 28" xfId="1601" xr:uid="{99FA3A88-2721-451E-B289-01A174999064}"/>
    <cellStyle name="40% - Énfasis4 28 2" xfId="3066" xr:uid="{1B4B39DB-BF16-4917-A2A3-57CEFE61AAFA}"/>
    <cellStyle name="40% - Énfasis4 28 2 2" xfId="6798" xr:uid="{599E5A27-E536-4044-965E-6D086937738E}"/>
    <cellStyle name="40% - Énfasis4 28 2 2 2" xfId="14506" xr:uid="{72AAACE4-D53C-450C-8383-986CB1F86B68}"/>
    <cellStyle name="40% - Énfasis4 28 2 2 2 2" xfId="29918" xr:uid="{251DBCF5-F02E-41EB-91F3-2E1B1BA0CA51}"/>
    <cellStyle name="40% - Énfasis4 28 2 2 2 2 2" xfId="47096" xr:uid="{F3590EDC-B813-4FEF-B361-0560B2A73AF9}"/>
    <cellStyle name="40% - Énfasis4 28 2 2 2 3" xfId="47095" xr:uid="{F649B8FF-3640-4102-824A-26530184C61F}"/>
    <cellStyle name="40% - Énfasis4 28 2 2 3" xfId="22213" xr:uid="{BEFB9DD3-6E39-4934-AB4C-3CD62783D58A}"/>
    <cellStyle name="40% - Énfasis4 28 2 2 3 2" xfId="47097" xr:uid="{694BC7F2-72AA-4D7C-9C63-68FB653D547B}"/>
    <cellStyle name="40% - Énfasis4 28 2 2 4" xfId="47094" xr:uid="{A6F99E61-BD9C-43CC-A1B6-17D89A32C4DB}"/>
    <cellStyle name="40% - Énfasis4 28 2 3" xfId="10777" xr:uid="{C7DDD08B-0D1E-4B52-B7B3-138160D2C173}"/>
    <cellStyle name="40% - Énfasis4 28 2 3 2" xfId="26190" xr:uid="{E47EEE25-246E-48F4-AD1B-99186C233A2B}"/>
    <cellStyle name="40% - Énfasis4 28 2 3 2 2" xfId="47099" xr:uid="{E6B35C46-DB16-4F0C-8396-A88ED930C29B}"/>
    <cellStyle name="40% - Énfasis4 28 2 3 3" xfId="47098" xr:uid="{476623BD-93CE-45A6-8F2A-DE67AF08AF47}"/>
    <cellStyle name="40% - Énfasis4 28 2 4" xfId="18485" xr:uid="{528B84B4-CA00-4006-967A-4CAE49019BF1}"/>
    <cellStyle name="40% - Énfasis4 28 2 4 2" xfId="47100" xr:uid="{FCAE96F7-2489-47D3-8603-E2E57D36448E}"/>
    <cellStyle name="40% - Énfasis4 28 2 5" xfId="47093" xr:uid="{88DA2990-E04E-42DB-AD81-956C061AAED3}"/>
    <cellStyle name="40% - Énfasis4 28 3" xfId="5337" xr:uid="{A257A68B-BB57-4196-87C4-0CFDDAFD74DD}"/>
    <cellStyle name="40% - Énfasis4 28 3 2" xfId="13045" xr:uid="{513A1F05-189B-4D86-8CC6-371604161FBC}"/>
    <cellStyle name="40% - Énfasis4 28 3 2 2" xfId="28457" xr:uid="{5B87FC8E-061F-4290-B23D-554357CCF1BB}"/>
    <cellStyle name="40% - Énfasis4 28 3 2 2 2" xfId="47103" xr:uid="{480AB4AC-6971-4ED6-929E-1D3B44954C95}"/>
    <cellStyle name="40% - Énfasis4 28 3 2 3" xfId="47102" xr:uid="{E39DBACA-647D-4C3F-992A-79749025C871}"/>
    <cellStyle name="40% - Énfasis4 28 3 3" xfId="20752" xr:uid="{C45E9991-BE2B-4C2F-9FC8-D4E53A904956}"/>
    <cellStyle name="40% - Énfasis4 28 3 3 2" xfId="47104" xr:uid="{71AC53A4-AB72-4B43-9697-7254B1329EE9}"/>
    <cellStyle name="40% - Énfasis4 28 3 4" xfId="47101" xr:uid="{C4A2462C-C08B-4523-B435-B0A7692AE150}"/>
    <cellStyle name="40% - Énfasis4 28 4" xfId="9318" xr:uid="{4B61E0B7-1235-4A6B-8C55-9FF3B83D7AEC}"/>
    <cellStyle name="40% - Énfasis4 28 4 2" xfId="24731" xr:uid="{FDC85FFE-1F9F-4A64-9C65-6718251B5A51}"/>
    <cellStyle name="40% - Énfasis4 28 4 2 2" xfId="47106" xr:uid="{5E124BA8-AB57-4E57-AAB6-64748489A215}"/>
    <cellStyle name="40% - Énfasis4 28 4 3" xfId="47105" xr:uid="{B3778748-60A2-45F0-8B52-BA322A3AEAEF}"/>
    <cellStyle name="40% - Énfasis4 28 5" xfId="17026" xr:uid="{996DBC58-79D7-4BB1-B607-5FCE98A03C02}"/>
    <cellStyle name="40% - Énfasis4 28 5 2" xfId="47107" xr:uid="{FD52F12B-3B25-4638-8E02-25F1EA34BCF3}"/>
    <cellStyle name="40% - Énfasis4 28 6" xfId="47092" xr:uid="{BB3BB571-99F2-4E45-AA63-6C9EAB9CC43D}"/>
    <cellStyle name="40% - Énfasis4 29" xfId="3086" xr:uid="{DB5F673A-4AAF-4DA7-A8D2-A116B0834452}"/>
    <cellStyle name="40% - Énfasis4 29 2" xfId="6818" xr:uid="{21478C94-69F5-4790-A2E2-5A48D8DCA6D3}"/>
    <cellStyle name="40% - Énfasis4 29 2 2" xfId="14526" xr:uid="{692C2D7D-89A3-4758-8146-5CDD022A8B13}"/>
    <cellStyle name="40% - Énfasis4 29 2 2 2" xfId="29938" xr:uid="{507F5FA0-089C-4684-80B2-48BA71C18559}"/>
    <cellStyle name="40% - Énfasis4 29 2 2 2 2" xfId="47111" xr:uid="{3EF40149-39B1-4E73-9633-E50457FC0BFF}"/>
    <cellStyle name="40% - Énfasis4 29 2 2 3" xfId="47110" xr:uid="{F7734780-3FF2-4846-9344-29179EC7B712}"/>
    <cellStyle name="40% - Énfasis4 29 2 3" xfId="22233" xr:uid="{7A88144A-C790-4B28-AC6F-74B2302956D6}"/>
    <cellStyle name="40% - Énfasis4 29 2 3 2" xfId="47112" xr:uid="{2561948F-7CDF-4347-9527-3DF2DD9CF7EB}"/>
    <cellStyle name="40% - Énfasis4 29 2 4" xfId="47109" xr:uid="{2291CAE1-11F9-4847-A890-BC2A6DAAFBD6}"/>
    <cellStyle name="40% - Énfasis4 29 3" xfId="10797" xr:uid="{374C50DE-9CAF-4AAA-AA6E-DF2708DACD14}"/>
    <cellStyle name="40% - Énfasis4 29 3 2" xfId="26210" xr:uid="{C1A8457A-4BCA-45C5-B0BE-8328F1843CFE}"/>
    <cellStyle name="40% - Énfasis4 29 3 2 2" xfId="47114" xr:uid="{EF7FEF86-62F5-45C1-AFD5-01E43D1B1150}"/>
    <cellStyle name="40% - Énfasis4 29 3 3" xfId="47113" xr:uid="{B83BC1AD-423D-406A-A6D0-8E9A162F5F8A}"/>
    <cellStyle name="40% - Énfasis4 29 4" xfId="18505" xr:uid="{2F951050-79C2-454B-943A-5D96A32A49B4}"/>
    <cellStyle name="40% - Énfasis4 29 4 2" xfId="47115" xr:uid="{218A0623-A247-4902-B34F-BDC5EEBDA4C9}"/>
    <cellStyle name="40% - Énfasis4 29 5" xfId="47108" xr:uid="{CE8D599A-00E6-4B9B-83CE-68057A4885D1}"/>
    <cellStyle name="40% - Énfasis4 3" xfId="248" xr:uid="{9CC5673D-90F8-4800-93D7-254A3F870CB8}"/>
    <cellStyle name="40% - Énfasis4 3 2" xfId="450" xr:uid="{F6491556-2EE3-41F0-91FE-B3F9A67F5A02}"/>
    <cellStyle name="40% - Énfasis4 3 2 2" xfId="1111" xr:uid="{D36BE1FB-766C-4165-BE07-9A6AEB640373}"/>
    <cellStyle name="40% - Énfasis4 3 2 2 2" xfId="2579" xr:uid="{2A78B8DF-C1CF-42B7-844B-A9758C098E36}"/>
    <cellStyle name="40% - Énfasis4 3 2 2 2 2" xfId="6311" xr:uid="{300619BD-4B29-42D5-90E6-221268A0972F}"/>
    <cellStyle name="40% - Énfasis4 3 2 2 2 2 2" xfId="14019" xr:uid="{43EB4191-0DB0-451D-A7A7-1F9809C48944}"/>
    <cellStyle name="40% - Énfasis4 3 2 2 2 2 2 2" xfId="29431" xr:uid="{36CBAF86-C67A-4707-AE02-3DA42BF2B9D8}"/>
    <cellStyle name="40% - Énfasis4 3 2 2 2 2 2 2 2" xfId="47122" xr:uid="{CD9E84FA-25D6-4225-8301-B79C47D94F47}"/>
    <cellStyle name="40% - Énfasis4 3 2 2 2 2 2 3" xfId="47121" xr:uid="{CC1285AC-DAE7-4D19-A551-AE41113983AF}"/>
    <cellStyle name="40% - Énfasis4 3 2 2 2 2 3" xfId="21726" xr:uid="{B54DE6F9-2FAB-4142-B891-E151AD4C4008}"/>
    <cellStyle name="40% - Énfasis4 3 2 2 2 2 3 2" xfId="47123" xr:uid="{682CCA67-B330-4AA2-A130-97928E064899}"/>
    <cellStyle name="40% - Énfasis4 3 2 2 2 2 4" xfId="47120" xr:uid="{6B3AA0F6-03EE-47BE-AEA3-01E64F2773A6}"/>
    <cellStyle name="40% - Énfasis4 3 2 2 2 3" xfId="10290" xr:uid="{D571D236-8E16-4693-9354-6631E516D84C}"/>
    <cellStyle name="40% - Énfasis4 3 2 2 2 3 2" xfId="25703" xr:uid="{88CE26F5-3E5F-4A1F-97D4-2B1CE3DDD4D5}"/>
    <cellStyle name="40% - Énfasis4 3 2 2 2 3 2 2" xfId="47125" xr:uid="{43CCE74A-CC25-4E47-AC98-D39FC8691D80}"/>
    <cellStyle name="40% - Énfasis4 3 2 2 2 3 3" xfId="47124" xr:uid="{B99DD488-5360-4806-9FB3-5B5B3D2E2397}"/>
    <cellStyle name="40% - Énfasis4 3 2 2 2 4" xfId="17998" xr:uid="{587F8940-1507-426C-BE83-8C8E93B9583F}"/>
    <cellStyle name="40% - Énfasis4 3 2 2 2 4 2" xfId="47126" xr:uid="{8BE1A6C1-9320-4DA1-AC72-78A9C0AF090E}"/>
    <cellStyle name="40% - Énfasis4 3 2 2 2 5" xfId="47119" xr:uid="{72586408-B37D-4163-BB88-700A5C7225F7}"/>
    <cellStyle name="40% - Énfasis4 3 2 2 3" xfId="4848" xr:uid="{C9EE4FD5-92C8-4CC8-89D6-67D92D362BA2}"/>
    <cellStyle name="40% - Énfasis4 3 2 2 3 2" xfId="12556" xr:uid="{822BFFF5-8EA7-40E6-80D8-C75DF5D04457}"/>
    <cellStyle name="40% - Énfasis4 3 2 2 3 2 2" xfId="27968" xr:uid="{ADDF9F37-E961-4D60-A0CE-FD3843431F7E}"/>
    <cellStyle name="40% - Énfasis4 3 2 2 3 2 2 2" xfId="47129" xr:uid="{17A97589-FA37-4D16-8C3F-0ECB7F38685C}"/>
    <cellStyle name="40% - Énfasis4 3 2 2 3 2 3" xfId="47128" xr:uid="{6357CDF6-1998-4CCD-AC70-9FCE287B1C95}"/>
    <cellStyle name="40% - Énfasis4 3 2 2 3 3" xfId="20263" xr:uid="{0DAFA49F-8BEA-490B-8F2D-2F37EDD2D90D}"/>
    <cellStyle name="40% - Énfasis4 3 2 2 3 3 2" xfId="47130" xr:uid="{730E6F67-31C5-4B28-99E1-E520C4731587}"/>
    <cellStyle name="40% - Énfasis4 3 2 2 3 4" xfId="47127" xr:uid="{02EC55CB-19E4-4625-9B72-9B81F6C69CD7}"/>
    <cellStyle name="40% - Énfasis4 3 2 2 4" xfId="8831" xr:uid="{55843B57-D983-4B61-83DC-3F56F4E404CF}"/>
    <cellStyle name="40% - Énfasis4 3 2 2 4 2" xfId="24244" xr:uid="{0DAE499A-1A1A-44BB-BB3F-DEC88AB7232C}"/>
    <cellStyle name="40% - Énfasis4 3 2 2 4 2 2" xfId="47132" xr:uid="{2B3EC8A5-6C05-4E7C-9424-4492A955F4D8}"/>
    <cellStyle name="40% - Énfasis4 3 2 2 4 3" xfId="47131" xr:uid="{84A59EF0-D3C8-4936-8715-F2370B5AA6B8}"/>
    <cellStyle name="40% - Énfasis4 3 2 2 5" xfId="16539" xr:uid="{03FFF994-181D-450E-857C-5F0DFA779265}"/>
    <cellStyle name="40% - Énfasis4 3 2 2 5 2" xfId="47133" xr:uid="{375BE1D8-6F92-4095-9D9A-9848FA662A58}"/>
    <cellStyle name="40% - Énfasis4 3 2 2 6" xfId="47118" xr:uid="{370C9BEE-EA00-4CD6-B887-C56B82C3BEBA}"/>
    <cellStyle name="40% - Énfasis4 3 2 3" xfId="1941" xr:uid="{529A7D1E-0E86-457A-B790-1BDFD8592D12}"/>
    <cellStyle name="40% - Énfasis4 3 2 3 2" xfId="5673" xr:uid="{B9A000E0-9A70-435B-88F7-B54522D5DF32}"/>
    <cellStyle name="40% - Énfasis4 3 2 3 2 2" xfId="13381" xr:uid="{259E0853-F932-40FA-840F-D1A967807D7F}"/>
    <cellStyle name="40% - Énfasis4 3 2 3 2 2 2" xfId="28793" xr:uid="{38EC9C5C-29AC-4C60-AB9F-4D1B75B5145F}"/>
    <cellStyle name="40% - Énfasis4 3 2 3 2 2 2 2" xfId="47137" xr:uid="{085F1C50-32DA-4FC2-9951-98B64E0712C5}"/>
    <cellStyle name="40% - Énfasis4 3 2 3 2 2 3" xfId="47136" xr:uid="{15A60F2A-ECB7-4722-A78C-6F000BB345F5}"/>
    <cellStyle name="40% - Énfasis4 3 2 3 2 3" xfId="21088" xr:uid="{D71834B6-7B12-4892-B5AD-3DA53E6B82C8}"/>
    <cellStyle name="40% - Énfasis4 3 2 3 2 3 2" xfId="47138" xr:uid="{10646CA2-11D6-4789-B319-1A972ECC8C0F}"/>
    <cellStyle name="40% - Énfasis4 3 2 3 2 4" xfId="47135" xr:uid="{E6EA8293-5C98-4970-A6B9-A592AE6D7377}"/>
    <cellStyle name="40% - Énfasis4 3 2 3 3" xfId="9652" xr:uid="{38FCB59A-F287-4025-BDC4-7E55DA53D9AD}"/>
    <cellStyle name="40% - Énfasis4 3 2 3 3 2" xfId="25065" xr:uid="{FE22D151-0AB8-4431-98B8-BA74C61BDD8A}"/>
    <cellStyle name="40% - Énfasis4 3 2 3 3 2 2" xfId="47140" xr:uid="{F7345CE0-963C-49DD-8A3E-77D8E42A246F}"/>
    <cellStyle name="40% - Énfasis4 3 2 3 3 3" xfId="47139" xr:uid="{DC44E326-D5CB-43DD-B67D-8AE6AF103EF2}"/>
    <cellStyle name="40% - Énfasis4 3 2 3 4" xfId="17360" xr:uid="{FE2A682C-27DB-4975-9ABC-15B9F66A808F}"/>
    <cellStyle name="40% - Énfasis4 3 2 3 4 2" xfId="47141" xr:uid="{AC0FBC09-61D1-436E-8C05-D7B60B6C2598}"/>
    <cellStyle name="40% - Énfasis4 3 2 3 5" xfId="47134" xr:uid="{27C8E512-8381-45C6-9615-B072A017BF9B}"/>
    <cellStyle name="40% - Énfasis4 3 2 4" xfId="4196" xr:uid="{C5959E60-C492-4440-B5BD-8D2DA3801258}"/>
    <cellStyle name="40% - Énfasis4 3 2 4 2" xfId="11904" xr:uid="{79D21B0D-2848-460B-AE3F-71C1AEBCF63B}"/>
    <cellStyle name="40% - Énfasis4 3 2 4 2 2" xfId="27316" xr:uid="{1B12C3BB-A075-48EC-9EEC-B0DE2AC90D6C}"/>
    <cellStyle name="40% - Énfasis4 3 2 4 2 2 2" xfId="47144" xr:uid="{A4E1C563-D3CC-4391-96B1-1EB628982B04}"/>
    <cellStyle name="40% - Énfasis4 3 2 4 2 3" xfId="47143" xr:uid="{BBF87251-CCE6-4E3A-981B-BCD34604C735}"/>
    <cellStyle name="40% - Énfasis4 3 2 4 3" xfId="19611" xr:uid="{621932F1-92CB-4114-B8B8-E83B13211328}"/>
    <cellStyle name="40% - Énfasis4 3 2 4 3 2" xfId="47145" xr:uid="{9154EFD1-3EE5-4D99-9DEE-B7B21521BDAC}"/>
    <cellStyle name="40% - Énfasis4 3 2 4 4" xfId="47142" xr:uid="{013A6B2D-732A-4F31-AA03-461F6AC785DF}"/>
    <cellStyle name="40% - Énfasis4 3 2 5" xfId="8193" xr:uid="{7D8D3326-1A8B-4EC0-A39C-18B0BDFD52BB}"/>
    <cellStyle name="40% - Énfasis4 3 2 5 2" xfId="23606" xr:uid="{1FE1C9D2-A33F-4E13-9340-6236F04AB483}"/>
    <cellStyle name="40% - Énfasis4 3 2 5 2 2" xfId="47147" xr:uid="{601177F8-4CDA-40EE-90A5-2CD612319949}"/>
    <cellStyle name="40% - Énfasis4 3 2 5 3" xfId="47146" xr:uid="{59EFE587-66C4-4A47-B3EB-825D4AEBB9FD}"/>
    <cellStyle name="40% - Énfasis4 3 2 6" xfId="15901" xr:uid="{6663481D-84B0-428C-8093-8C7E4F0E7785}"/>
    <cellStyle name="40% - Énfasis4 3 2 6 2" xfId="47148" xr:uid="{F1CF4731-0D0D-481A-A247-3B8038EB2B6D}"/>
    <cellStyle name="40% - Énfasis4 3 2 7" xfId="47117" xr:uid="{38860AE6-2E19-403B-BD99-CEB4CD67E72A}"/>
    <cellStyle name="40% - Énfasis4 3 3" xfId="911" xr:uid="{899072B3-17D7-4A89-9003-9A95BE784877}"/>
    <cellStyle name="40% - Énfasis4 3 3 2" xfId="2381" xr:uid="{4F32710F-1A05-41CE-BF96-93C91FACB741}"/>
    <cellStyle name="40% - Énfasis4 3 3 2 2" xfId="6113" xr:uid="{683EBC67-40D3-471C-8301-276C87765809}"/>
    <cellStyle name="40% - Énfasis4 3 3 2 2 2" xfId="13821" xr:uid="{9AD3ABCF-1A58-4389-954C-519271B614CF}"/>
    <cellStyle name="40% - Énfasis4 3 3 2 2 2 2" xfId="29233" xr:uid="{1DDB2FC3-EBB1-4232-91B8-52C6878DDA8A}"/>
    <cellStyle name="40% - Énfasis4 3 3 2 2 2 2 2" xfId="47153" xr:uid="{CE53D05E-B092-4A9B-835D-6310A189FAE3}"/>
    <cellStyle name="40% - Énfasis4 3 3 2 2 2 3" xfId="47152" xr:uid="{F2FCA29B-2E07-460E-8DC6-3DD83AECA30F}"/>
    <cellStyle name="40% - Énfasis4 3 3 2 2 3" xfId="21528" xr:uid="{F05E562C-9925-4EC2-8768-FE45741B044D}"/>
    <cellStyle name="40% - Énfasis4 3 3 2 2 3 2" xfId="47154" xr:uid="{5DD96459-022B-4385-A361-25F8ACB37819}"/>
    <cellStyle name="40% - Énfasis4 3 3 2 2 4" xfId="47151" xr:uid="{EC2C4BC3-26EA-41F1-965C-7E16CCCD6E4D}"/>
    <cellStyle name="40% - Énfasis4 3 3 2 3" xfId="10092" xr:uid="{5E95FA07-1312-437C-8FFE-285EC819292B}"/>
    <cellStyle name="40% - Énfasis4 3 3 2 3 2" xfId="25505" xr:uid="{D52DBE96-65D1-4B04-A5BB-5CD1C33CD790}"/>
    <cellStyle name="40% - Énfasis4 3 3 2 3 2 2" xfId="47156" xr:uid="{0896DC5C-8F13-4CD0-8645-C75955891349}"/>
    <cellStyle name="40% - Énfasis4 3 3 2 3 3" xfId="47155" xr:uid="{7DB39CEC-5E70-426D-9607-91F4F1A1D25A}"/>
    <cellStyle name="40% - Énfasis4 3 3 2 4" xfId="17800" xr:uid="{78A572D4-1E07-4B34-9857-4238B5FC82C4}"/>
    <cellStyle name="40% - Énfasis4 3 3 2 4 2" xfId="47157" xr:uid="{C9223AF2-D9C1-4903-ACEE-B135C0F1E9CE}"/>
    <cellStyle name="40% - Énfasis4 3 3 2 5" xfId="47150" xr:uid="{13676F54-C759-4B18-91F0-28507088E6EA}"/>
    <cellStyle name="40% - Énfasis4 3 3 3" xfId="4648" xr:uid="{EBAB524F-10FC-485F-83AC-670484A5CB29}"/>
    <cellStyle name="40% - Énfasis4 3 3 3 2" xfId="12356" xr:uid="{78D1C1FB-FAFC-4B70-A0C8-0A5EFF0E9BDF}"/>
    <cellStyle name="40% - Énfasis4 3 3 3 2 2" xfId="27768" xr:uid="{033361A1-2143-416A-BC31-384AE6C55DF7}"/>
    <cellStyle name="40% - Énfasis4 3 3 3 2 2 2" xfId="47160" xr:uid="{D75EB84E-252F-43AB-8163-7681F55459E9}"/>
    <cellStyle name="40% - Énfasis4 3 3 3 2 3" xfId="47159" xr:uid="{D54A9250-A49E-491B-9B8D-0F56D73C2383}"/>
    <cellStyle name="40% - Énfasis4 3 3 3 3" xfId="20063" xr:uid="{FE012415-94A2-4F5B-8147-5C5CECD6D7E6}"/>
    <cellStyle name="40% - Énfasis4 3 3 3 3 2" xfId="47161" xr:uid="{21836845-8B73-405B-B99B-24C4033103C3}"/>
    <cellStyle name="40% - Énfasis4 3 3 3 4" xfId="47158" xr:uid="{72B6C6C2-2A3C-4F9E-B7B4-4B288676EE15}"/>
    <cellStyle name="40% - Énfasis4 3 3 4" xfId="8633" xr:uid="{8F1874E8-9C12-4460-9012-B8B8AF0A5534}"/>
    <cellStyle name="40% - Énfasis4 3 3 4 2" xfId="24046" xr:uid="{D35CDB9F-1EBD-41CD-9E4B-70E85AAB71F0}"/>
    <cellStyle name="40% - Énfasis4 3 3 4 2 2" xfId="47163" xr:uid="{6836B8EE-021D-4CBD-888D-B37C2F61FA3D}"/>
    <cellStyle name="40% - Énfasis4 3 3 4 3" xfId="47162" xr:uid="{9D5AB359-657C-4D9B-969E-155FC6C93BF6}"/>
    <cellStyle name="40% - Énfasis4 3 3 5" xfId="16341" xr:uid="{E72C6831-3FEB-41C1-BB76-E85630B31AA8}"/>
    <cellStyle name="40% - Énfasis4 3 3 5 2" xfId="47164" xr:uid="{FFADCE3E-CC66-4A4C-A5D9-00BFB54A5C74}"/>
    <cellStyle name="40% - Énfasis4 3 3 6" xfId="47149" xr:uid="{EC63D854-28FB-43F2-9EA9-FC91C3BE6036}"/>
    <cellStyle name="40% - Énfasis4 3 4" xfId="1743" xr:uid="{E00C0E28-D9B3-4E8A-92B8-E55DB875FE69}"/>
    <cellStyle name="40% - Énfasis4 3 4 2" xfId="5475" xr:uid="{EC93BE0A-AC57-44DC-B245-99213A16D931}"/>
    <cellStyle name="40% - Énfasis4 3 4 2 2" xfId="13183" xr:uid="{F27C3005-7C89-4AFB-9DC8-6F8C97F004A5}"/>
    <cellStyle name="40% - Énfasis4 3 4 2 2 2" xfId="28595" xr:uid="{8DE5EDEA-73C1-4983-B74F-EE8488C8D6D2}"/>
    <cellStyle name="40% - Énfasis4 3 4 2 2 2 2" xfId="47168" xr:uid="{2994EC7F-4FB5-4B61-8975-4FAE626875D1}"/>
    <cellStyle name="40% - Énfasis4 3 4 2 2 3" xfId="47167" xr:uid="{D48D4F15-517A-461B-B2C1-E2D6536FBBEE}"/>
    <cellStyle name="40% - Énfasis4 3 4 2 3" xfId="20890" xr:uid="{D158A19E-A215-4912-A4FC-E462316832B6}"/>
    <cellStyle name="40% - Énfasis4 3 4 2 3 2" xfId="47169" xr:uid="{51412927-2E0D-4553-B90A-71BBE8804244}"/>
    <cellStyle name="40% - Énfasis4 3 4 2 4" xfId="47166" xr:uid="{71C5B731-C9F6-49A0-9953-B7EE72EEC235}"/>
    <cellStyle name="40% - Énfasis4 3 4 3" xfId="9454" xr:uid="{196E4FB4-3F9F-4A35-A624-7E48235EAB1E}"/>
    <cellStyle name="40% - Énfasis4 3 4 3 2" xfId="24867" xr:uid="{57664125-6236-48CC-8666-0AAED1AD69D5}"/>
    <cellStyle name="40% - Énfasis4 3 4 3 2 2" xfId="47171" xr:uid="{61D655CA-10E8-47A0-AC56-F243058EB11B}"/>
    <cellStyle name="40% - Énfasis4 3 4 3 3" xfId="47170" xr:uid="{0B2F69F0-0D39-4DEA-A34D-BF842063910A}"/>
    <cellStyle name="40% - Énfasis4 3 4 4" xfId="17162" xr:uid="{8F23A95A-F3BA-4AC2-8D27-CF188719E39E}"/>
    <cellStyle name="40% - Énfasis4 3 4 4 2" xfId="47172" xr:uid="{018E9099-BF7B-4FC2-9CDE-C349E3B9831B}"/>
    <cellStyle name="40% - Énfasis4 3 4 5" xfId="47165" xr:uid="{A309AD0A-3198-4552-B8C4-4A2AEDEC0CBA}"/>
    <cellStyle name="40% - Énfasis4 3 5" xfId="3996" xr:uid="{F3311AE7-E1C5-4D08-9C80-E961AD964C7C}"/>
    <cellStyle name="40% - Énfasis4 3 5 2" xfId="11704" xr:uid="{495A9877-B0EC-40B3-AAC6-B8CEF2F1482F}"/>
    <cellStyle name="40% - Énfasis4 3 5 2 2" xfId="27116" xr:uid="{847B2F98-6303-41A8-8E88-A12FA52095FA}"/>
    <cellStyle name="40% - Énfasis4 3 5 2 2 2" xfId="47175" xr:uid="{A489A94B-5C2B-4928-A632-036060A9711C}"/>
    <cellStyle name="40% - Énfasis4 3 5 2 3" xfId="47174" xr:uid="{69675EBF-CDDA-4DDC-BBA2-15FD28C8F334}"/>
    <cellStyle name="40% - Énfasis4 3 5 3" xfId="19411" xr:uid="{4B3DC518-EE4F-45F4-ABFF-3CF77FEAAE48}"/>
    <cellStyle name="40% - Énfasis4 3 5 3 2" xfId="47176" xr:uid="{DB62379A-61FF-4EF6-B670-5E58B7D86BB3}"/>
    <cellStyle name="40% - Énfasis4 3 5 4" xfId="47173" xr:uid="{01BD370F-A807-48F9-9ECD-D148A61FD56F}"/>
    <cellStyle name="40% - Énfasis4 3 6" xfId="7995" xr:uid="{9E603FB1-3B77-4347-9257-3515004EB686}"/>
    <cellStyle name="40% - Énfasis4 3 6 2" xfId="23408" xr:uid="{F8858BC0-843E-435D-A2F1-3AD55BB7801E}"/>
    <cellStyle name="40% - Énfasis4 3 6 2 2" xfId="47178" xr:uid="{1DB0E009-89B1-4252-B3A2-22103C9B9583}"/>
    <cellStyle name="40% - Énfasis4 3 6 3" xfId="47177" xr:uid="{B3DBD63B-27E0-4863-9E5F-37C16962777A}"/>
    <cellStyle name="40% - Énfasis4 3 7" xfId="15703" xr:uid="{AD404E3C-A6D8-4347-9BCC-B9508929002C}"/>
    <cellStyle name="40% - Énfasis4 3 7 2" xfId="47179" xr:uid="{1127C5E5-C0B5-4F62-9CD7-09D68958291D}"/>
    <cellStyle name="40% - Énfasis4 3 8" xfId="47116" xr:uid="{DFC66E73-79B2-4860-9F4A-0B27442A3AC7}"/>
    <cellStyle name="40% - Énfasis4 30" xfId="3106" xr:uid="{BF6ACAA2-B438-4D51-A0CF-047773E765A4}"/>
    <cellStyle name="40% - Énfasis4 30 2" xfId="6838" xr:uid="{BBCB8590-EAA2-4E6B-910A-D7393BFB3D97}"/>
    <cellStyle name="40% - Énfasis4 30 2 2" xfId="14546" xr:uid="{1EE6AA93-9039-4E98-8E12-FFA30D5E221E}"/>
    <cellStyle name="40% - Énfasis4 30 2 2 2" xfId="29958" xr:uid="{202A9AD8-884D-45D6-9CCA-1BBBA7A13DD6}"/>
    <cellStyle name="40% - Énfasis4 30 2 2 2 2" xfId="47183" xr:uid="{0AA728A0-172C-4415-87C3-F49F67E279FB}"/>
    <cellStyle name="40% - Énfasis4 30 2 2 3" xfId="47182" xr:uid="{841B8BA8-681D-4DC2-A5EB-048A54451C10}"/>
    <cellStyle name="40% - Énfasis4 30 2 3" xfId="22253" xr:uid="{A535052F-8A0C-40C1-8435-937B1AC010CA}"/>
    <cellStyle name="40% - Énfasis4 30 2 3 2" xfId="47184" xr:uid="{CA2E95AA-2212-448F-AAF4-0147E9B8E463}"/>
    <cellStyle name="40% - Énfasis4 30 2 4" xfId="47181" xr:uid="{0BF76237-CD00-4B66-AD41-C2FD1227F138}"/>
    <cellStyle name="40% - Énfasis4 30 3" xfId="10817" xr:uid="{0FA29769-2166-44B6-B0FF-C6ED1DD273B6}"/>
    <cellStyle name="40% - Énfasis4 30 3 2" xfId="26230" xr:uid="{0E78021B-B83E-47A0-855B-2EB9E10EBCCE}"/>
    <cellStyle name="40% - Énfasis4 30 3 2 2" xfId="47186" xr:uid="{FBC03277-BD39-427F-AFE0-C78B74903597}"/>
    <cellStyle name="40% - Énfasis4 30 3 3" xfId="47185" xr:uid="{21FA7085-0AFF-4DFF-9BAB-06F6363922D6}"/>
    <cellStyle name="40% - Énfasis4 30 4" xfId="18525" xr:uid="{4B912A7B-C0E9-44DD-8E11-431E2849D8D9}"/>
    <cellStyle name="40% - Énfasis4 30 4 2" xfId="47187" xr:uid="{F6395CA3-DC2E-4DBB-B567-3CBBD7D24EBD}"/>
    <cellStyle name="40% - Énfasis4 30 5" xfId="47180" xr:uid="{7DE15F84-6A2E-492A-877E-D73196A09A57}"/>
    <cellStyle name="40% - Énfasis4 31" xfId="3126" xr:uid="{FCAFB833-3F1F-4537-84D6-FB36BF4CC4C1}"/>
    <cellStyle name="40% - Énfasis4 31 2" xfId="6858" xr:uid="{9AA52BD2-5CAF-4302-A573-5013FB24A11B}"/>
    <cellStyle name="40% - Énfasis4 31 2 2" xfId="14566" xr:uid="{A429B31A-D9BB-443F-BFB5-C2EE2900C91C}"/>
    <cellStyle name="40% - Énfasis4 31 2 2 2" xfId="29978" xr:uid="{86AFFEA5-3555-433C-84BC-E2221D78BCA2}"/>
    <cellStyle name="40% - Énfasis4 31 2 2 2 2" xfId="47191" xr:uid="{41C5F7DC-3E41-413B-B33B-10106ED35574}"/>
    <cellStyle name="40% - Énfasis4 31 2 2 3" xfId="47190" xr:uid="{34277F22-4601-495C-B86D-8E1A9CB1F0FD}"/>
    <cellStyle name="40% - Énfasis4 31 2 3" xfId="22273" xr:uid="{D42CAFF2-5528-4DEF-BF5A-C18C73944AB8}"/>
    <cellStyle name="40% - Énfasis4 31 2 3 2" xfId="47192" xr:uid="{B1ECAA61-52C0-46F3-96D9-7733F17104E6}"/>
    <cellStyle name="40% - Énfasis4 31 2 4" xfId="47189" xr:uid="{6FE8C3E0-CD34-4197-8170-B78A38A60BCE}"/>
    <cellStyle name="40% - Énfasis4 31 3" xfId="10837" xr:uid="{C9BB2C74-A5CD-4E9C-907F-46F2E120FB7E}"/>
    <cellStyle name="40% - Énfasis4 31 3 2" xfId="26250" xr:uid="{22BDB321-050D-4C21-8EF2-F4D62A025B4F}"/>
    <cellStyle name="40% - Énfasis4 31 3 2 2" xfId="47194" xr:uid="{AB2EE741-3946-412E-843E-8AC694E3E22B}"/>
    <cellStyle name="40% - Énfasis4 31 3 3" xfId="47193" xr:uid="{7EC06C7A-498E-4A79-A95D-F7D6F88F1AF7}"/>
    <cellStyle name="40% - Énfasis4 31 4" xfId="18545" xr:uid="{2FED90BC-13B8-4C32-891B-9A4D841875B2}"/>
    <cellStyle name="40% - Énfasis4 31 4 2" xfId="47195" xr:uid="{9B5A1146-F9A7-4529-9D34-B03B2D6E4496}"/>
    <cellStyle name="40% - Énfasis4 31 5" xfId="47188" xr:uid="{D40ABD6E-6D08-40D2-B794-1DCAA477ECF3}"/>
    <cellStyle name="40% - Énfasis4 32" xfId="3146" xr:uid="{B298B999-6629-40D4-B53A-E18CD767973F}"/>
    <cellStyle name="40% - Énfasis4 32 2" xfId="6878" xr:uid="{4BBDBBAD-17E8-4D37-84C5-830805F22B02}"/>
    <cellStyle name="40% - Énfasis4 32 2 2" xfId="14586" xr:uid="{E470E00F-8A31-407F-816F-6763150E2246}"/>
    <cellStyle name="40% - Énfasis4 32 2 2 2" xfId="29998" xr:uid="{881E0438-A932-42D6-9C5C-24D10666D049}"/>
    <cellStyle name="40% - Énfasis4 32 2 2 2 2" xfId="47199" xr:uid="{0C0A5F88-D70A-42B7-8D3F-20135155E93C}"/>
    <cellStyle name="40% - Énfasis4 32 2 2 3" xfId="47198" xr:uid="{F4801150-7BEF-4E11-A217-07EE1657AEE1}"/>
    <cellStyle name="40% - Énfasis4 32 2 3" xfId="22293" xr:uid="{78B425FD-7490-47BC-9D84-84CE5D6AFD8C}"/>
    <cellStyle name="40% - Énfasis4 32 2 3 2" xfId="47200" xr:uid="{41A6422E-DC9A-4DBD-BC5A-2B8B2E2BFF6F}"/>
    <cellStyle name="40% - Énfasis4 32 2 4" xfId="47197" xr:uid="{2D96E76D-3D11-48C4-90E9-18CF863D158B}"/>
    <cellStyle name="40% - Énfasis4 32 3" xfId="10857" xr:uid="{E62BF15A-A558-4062-92FA-9B4318B32A07}"/>
    <cellStyle name="40% - Énfasis4 32 3 2" xfId="26270" xr:uid="{5AE1AAA6-0FBB-4A71-8FFE-22C98457CCBA}"/>
    <cellStyle name="40% - Énfasis4 32 3 2 2" xfId="47202" xr:uid="{E024686B-EB33-4B87-85AE-BB57CE78CEBF}"/>
    <cellStyle name="40% - Énfasis4 32 3 3" xfId="47201" xr:uid="{0DF8A31D-DBBF-4156-93C9-4F2C4D81D875}"/>
    <cellStyle name="40% - Énfasis4 32 4" xfId="18565" xr:uid="{7A7D7530-A286-4898-9AA3-DA5561D8EFCA}"/>
    <cellStyle name="40% - Énfasis4 32 4 2" xfId="47203" xr:uid="{E68ECB03-A2FA-4CF4-B451-58BFF0E3650A}"/>
    <cellStyle name="40% - Énfasis4 32 5" xfId="47196" xr:uid="{AAC6291F-029B-4355-B31D-28A00E3A9B94}"/>
    <cellStyle name="40% - Énfasis4 33" xfId="3166" xr:uid="{1B700E6E-075F-4717-8CFF-CBF829B35288}"/>
    <cellStyle name="40% - Énfasis4 33 2" xfId="6898" xr:uid="{D01B1396-B31E-4360-BD7F-CF4943C96E0E}"/>
    <cellStyle name="40% - Énfasis4 33 2 2" xfId="14606" xr:uid="{BA34B1C0-5516-4111-9137-1679EF6B001F}"/>
    <cellStyle name="40% - Énfasis4 33 2 2 2" xfId="30018" xr:uid="{3A6BFFD6-58C4-4EBC-9812-79F03A02E441}"/>
    <cellStyle name="40% - Énfasis4 33 2 2 2 2" xfId="47207" xr:uid="{7B93B389-A6ED-48F1-9A12-61552C542471}"/>
    <cellStyle name="40% - Énfasis4 33 2 2 3" xfId="47206" xr:uid="{AE0093CC-80AE-4D5E-886A-70C7FACBD486}"/>
    <cellStyle name="40% - Énfasis4 33 2 3" xfId="22313" xr:uid="{94C15798-923C-477C-84A0-9AFDF22A7183}"/>
    <cellStyle name="40% - Énfasis4 33 2 3 2" xfId="47208" xr:uid="{64B14456-095E-4F71-B706-C3FCDE255D99}"/>
    <cellStyle name="40% - Énfasis4 33 2 4" xfId="47205" xr:uid="{84B74A77-3309-47DC-A610-A7B44859D6DF}"/>
    <cellStyle name="40% - Énfasis4 33 3" xfId="10877" xr:uid="{42789793-C8E8-4BD3-9596-A3BFC97BC9D3}"/>
    <cellStyle name="40% - Énfasis4 33 3 2" xfId="26290" xr:uid="{7FEC41B8-D839-410E-8FE6-B49A000C56AB}"/>
    <cellStyle name="40% - Énfasis4 33 3 2 2" xfId="47210" xr:uid="{311946B2-F0FD-43B3-896B-54B9DAD48AD9}"/>
    <cellStyle name="40% - Énfasis4 33 3 3" xfId="47209" xr:uid="{9B7B47BB-18AF-4B4F-B32D-B37814405E79}"/>
    <cellStyle name="40% - Énfasis4 33 4" xfId="18585" xr:uid="{613656CE-C146-437E-9AB2-A325FB2D2D02}"/>
    <cellStyle name="40% - Énfasis4 33 4 2" xfId="47211" xr:uid="{EBF769FE-26F1-42DA-B15B-80CB3C681B40}"/>
    <cellStyle name="40% - Énfasis4 33 5" xfId="47204" xr:uid="{75A1C7AC-948F-4FD2-9550-9D7FC7965D76}"/>
    <cellStyle name="40% - Énfasis4 34" xfId="3186" xr:uid="{FC830C51-21E4-4253-9F06-E7047B9BD4E7}"/>
    <cellStyle name="40% - Énfasis4 34 2" xfId="6918" xr:uid="{89FDA3D2-9CA5-4A11-9123-31F3031A7C67}"/>
    <cellStyle name="40% - Énfasis4 34 2 2" xfId="14626" xr:uid="{83A31546-C7B4-4E81-BF0B-5502489926D5}"/>
    <cellStyle name="40% - Énfasis4 34 2 2 2" xfId="30038" xr:uid="{D064504F-11B0-44DB-80E2-03A64CED8BF5}"/>
    <cellStyle name="40% - Énfasis4 34 2 2 2 2" xfId="47215" xr:uid="{B87BCBBA-F83B-4115-A222-2E64F020BFB6}"/>
    <cellStyle name="40% - Énfasis4 34 2 2 3" xfId="47214" xr:uid="{D2B5CA2D-A537-4C29-B4E0-7A10712050F5}"/>
    <cellStyle name="40% - Énfasis4 34 2 3" xfId="22333" xr:uid="{97B9559A-DFE5-4E0F-9060-2435F18EED15}"/>
    <cellStyle name="40% - Énfasis4 34 2 3 2" xfId="47216" xr:uid="{09B0FA49-AAFE-40AC-8210-4355299AE169}"/>
    <cellStyle name="40% - Énfasis4 34 2 4" xfId="47213" xr:uid="{160A8B4A-00FD-419F-A7D9-9CCACC1CEA8D}"/>
    <cellStyle name="40% - Énfasis4 34 3" xfId="10897" xr:uid="{770F9BE9-9E6C-4FC8-98BE-4DA5963DB544}"/>
    <cellStyle name="40% - Énfasis4 34 3 2" xfId="26310" xr:uid="{68113175-5EC7-488A-A162-DF7E1E6133F5}"/>
    <cellStyle name="40% - Énfasis4 34 3 2 2" xfId="47218" xr:uid="{4F1C8D65-A1F8-465D-A6BD-F1D740164824}"/>
    <cellStyle name="40% - Énfasis4 34 3 3" xfId="47217" xr:uid="{FDA28FDC-0235-416C-9C13-1C99CBC527FD}"/>
    <cellStyle name="40% - Énfasis4 34 4" xfId="18605" xr:uid="{511E5FA0-325D-4882-B79B-396D611BBE23}"/>
    <cellStyle name="40% - Énfasis4 34 4 2" xfId="47219" xr:uid="{7BD72E7A-387C-4F24-A29A-A6C53B762393}"/>
    <cellStyle name="40% - Énfasis4 34 5" xfId="47212" xr:uid="{24216361-B60B-4505-A16C-7757E23E3824}"/>
    <cellStyle name="40% - Énfasis4 35" xfId="3206" xr:uid="{499E31CB-FC57-4766-B621-73CA387D551D}"/>
    <cellStyle name="40% - Énfasis4 35 2" xfId="6938" xr:uid="{13915404-70E4-4E97-BF81-D50FE3BE3369}"/>
    <cellStyle name="40% - Énfasis4 35 2 2" xfId="14646" xr:uid="{E65ED09B-F729-42F7-BD15-A6D5B8EF1CEB}"/>
    <cellStyle name="40% - Énfasis4 35 2 2 2" xfId="30058" xr:uid="{57FCF3CB-CAC5-4C0E-BACF-80404390A65A}"/>
    <cellStyle name="40% - Énfasis4 35 2 2 2 2" xfId="47223" xr:uid="{0EEEEA8A-5D37-47EC-B64E-1D5F75A45CF2}"/>
    <cellStyle name="40% - Énfasis4 35 2 2 3" xfId="47222" xr:uid="{62CEEA69-F1CB-4B2F-92A3-4BC2E3DC9C55}"/>
    <cellStyle name="40% - Énfasis4 35 2 3" xfId="22353" xr:uid="{90EA6A94-BA4D-4DB1-B9B5-182EDBFDC355}"/>
    <cellStyle name="40% - Énfasis4 35 2 3 2" xfId="47224" xr:uid="{16A8DEF1-29B9-4AB1-8011-7DFE013EF083}"/>
    <cellStyle name="40% - Énfasis4 35 2 4" xfId="47221" xr:uid="{1E94394F-09D4-4AE2-AC56-BA14D91F6E9C}"/>
    <cellStyle name="40% - Énfasis4 35 3" xfId="10917" xr:uid="{376602A1-F792-447A-A890-ECE174A26869}"/>
    <cellStyle name="40% - Énfasis4 35 3 2" xfId="26330" xr:uid="{7BB2DC64-6E6B-46DB-A828-C272849B9341}"/>
    <cellStyle name="40% - Énfasis4 35 3 2 2" xfId="47226" xr:uid="{89EAA9A9-8ABD-4051-B496-D74E92906131}"/>
    <cellStyle name="40% - Énfasis4 35 3 3" xfId="47225" xr:uid="{BD962D94-E69D-42B2-8952-3EBCA99551C7}"/>
    <cellStyle name="40% - Énfasis4 35 4" xfId="18625" xr:uid="{CD040E21-71D2-422C-9932-28CB17257037}"/>
    <cellStyle name="40% - Énfasis4 35 4 2" xfId="47227" xr:uid="{00834CE9-465D-4631-BE36-7CA8C0D0C965}"/>
    <cellStyle name="40% - Énfasis4 35 5" xfId="47220" xr:uid="{7DC1DBB2-93FF-4BAF-A867-979EFC2E44B9}"/>
    <cellStyle name="40% - Énfasis4 36" xfId="3226" xr:uid="{4331891D-730B-4F71-804F-FDE68CCB3A0E}"/>
    <cellStyle name="40% - Énfasis4 36 2" xfId="6958" xr:uid="{37D266BC-79DA-49E0-843D-EBB8A9E9355C}"/>
    <cellStyle name="40% - Énfasis4 36 2 2" xfId="14666" xr:uid="{0B9F34F3-6796-4B4D-A1BD-26A4CBA5BA11}"/>
    <cellStyle name="40% - Énfasis4 36 2 2 2" xfId="30078" xr:uid="{FCD35FA4-CE01-4C6D-A08B-C316B00D8A35}"/>
    <cellStyle name="40% - Énfasis4 36 2 2 2 2" xfId="47231" xr:uid="{4191FC5A-27FC-4FE7-818C-966EFF04B109}"/>
    <cellStyle name="40% - Énfasis4 36 2 2 3" xfId="47230" xr:uid="{A18520AB-23E2-47A2-9F2C-B6BEF9312023}"/>
    <cellStyle name="40% - Énfasis4 36 2 3" xfId="22373" xr:uid="{A927740C-B010-48B1-9366-7495A4A88674}"/>
    <cellStyle name="40% - Énfasis4 36 2 3 2" xfId="47232" xr:uid="{EBC9A03C-D93D-416B-AFDE-1D9CCAE7585D}"/>
    <cellStyle name="40% - Énfasis4 36 2 4" xfId="47229" xr:uid="{B943AB8D-F17B-42B9-8C7C-A287AF97A3BA}"/>
    <cellStyle name="40% - Énfasis4 36 3" xfId="10937" xr:uid="{B2B9EAF9-B57B-4C0E-B29E-9779F787461E}"/>
    <cellStyle name="40% - Énfasis4 36 3 2" xfId="26350" xr:uid="{0F7CAAD0-D7E8-45D1-B112-1A4E8A0A7BF7}"/>
    <cellStyle name="40% - Énfasis4 36 3 2 2" xfId="47234" xr:uid="{B2385FF0-6173-4A7F-8F00-C5D5BF3CA289}"/>
    <cellStyle name="40% - Énfasis4 36 3 3" xfId="47233" xr:uid="{00BAAC6C-8103-4916-A9F3-297C406C575F}"/>
    <cellStyle name="40% - Énfasis4 36 4" xfId="18645" xr:uid="{B817D616-63B5-4C6B-9356-A4E986D864B7}"/>
    <cellStyle name="40% - Énfasis4 36 4 2" xfId="47235" xr:uid="{EA9E3E76-9853-485F-B44B-F724A7F2C17D}"/>
    <cellStyle name="40% - Énfasis4 36 5" xfId="47228" xr:uid="{E905CB10-1D84-4D13-98A5-18358BA5B1B4}"/>
    <cellStyle name="40% - Énfasis4 37" xfId="3246" xr:uid="{AF41B58C-11E8-4E1E-A952-AB60479D0508}"/>
    <cellStyle name="40% - Énfasis4 37 2" xfId="6978" xr:uid="{EB7415FA-9B9C-4940-8B94-6E8363C9D2DC}"/>
    <cellStyle name="40% - Énfasis4 37 2 2" xfId="14686" xr:uid="{7B257A25-AE1A-40E5-9C16-601642605099}"/>
    <cellStyle name="40% - Énfasis4 37 2 2 2" xfId="30098" xr:uid="{10274EF4-ED44-46AF-AD5C-BEDFB2463404}"/>
    <cellStyle name="40% - Énfasis4 37 2 2 2 2" xfId="47239" xr:uid="{A91A8995-A4D5-4C52-B8A9-B421C79D05DF}"/>
    <cellStyle name="40% - Énfasis4 37 2 2 3" xfId="47238" xr:uid="{131E7550-DF62-4228-8189-7A0008868238}"/>
    <cellStyle name="40% - Énfasis4 37 2 3" xfId="22393" xr:uid="{2DD47A0F-35A0-462B-84E0-E6C5F68BAE76}"/>
    <cellStyle name="40% - Énfasis4 37 2 3 2" xfId="47240" xr:uid="{C3D2634E-FF07-4F9A-88A3-1040BA701090}"/>
    <cellStyle name="40% - Énfasis4 37 2 4" xfId="47237" xr:uid="{81D42028-9756-439D-89B4-A6DAFFFC451B}"/>
    <cellStyle name="40% - Énfasis4 37 3" xfId="10957" xr:uid="{42455324-BFCD-49CC-B180-F71240A7E7EC}"/>
    <cellStyle name="40% - Énfasis4 37 3 2" xfId="26370" xr:uid="{56DB3281-6BFE-407E-AC9C-12ECED62436F}"/>
    <cellStyle name="40% - Énfasis4 37 3 2 2" xfId="47242" xr:uid="{AF886679-4A67-4C62-8149-05DE7211C404}"/>
    <cellStyle name="40% - Énfasis4 37 3 3" xfId="47241" xr:uid="{750DB77B-F3B4-4665-8BCD-2F4116DAACD9}"/>
    <cellStyle name="40% - Énfasis4 37 4" xfId="18665" xr:uid="{BAAA04AC-0E9A-4F0C-8CC2-15A958C74339}"/>
    <cellStyle name="40% - Énfasis4 37 4 2" xfId="47243" xr:uid="{4CE20397-B7C6-4AC3-8BA3-8D0CB613E5AB}"/>
    <cellStyle name="40% - Énfasis4 37 5" xfId="47236" xr:uid="{A9EDEE97-9F5F-40AE-AD9B-410085DF516C}"/>
    <cellStyle name="40% - Énfasis4 38" xfId="3266" xr:uid="{FD2AD394-83CF-4804-9C8F-CAEA963BADBF}"/>
    <cellStyle name="40% - Énfasis4 38 2" xfId="6998" xr:uid="{DDAEAA43-ED36-4FC1-8673-9C6E1465F2DB}"/>
    <cellStyle name="40% - Énfasis4 38 2 2" xfId="14706" xr:uid="{C9535CE5-5DC8-4096-92DC-EFB3AC66120A}"/>
    <cellStyle name="40% - Énfasis4 38 2 2 2" xfId="30118" xr:uid="{857D1A41-8515-4CF7-B4E0-2091C4A32843}"/>
    <cellStyle name="40% - Énfasis4 38 2 2 2 2" xfId="47247" xr:uid="{DD4C18A0-0338-47B2-A3EB-CA7E2372DF9D}"/>
    <cellStyle name="40% - Énfasis4 38 2 2 3" xfId="47246" xr:uid="{9A5FD025-D50A-4D5F-8ACC-83E70DE1B77F}"/>
    <cellStyle name="40% - Énfasis4 38 2 3" xfId="22413" xr:uid="{EDA31A2E-4843-436D-AA88-1DCAFF0673D7}"/>
    <cellStyle name="40% - Énfasis4 38 2 3 2" xfId="47248" xr:uid="{9E27562D-1A1E-4872-9943-F1D86F8C8351}"/>
    <cellStyle name="40% - Énfasis4 38 2 4" xfId="47245" xr:uid="{B85EF140-D420-4602-85A6-FDAFF9043A11}"/>
    <cellStyle name="40% - Énfasis4 38 3" xfId="10977" xr:uid="{7560C9CF-94C5-4D13-905A-1B93963F7D7D}"/>
    <cellStyle name="40% - Énfasis4 38 3 2" xfId="26390" xr:uid="{5ED443A4-2873-4EF5-B4D9-7EAE6794A685}"/>
    <cellStyle name="40% - Énfasis4 38 3 2 2" xfId="47250" xr:uid="{B808DE70-1083-4CA4-8C0A-0B9D44011431}"/>
    <cellStyle name="40% - Énfasis4 38 3 3" xfId="47249" xr:uid="{FAB096A8-D75C-47C9-BFC7-F4E736E528A3}"/>
    <cellStyle name="40% - Énfasis4 38 4" xfId="18685" xr:uid="{9749EEF9-D8B9-412D-A6E4-C2A3976B7A18}"/>
    <cellStyle name="40% - Énfasis4 38 4 2" xfId="47251" xr:uid="{04BE6DE5-612B-4C72-8643-DC30BC18A9FC}"/>
    <cellStyle name="40% - Énfasis4 38 5" xfId="47244" xr:uid="{BBE16A20-6CC8-49B9-81BE-8F5B9C42FBB0}"/>
    <cellStyle name="40% - Énfasis4 39" xfId="3286" xr:uid="{BE9261DC-7C49-4EFA-9A95-2C26AF59E252}"/>
    <cellStyle name="40% - Énfasis4 39 2" xfId="7018" xr:uid="{E5AB33F3-B9DC-4877-9688-09D43D0C8189}"/>
    <cellStyle name="40% - Énfasis4 39 2 2" xfId="14726" xr:uid="{38A45F85-93BA-4050-A685-A2E880C9CB6A}"/>
    <cellStyle name="40% - Énfasis4 39 2 2 2" xfId="30138" xr:uid="{84669C0E-13F1-4547-A657-0998A8D46077}"/>
    <cellStyle name="40% - Énfasis4 39 2 2 2 2" xfId="47255" xr:uid="{4EAA5578-17EB-498A-8FD7-64328D9A1B48}"/>
    <cellStyle name="40% - Énfasis4 39 2 2 3" xfId="47254" xr:uid="{F29639E7-3A74-45D1-9AE6-1A983BE6C3AE}"/>
    <cellStyle name="40% - Énfasis4 39 2 3" xfId="22433" xr:uid="{80F97521-49ED-48A3-BA07-3DA12673C63F}"/>
    <cellStyle name="40% - Énfasis4 39 2 3 2" xfId="47256" xr:uid="{71FEBFBE-0C2E-4BCE-8A48-A2F77FA345BD}"/>
    <cellStyle name="40% - Énfasis4 39 2 4" xfId="47253" xr:uid="{4DBC3EEF-5732-4447-85BE-BE37F4379ECE}"/>
    <cellStyle name="40% - Énfasis4 39 3" xfId="10997" xr:uid="{3283D58B-DB0C-46F8-91BA-144D6B02E2A3}"/>
    <cellStyle name="40% - Énfasis4 39 3 2" xfId="26410" xr:uid="{A5844403-1B09-430F-9FDF-4166B9A6952B}"/>
    <cellStyle name="40% - Énfasis4 39 3 2 2" xfId="47258" xr:uid="{E76725B5-CD65-4292-83C6-B8CEAD879078}"/>
    <cellStyle name="40% - Énfasis4 39 3 3" xfId="47257" xr:uid="{4FDBBE25-9495-4CAF-83CF-967D84D8CE43}"/>
    <cellStyle name="40% - Énfasis4 39 4" xfId="18705" xr:uid="{D6E43B16-B7B6-4B54-910D-5271C3586693}"/>
    <cellStyle name="40% - Énfasis4 39 4 2" xfId="47259" xr:uid="{90363C1B-8641-4B77-880F-9B37D1509DC2}"/>
    <cellStyle name="40% - Énfasis4 39 5" xfId="47252" xr:uid="{A3803499-2764-43CF-9852-F4BA03BB56B7}"/>
    <cellStyle name="40% - Énfasis4 4" xfId="271" xr:uid="{9323E391-5BFF-4E00-9E94-FA9E69FF44C0}"/>
    <cellStyle name="40% - Énfasis4 4 2" xfId="474" xr:uid="{EB27900C-49EE-4B27-B8F1-D1CECE3902CB}"/>
    <cellStyle name="40% - Énfasis4 4 2 2" xfId="1135" xr:uid="{80A02CAC-80A8-422D-BBE1-F08F5CA117FD}"/>
    <cellStyle name="40% - Énfasis4 4 2 2 2" xfId="2603" xr:uid="{3C346D4D-7BEC-45EC-B648-0D3423F18B77}"/>
    <cellStyle name="40% - Énfasis4 4 2 2 2 2" xfId="6335" xr:uid="{5BDE4D3C-4467-4642-978F-BA6950533261}"/>
    <cellStyle name="40% - Énfasis4 4 2 2 2 2 2" xfId="14043" xr:uid="{FDD5B840-22E1-4DED-8944-6C38B9349B77}"/>
    <cellStyle name="40% - Énfasis4 4 2 2 2 2 2 2" xfId="29455" xr:uid="{590EBA1A-519F-4801-8F03-27A052C1DA4C}"/>
    <cellStyle name="40% - Énfasis4 4 2 2 2 2 2 2 2" xfId="47266" xr:uid="{4CAB3D2F-4B1B-4F9D-8868-EFD898371D4A}"/>
    <cellStyle name="40% - Énfasis4 4 2 2 2 2 2 3" xfId="47265" xr:uid="{3BD9260B-6CEC-4CC7-8971-AD1AD8E93815}"/>
    <cellStyle name="40% - Énfasis4 4 2 2 2 2 3" xfId="21750" xr:uid="{F8504BEB-FDD5-460B-BD2A-58D09D8B2975}"/>
    <cellStyle name="40% - Énfasis4 4 2 2 2 2 3 2" xfId="47267" xr:uid="{789D576A-87D2-464A-9920-886E4056A5C6}"/>
    <cellStyle name="40% - Énfasis4 4 2 2 2 2 4" xfId="47264" xr:uid="{1C1AFEAE-B479-4FA0-929C-50CC9D0132DB}"/>
    <cellStyle name="40% - Énfasis4 4 2 2 2 3" xfId="10314" xr:uid="{1C68E1D5-91E9-4220-88B2-E108BBCBC54B}"/>
    <cellStyle name="40% - Énfasis4 4 2 2 2 3 2" xfId="25727" xr:uid="{DCDDBA34-8EA5-4BA1-B081-AD0BB5754B42}"/>
    <cellStyle name="40% - Énfasis4 4 2 2 2 3 2 2" xfId="47269" xr:uid="{3A00ECA0-97F3-47A0-B618-5C28B8C77466}"/>
    <cellStyle name="40% - Énfasis4 4 2 2 2 3 3" xfId="47268" xr:uid="{64366E89-9E07-4EA8-8379-651D07BD197E}"/>
    <cellStyle name="40% - Énfasis4 4 2 2 2 4" xfId="18022" xr:uid="{B18C7370-96C6-4814-8747-5CF790D7EA49}"/>
    <cellStyle name="40% - Énfasis4 4 2 2 2 4 2" xfId="47270" xr:uid="{700599C3-416D-4319-9B13-C230E9C9E30F}"/>
    <cellStyle name="40% - Énfasis4 4 2 2 2 5" xfId="47263" xr:uid="{D1DEB14D-288C-4996-A062-A7E61F900F54}"/>
    <cellStyle name="40% - Énfasis4 4 2 2 3" xfId="4872" xr:uid="{C21C9C0C-C38B-4500-B685-40C1BCA5AA26}"/>
    <cellStyle name="40% - Énfasis4 4 2 2 3 2" xfId="12580" xr:uid="{0D37968F-4ED4-4231-B5A8-F1CAAE4472C1}"/>
    <cellStyle name="40% - Énfasis4 4 2 2 3 2 2" xfId="27992" xr:uid="{A71DC7B3-2800-4625-A027-46D67AAAEA02}"/>
    <cellStyle name="40% - Énfasis4 4 2 2 3 2 2 2" xfId="47273" xr:uid="{3EA8B572-4D6C-42B6-AE1F-DD3B4482A73F}"/>
    <cellStyle name="40% - Énfasis4 4 2 2 3 2 3" xfId="47272" xr:uid="{0DE1AB52-B7DB-4A20-BB03-D6B616218FA2}"/>
    <cellStyle name="40% - Énfasis4 4 2 2 3 3" xfId="20287" xr:uid="{D75537B7-C909-47CC-A269-6D91F4A90F89}"/>
    <cellStyle name="40% - Énfasis4 4 2 2 3 3 2" xfId="47274" xr:uid="{593CB200-C65A-4BD4-B2C8-FDD5C9ED7B27}"/>
    <cellStyle name="40% - Énfasis4 4 2 2 3 4" xfId="47271" xr:uid="{4A804B0C-7513-44D0-B6EE-BA9D79D0DC99}"/>
    <cellStyle name="40% - Énfasis4 4 2 2 4" xfId="8855" xr:uid="{560C2E0C-F2BA-4653-B418-9C6BC969DB75}"/>
    <cellStyle name="40% - Énfasis4 4 2 2 4 2" xfId="24268" xr:uid="{92FE20D7-6940-4459-9E9E-08BD8D18420C}"/>
    <cellStyle name="40% - Énfasis4 4 2 2 4 2 2" xfId="47276" xr:uid="{CCA377D9-1D25-4B34-93CF-A89321C88389}"/>
    <cellStyle name="40% - Énfasis4 4 2 2 4 3" xfId="47275" xr:uid="{257E4592-06B3-4C4C-A15E-E797EAECCBF6}"/>
    <cellStyle name="40% - Énfasis4 4 2 2 5" xfId="16563" xr:uid="{6CC85BB9-BD5C-4598-9F21-F790B4B0A7EA}"/>
    <cellStyle name="40% - Énfasis4 4 2 2 5 2" xfId="47277" xr:uid="{FD75240A-8E59-47FB-BF27-57D44393B433}"/>
    <cellStyle name="40% - Énfasis4 4 2 2 6" xfId="47262" xr:uid="{CD94AC52-3EE0-4BEA-BB0B-FA84FDE2B221}"/>
    <cellStyle name="40% - Énfasis4 4 2 3" xfId="1965" xr:uid="{753AD951-E482-4227-A307-6BA2B3447514}"/>
    <cellStyle name="40% - Énfasis4 4 2 3 2" xfId="5697" xr:uid="{D4A4F0D4-29CE-47F9-9052-FECAC494A37B}"/>
    <cellStyle name="40% - Énfasis4 4 2 3 2 2" xfId="13405" xr:uid="{3C964839-BBDB-4FB8-8E22-8A46899F9A8E}"/>
    <cellStyle name="40% - Énfasis4 4 2 3 2 2 2" xfId="28817" xr:uid="{1DDCF516-7551-4A7E-AE44-187F21DACC20}"/>
    <cellStyle name="40% - Énfasis4 4 2 3 2 2 2 2" xfId="47281" xr:uid="{2E7F7B08-0551-41FA-AB6F-DF9330C634FF}"/>
    <cellStyle name="40% - Énfasis4 4 2 3 2 2 3" xfId="47280" xr:uid="{63FC3E88-5D13-4DB0-A7C4-E855E462E1FF}"/>
    <cellStyle name="40% - Énfasis4 4 2 3 2 3" xfId="21112" xr:uid="{90774DCC-F018-48E0-AE29-C8EA74698C81}"/>
    <cellStyle name="40% - Énfasis4 4 2 3 2 3 2" xfId="47282" xr:uid="{510A3453-C82E-4268-8822-CFF8205414A9}"/>
    <cellStyle name="40% - Énfasis4 4 2 3 2 4" xfId="47279" xr:uid="{74786D98-732E-4636-8191-C80BA93BB6DE}"/>
    <cellStyle name="40% - Énfasis4 4 2 3 3" xfId="9676" xr:uid="{85A2371C-40E6-41D6-B3A7-9CDEFC30E840}"/>
    <cellStyle name="40% - Énfasis4 4 2 3 3 2" xfId="25089" xr:uid="{858D6A7D-794C-47B4-855C-0AB79406FD02}"/>
    <cellStyle name="40% - Énfasis4 4 2 3 3 2 2" xfId="47284" xr:uid="{C835AD16-6A39-4D18-AACC-6C4FE2FADCF3}"/>
    <cellStyle name="40% - Énfasis4 4 2 3 3 3" xfId="47283" xr:uid="{2A3BD322-FD34-4B93-8D86-BD11A2CE6465}"/>
    <cellStyle name="40% - Énfasis4 4 2 3 4" xfId="17384" xr:uid="{5560FBEC-ADCB-4A48-9AFE-4F718A56ACAE}"/>
    <cellStyle name="40% - Énfasis4 4 2 3 4 2" xfId="47285" xr:uid="{F5FAF54D-D37B-4472-BF43-C1D23F015D4E}"/>
    <cellStyle name="40% - Énfasis4 4 2 3 5" xfId="47278" xr:uid="{F8DD22BC-5D5F-4D81-AAA8-9F55F46BB1FC}"/>
    <cellStyle name="40% - Énfasis4 4 2 4" xfId="4220" xr:uid="{8EE8BE4D-0DE0-477A-8653-DE5627A0B80A}"/>
    <cellStyle name="40% - Énfasis4 4 2 4 2" xfId="11928" xr:uid="{E06F398F-4C19-4284-916A-D6D1E0E03257}"/>
    <cellStyle name="40% - Énfasis4 4 2 4 2 2" xfId="27340" xr:uid="{2F9A1719-B18A-4BA5-A086-4AEB808E05A1}"/>
    <cellStyle name="40% - Énfasis4 4 2 4 2 2 2" xfId="47288" xr:uid="{DAFAF174-A59D-41A3-A692-CB74FB6D92A1}"/>
    <cellStyle name="40% - Énfasis4 4 2 4 2 3" xfId="47287" xr:uid="{6BC3A767-FF2E-4494-8050-A912361534F9}"/>
    <cellStyle name="40% - Énfasis4 4 2 4 3" xfId="19635" xr:uid="{D49F6410-D3EF-4377-B180-439069838DD1}"/>
    <cellStyle name="40% - Énfasis4 4 2 4 3 2" xfId="47289" xr:uid="{187797DE-25BD-48EB-8A36-ADCEAF673F8E}"/>
    <cellStyle name="40% - Énfasis4 4 2 4 4" xfId="47286" xr:uid="{28C3C151-1846-4A6D-A877-61D7ACC32727}"/>
    <cellStyle name="40% - Énfasis4 4 2 5" xfId="8217" xr:uid="{7BFE58CF-2AC0-4883-B26B-053842B860B7}"/>
    <cellStyle name="40% - Énfasis4 4 2 5 2" xfId="23630" xr:uid="{1FB0CAD3-857F-4920-9E0D-8D83FF879266}"/>
    <cellStyle name="40% - Énfasis4 4 2 5 2 2" xfId="47291" xr:uid="{8851F59F-13F8-465D-892D-F6CA38E6D92E}"/>
    <cellStyle name="40% - Énfasis4 4 2 5 3" xfId="47290" xr:uid="{007E87DE-5A89-4404-8E2A-6F9180A8043E}"/>
    <cellStyle name="40% - Énfasis4 4 2 6" xfId="15925" xr:uid="{0A5A9F00-332D-4AB9-98CB-C273C019CCCD}"/>
    <cellStyle name="40% - Énfasis4 4 2 6 2" xfId="47292" xr:uid="{CE9E8C08-3749-49EE-9670-0133235FFC11}"/>
    <cellStyle name="40% - Énfasis4 4 2 7" xfId="47261" xr:uid="{1F7C81BF-E66C-4DC2-B5F9-5A30A7A70E55}"/>
    <cellStyle name="40% - Énfasis4 4 3" xfId="935" xr:uid="{BDD1AD82-B430-4602-85A2-503FACEC479B}"/>
    <cellStyle name="40% - Énfasis4 4 3 2" xfId="2405" xr:uid="{855B0A31-2AB5-4A45-8A10-B9FCABD7D62D}"/>
    <cellStyle name="40% - Énfasis4 4 3 2 2" xfId="6137" xr:uid="{D5140284-9A6B-437D-8515-EB5756F0396E}"/>
    <cellStyle name="40% - Énfasis4 4 3 2 2 2" xfId="13845" xr:uid="{89FD3C01-7410-4D37-905B-50BA0D2EB0C9}"/>
    <cellStyle name="40% - Énfasis4 4 3 2 2 2 2" xfId="29257" xr:uid="{33936677-F501-46D8-B799-6D2073559B2C}"/>
    <cellStyle name="40% - Énfasis4 4 3 2 2 2 2 2" xfId="47297" xr:uid="{0F84DF0B-343B-44AA-95ED-1D214182568D}"/>
    <cellStyle name="40% - Énfasis4 4 3 2 2 2 3" xfId="47296" xr:uid="{43B9AB28-51D4-4B91-96E0-4933DFE0756A}"/>
    <cellStyle name="40% - Énfasis4 4 3 2 2 3" xfId="21552" xr:uid="{A3C25170-6545-4A6D-8F4E-648B24AA7A38}"/>
    <cellStyle name="40% - Énfasis4 4 3 2 2 3 2" xfId="47298" xr:uid="{B6831B98-ACFF-4E5C-B4AB-7C997AFCF489}"/>
    <cellStyle name="40% - Énfasis4 4 3 2 2 4" xfId="47295" xr:uid="{420C8038-3BBF-455E-AB08-05855310B753}"/>
    <cellStyle name="40% - Énfasis4 4 3 2 3" xfId="10116" xr:uid="{B8A30CB9-A063-496E-9FCD-ABD5635C0B69}"/>
    <cellStyle name="40% - Énfasis4 4 3 2 3 2" xfId="25529" xr:uid="{DA6A85A0-232B-4F35-B1A7-2C30F8DBC228}"/>
    <cellStyle name="40% - Énfasis4 4 3 2 3 2 2" xfId="47300" xr:uid="{2E60FBEB-2826-4D72-8127-DE8BEC4D50F3}"/>
    <cellStyle name="40% - Énfasis4 4 3 2 3 3" xfId="47299" xr:uid="{4ECBD544-7D7B-4CD4-AEC7-62817322081A}"/>
    <cellStyle name="40% - Énfasis4 4 3 2 4" xfId="17824" xr:uid="{70DFBDA6-D850-4B62-8AAC-E834872987C4}"/>
    <cellStyle name="40% - Énfasis4 4 3 2 4 2" xfId="47301" xr:uid="{F90890DC-A19A-4C33-9387-A4E3D7C31BF2}"/>
    <cellStyle name="40% - Énfasis4 4 3 2 5" xfId="47294" xr:uid="{C60E4D43-A619-48B9-A6F9-DEB5ED3A8143}"/>
    <cellStyle name="40% - Énfasis4 4 3 3" xfId="4672" xr:uid="{E375FA42-6A12-4D6A-B672-8BBC873118A5}"/>
    <cellStyle name="40% - Énfasis4 4 3 3 2" xfId="12380" xr:uid="{B23E29EC-3146-4D3F-A79C-5E87F0125239}"/>
    <cellStyle name="40% - Énfasis4 4 3 3 2 2" xfId="27792" xr:uid="{65CF113E-F660-443D-97E9-9C547B17CC01}"/>
    <cellStyle name="40% - Énfasis4 4 3 3 2 2 2" xfId="47304" xr:uid="{2B22DEA5-8E94-4C8A-8FAA-0DFAB16E2069}"/>
    <cellStyle name="40% - Énfasis4 4 3 3 2 3" xfId="47303" xr:uid="{9CB374CD-8137-40B1-A435-0FFD224A7BF7}"/>
    <cellStyle name="40% - Énfasis4 4 3 3 3" xfId="20087" xr:uid="{9B7EBA84-1BCE-4101-AFAB-39115FEA5361}"/>
    <cellStyle name="40% - Énfasis4 4 3 3 3 2" xfId="47305" xr:uid="{5984BAF6-66B4-42F1-A175-5C1899E4507B}"/>
    <cellStyle name="40% - Énfasis4 4 3 3 4" xfId="47302" xr:uid="{C2102029-D9FF-41EC-9DA3-EA48900E18F9}"/>
    <cellStyle name="40% - Énfasis4 4 3 4" xfId="8657" xr:uid="{45D420D6-9348-4228-B1E8-3AB1216E88A5}"/>
    <cellStyle name="40% - Énfasis4 4 3 4 2" xfId="24070" xr:uid="{C8B866A7-C210-43F2-9844-FC68C60C539B}"/>
    <cellStyle name="40% - Énfasis4 4 3 4 2 2" xfId="47307" xr:uid="{919DB83D-E87C-460B-9EF0-984CD3A914F9}"/>
    <cellStyle name="40% - Énfasis4 4 3 4 3" xfId="47306" xr:uid="{DC65AB68-45BB-43FC-BDAA-19F053E3E2B4}"/>
    <cellStyle name="40% - Énfasis4 4 3 5" xfId="16365" xr:uid="{0A2927BD-9A67-4F26-B93F-133DB4B42ED7}"/>
    <cellStyle name="40% - Énfasis4 4 3 5 2" xfId="47308" xr:uid="{C42BAFA4-5EE4-4D65-9257-29C924E126BA}"/>
    <cellStyle name="40% - Énfasis4 4 3 6" xfId="47293" xr:uid="{E69F2830-B869-4810-865C-64413BF99BF3}"/>
    <cellStyle name="40% - Énfasis4 4 4" xfId="1767" xr:uid="{4E76EAAB-8EC7-4656-BEAF-BFFEDA6BF35D}"/>
    <cellStyle name="40% - Énfasis4 4 4 2" xfId="5499" xr:uid="{A5ECF7DB-DAE6-48B9-A43D-579F313A446D}"/>
    <cellStyle name="40% - Énfasis4 4 4 2 2" xfId="13207" xr:uid="{978EFCE8-697B-4AEC-AF97-69B7B1E0C838}"/>
    <cellStyle name="40% - Énfasis4 4 4 2 2 2" xfId="28619" xr:uid="{336BF56E-8BF8-4F11-A48C-593007E530A5}"/>
    <cellStyle name="40% - Énfasis4 4 4 2 2 2 2" xfId="47312" xr:uid="{D7A13EC7-B2A6-4746-A600-BC83C824D73B}"/>
    <cellStyle name="40% - Énfasis4 4 4 2 2 3" xfId="47311" xr:uid="{5B57CDD6-3458-4D9E-B21A-CB6F1952DDD2}"/>
    <cellStyle name="40% - Énfasis4 4 4 2 3" xfId="20914" xr:uid="{59AFB557-A0FD-484F-9F72-1E18B5B6861C}"/>
    <cellStyle name="40% - Énfasis4 4 4 2 3 2" xfId="47313" xr:uid="{720A1BBF-C304-4814-B7AE-DA4F3BA191D9}"/>
    <cellStyle name="40% - Énfasis4 4 4 2 4" xfId="47310" xr:uid="{A087EC89-D9E1-4070-BBF4-3699134627B3}"/>
    <cellStyle name="40% - Énfasis4 4 4 3" xfId="9478" xr:uid="{37786F90-1F3A-4200-BFB8-D621983168E5}"/>
    <cellStyle name="40% - Énfasis4 4 4 3 2" xfId="24891" xr:uid="{A57D03EA-5784-49CF-B9F3-2EC66A1D280F}"/>
    <cellStyle name="40% - Énfasis4 4 4 3 2 2" xfId="47315" xr:uid="{2443C906-FA9C-483E-9A30-AB8FE74F3455}"/>
    <cellStyle name="40% - Énfasis4 4 4 3 3" xfId="47314" xr:uid="{0514CF75-F9BF-4E4F-B1A2-C596FDE09116}"/>
    <cellStyle name="40% - Énfasis4 4 4 4" xfId="17186" xr:uid="{356551E0-5992-4900-A634-9369DEDE8FEB}"/>
    <cellStyle name="40% - Énfasis4 4 4 4 2" xfId="47316" xr:uid="{E8C0B18D-A16A-4768-B4B4-5A23437FA0DD}"/>
    <cellStyle name="40% - Énfasis4 4 4 5" xfId="47309" xr:uid="{035619D1-E45F-4396-AF2C-9B33CB908336}"/>
    <cellStyle name="40% - Énfasis4 4 5" xfId="4020" xr:uid="{199A5A9C-C122-497F-AF5C-F4B85D8601EA}"/>
    <cellStyle name="40% - Énfasis4 4 5 2" xfId="11728" xr:uid="{2BE54D85-B28D-4A39-B710-CBF354E1E1EF}"/>
    <cellStyle name="40% - Énfasis4 4 5 2 2" xfId="27140" xr:uid="{41EB4661-733B-49D1-96EC-4CFE1A72A73E}"/>
    <cellStyle name="40% - Énfasis4 4 5 2 2 2" xfId="47319" xr:uid="{B7B1C9C5-AC1B-4920-BD6D-A29864F21F76}"/>
    <cellStyle name="40% - Énfasis4 4 5 2 3" xfId="47318" xr:uid="{FCDB53D9-565E-4439-A0F6-98595984BDE0}"/>
    <cellStyle name="40% - Énfasis4 4 5 3" xfId="19435" xr:uid="{2D5FEE2E-F1DB-423F-87F9-EDC9A9C627AA}"/>
    <cellStyle name="40% - Énfasis4 4 5 3 2" xfId="47320" xr:uid="{0CA8C816-E8CE-436C-9FD8-E0CAF3CF7532}"/>
    <cellStyle name="40% - Énfasis4 4 5 4" xfId="47317" xr:uid="{5E524527-A074-4E7C-992F-1688831ECF48}"/>
    <cellStyle name="40% - Énfasis4 4 6" xfId="8019" xr:uid="{549BCA27-BA59-4886-8107-83F455476981}"/>
    <cellStyle name="40% - Énfasis4 4 6 2" xfId="23432" xr:uid="{94CD1903-DA29-4F5E-9455-D101328436B1}"/>
    <cellStyle name="40% - Énfasis4 4 6 2 2" xfId="47322" xr:uid="{34AA426B-7D6E-4402-9B6B-4C0183489506}"/>
    <cellStyle name="40% - Énfasis4 4 6 3" xfId="47321" xr:uid="{6AF836C8-5B18-44DF-81DC-1563AE8F3955}"/>
    <cellStyle name="40% - Énfasis4 4 7" xfId="15727" xr:uid="{AE2E6F01-9DA8-4620-AAC0-6D15DB3A37FE}"/>
    <cellStyle name="40% - Énfasis4 4 7 2" xfId="47323" xr:uid="{A17E0C64-F8CC-4A47-8E6A-17CA6E96C04E}"/>
    <cellStyle name="40% - Énfasis4 4 8" xfId="47260" xr:uid="{B6527067-DC42-441F-8A59-7295CD7C64CF}"/>
    <cellStyle name="40% - Énfasis4 5" xfId="291" xr:uid="{F5063180-D230-4E9E-99DA-6248CC0152F2}"/>
    <cellStyle name="40% - Énfasis4 5 2" xfId="494" xr:uid="{9DE82FFF-CC0D-4924-AC40-80C7529DE9F9}"/>
    <cellStyle name="40% - Énfasis4 5 2 2" xfId="1155" xr:uid="{FC524BB8-F501-4CAA-A02C-DA99E87670CC}"/>
    <cellStyle name="40% - Énfasis4 5 2 2 2" xfId="2623" xr:uid="{23EB0B24-3D64-454C-99C4-8FEDC7070238}"/>
    <cellStyle name="40% - Énfasis4 5 2 2 2 2" xfId="6355" xr:uid="{870B34DB-4155-409C-BCDC-991D2CD41C8A}"/>
    <cellStyle name="40% - Énfasis4 5 2 2 2 2 2" xfId="14063" xr:uid="{80FAAD71-73F3-4DE9-934E-1F21815F016E}"/>
    <cellStyle name="40% - Énfasis4 5 2 2 2 2 2 2" xfId="29475" xr:uid="{4AD24C5E-A1C7-4E96-8CDF-ADF719FAA994}"/>
    <cellStyle name="40% - Énfasis4 5 2 2 2 2 2 2 2" xfId="47330" xr:uid="{84F5F5CA-8E64-407F-96DA-B9672D08F34E}"/>
    <cellStyle name="40% - Énfasis4 5 2 2 2 2 2 3" xfId="47329" xr:uid="{8F23B38D-B38D-4298-B27F-02668729F641}"/>
    <cellStyle name="40% - Énfasis4 5 2 2 2 2 3" xfId="21770" xr:uid="{A3650397-D098-4479-ABB0-8B25DAED7CBE}"/>
    <cellStyle name="40% - Énfasis4 5 2 2 2 2 3 2" xfId="47331" xr:uid="{68F5C9EB-4AD4-481E-A1AC-01472D1BC081}"/>
    <cellStyle name="40% - Énfasis4 5 2 2 2 2 4" xfId="47328" xr:uid="{BB850838-9E73-40ED-9777-3D0DD8B65692}"/>
    <cellStyle name="40% - Énfasis4 5 2 2 2 3" xfId="10334" xr:uid="{5FC477F7-4822-44BC-9029-07E059435F57}"/>
    <cellStyle name="40% - Énfasis4 5 2 2 2 3 2" xfId="25747" xr:uid="{3C1D7F38-678C-4A8A-ABA4-B21C42762600}"/>
    <cellStyle name="40% - Énfasis4 5 2 2 2 3 2 2" xfId="47333" xr:uid="{B53E607C-1F63-4A16-9C32-774DD7B2F490}"/>
    <cellStyle name="40% - Énfasis4 5 2 2 2 3 3" xfId="47332" xr:uid="{D1943DE9-19D6-488A-8745-C902F7CAD964}"/>
    <cellStyle name="40% - Énfasis4 5 2 2 2 4" xfId="18042" xr:uid="{C7BD4E82-C17D-4B03-B349-A5C8CB64EFF6}"/>
    <cellStyle name="40% - Énfasis4 5 2 2 2 4 2" xfId="47334" xr:uid="{2DEA07C3-6BD6-43A4-9B3C-8B29DFB9C466}"/>
    <cellStyle name="40% - Énfasis4 5 2 2 2 5" xfId="47327" xr:uid="{C8AB44C6-71E1-448A-82C0-1F2332342AF9}"/>
    <cellStyle name="40% - Énfasis4 5 2 2 3" xfId="4892" xr:uid="{47D5EE4F-CAFD-4277-ABA4-41DB18A741FD}"/>
    <cellStyle name="40% - Énfasis4 5 2 2 3 2" xfId="12600" xr:uid="{02734C0F-3505-43D0-92EF-C13537EF6FA8}"/>
    <cellStyle name="40% - Énfasis4 5 2 2 3 2 2" xfId="28012" xr:uid="{B1F49226-8C10-4899-B7B1-2D333D3F62EC}"/>
    <cellStyle name="40% - Énfasis4 5 2 2 3 2 2 2" xfId="47337" xr:uid="{A8509CE7-E14F-46B1-A90E-998AB9D89B7E}"/>
    <cellStyle name="40% - Énfasis4 5 2 2 3 2 3" xfId="47336" xr:uid="{144EF8D7-68DC-42D2-AD5A-0143875CA7A6}"/>
    <cellStyle name="40% - Énfasis4 5 2 2 3 3" xfId="20307" xr:uid="{7530E3F6-74BA-409A-AA82-E768DCD3D7C8}"/>
    <cellStyle name="40% - Énfasis4 5 2 2 3 3 2" xfId="47338" xr:uid="{B707C739-D91E-45F5-A608-1D72FA6875EE}"/>
    <cellStyle name="40% - Énfasis4 5 2 2 3 4" xfId="47335" xr:uid="{A13E7A0D-6A15-42EE-8D08-1F961732B2A6}"/>
    <cellStyle name="40% - Énfasis4 5 2 2 4" xfId="8875" xr:uid="{82D203B6-B70D-4F6A-8597-3699627D9AA6}"/>
    <cellStyle name="40% - Énfasis4 5 2 2 4 2" xfId="24288" xr:uid="{82B7C54B-9E05-4D2E-9793-D1C91A5EA504}"/>
    <cellStyle name="40% - Énfasis4 5 2 2 4 2 2" xfId="47340" xr:uid="{DB4E7EE3-7816-4DCA-BA93-0995BA9DCCE0}"/>
    <cellStyle name="40% - Énfasis4 5 2 2 4 3" xfId="47339" xr:uid="{3DAF943F-04F1-4AC6-ADE3-C629178B08DF}"/>
    <cellStyle name="40% - Énfasis4 5 2 2 5" xfId="16583" xr:uid="{494D44CC-4336-442F-B6AA-E9E21DFEF879}"/>
    <cellStyle name="40% - Énfasis4 5 2 2 5 2" xfId="47341" xr:uid="{386A8300-9355-4C6C-92CE-E207F713BE39}"/>
    <cellStyle name="40% - Énfasis4 5 2 2 6" xfId="47326" xr:uid="{E4BA214E-CA2B-4F36-B04C-3DD86C99774A}"/>
    <cellStyle name="40% - Énfasis4 5 2 3" xfId="1985" xr:uid="{42785AD9-7FC3-4ABD-967E-B3112CD38AA2}"/>
    <cellStyle name="40% - Énfasis4 5 2 3 2" xfId="5717" xr:uid="{1E42B594-B151-482A-B973-7B96341C29E3}"/>
    <cellStyle name="40% - Énfasis4 5 2 3 2 2" xfId="13425" xr:uid="{DE558C20-611B-4423-BA78-E195F7AF0BE5}"/>
    <cellStyle name="40% - Énfasis4 5 2 3 2 2 2" xfId="28837" xr:uid="{4FFFB7C2-6800-4C43-9183-0621010F3481}"/>
    <cellStyle name="40% - Énfasis4 5 2 3 2 2 2 2" xfId="47345" xr:uid="{DFBAD52E-5584-41E4-AF3A-908A26D7012D}"/>
    <cellStyle name="40% - Énfasis4 5 2 3 2 2 3" xfId="47344" xr:uid="{827784FA-21FA-4C54-93AF-96DFBA72F442}"/>
    <cellStyle name="40% - Énfasis4 5 2 3 2 3" xfId="21132" xr:uid="{12678394-7628-4813-BA96-B66B9B6C990A}"/>
    <cellStyle name="40% - Énfasis4 5 2 3 2 3 2" xfId="47346" xr:uid="{A31151F2-E74B-4711-89DE-C2F80579C509}"/>
    <cellStyle name="40% - Énfasis4 5 2 3 2 4" xfId="47343" xr:uid="{48E57E71-D27C-41BC-819E-455FEA8E2A7A}"/>
    <cellStyle name="40% - Énfasis4 5 2 3 3" xfId="9696" xr:uid="{C501B38E-B0E4-48DE-B9B2-B310A21D962F}"/>
    <cellStyle name="40% - Énfasis4 5 2 3 3 2" xfId="25109" xr:uid="{D7BEFDAA-9ED3-4049-B737-A85A1B107CAD}"/>
    <cellStyle name="40% - Énfasis4 5 2 3 3 2 2" xfId="47348" xr:uid="{BAF6008F-3C70-42E5-BDDB-6E85BB79107C}"/>
    <cellStyle name="40% - Énfasis4 5 2 3 3 3" xfId="47347" xr:uid="{F511CDF4-795C-4065-86CF-03AAFE9B84EE}"/>
    <cellStyle name="40% - Énfasis4 5 2 3 4" xfId="17404" xr:uid="{3FCFBF3F-6363-4E01-A4C4-4E08ABF13EC9}"/>
    <cellStyle name="40% - Énfasis4 5 2 3 4 2" xfId="47349" xr:uid="{724504FA-12C5-4828-8BDB-F29085EECE12}"/>
    <cellStyle name="40% - Énfasis4 5 2 3 5" xfId="47342" xr:uid="{4A330CDD-E431-490F-BB14-185F9E2D5C1F}"/>
    <cellStyle name="40% - Énfasis4 5 2 4" xfId="4240" xr:uid="{102AB78E-99BD-4CFD-9C11-D9CCF59B6D70}"/>
    <cellStyle name="40% - Énfasis4 5 2 4 2" xfId="11948" xr:uid="{AA35B83A-616C-4B24-B5C6-489F87CF4FE6}"/>
    <cellStyle name="40% - Énfasis4 5 2 4 2 2" xfId="27360" xr:uid="{1E32DDE7-A262-4B36-9AF0-48DE8122B0F1}"/>
    <cellStyle name="40% - Énfasis4 5 2 4 2 2 2" xfId="47352" xr:uid="{2FF6BDC5-9746-4EF7-8A89-0F3866D3BA49}"/>
    <cellStyle name="40% - Énfasis4 5 2 4 2 3" xfId="47351" xr:uid="{79CFBFCE-8D61-4A6E-8FA7-CFC19D0B0D3C}"/>
    <cellStyle name="40% - Énfasis4 5 2 4 3" xfId="19655" xr:uid="{7144B662-57E7-47D0-A0D1-CE1F2F162711}"/>
    <cellStyle name="40% - Énfasis4 5 2 4 3 2" xfId="47353" xr:uid="{86801870-41BD-49DF-889E-7351EFBB0BBD}"/>
    <cellStyle name="40% - Énfasis4 5 2 4 4" xfId="47350" xr:uid="{B7FE8248-01E7-4383-824B-315CEEEE17DD}"/>
    <cellStyle name="40% - Énfasis4 5 2 5" xfId="8237" xr:uid="{E359CC96-3107-4302-A560-6567E660E944}"/>
    <cellStyle name="40% - Énfasis4 5 2 5 2" xfId="23650" xr:uid="{696A24A1-E535-4088-95D8-5DADDDA79168}"/>
    <cellStyle name="40% - Énfasis4 5 2 5 2 2" xfId="47355" xr:uid="{5C6A2837-7863-4EC3-B3FD-6D50C9CC5091}"/>
    <cellStyle name="40% - Énfasis4 5 2 5 3" xfId="47354" xr:uid="{B08C30DB-3F5D-49FD-9E23-36372DDC7EE3}"/>
    <cellStyle name="40% - Énfasis4 5 2 6" xfId="15945" xr:uid="{07DF85DC-3F8B-4715-A0AE-C641455FDE60}"/>
    <cellStyle name="40% - Énfasis4 5 2 6 2" xfId="47356" xr:uid="{59EAA835-2C53-46BD-90F5-F7151DE8C71B}"/>
    <cellStyle name="40% - Énfasis4 5 2 7" xfId="47325" xr:uid="{CF889896-FBB1-42C2-A0C1-BE1921438F59}"/>
    <cellStyle name="40% - Énfasis4 5 3" xfId="955" xr:uid="{594266DE-AD6E-4982-99A8-B296EB12E618}"/>
    <cellStyle name="40% - Énfasis4 5 3 2" xfId="2425" xr:uid="{D79A0A9B-A38D-43A6-AAFA-4070DD7F40A8}"/>
    <cellStyle name="40% - Énfasis4 5 3 2 2" xfId="6157" xr:uid="{25D9DA61-F9D8-4A6B-AA2F-3116174EAAC8}"/>
    <cellStyle name="40% - Énfasis4 5 3 2 2 2" xfId="13865" xr:uid="{8967D121-741C-40F7-969D-C1F9FFCB9FDC}"/>
    <cellStyle name="40% - Énfasis4 5 3 2 2 2 2" xfId="29277" xr:uid="{3E43A31A-23FF-4D00-8DBC-F39F4D2AEECD}"/>
    <cellStyle name="40% - Énfasis4 5 3 2 2 2 2 2" xfId="47361" xr:uid="{B895A6A6-60A3-4674-B6A3-8DDCB1679806}"/>
    <cellStyle name="40% - Énfasis4 5 3 2 2 2 3" xfId="47360" xr:uid="{18AFE946-C496-4436-8F0D-310B3379F8E0}"/>
    <cellStyle name="40% - Énfasis4 5 3 2 2 3" xfId="21572" xr:uid="{8CDE37E6-F672-4691-AA76-C92B481B7EB7}"/>
    <cellStyle name="40% - Énfasis4 5 3 2 2 3 2" xfId="47362" xr:uid="{5B52A009-5A29-40ED-8913-97C68E81A222}"/>
    <cellStyle name="40% - Énfasis4 5 3 2 2 4" xfId="47359" xr:uid="{94AB3DA9-1884-45B1-A79B-C1FD20191308}"/>
    <cellStyle name="40% - Énfasis4 5 3 2 3" xfId="10136" xr:uid="{3E0325EC-E1AF-4DF7-8472-96CFFFFE4590}"/>
    <cellStyle name="40% - Énfasis4 5 3 2 3 2" xfId="25549" xr:uid="{4BCE1C6D-41E8-4F7A-ABAE-B2F15126EB9C}"/>
    <cellStyle name="40% - Énfasis4 5 3 2 3 2 2" xfId="47364" xr:uid="{1228D1C3-6478-44C4-8680-C1433D28799E}"/>
    <cellStyle name="40% - Énfasis4 5 3 2 3 3" xfId="47363" xr:uid="{A026EB7E-F6E7-4785-9750-CD4D271E6D71}"/>
    <cellStyle name="40% - Énfasis4 5 3 2 4" xfId="17844" xr:uid="{C6EDFFD0-1457-47CF-B417-0E4E3194000E}"/>
    <cellStyle name="40% - Énfasis4 5 3 2 4 2" xfId="47365" xr:uid="{48B49E0B-7C15-44A9-B958-1931DA58F339}"/>
    <cellStyle name="40% - Énfasis4 5 3 2 5" xfId="47358" xr:uid="{3ECA390D-3893-4F1A-9975-1F1DFC45E1CB}"/>
    <cellStyle name="40% - Énfasis4 5 3 3" xfId="4692" xr:uid="{D3BDB0D1-DD0A-4B8E-9E22-7C661D6BFEF5}"/>
    <cellStyle name="40% - Énfasis4 5 3 3 2" xfId="12400" xr:uid="{D311A721-6F72-461A-98BE-D7F972EA6113}"/>
    <cellStyle name="40% - Énfasis4 5 3 3 2 2" xfId="27812" xr:uid="{3D5C7763-EA32-42F6-9826-99CB3F7BADAB}"/>
    <cellStyle name="40% - Énfasis4 5 3 3 2 2 2" xfId="47368" xr:uid="{6CB2AD6C-2E8D-44C4-9C04-DB06C42B56CE}"/>
    <cellStyle name="40% - Énfasis4 5 3 3 2 3" xfId="47367" xr:uid="{B2543137-8E83-481E-8FAE-B45089036F0C}"/>
    <cellStyle name="40% - Énfasis4 5 3 3 3" xfId="20107" xr:uid="{FB9F379D-D76A-401F-BFC9-6475CC9880EC}"/>
    <cellStyle name="40% - Énfasis4 5 3 3 3 2" xfId="47369" xr:uid="{0B6D7D4C-2E13-439D-A5E9-9DDEC358018D}"/>
    <cellStyle name="40% - Énfasis4 5 3 3 4" xfId="47366" xr:uid="{FD22702B-7BBD-4E24-B5D5-05CD8D0BF408}"/>
    <cellStyle name="40% - Énfasis4 5 3 4" xfId="8677" xr:uid="{0B3DBE84-32E2-4669-9703-AF85E2B03367}"/>
    <cellStyle name="40% - Énfasis4 5 3 4 2" xfId="24090" xr:uid="{85AD5115-C292-4DDE-BB91-2B68EA336FBA}"/>
    <cellStyle name="40% - Énfasis4 5 3 4 2 2" xfId="47371" xr:uid="{1AC857E4-0C70-4234-B59D-075E88C09EDD}"/>
    <cellStyle name="40% - Énfasis4 5 3 4 3" xfId="47370" xr:uid="{F59D23DC-1FB6-4F3E-8343-8228997550ED}"/>
    <cellStyle name="40% - Énfasis4 5 3 5" xfId="16385" xr:uid="{2897971A-460F-4637-9189-41DE6EDDD623}"/>
    <cellStyle name="40% - Énfasis4 5 3 5 2" xfId="47372" xr:uid="{5806654B-1F6C-4C8D-9A3E-3B54822AE8E5}"/>
    <cellStyle name="40% - Énfasis4 5 3 6" xfId="47357" xr:uid="{C01D7E11-0F94-47E1-B000-BC250D2BCA90}"/>
    <cellStyle name="40% - Énfasis4 5 4" xfId="1787" xr:uid="{7DEDA4E5-DBB0-4E9A-ACE0-3AE505A0A511}"/>
    <cellStyle name="40% - Énfasis4 5 4 2" xfId="5519" xr:uid="{2F3679AB-A035-4952-9A83-6CC3272C9A0A}"/>
    <cellStyle name="40% - Énfasis4 5 4 2 2" xfId="13227" xr:uid="{E55C5A21-BA53-4479-B130-093429571E51}"/>
    <cellStyle name="40% - Énfasis4 5 4 2 2 2" xfId="28639" xr:uid="{8CD351CB-5338-4587-94C4-60E63B847134}"/>
    <cellStyle name="40% - Énfasis4 5 4 2 2 2 2" xfId="47376" xr:uid="{44AAC1C5-2857-404B-9100-2754A8B0C3EF}"/>
    <cellStyle name="40% - Énfasis4 5 4 2 2 3" xfId="47375" xr:uid="{C71E0696-DE37-477B-8053-0E65763EDDA3}"/>
    <cellStyle name="40% - Énfasis4 5 4 2 3" xfId="20934" xr:uid="{504EBBB0-631C-40FE-AB1C-341776008A14}"/>
    <cellStyle name="40% - Énfasis4 5 4 2 3 2" xfId="47377" xr:uid="{7B2C1360-4F14-4599-8921-D8DEA6AC493C}"/>
    <cellStyle name="40% - Énfasis4 5 4 2 4" xfId="47374" xr:uid="{3FF81FEA-DCB2-4C74-8207-3087501DA274}"/>
    <cellStyle name="40% - Énfasis4 5 4 3" xfId="9498" xr:uid="{CF4B36A6-90CA-4B28-AF05-688FED55CD56}"/>
    <cellStyle name="40% - Énfasis4 5 4 3 2" xfId="24911" xr:uid="{5CC9928F-A556-4FE8-B980-DC0853A4127C}"/>
    <cellStyle name="40% - Énfasis4 5 4 3 2 2" xfId="47379" xr:uid="{7050391F-6DB7-4B3F-AE69-EE0E959DF0DE}"/>
    <cellStyle name="40% - Énfasis4 5 4 3 3" xfId="47378" xr:uid="{75C1927A-39F3-49B6-939F-98EFA41A1905}"/>
    <cellStyle name="40% - Énfasis4 5 4 4" xfId="17206" xr:uid="{EA6E1331-094A-4A6F-BF9A-60A891CE6B11}"/>
    <cellStyle name="40% - Énfasis4 5 4 4 2" xfId="47380" xr:uid="{7B9B9A65-6D8E-4053-A9A7-020C775FAD23}"/>
    <cellStyle name="40% - Énfasis4 5 4 5" xfId="47373" xr:uid="{4ABEC7F0-1AA1-4031-8559-6F8862AC25F7}"/>
    <cellStyle name="40% - Énfasis4 5 5" xfId="4040" xr:uid="{A544BA74-C979-457F-A42A-31A2AF8341A6}"/>
    <cellStyle name="40% - Énfasis4 5 5 2" xfId="11748" xr:uid="{EC23CF82-7C71-4D68-86BE-89A5048A7ECC}"/>
    <cellStyle name="40% - Énfasis4 5 5 2 2" xfId="27160" xr:uid="{1118D5B9-1C5D-4A52-8CC2-A12560527F39}"/>
    <cellStyle name="40% - Énfasis4 5 5 2 2 2" xfId="47383" xr:uid="{4F0FD054-B608-4144-8105-1BFAF413FA4F}"/>
    <cellStyle name="40% - Énfasis4 5 5 2 3" xfId="47382" xr:uid="{AF5CC3B6-4BF6-4E08-8FBE-B86419281C22}"/>
    <cellStyle name="40% - Énfasis4 5 5 3" xfId="19455" xr:uid="{92371143-3F8B-4122-99B5-DFC677263B23}"/>
    <cellStyle name="40% - Énfasis4 5 5 3 2" xfId="47384" xr:uid="{42B7201A-8F3A-47A6-93E6-396081340680}"/>
    <cellStyle name="40% - Énfasis4 5 5 4" xfId="47381" xr:uid="{6E4D24EF-ECB6-4281-83C4-744E6B85C8EA}"/>
    <cellStyle name="40% - Énfasis4 5 6" xfId="8039" xr:uid="{CB04F976-D489-44EE-9C03-675EE780725F}"/>
    <cellStyle name="40% - Énfasis4 5 6 2" xfId="23452" xr:uid="{A3E67E7A-B59C-4490-B64F-B31DF4396E5C}"/>
    <cellStyle name="40% - Énfasis4 5 6 2 2" xfId="47386" xr:uid="{6B88546F-D6B1-47B8-9F86-6D5706ACB079}"/>
    <cellStyle name="40% - Énfasis4 5 6 3" xfId="47385" xr:uid="{4B3245CB-8D1B-43A6-BCC6-F0014D041B9C}"/>
    <cellStyle name="40% - Énfasis4 5 7" xfId="15747" xr:uid="{514963C5-FE2C-4406-B288-BE46EE330560}"/>
    <cellStyle name="40% - Énfasis4 5 7 2" xfId="47387" xr:uid="{10BCFA6A-36C8-4EFA-A8E5-B60A17357D23}"/>
    <cellStyle name="40% - Énfasis4 5 8" xfId="47324" xr:uid="{53F763EF-C81B-41E0-BF3D-54B767732112}"/>
    <cellStyle name="40% - Énfasis4 6" xfId="311" xr:uid="{E69803C2-87DC-4FC2-B3EF-64E658AB21CC}"/>
    <cellStyle name="40% - Énfasis4 6 2" xfId="514" xr:uid="{6C355E95-F9EC-47FA-AF6E-FFFFBF526757}"/>
    <cellStyle name="40% - Énfasis4 6 2 2" xfId="1175" xr:uid="{9C61CDEC-8F30-4C85-A468-A58E6DDF7008}"/>
    <cellStyle name="40% - Énfasis4 6 2 2 2" xfId="2643" xr:uid="{E5C2A2A9-9CC9-4064-B795-28818C6898BE}"/>
    <cellStyle name="40% - Énfasis4 6 2 2 2 2" xfId="6375" xr:uid="{1AF2B9A8-3CF9-4D7D-B1DB-0C4E08DE55D8}"/>
    <cellStyle name="40% - Énfasis4 6 2 2 2 2 2" xfId="14083" xr:uid="{A9D8FE29-1C97-4983-88A6-B5AA5F3F2D66}"/>
    <cellStyle name="40% - Énfasis4 6 2 2 2 2 2 2" xfId="29495" xr:uid="{14B19F22-C732-44EB-82D0-43AC08FE7B62}"/>
    <cellStyle name="40% - Énfasis4 6 2 2 2 2 2 2 2" xfId="47394" xr:uid="{37E132FE-A137-4679-81CF-F4342F825CDC}"/>
    <cellStyle name="40% - Énfasis4 6 2 2 2 2 2 3" xfId="47393" xr:uid="{F64DE330-7EC8-430F-8547-CCE83E9C0EEC}"/>
    <cellStyle name="40% - Énfasis4 6 2 2 2 2 3" xfId="21790" xr:uid="{807AD189-5D6A-4D22-91CB-029BFE4B6E5D}"/>
    <cellStyle name="40% - Énfasis4 6 2 2 2 2 3 2" xfId="47395" xr:uid="{8AB7C9B9-FD30-4D41-B982-456FAEA36010}"/>
    <cellStyle name="40% - Énfasis4 6 2 2 2 2 4" xfId="47392" xr:uid="{A45AC2F9-F213-4C9A-96C4-4F48ABF94E9C}"/>
    <cellStyle name="40% - Énfasis4 6 2 2 2 3" xfId="10354" xr:uid="{85E87347-6994-4734-872B-FE84FE16C945}"/>
    <cellStyle name="40% - Énfasis4 6 2 2 2 3 2" xfId="25767" xr:uid="{E2664381-7859-422C-9B5B-9C52179921C9}"/>
    <cellStyle name="40% - Énfasis4 6 2 2 2 3 2 2" xfId="47397" xr:uid="{3D920C43-7DA9-409C-9C37-DA735F901E15}"/>
    <cellStyle name="40% - Énfasis4 6 2 2 2 3 3" xfId="47396" xr:uid="{76ED429B-3488-47EC-AA05-257746261030}"/>
    <cellStyle name="40% - Énfasis4 6 2 2 2 4" xfId="18062" xr:uid="{6B902F9B-B1BC-4276-9CAC-D3F63401AD65}"/>
    <cellStyle name="40% - Énfasis4 6 2 2 2 4 2" xfId="47398" xr:uid="{F7EF32CE-810A-4905-B905-6A2D28594BA1}"/>
    <cellStyle name="40% - Énfasis4 6 2 2 2 5" xfId="47391" xr:uid="{C260EF2E-0C1A-4007-B7B4-726680F41138}"/>
    <cellStyle name="40% - Énfasis4 6 2 2 3" xfId="4912" xr:uid="{64FB16D1-D21E-4A30-8CD5-4F0090FB3043}"/>
    <cellStyle name="40% - Énfasis4 6 2 2 3 2" xfId="12620" xr:uid="{8B35CBF6-FC7D-4669-B8C6-C1BBF5A67113}"/>
    <cellStyle name="40% - Énfasis4 6 2 2 3 2 2" xfId="28032" xr:uid="{DFD19294-9528-4CAA-8D34-DE83C54B73D1}"/>
    <cellStyle name="40% - Énfasis4 6 2 2 3 2 2 2" xfId="47401" xr:uid="{EC45BDE2-65B4-48B4-8E24-4AE84679B51F}"/>
    <cellStyle name="40% - Énfasis4 6 2 2 3 2 3" xfId="47400" xr:uid="{24BF8707-D1F1-46FE-B555-A6FFAABAF877}"/>
    <cellStyle name="40% - Énfasis4 6 2 2 3 3" xfId="20327" xr:uid="{1478C610-26EE-447A-A6E6-08E21AA11132}"/>
    <cellStyle name="40% - Énfasis4 6 2 2 3 3 2" xfId="47402" xr:uid="{0B800CAC-74C2-414A-924F-6900A72E1538}"/>
    <cellStyle name="40% - Énfasis4 6 2 2 3 4" xfId="47399" xr:uid="{EAFCF6B5-B736-4FF2-BCF3-A1827355DCA3}"/>
    <cellStyle name="40% - Énfasis4 6 2 2 4" xfId="8895" xr:uid="{EDEF02EB-16B5-4ECF-89B6-C8AD4D6A3CB6}"/>
    <cellStyle name="40% - Énfasis4 6 2 2 4 2" xfId="24308" xr:uid="{E9991424-1B94-437F-B03D-E20FA80FF306}"/>
    <cellStyle name="40% - Énfasis4 6 2 2 4 2 2" xfId="47404" xr:uid="{0A38D7B2-AFF1-47B4-B1C3-4F566918722E}"/>
    <cellStyle name="40% - Énfasis4 6 2 2 4 3" xfId="47403" xr:uid="{1ECDFEAB-70D5-4C06-B933-74218FA9A2E2}"/>
    <cellStyle name="40% - Énfasis4 6 2 2 5" xfId="16603" xr:uid="{2328F54C-96A7-43E4-9045-CA00E23102E0}"/>
    <cellStyle name="40% - Énfasis4 6 2 2 5 2" xfId="47405" xr:uid="{458801DF-C896-4B1F-B5C7-201B11A5D9DE}"/>
    <cellStyle name="40% - Énfasis4 6 2 2 6" xfId="47390" xr:uid="{164048DF-F61B-46A2-A9E3-79869D34CAA7}"/>
    <cellStyle name="40% - Énfasis4 6 2 3" xfId="2005" xr:uid="{3AC266F1-0212-45B1-AC5C-A78A61A9F397}"/>
    <cellStyle name="40% - Énfasis4 6 2 3 2" xfId="5737" xr:uid="{8C68E957-DEEF-41E3-B74D-ACC6D7A25F1C}"/>
    <cellStyle name="40% - Énfasis4 6 2 3 2 2" xfId="13445" xr:uid="{5C8CEF93-9C41-4FFE-8F0F-690362C80EAA}"/>
    <cellStyle name="40% - Énfasis4 6 2 3 2 2 2" xfId="28857" xr:uid="{31D3BFCA-46E1-45D7-BDB6-0862CD470387}"/>
    <cellStyle name="40% - Énfasis4 6 2 3 2 2 2 2" xfId="47409" xr:uid="{15ABA6F8-0CA2-451E-B4B7-DA108B779023}"/>
    <cellStyle name="40% - Énfasis4 6 2 3 2 2 3" xfId="47408" xr:uid="{D8211F35-CC8F-4F05-9BA8-7001708E5774}"/>
    <cellStyle name="40% - Énfasis4 6 2 3 2 3" xfId="21152" xr:uid="{5CB68798-0833-4B78-A331-8532906FBADC}"/>
    <cellStyle name="40% - Énfasis4 6 2 3 2 3 2" xfId="47410" xr:uid="{35DAB7C1-A158-45E9-8179-79E404B75229}"/>
    <cellStyle name="40% - Énfasis4 6 2 3 2 4" xfId="47407" xr:uid="{FBEE471C-EA71-4CDE-9664-B140946B12E6}"/>
    <cellStyle name="40% - Énfasis4 6 2 3 3" xfId="9716" xr:uid="{58056319-F1B2-4889-8192-0C5E260DE42A}"/>
    <cellStyle name="40% - Énfasis4 6 2 3 3 2" xfId="25129" xr:uid="{B2698F4E-B90F-425C-9D22-81BADE5F2A08}"/>
    <cellStyle name="40% - Énfasis4 6 2 3 3 2 2" xfId="47412" xr:uid="{2F85B792-2300-42EC-9418-F5BC1EA13715}"/>
    <cellStyle name="40% - Énfasis4 6 2 3 3 3" xfId="47411" xr:uid="{E667125B-4C7F-479B-9694-8CC08C45E178}"/>
    <cellStyle name="40% - Énfasis4 6 2 3 4" xfId="17424" xr:uid="{825C0BF6-4EB7-4753-9F99-7EA1CB34F159}"/>
    <cellStyle name="40% - Énfasis4 6 2 3 4 2" xfId="47413" xr:uid="{24361D5A-B01A-47B5-8DF2-4D48FFC94FA9}"/>
    <cellStyle name="40% - Énfasis4 6 2 3 5" xfId="47406" xr:uid="{E4FFD234-FA61-4468-A2B7-CC4BEB02BF9F}"/>
    <cellStyle name="40% - Énfasis4 6 2 4" xfId="4260" xr:uid="{819B5C90-A8CA-46BE-B524-C337963F475E}"/>
    <cellStyle name="40% - Énfasis4 6 2 4 2" xfId="11968" xr:uid="{6BD50223-CF8D-4F0B-8B89-E51CF18D7ED4}"/>
    <cellStyle name="40% - Énfasis4 6 2 4 2 2" xfId="27380" xr:uid="{F8F5D540-F448-4132-816E-213410A8EF7B}"/>
    <cellStyle name="40% - Énfasis4 6 2 4 2 2 2" xfId="47416" xr:uid="{4110B585-09F4-490F-8B2D-7028B8743A69}"/>
    <cellStyle name="40% - Énfasis4 6 2 4 2 3" xfId="47415" xr:uid="{9BC425A1-B5CB-4280-90F1-7BA0616EA31E}"/>
    <cellStyle name="40% - Énfasis4 6 2 4 3" xfId="19675" xr:uid="{E04C2610-A6A3-49D8-8E86-17B445BD1D13}"/>
    <cellStyle name="40% - Énfasis4 6 2 4 3 2" xfId="47417" xr:uid="{228A59C9-176D-488C-A2A5-883C76EBF7CA}"/>
    <cellStyle name="40% - Énfasis4 6 2 4 4" xfId="47414" xr:uid="{E87C50B9-C2E7-4162-A164-44E34A65CF30}"/>
    <cellStyle name="40% - Énfasis4 6 2 5" xfId="8257" xr:uid="{D6BC031F-F058-43FE-8A6B-474581B4D3A0}"/>
    <cellStyle name="40% - Énfasis4 6 2 5 2" xfId="23670" xr:uid="{7FD8D520-F283-4D0E-B082-5F6ADFB86E06}"/>
    <cellStyle name="40% - Énfasis4 6 2 5 2 2" xfId="47419" xr:uid="{A7646B2B-7B00-4E22-ADD6-3486659BEDEB}"/>
    <cellStyle name="40% - Énfasis4 6 2 5 3" xfId="47418" xr:uid="{ED905371-B9DB-4D82-AAD1-2B843A3C0952}"/>
    <cellStyle name="40% - Énfasis4 6 2 6" xfId="15965" xr:uid="{4E5DADED-A943-4CB7-88F5-3D376E23BEBE}"/>
    <cellStyle name="40% - Énfasis4 6 2 6 2" xfId="47420" xr:uid="{E7F7C13A-E564-4A40-90BB-1388E8755CF3}"/>
    <cellStyle name="40% - Énfasis4 6 2 7" xfId="47389" xr:uid="{7D01D66D-784D-404F-ABE5-78AAC106FB9A}"/>
    <cellStyle name="40% - Énfasis4 6 3" xfId="975" xr:uid="{C92991A1-8D59-4D90-A48E-08F2575BF2D1}"/>
    <cellStyle name="40% - Énfasis4 6 3 2" xfId="2445" xr:uid="{A01FEDF2-0449-4AEA-A17A-0819AE5A51E2}"/>
    <cellStyle name="40% - Énfasis4 6 3 2 2" xfId="6177" xr:uid="{85213A26-9C59-4BC6-80AF-CB2768A3B71A}"/>
    <cellStyle name="40% - Énfasis4 6 3 2 2 2" xfId="13885" xr:uid="{6ED0DF26-3891-4585-A801-82DB2E5B15ED}"/>
    <cellStyle name="40% - Énfasis4 6 3 2 2 2 2" xfId="29297" xr:uid="{5B04A223-7E64-4DB0-84D9-24A37035A95D}"/>
    <cellStyle name="40% - Énfasis4 6 3 2 2 2 2 2" xfId="47425" xr:uid="{8D7FB739-7C29-4FC0-8416-EAB8BB61B517}"/>
    <cellStyle name="40% - Énfasis4 6 3 2 2 2 3" xfId="47424" xr:uid="{810CBBBF-6CDF-45F6-9BEB-DF8EFA909AA9}"/>
    <cellStyle name="40% - Énfasis4 6 3 2 2 3" xfId="21592" xr:uid="{64536B87-D0D0-40AB-9F9B-B10DA1332AAB}"/>
    <cellStyle name="40% - Énfasis4 6 3 2 2 3 2" xfId="47426" xr:uid="{5A74B0AB-DE4A-4480-96F3-F05F57CB6894}"/>
    <cellStyle name="40% - Énfasis4 6 3 2 2 4" xfId="47423" xr:uid="{49DBB57A-8087-495C-8373-1744ACF6B8B8}"/>
    <cellStyle name="40% - Énfasis4 6 3 2 3" xfId="10156" xr:uid="{FBB20D6C-357E-4FCE-BD94-6A6998721A5D}"/>
    <cellStyle name="40% - Énfasis4 6 3 2 3 2" xfId="25569" xr:uid="{038D1E3C-02D7-449E-99A8-B5ADA8337B70}"/>
    <cellStyle name="40% - Énfasis4 6 3 2 3 2 2" xfId="47428" xr:uid="{E50527D9-45D1-4917-938F-DA3CF9CC3BCA}"/>
    <cellStyle name="40% - Énfasis4 6 3 2 3 3" xfId="47427" xr:uid="{14589C15-B39E-4B2F-9980-43EAE8E3B92E}"/>
    <cellStyle name="40% - Énfasis4 6 3 2 4" xfId="17864" xr:uid="{BA58849C-CA36-450E-8047-5AD0B779FEE0}"/>
    <cellStyle name="40% - Énfasis4 6 3 2 4 2" xfId="47429" xr:uid="{7BD67419-6989-401E-BE2B-0808D2AB8DCF}"/>
    <cellStyle name="40% - Énfasis4 6 3 2 5" xfId="47422" xr:uid="{30C034C1-0B1A-42DD-BFCC-78DC82C88A50}"/>
    <cellStyle name="40% - Énfasis4 6 3 3" xfId="4712" xr:uid="{029C8AC0-6640-4C06-9F41-05E9A86FB430}"/>
    <cellStyle name="40% - Énfasis4 6 3 3 2" xfId="12420" xr:uid="{277145E4-C079-4100-B1FD-EE026B0A272B}"/>
    <cellStyle name="40% - Énfasis4 6 3 3 2 2" xfId="27832" xr:uid="{7E6B0F68-057F-46A8-B1D0-1F8F855240E4}"/>
    <cellStyle name="40% - Énfasis4 6 3 3 2 2 2" xfId="47432" xr:uid="{CD860BD6-76E6-43EE-ADEF-CA3C90BCC721}"/>
    <cellStyle name="40% - Énfasis4 6 3 3 2 3" xfId="47431" xr:uid="{D20726CB-AF87-476F-BC5D-00B015561817}"/>
    <cellStyle name="40% - Énfasis4 6 3 3 3" xfId="20127" xr:uid="{66BF034C-419D-4C46-969E-771190584D18}"/>
    <cellStyle name="40% - Énfasis4 6 3 3 3 2" xfId="47433" xr:uid="{05DF634E-2CD5-4AC0-8016-F6400774F252}"/>
    <cellStyle name="40% - Énfasis4 6 3 3 4" xfId="47430" xr:uid="{D9B19F65-839E-48BA-88DD-5D13A5E12B95}"/>
    <cellStyle name="40% - Énfasis4 6 3 4" xfId="8697" xr:uid="{AEF462A6-F089-45A4-AE24-045E620CC5C1}"/>
    <cellStyle name="40% - Énfasis4 6 3 4 2" xfId="24110" xr:uid="{2F7D5A55-940B-4F38-A2A0-4B36C3568E46}"/>
    <cellStyle name="40% - Énfasis4 6 3 4 2 2" xfId="47435" xr:uid="{812DC936-7594-4447-851A-AF7A6BCF49E8}"/>
    <cellStyle name="40% - Énfasis4 6 3 4 3" xfId="47434" xr:uid="{C8D3C5B1-A56E-4FF5-86D5-EE719AE88B5D}"/>
    <cellStyle name="40% - Énfasis4 6 3 5" xfId="16405" xr:uid="{9B970C97-1BFB-457B-8107-0AC7FF3826C4}"/>
    <cellStyle name="40% - Énfasis4 6 3 5 2" xfId="47436" xr:uid="{782C9EA3-901D-4D22-BC40-C834D829BC73}"/>
    <cellStyle name="40% - Énfasis4 6 3 6" xfId="47421" xr:uid="{6775FE92-F0ED-4CA0-9756-62FCF1C2CCD7}"/>
    <cellStyle name="40% - Énfasis4 6 4" xfId="1807" xr:uid="{D0A7F449-03BB-44A7-8241-C4B2BA45CFBC}"/>
    <cellStyle name="40% - Énfasis4 6 4 2" xfId="5539" xr:uid="{22F72A40-737B-487E-8A77-4512112FABF6}"/>
    <cellStyle name="40% - Énfasis4 6 4 2 2" xfId="13247" xr:uid="{A7FD2D0E-F4BC-4180-850C-585C53899818}"/>
    <cellStyle name="40% - Énfasis4 6 4 2 2 2" xfId="28659" xr:uid="{2D9AC048-BD6C-4AF1-B24C-C4A161317ADC}"/>
    <cellStyle name="40% - Énfasis4 6 4 2 2 2 2" xfId="47440" xr:uid="{B552F8F6-F7AD-4B39-A247-0B38E8E55D47}"/>
    <cellStyle name="40% - Énfasis4 6 4 2 2 3" xfId="47439" xr:uid="{B387C8CA-B804-4BD3-9A0F-76E0D68CDDA1}"/>
    <cellStyle name="40% - Énfasis4 6 4 2 3" xfId="20954" xr:uid="{5E69667A-AE32-4E05-A702-1844BD0760A9}"/>
    <cellStyle name="40% - Énfasis4 6 4 2 3 2" xfId="47441" xr:uid="{49BAB612-21A3-43D9-B722-F7E4A294E87F}"/>
    <cellStyle name="40% - Énfasis4 6 4 2 4" xfId="47438" xr:uid="{69FADB3E-D8DA-4B61-8FA3-EEFC5A00B990}"/>
    <cellStyle name="40% - Énfasis4 6 4 3" xfId="9518" xr:uid="{71F77C12-015F-4948-ADA7-B4E6E883A43C}"/>
    <cellStyle name="40% - Énfasis4 6 4 3 2" xfId="24931" xr:uid="{D3A8308A-FE7C-4F94-B30D-C416A713C61A}"/>
    <cellStyle name="40% - Énfasis4 6 4 3 2 2" xfId="47443" xr:uid="{53F4BD96-78AD-4404-AB82-9F48FA08B604}"/>
    <cellStyle name="40% - Énfasis4 6 4 3 3" xfId="47442" xr:uid="{E04D8602-CECB-4C8B-8D1E-D8E197420BAA}"/>
    <cellStyle name="40% - Énfasis4 6 4 4" xfId="17226" xr:uid="{C1EB13D9-9C6C-4429-BC47-F67CEFE03670}"/>
    <cellStyle name="40% - Énfasis4 6 4 4 2" xfId="47444" xr:uid="{B83D3974-A6D6-4009-875A-29DC0AA76ABA}"/>
    <cellStyle name="40% - Énfasis4 6 4 5" xfId="47437" xr:uid="{67098F0B-C10D-49F6-BF0E-A3B4F52DCA7C}"/>
    <cellStyle name="40% - Énfasis4 6 5" xfId="4060" xr:uid="{767CBA4B-61A1-4ABA-B797-A353882E64F0}"/>
    <cellStyle name="40% - Énfasis4 6 5 2" xfId="11768" xr:uid="{4903527A-8E35-45B6-AA84-332378BBA05F}"/>
    <cellStyle name="40% - Énfasis4 6 5 2 2" xfId="27180" xr:uid="{AA033498-7F3B-4DCC-A0F5-E2D2A81FFF08}"/>
    <cellStyle name="40% - Énfasis4 6 5 2 2 2" xfId="47447" xr:uid="{4B04D0F8-6AE7-4A22-B602-47E665F59A4A}"/>
    <cellStyle name="40% - Énfasis4 6 5 2 3" xfId="47446" xr:uid="{B66B3CE2-EAA1-4695-9DE8-2203DEABBF12}"/>
    <cellStyle name="40% - Énfasis4 6 5 3" xfId="19475" xr:uid="{1DF592B1-9E71-4057-AFCE-F77AFBE2CDA7}"/>
    <cellStyle name="40% - Énfasis4 6 5 3 2" xfId="47448" xr:uid="{690D8336-2033-4233-B535-C2C1BACF7BD5}"/>
    <cellStyle name="40% - Énfasis4 6 5 4" xfId="47445" xr:uid="{91B14E58-DA93-42C8-9089-655B8DDFD6A9}"/>
    <cellStyle name="40% - Énfasis4 6 6" xfId="8059" xr:uid="{BF39256C-A725-4DFC-B578-0D92D4033736}"/>
    <cellStyle name="40% - Énfasis4 6 6 2" xfId="23472" xr:uid="{A45F2876-0AB3-4F06-83C9-49171E4F943C}"/>
    <cellStyle name="40% - Énfasis4 6 6 2 2" xfId="47450" xr:uid="{E93ED62C-57B8-4C6C-8A2D-89663EF87DF2}"/>
    <cellStyle name="40% - Énfasis4 6 6 3" xfId="47449" xr:uid="{1E8E4B5A-38EF-4932-A1A8-C26D91265077}"/>
    <cellStyle name="40% - Énfasis4 6 7" xfId="15767" xr:uid="{8ACE7F93-BFF3-4DAC-B417-9BEC711A6093}"/>
    <cellStyle name="40% - Énfasis4 6 7 2" xfId="47451" xr:uid="{5CDEE1C2-77C4-4967-A8BB-626DAB615B52}"/>
    <cellStyle name="40% - Énfasis4 6 8" xfId="47388" xr:uid="{931E34BA-D08F-4BA4-8531-5D5939FF380C}"/>
    <cellStyle name="40% - Énfasis4 7" xfId="534" xr:uid="{FDE22270-035D-4099-82A6-735C00FC7E7D}"/>
    <cellStyle name="40% - Énfasis4 7 2" xfId="1195" xr:uid="{84675ED6-3907-4167-BF44-1D59EF71BD62}"/>
    <cellStyle name="40% - Énfasis4 7 2 2" xfId="2663" xr:uid="{946E11F7-917A-4C7B-83DA-D2187E9EB439}"/>
    <cellStyle name="40% - Énfasis4 7 2 2 2" xfId="6395" xr:uid="{89D07C0A-6AD7-48DE-B8FB-48E9A28BFCA5}"/>
    <cellStyle name="40% - Énfasis4 7 2 2 2 2" xfId="14103" xr:uid="{77DCCAC1-7076-4820-A18B-E893006BC6AC}"/>
    <cellStyle name="40% - Énfasis4 7 2 2 2 2 2" xfId="29515" xr:uid="{AC32F4B4-D90B-43BD-960C-BC2448E54B17}"/>
    <cellStyle name="40% - Énfasis4 7 2 2 2 2 2 2" xfId="47457" xr:uid="{A85AB8E5-870A-4F5F-AEEF-18DD59A1E350}"/>
    <cellStyle name="40% - Énfasis4 7 2 2 2 2 3" xfId="47456" xr:uid="{88C21A14-7883-443B-BB3D-DFD02E7D5AB0}"/>
    <cellStyle name="40% - Énfasis4 7 2 2 2 3" xfId="21810" xr:uid="{64FA123D-9F00-44B7-BC5B-EAB9A72BBFC9}"/>
    <cellStyle name="40% - Énfasis4 7 2 2 2 3 2" xfId="47458" xr:uid="{E2E73136-BABD-4101-BFF0-02035941FFF3}"/>
    <cellStyle name="40% - Énfasis4 7 2 2 2 4" xfId="47455" xr:uid="{6FE5A7F7-378A-4C02-A760-AB451219E5C6}"/>
    <cellStyle name="40% - Énfasis4 7 2 2 3" xfId="10374" xr:uid="{2FA043DF-B554-40A5-BE29-0D24D149F9BF}"/>
    <cellStyle name="40% - Énfasis4 7 2 2 3 2" xfId="25787" xr:uid="{946A9537-DE1E-4D80-AB99-787B8BF12339}"/>
    <cellStyle name="40% - Énfasis4 7 2 2 3 2 2" xfId="47460" xr:uid="{893FC1A1-4021-41C8-A723-3DC3B5F37570}"/>
    <cellStyle name="40% - Énfasis4 7 2 2 3 3" xfId="47459" xr:uid="{A53EBDDB-B876-4A52-B807-28EC474C39D4}"/>
    <cellStyle name="40% - Énfasis4 7 2 2 4" xfId="18082" xr:uid="{2F74A169-06B4-4B5B-8D8F-9827219A3B75}"/>
    <cellStyle name="40% - Énfasis4 7 2 2 4 2" xfId="47461" xr:uid="{C0E57595-8F52-46FB-B988-D652D85488B6}"/>
    <cellStyle name="40% - Énfasis4 7 2 2 5" xfId="47454" xr:uid="{FD651ECB-A2F6-4DF8-8EA3-040742541EB7}"/>
    <cellStyle name="40% - Énfasis4 7 2 3" xfId="4932" xr:uid="{EA393E46-A05D-42A3-9F10-7A7C8F32851B}"/>
    <cellStyle name="40% - Énfasis4 7 2 3 2" xfId="12640" xr:uid="{029CD398-D281-4F13-9420-7398F0C8658D}"/>
    <cellStyle name="40% - Énfasis4 7 2 3 2 2" xfId="28052" xr:uid="{68F71FD6-2818-4269-96CE-D31919A818A6}"/>
    <cellStyle name="40% - Énfasis4 7 2 3 2 2 2" xfId="47464" xr:uid="{152C3E46-59F3-4A3C-9139-71BB0A203076}"/>
    <cellStyle name="40% - Énfasis4 7 2 3 2 3" xfId="47463" xr:uid="{8B2AE8F0-171B-49A2-8657-6F02339482D8}"/>
    <cellStyle name="40% - Énfasis4 7 2 3 3" xfId="20347" xr:uid="{B54A84E7-C223-46AA-A278-E37B7DB347AA}"/>
    <cellStyle name="40% - Énfasis4 7 2 3 3 2" xfId="47465" xr:uid="{FDCAE6CD-4D39-4FC7-B7FA-2DD1C7E98EFC}"/>
    <cellStyle name="40% - Énfasis4 7 2 3 4" xfId="47462" xr:uid="{A5AEB116-5C02-42BE-89F3-B366726BEAFB}"/>
    <cellStyle name="40% - Énfasis4 7 2 4" xfId="8915" xr:uid="{C44329EA-3E4F-4848-87DD-25DE18442E07}"/>
    <cellStyle name="40% - Énfasis4 7 2 4 2" xfId="24328" xr:uid="{B0DB1E40-3471-4B2F-BF4D-9BE81D85EDB4}"/>
    <cellStyle name="40% - Énfasis4 7 2 4 2 2" xfId="47467" xr:uid="{1467CAB7-26AE-4296-87A5-23D4A7B3CE14}"/>
    <cellStyle name="40% - Énfasis4 7 2 4 3" xfId="47466" xr:uid="{B62A80CC-577F-4E23-BC21-61DD783BC8A2}"/>
    <cellStyle name="40% - Énfasis4 7 2 5" xfId="16623" xr:uid="{2D716EAA-B39A-42B6-BD95-BBB65D63C961}"/>
    <cellStyle name="40% - Énfasis4 7 2 5 2" xfId="47468" xr:uid="{0CC1B5C6-DAB1-491E-8E37-2C354B4BEE01}"/>
    <cellStyle name="40% - Énfasis4 7 2 6" xfId="47453" xr:uid="{CAFF9A9B-D715-4E6F-85AE-7F4D63C30CF4}"/>
    <cellStyle name="40% - Énfasis4 7 3" xfId="2025" xr:uid="{CEDFFF06-6E90-47C4-B7BA-96DE8EEFB6A5}"/>
    <cellStyle name="40% - Énfasis4 7 3 2" xfId="5757" xr:uid="{38E4876F-5C83-4340-9B83-5670D0916073}"/>
    <cellStyle name="40% - Énfasis4 7 3 2 2" xfId="13465" xr:uid="{363C0A14-E123-46B6-9D1C-8C6F96B3D9D3}"/>
    <cellStyle name="40% - Énfasis4 7 3 2 2 2" xfId="28877" xr:uid="{9B4E248F-402D-4F5B-9B6A-6027F7DF33D0}"/>
    <cellStyle name="40% - Énfasis4 7 3 2 2 2 2" xfId="47472" xr:uid="{618B17A6-2C71-4866-80AD-04B2B87D7923}"/>
    <cellStyle name="40% - Énfasis4 7 3 2 2 3" xfId="47471" xr:uid="{9AC5F352-F795-4D7B-9B11-4A928781E330}"/>
    <cellStyle name="40% - Énfasis4 7 3 2 3" xfId="21172" xr:uid="{190CAF83-5C7D-4483-B6FC-19235CA37DC8}"/>
    <cellStyle name="40% - Énfasis4 7 3 2 3 2" xfId="47473" xr:uid="{832F2F42-DB1A-4316-845C-0CEECD9428C2}"/>
    <cellStyle name="40% - Énfasis4 7 3 2 4" xfId="47470" xr:uid="{A39C935C-0E5E-4583-955A-DED7171D97E2}"/>
    <cellStyle name="40% - Énfasis4 7 3 3" xfId="9736" xr:uid="{AAC4B1BB-20C2-461D-B804-E3D9AD1B02BF}"/>
    <cellStyle name="40% - Énfasis4 7 3 3 2" xfId="25149" xr:uid="{A8F9E152-306D-4BC5-8715-3884AAA2F453}"/>
    <cellStyle name="40% - Énfasis4 7 3 3 2 2" xfId="47475" xr:uid="{D6C54B36-A2F6-4230-B0C6-1E5BEE4E4311}"/>
    <cellStyle name="40% - Énfasis4 7 3 3 3" xfId="47474" xr:uid="{48D3D4E7-B487-4CEC-AF74-2F82E2ED7CEB}"/>
    <cellStyle name="40% - Énfasis4 7 3 4" xfId="17444" xr:uid="{D7504918-4034-44C5-9CD3-4D521F5D60A3}"/>
    <cellStyle name="40% - Énfasis4 7 3 4 2" xfId="47476" xr:uid="{F5380912-3C98-48FC-9B9D-C8E7E1A4F096}"/>
    <cellStyle name="40% - Énfasis4 7 3 5" xfId="47469" xr:uid="{4DE3A6A4-FBA3-42E3-8E57-01397574221A}"/>
    <cellStyle name="40% - Énfasis4 7 4" xfId="4280" xr:uid="{8AA64632-A6A4-48BE-9C6F-AD657C3FFA6B}"/>
    <cellStyle name="40% - Énfasis4 7 4 2" xfId="11988" xr:uid="{428D4BD7-9964-40F9-814C-5159AEB70214}"/>
    <cellStyle name="40% - Énfasis4 7 4 2 2" xfId="27400" xr:uid="{21135775-7B8F-451D-9637-C010B4C77226}"/>
    <cellStyle name="40% - Énfasis4 7 4 2 2 2" xfId="47479" xr:uid="{8305F4DD-A23D-411C-B9CC-12CD876404DE}"/>
    <cellStyle name="40% - Énfasis4 7 4 2 3" xfId="47478" xr:uid="{965B5C6A-74D8-437C-9F79-A0C9A27B4282}"/>
    <cellStyle name="40% - Énfasis4 7 4 3" xfId="19695" xr:uid="{6B829CDC-8B44-4BBA-B5D9-344A2A1684E8}"/>
    <cellStyle name="40% - Énfasis4 7 4 3 2" xfId="47480" xr:uid="{07B4F9F6-AC4E-4A18-A1FB-4E9C3C0E5C82}"/>
    <cellStyle name="40% - Énfasis4 7 4 4" xfId="47477" xr:uid="{2ECAEA7B-86C4-4D31-ACE0-740B5C41CE6F}"/>
    <cellStyle name="40% - Énfasis4 7 5" xfId="8277" xr:uid="{75483642-FE36-4654-A0F7-C729FDB13BDE}"/>
    <cellStyle name="40% - Énfasis4 7 5 2" xfId="23690" xr:uid="{DF4C3389-1BDD-4C0A-9863-BD784E1D6527}"/>
    <cellStyle name="40% - Énfasis4 7 5 2 2" xfId="47482" xr:uid="{8B75A582-69F1-42A6-A2BC-797E636D73F9}"/>
    <cellStyle name="40% - Énfasis4 7 5 3" xfId="47481" xr:uid="{DB34E335-116E-41E2-AC87-56B5C0CA4B66}"/>
    <cellStyle name="40% - Énfasis4 7 6" xfId="15985" xr:uid="{A71490BE-3C4A-4FDA-8830-739AA1BC3FA0}"/>
    <cellStyle name="40% - Énfasis4 7 6 2" xfId="47483" xr:uid="{820E251B-87CC-408B-B355-7DA56B278CE5}"/>
    <cellStyle name="40% - Énfasis4 7 7" xfId="47452" xr:uid="{C16E505B-F051-44F0-9C02-893976431914}"/>
    <cellStyle name="40% - Énfasis4 8" xfId="554" xr:uid="{93C34338-8CA7-4C71-90AF-463FB0841C0E}"/>
    <cellStyle name="40% - Énfasis4 8 2" xfId="1215" xr:uid="{3DEEFBE5-6032-4EAE-B23B-D91C777F920D}"/>
    <cellStyle name="40% - Énfasis4 8 2 2" xfId="2683" xr:uid="{9F29B613-7FAF-451C-8FDF-73CFEDE3A1AB}"/>
    <cellStyle name="40% - Énfasis4 8 2 2 2" xfId="6415" xr:uid="{616E24E7-6966-4A53-B482-0E92F828DA1F}"/>
    <cellStyle name="40% - Énfasis4 8 2 2 2 2" xfId="14123" xr:uid="{E190F91F-DEF9-41B7-B3B7-5086F87681E4}"/>
    <cellStyle name="40% - Énfasis4 8 2 2 2 2 2" xfId="29535" xr:uid="{81D33411-4905-43E7-8C0F-8862C60B868B}"/>
    <cellStyle name="40% - Énfasis4 8 2 2 2 2 2 2" xfId="47489" xr:uid="{0ACCD11A-FFEA-4AA6-9F0B-27948910B516}"/>
    <cellStyle name="40% - Énfasis4 8 2 2 2 2 3" xfId="47488" xr:uid="{4AD9906F-FB9B-4E79-819B-585D3D1DC36E}"/>
    <cellStyle name="40% - Énfasis4 8 2 2 2 3" xfId="21830" xr:uid="{89B603EB-4A92-42DF-B665-E191940144CC}"/>
    <cellStyle name="40% - Énfasis4 8 2 2 2 3 2" xfId="47490" xr:uid="{CB797377-6672-4F33-B333-38CA647B3FF6}"/>
    <cellStyle name="40% - Énfasis4 8 2 2 2 4" xfId="47487" xr:uid="{7E3127B7-2CE4-454C-ACDB-07CF1ED0B46D}"/>
    <cellStyle name="40% - Énfasis4 8 2 2 3" xfId="10394" xr:uid="{983DDC8D-4D36-4B18-BBD6-3BE4C82A0B73}"/>
    <cellStyle name="40% - Énfasis4 8 2 2 3 2" xfId="25807" xr:uid="{702E8A1D-898F-49EF-9E04-10279B50B1E5}"/>
    <cellStyle name="40% - Énfasis4 8 2 2 3 2 2" xfId="47492" xr:uid="{E8EDC690-7C55-4513-89AD-1071DC7B9AC8}"/>
    <cellStyle name="40% - Énfasis4 8 2 2 3 3" xfId="47491" xr:uid="{B307A64C-095B-47A2-8113-A9034BE705E4}"/>
    <cellStyle name="40% - Énfasis4 8 2 2 4" xfId="18102" xr:uid="{7B00AB57-5CEB-4F38-BB6B-BD0C7A66CABA}"/>
    <cellStyle name="40% - Énfasis4 8 2 2 4 2" xfId="47493" xr:uid="{CF9CF191-782C-4FD8-A866-0173E83D0A56}"/>
    <cellStyle name="40% - Énfasis4 8 2 2 5" xfId="47486" xr:uid="{4AE5971E-48C6-47A4-8803-7F1128E05527}"/>
    <cellStyle name="40% - Énfasis4 8 2 3" xfId="4952" xr:uid="{07204076-8BED-46C3-887A-11F209081A1D}"/>
    <cellStyle name="40% - Énfasis4 8 2 3 2" xfId="12660" xr:uid="{6C909F9F-7DCC-4F2D-98A2-8A8390023028}"/>
    <cellStyle name="40% - Énfasis4 8 2 3 2 2" xfId="28072" xr:uid="{2638FB49-E2AD-49DB-9181-C5F1D94FDD6D}"/>
    <cellStyle name="40% - Énfasis4 8 2 3 2 2 2" xfId="47496" xr:uid="{60F6DC25-73BD-4E12-B528-2B7DE06AB0BB}"/>
    <cellStyle name="40% - Énfasis4 8 2 3 2 3" xfId="47495" xr:uid="{953CC758-90C9-4FBE-9133-C76654D8D455}"/>
    <cellStyle name="40% - Énfasis4 8 2 3 3" xfId="20367" xr:uid="{1A816297-B18B-48E1-9261-E25395D9DA92}"/>
    <cellStyle name="40% - Énfasis4 8 2 3 3 2" xfId="47497" xr:uid="{3A35E5F1-9680-473A-8139-FA7CC3FE8B5B}"/>
    <cellStyle name="40% - Énfasis4 8 2 3 4" xfId="47494" xr:uid="{6E65DE71-2664-4FB8-9B48-75B1CCDE71DB}"/>
    <cellStyle name="40% - Énfasis4 8 2 4" xfId="8935" xr:uid="{1C8BA5F7-C4F9-4DBD-8D3D-F485CF0B2732}"/>
    <cellStyle name="40% - Énfasis4 8 2 4 2" xfId="24348" xr:uid="{E92DA433-BB55-4469-B816-4DC753D96332}"/>
    <cellStyle name="40% - Énfasis4 8 2 4 2 2" xfId="47499" xr:uid="{205FAFA5-5100-4B0C-BF59-5E848CE58BA4}"/>
    <cellStyle name="40% - Énfasis4 8 2 4 3" xfId="47498" xr:uid="{262621D2-01C7-45A4-A23D-8F7C5A64C209}"/>
    <cellStyle name="40% - Énfasis4 8 2 5" xfId="16643" xr:uid="{743931EC-B739-46B7-ACA5-3720E966ECB0}"/>
    <cellStyle name="40% - Énfasis4 8 2 5 2" xfId="47500" xr:uid="{0BF5C5A3-E670-4165-B407-F4C9DC93D495}"/>
    <cellStyle name="40% - Énfasis4 8 2 6" xfId="47485" xr:uid="{9FD2ED39-7598-4C3C-A1E8-C009B3C9EE0A}"/>
    <cellStyle name="40% - Énfasis4 8 3" xfId="2045" xr:uid="{ED59FA30-595C-4A39-B3F6-BFDF64505CA9}"/>
    <cellStyle name="40% - Énfasis4 8 3 2" xfId="5777" xr:uid="{23F7165E-D461-4941-9665-3F1038EE3367}"/>
    <cellStyle name="40% - Énfasis4 8 3 2 2" xfId="13485" xr:uid="{6C632ABA-1A2F-4207-B24D-F3D90FBF3C6C}"/>
    <cellStyle name="40% - Énfasis4 8 3 2 2 2" xfId="28897" xr:uid="{53DA6A47-9D98-43C6-88E9-153A7C5C7807}"/>
    <cellStyle name="40% - Énfasis4 8 3 2 2 2 2" xfId="47504" xr:uid="{2FBCDCC7-932F-4989-A78C-3D5FFC950B65}"/>
    <cellStyle name="40% - Énfasis4 8 3 2 2 3" xfId="47503" xr:uid="{C4F89661-C5BE-4229-BDD6-3A373B6DC1AD}"/>
    <cellStyle name="40% - Énfasis4 8 3 2 3" xfId="21192" xr:uid="{06158DAF-12B4-4933-89B8-CC3C98E75E97}"/>
    <cellStyle name="40% - Énfasis4 8 3 2 3 2" xfId="47505" xr:uid="{D2B63E56-1023-4A98-9929-A41C88BF9BBC}"/>
    <cellStyle name="40% - Énfasis4 8 3 2 4" xfId="47502" xr:uid="{3A942706-F170-4CCD-8DD1-1AA961377DA8}"/>
    <cellStyle name="40% - Énfasis4 8 3 3" xfId="9756" xr:uid="{73BB1EE2-B67A-4EFA-8C25-8851B87F05C8}"/>
    <cellStyle name="40% - Énfasis4 8 3 3 2" xfId="25169" xr:uid="{D5132F20-EA5A-4F5B-B4F0-9C8EFD17E1FE}"/>
    <cellStyle name="40% - Énfasis4 8 3 3 2 2" xfId="47507" xr:uid="{1C6E2F38-98F6-424D-8B2E-0D899A3632CD}"/>
    <cellStyle name="40% - Énfasis4 8 3 3 3" xfId="47506" xr:uid="{24F149BC-C3E7-42A0-839F-D0597C7FA2C3}"/>
    <cellStyle name="40% - Énfasis4 8 3 4" xfId="17464" xr:uid="{1182854B-325B-482B-8C94-EE1E0834FCF3}"/>
    <cellStyle name="40% - Énfasis4 8 3 4 2" xfId="47508" xr:uid="{BA1FB8B3-49BE-470F-B7E6-72E4B38F1ED6}"/>
    <cellStyle name="40% - Énfasis4 8 3 5" xfId="47501" xr:uid="{63F61B25-93AD-41BF-A882-859C1E323C9B}"/>
    <cellStyle name="40% - Énfasis4 8 4" xfId="4300" xr:uid="{9C18BFA6-C2F3-4188-8B23-6E3D150A7FDF}"/>
    <cellStyle name="40% - Énfasis4 8 4 2" xfId="12008" xr:uid="{37DBDA82-3402-4692-A8B2-4CBF90073F2F}"/>
    <cellStyle name="40% - Énfasis4 8 4 2 2" xfId="27420" xr:uid="{7065FD89-A445-4469-908F-7F531EB706A0}"/>
    <cellStyle name="40% - Énfasis4 8 4 2 2 2" xfId="47511" xr:uid="{3C9C7574-4701-4633-B4AB-CCE200236A07}"/>
    <cellStyle name="40% - Énfasis4 8 4 2 3" xfId="47510" xr:uid="{B5432EEA-0748-4DA8-88FC-31DAECA9036C}"/>
    <cellStyle name="40% - Énfasis4 8 4 3" xfId="19715" xr:uid="{E28E554B-0844-4622-99E4-0BF8E2D6AD96}"/>
    <cellStyle name="40% - Énfasis4 8 4 3 2" xfId="47512" xr:uid="{053DDBA1-39DE-4189-96F3-BECEF1967CA1}"/>
    <cellStyle name="40% - Énfasis4 8 4 4" xfId="47509" xr:uid="{BF9E068B-9E5C-4495-8F89-EB9B9E0EF676}"/>
    <cellStyle name="40% - Énfasis4 8 5" xfId="8297" xr:uid="{902DBC29-3CAD-46AF-A239-BFCEF57EC836}"/>
    <cellStyle name="40% - Énfasis4 8 5 2" xfId="23710" xr:uid="{2C58FE0D-B6C3-4B79-A831-025184D6943B}"/>
    <cellStyle name="40% - Énfasis4 8 5 2 2" xfId="47514" xr:uid="{BEBBC124-609C-45E9-8A2C-9364C0078E78}"/>
    <cellStyle name="40% - Énfasis4 8 5 3" xfId="47513" xr:uid="{61C4DCDC-D13A-4963-BF0C-DAB892289B9B}"/>
    <cellStyle name="40% - Énfasis4 8 6" xfId="16005" xr:uid="{7A6E6FC2-6613-44C6-B2DD-38B7722F0FC9}"/>
    <cellStyle name="40% - Énfasis4 8 6 2" xfId="47515" xr:uid="{7C8F46AB-EAB7-4F3D-8A32-BDFF10AA569A}"/>
    <cellStyle name="40% - Énfasis4 8 7" xfId="47484" xr:uid="{3870413B-33A4-4974-9E11-BEC50F9A29FF}"/>
    <cellStyle name="40% - Énfasis4 9" xfId="574" xr:uid="{5316167D-9C79-4F1E-8222-E9DCEAD945AA}"/>
    <cellStyle name="40% - Énfasis4 9 2" xfId="1235" xr:uid="{6983A2FB-E594-476C-9841-F850AD25DC94}"/>
    <cellStyle name="40% - Énfasis4 9 2 2" xfId="2703" xr:uid="{240A0927-99D0-4327-A286-D99EB56F04EE}"/>
    <cellStyle name="40% - Énfasis4 9 2 2 2" xfId="6435" xr:uid="{FF9A4A1C-D344-464D-9CCA-61392E5C0DEE}"/>
    <cellStyle name="40% - Énfasis4 9 2 2 2 2" xfId="14143" xr:uid="{5CE82DBB-07D6-4A9E-9D4D-EB767B16A40C}"/>
    <cellStyle name="40% - Énfasis4 9 2 2 2 2 2" xfId="29555" xr:uid="{539FFB81-B17E-42C2-A7FA-A25871C592A7}"/>
    <cellStyle name="40% - Énfasis4 9 2 2 2 2 2 2" xfId="47521" xr:uid="{E529B849-5459-4F2C-BB55-32056E46BD86}"/>
    <cellStyle name="40% - Énfasis4 9 2 2 2 2 3" xfId="47520" xr:uid="{324892C3-2A25-470B-A1BE-2B9165C20CF2}"/>
    <cellStyle name="40% - Énfasis4 9 2 2 2 3" xfId="21850" xr:uid="{6CF04E0C-8AF3-482F-BF72-D380685B6D11}"/>
    <cellStyle name="40% - Énfasis4 9 2 2 2 3 2" xfId="47522" xr:uid="{14EFC54D-996F-404B-AD0A-6CF6E363BD08}"/>
    <cellStyle name="40% - Énfasis4 9 2 2 2 4" xfId="47519" xr:uid="{DFA3FE54-A165-4E0C-84BF-0060BE32FED8}"/>
    <cellStyle name="40% - Énfasis4 9 2 2 3" xfId="10414" xr:uid="{5C5877D9-949C-4527-A21B-FBADD309D799}"/>
    <cellStyle name="40% - Énfasis4 9 2 2 3 2" xfId="25827" xr:uid="{48B59385-9048-406C-BAE3-DBC893F1FFF9}"/>
    <cellStyle name="40% - Énfasis4 9 2 2 3 2 2" xfId="47524" xr:uid="{FB5128BB-09F6-4C13-8B67-DFF5E60BDAD1}"/>
    <cellStyle name="40% - Énfasis4 9 2 2 3 3" xfId="47523" xr:uid="{EA03C012-0D17-4BB7-997B-49D8788F31C1}"/>
    <cellStyle name="40% - Énfasis4 9 2 2 4" xfId="18122" xr:uid="{5E8732F3-CAFA-42E0-9502-1FBE958264A7}"/>
    <cellStyle name="40% - Énfasis4 9 2 2 4 2" xfId="47525" xr:uid="{F0E88A08-580F-43B2-8BAA-FB5E574CBA8A}"/>
    <cellStyle name="40% - Énfasis4 9 2 2 5" xfId="47518" xr:uid="{CBA4A508-398A-4799-A164-E767E66336C8}"/>
    <cellStyle name="40% - Énfasis4 9 2 3" xfId="4972" xr:uid="{A0CBA66B-446A-4ACD-8E39-B4DCD50E4492}"/>
    <cellStyle name="40% - Énfasis4 9 2 3 2" xfId="12680" xr:uid="{99D0CAF0-D7E3-4962-BDC7-E3C7E6BC015A}"/>
    <cellStyle name="40% - Énfasis4 9 2 3 2 2" xfId="28092" xr:uid="{EF008FCE-03DF-4F96-81B5-545D757277D5}"/>
    <cellStyle name="40% - Énfasis4 9 2 3 2 2 2" xfId="47528" xr:uid="{9ED37DA6-2B56-4E35-954D-90DDAFA1ABBF}"/>
    <cellStyle name="40% - Énfasis4 9 2 3 2 3" xfId="47527" xr:uid="{44CA7788-05FA-4438-9B36-E335BCF7C665}"/>
    <cellStyle name="40% - Énfasis4 9 2 3 3" xfId="20387" xr:uid="{1242618F-78CB-41A4-9298-94C82C41B3DB}"/>
    <cellStyle name="40% - Énfasis4 9 2 3 3 2" xfId="47529" xr:uid="{39FA02D3-92E0-43AE-8928-5BE1F45A1FFA}"/>
    <cellStyle name="40% - Énfasis4 9 2 3 4" xfId="47526" xr:uid="{865EBBD8-FF86-4352-A19D-46626D526617}"/>
    <cellStyle name="40% - Énfasis4 9 2 4" xfId="8955" xr:uid="{C6CC2922-E814-41FD-8135-EEA26B4C26C5}"/>
    <cellStyle name="40% - Énfasis4 9 2 4 2" xfId="24368" xr:uid="{16945985-37D0-457C-9F81-97432636D04E}"/>
    <cellStyle name="40% - Énfasis4 9 2 4 2 2" xfId="47531" xr:uid="{65C30C47-C71D-4A24-B35D-460FBE330F1E}"/>
    <cellStyle name="40% - Énfasis4 9 2 4 3" xfId="47530" xr:uid="{FAE46A86-9C69-46AF-BA66-7EF91852E0AF}"/>
    <cellStyle name="40% - Énfasis4 9 2 5" xfId="16663" xr:uid="{007A81A9-916B-4EBF-B79E-45E65F7A6610}"/>
    <cellStyle name="40% - Énfasis4 9 2 5 2" xfId="47532" xr:uid="{EE8DA83F-C35A-4933-AD72-4E1E421BFAB8}"/>
    <cellStyle name="40% - Énfasis4 9 2 6" xfId="47517" xr:uid="{875124C4-0BDE-47F3-AB59-C689F0CB9E22}"/>
    <cellStyle name="40% - Énfasis4 9 3" xfId="2065" xr:uid="{4CA3DE4B-96C5-478F-8A9F-63E1FDEA08EB}"/>
    <cellStyle name="40% - Énfasis4 9 3 2" xfId="5797" xr:uid="{F4154334-099F-4844-A275-D2E08025F6DF}"/>
    <cellStyle name="40% - Énfasis4 9 3 2 2" xfId="13505" xr:uid="{C2CF1F27-F9BD-4098-B49B-74C316B76B39}"/>
    <cellStyle name="40% - Énfasis4 9 3 2 2 2" xfId="28917" xr:uid="{42603CC1-89C7-450B-9653-CC395CFD72AB}"/>
    <cellStyle name="40% - Énfasis4 9 3 2 2 2 2" xfId="47536" xr:uid="{B98C643E-7A9C-4CEC-A85E-C7451F715517}"/>
    <cellStyle name="40% - Énfasis4 9 3 2 2 3" xfId="47535" xr:uid="{476EEC5E-8D9D-4E14-BF8C-E4D348FA1D00}"/>
    <cellStyle name="40% - Énfasis4 9 3 2 3" xfId="21212" xr:uid="{68B1383B-52F1-4C32-AFB8-849039A2B11C}"/>
    <cellStyle name="40% - Énfasis4 9 3 2 3 2" xfId="47537" xr:uid="{F625018B-5578-4890-A948-E8E51CCF8FA2}"/>
    <cellStyle name="40% - Énfasis4 9 3 2 4" xfId="47534" xr:uid="{42D832CB-B3B2-4559-8CF7-2B925EEEF363}"/>
    <cellStyle name="40% - Énfasis4 9 3 3" xfId="9776" xr:uid="{0B7569D6-BDF5-438E-99D4-E85CE5278D21}"/>
    <cellStyle name="40% - Énfasis4 9 3 3 2" xfId="25189" xr:uid="{F990AA94-F058-4159-8E87-579737B16746}"/>
    <cellStyle name="40% - Énfasis4 9 3 3 2 2" xfId="47539" xr:uid="{1793B5BB-99FB-41C5-B807-8A8DE0EC762F}"/>
    <cellStyle name="40% - Énfasis4 9 3 3 3" xfId="47538" xr:uid="{17F9BD29-E0D2-476E-80A6-1BEC50BD9425}"/>
    <cellStyle name="40% - Énfasis4 9 3 4" xfId="17484" xr:uid="{9CE6694A-42DB-4C4E-8F9B-243D831B40E9}"/>
    <cellStyle name="40% - Énfasis4 9 3 4 2" xfId="47540" xr:uid="{5BA31EAE-E564-4A7D-A6B9-109BD739C10D}"/>
    <cellStyle name="40% - Énfasis4 9 3 5" xfId="47533" xr:uid="{80979C30-3FF0-4462-B4B1-7EEEC207CAFC}"/>
    <cellStyle name="40% - Énfasis4 9 4" xfId="4320" xr:uid="{335BB91A-7D40-4D94-8221-1E9356460520}"/>
    <cellStyle name="40% - Énfasis4 9 4 2" xfId="12028" xr:uid="{9CB12827-A19B-40C0-977A-E8F7C4533A51}"/>
    <cellStyle name="40% - Énfasis4 9 4 2 2" xfId="27440" xr:uid="{216C5B5F-C997-486A-B30C-201E97E83BA9}"/>
    <cellStyle name="40% - Énfasis4 9 4 2 2 2" xfId="47543" xr:uid="{3DB4F750-025F-4C33-AAB7-A5044DECAACF}"/>
    <cellStyle name="40% - Énfasis4 9 4 2 3" xfId="47542" xr:uid="{1C127310-211E-435B-B669-D5411CF166CA}"/>
    <cellStyle name="40% - Énfasis4 9 4 3" xfId="19735" xr:uid="{089628BF-1E59-42B3-A4ED-00B3875FEDBB}"/>
    <cellStyle name="40% - Énfasis4 9 4 3 2" xfId="47544" xr:uid="{B2D4A024-4C2F-43A5-9C46-03E1B31D91C9}"/>
    <cellStyle name="40% - Énfasis4 9 4 4" xfId="47541" xr:uid="{1244B37C-FF5A-44F7-A634-D1126C2803AC}"/>
    <cellStyle name="40% - Énfasis4 9 5" xfId="8317" xr:uid="{6ADE215F-FD6F-4D31-9228-5333AAE5E455}"/>
    <cellStyle name="40% - Énfasis4 9 5 2" xfId="23730" xr:uid="{40F1A22D-F26B-46F1-B9E4-390D972F953D}"/>
    <cellStyle name="40% - Énfasis4 9 5 2 2" xfId="47546" xr:uid="{25FDB5AF-A08B-46C7-859E-1C7B9A041889}"/>
    <cellStyle name="40% - Énfasis4 9 5 3" xfId="47545" xr:uid="{0E3C1BA7-7140-45BB-BECB-BF0C8251F9BD}"/>
    <cellStyle name="40% - Énfasis4 9 6" xfId="16025" xr:uid="{ED068CD7-2032-4CB7-8DB9-79A1DF4BEC6B}"/>
    <cellStyle name="40% - Énfasis4 9 6 2" xfId="47547" xr:uid="{68CA11CC-6687-43CC-BF9D-72DCA5655251}"/>
    <cellStyle name="40% - Énfasis4 9 7" xfId="47516" xr:uid="{73FA1BE3-E414-41E9-83C9-33BE44AF8A40}"/>
    <cellStyle name="40% - Énfasis5" xfId="34" builtinId="47" customBuiltin="1"/>
    <cellStyle name="40% - Énfasis5 10" xfId="597" xr:uid="{1E0C16F5-54AA-4863-9C5D-BC77ACFCE0A8}"/>
    <cellStyle name="40% - Énfasis5 10 2" xfId="1258" xr:uid="{02659CDE-A307-441A-841E-3AE3629A0834}"/>
    <cellStyle name="40% - Énfasis5 10 2 2" xfId="2726" xr:uid="{090AAF90-295F-4E8F-85D7-CDFE15E22E35}"/>
    <cellStyle name="40% - Énfasis5 10 2 2 2" xfId="6458" xr:uid="{B1418CB4-910E-42AB-82F8-03207B97917C}"/>
    <cellStyle name="40% - Énfasis5 10 2 2 2 2" xfId="14166" xr:uid="{F11A8E26-D061-4A2C-848C-33CBFB2FCE48}"/>
    <cellStyle name="40% - Énfasis5 10 2 2 2 2 2" xfId="29578" xr:uid="{4C681D00-6D49-448B-B225-319DD9985D60}"/>
    <cellStyle name="40% - Énfasis5 10 2 2 2 2 2 2" xfId="47553" xr:uid="{4C69B5B0-B701-4E09-A519-1D523ECB7DE1}"/>
    <cellStyle name="40% - Énfasis5 10 2 2 2 2 3" xfId="47552" xr:uid="{C5C5FBB6-59F4-4A43-9BB6-2E8BA3661A4E}"/>
    <cellStyle name="40% - Énfasis5 10 2 2 2 3" xfId="21873" xr:uid="{419FC1A2-310A-4E71-BF3B-3070460571E5}"/>
    <cellStyle name="40% - Énfasis5 10 2 2 2 3 2" xfId="47554" xr:uid="{0BC2E953-7703-4374-B844-E6772596FDF5}"/>
    <cellStyle name="40% - Énfasis5 10 2 2 2 4" xfId="47551" xr:uid="{54D2CB6B-94F7-4CF1-A6EC-50F7C1E09F75}"/>
    <cellStyle name="40% - Énfasis5 10 2 2 3" xfId="10437" xr:uid="{2032BED0-7FE6-463F-80EF-E75791583EF6}"/>
    <cellStyle name="40% - Énfasis5 10 2 2 3 2" xfId="25850" xr:uid="{7ED933F5-C712-4152-8E4F-5DA5CCF63D43}"/>
    <cellStyle name="40% - Énfasis5 10 2 2 3 2 2" xfId="47556" xr:uid="{6A339FDF-2858-4E68-BEC7-761F494BDCEC}"/>
    <cellStyle name="40% - Énfasis5 10 2 2 3 3" xfId="47555" xr:uid="{816A5BCA-B272-4694-A00F-BD0AEBEF532D}"/>
    <cellStyle name="40% - Énfasis5 10 2 2 4" xfId="18145" xr:uid="{5031CC7B-8514-460F-B500-1C826757E6BD}"/>
    <cellStyle name="40% - Énfasis5 10 2 2 4 2" xfId="47557" xr:uid="{D5920704-5C6D-459E-B505-716F486A4C70}"/>
    <cellStyle name="40% - Énfasis5 10 2 2 5" xfId="47550" xr:uid="{0438020F-D10F-4F79-AD06-B0266FEE62B1}"/>
    <cellStyle name="40% - Énfasis5 10 2 3" xfId="4995" xr:uid="{5E49A3B9-E64D-4DA7-964F-4D8FBA580C09}"/>
    <cellStyle name="40% - Énfasis5 10 2 3 2" xfId="12703" xr:uid="{3D858F42-A2B1-44EA-AF53-65661A132178}"/>
    <cellStyle name="40% - Énfasis5 10 2 3 2 2" xfId="28115" xr:uid="{DE492A2E-65B6-488B-B5B3-FFD88A796DC4}"/>
    <cellStyle name="40% - Énfasis5 10 2 3 2 2 2" xfId="47560" xr:uid="{2B379105-3D4C-48DA-9951-6412A09DA33E}"/>
    <cellStyle name="40% - Énfasis5 10 2 3 2 3" xfId="47559" xr:uid="{496B4F90-5272-4863-BF2F-1E581A978A55}"/>
    <cellStyle name="40% - Énfasis5 10 2 3 3" xfId="20410" xr:uid="{9CC65755-7CB3-45E0-A60F-D2451027B974}"/>
    <cellStyle name="40% - Énfasis5 10 2 3 3 2" xfId="47561" xr:uid="{BE006786-4D80-49D0-A036-6AF8C7CEF8EB}"/>
    <cellStyle name="40% - Énfasis5 10 2 3 4" xfId="47558" xr:uid="{44B4C09D-41C2-4D16-9D3B-7D6AFF3E79CA}"/>
    <cellStyle name="40% - Énfasis5 10 2 4" xfId="8978" xr:uid="{B38FF837-90EA-4372-A78B-1759477A0283}"/>
    <cellStyle name="40% - Énfasis5 10 2 4 2" xfId="24391" xr:uid="{319B86BC-E597-442B-8CC9-500154F9A1F4}"/>
    <cellStyle name="40% - Énfasis5 10 2 4 2 2" xfId="47563" xr:uid="{029697A6-5E7A-4BE0-A771-6BC0071BD1C9}"/>
    <cellStyle name="40% - Énfasis5 10 2 4 3" xfId="47562" xr:uid="{350EFBF9-D61F-4B24-835B-0B027923CEF7}"/>
    <cellStyle name="40% - Énfasis5 10 2 5" xfId="16686" xr:uid="{6DA6A2BE-87FC-469C-A17D-E5C52BD2FB64}"/>
    <cellStyle name="40% - Énfasis5 10 2 5 2" xfId="47564" xr:uid="{9D7EE349-13DC-4B2E-9C06-86E1ABD2F5E3}"/>
    <cellStyle name="40% - Énfasis5 10 2 6" xfId="47549" xr:uid="{9B8D11B4-0DFB-4178-A1B1-620215C6C91B}"/>
    <cellStyle name="40% - Énfasis5 10 3" xfId="2088" xr:uid="{A2F12029-6E34-4B8A-97E6-1EEB107F9F53}"/>
    <cellStyle name="40% - Énfasis5 10 3 2" xfId="5820" xr:uid="{5B2ECC2A-C40F-4457-9636-59A0962B2143}"/>
    <cellStyle name="40% - Énfasis5 10 3 2 2" xfId="13528" xr:uid="{AED5915F-AB7C-42C6-9E22-F7430BEEA70F}"/>
    <cellStyle name="40% - Énfasis5 10 3 2 2 2" xfId="28940" xr:uid="{F5281DCD-F213-4137-B612-2D8D0F6C8C41}"/>
    <cellStyle name="40% - Énfasis5 10 3 2 2 2 2" xfId="47568" xr:uid="{52EB348A-80D7-421F-B31F-420EA08D6911}"/>
    <cellStyle name="40% - Énfasis5 10 3 2 2 3" xfId="47567" xr:uid="{7A122AE8-CFCB-48F2-A139-6615EF2C5360}"/>
    <cellStyle name="40% - Énfasis5 10 3 2 3" xfId="21235" xr:uid="{5C946425-0C7F-44D5-B5B1-A28CB95A9864}"/>
    <cellStyle name="40% - Énfasis5 10 3 2 3 2" xfId="47569" xr:uid="{995A0D33-45FF-4FDE-8638-540AEC9DCF23}"/>
    <cellStyle name="40% - Énfasis5 10 3 2 4" xfId="47566" xr:uid="{291469FD-02C3-4CBF-9D77-2F5CDCB86529}"/>
    <cellStyle name="40% - Énfasis5 10 3 3" xfId="9799" xr:uid="{CF06B628-D232-43D0-8FFC-52A77C271F70}"/>
    <cellStyle name="40% - Énfasis5 10 3 3 2" xfId="25212" xr:uid="{317937FC-BF7B-47FF-853B-FEA21BEB562F}"/>
    <cellStyle name="40% - Énfasis5 10 3 3 2 2" xfId="47571" xr:uid="{CB2BF4E9-27E2-415A-A39B-04DC77B8AEB7}"/>
    <cellStyle name="40% - Énfasis5 10 3 3 3" xfId="47570" xr:uid="{F41A6032-25FD-4315-8555-3D491ADD2A5F}"/>
    <cellStyle name="40% - Énfasis5 10 3 4" xfId="17507" xr:uid="{EB5A319D-8BCF-4090-8CD5-D106D956FDDB}"/>
    <cellStyle name="40% - Énfasis5 10 3 4 2" xfId="47572" xr:uid="{7C051DDC-3374-4BB3-A779-2FA998FF35F9}"/>
    <cellStyle name="40% - Énfasis5 10 3 5" xfId="47565" xr:uid="{D317B510-921C-4B77-B948-DE5E2B05E972}"/>
    <cellStyle name="40% - Énfasis5 10 4" xfId="4343" xr:uid="{CED366B3-4412-4C97-A943-1240E145D586}"/>
    <cellStyle name="40% - Énfasis5 10 4 2" xfId="12051" xr:uid="{067497F1-C86D-4C59-A8AE-5B6CAEEA98C0}"/>
    <cellStyle name="40% - Énfasis5 10 4 2 2" xfId="27463" xr:uid="{6A950CED-EC29-492E-B3CB-36F654B51FD3}"/>
    <cellStyle name="40% - Énfasis5 10 4 2 2 2" xfId="47575" xr:uid="{E5C9067A-F420-438C-9158-0C069E85EB52}"/>
    <cellStyle name="40% - Énfasis5 10 4 2 3" xfId="47574" xr:uid="{EC6A3818-E9BD-4709-9038-AB738AB76DF3}"/>
    <cellStyle name="40% - Énfasis5 10 4 3" xfId="19758" xr:uid="{A3CD1351-2B3D-4F07-87EB-DF1F4764931D}"/>
    <cellStyle name="40% - Énfasis5 10 4 3 2" xfId="47576" xr:uid="{393B7998-710A-4B1A-8E89-2D5EB08165AC}"/>
    <cellStyle name="40% - Énfasis5 10 4 4" xfId="47573" xr:uid="{2EC8F6F0-5F50-46BF-B94C-5F30CB86A9CE}"/>
    <cellStyle name="40% - Énfasis5 10 5" xfId="8340" xr:uid="{4A88D94B-5037-4BAD-B608-989CB2CA0F65}"/>
    <cellStyle name="40% - Énfasis5 10 5 2" xfId="23753" xr:uid="{BD055E2F-209B-4F16-8006-D7D0870839A0}"/>
    <cellStyle name="40% - Énfasis5 10 5 2 2" xfId="47578" xr:uid="{99A4FE6D-7C3F-4E48-BBB8-E5B541D7A148}"/>
    <cellStyle name="40% - Énfasis5 10 5 3" xfId="47577" xr:uid="{769D3E1C-5DF7-4849-AB8E-4D3391FEA756}"/>
    <cellStyle name="40% - Énfasis5 10 6" xfId="16048" xr:uid="{533C6B93-46A0-40D7-ACAE-62C7D0490AEB}"/>
    <cellStyle name="40% - Énfasis5 10 6 2" xfId="47579" xr:uid="{27D05653-A97E-42CD-93D4-3F6D26DD3262}"/>
    <cellStyle name="40% - Énfasis5 10 7" xfId="47548" xr:uid="{5959B9B3-FA76-4392-8174-CB8D04097938}"/>
    <cellStyle name="40% - Énfasis5 11" xfId="618" xr:uid="{E4A9C00C-C30A-42C7-87C3-AF8DEB7AD27D}"/>
    <cellStyle name="40% - Énfasis5 11 2" xfId="1279" xr:uid="{0A684FAC-DD72-4DCD-BE8D-3FAC90B423B6}"/>
    <cellStyle name="40% - Énfasis5 11 2 2" xfId="2746" xr:uid="{B05791C5-5B41-4B6A-B902-2DED7905869B}"/>
    <cellStyle name="40% - Énfasis5 11 2 2 2" xfId="6478" xr:uid="{78AA9630-E845-4310-BBD3-181BEF92D7EA}"/>
    <cellStyle name="40% - Énfasis5 11 2 2 2 2" xfId="14186" xr:uid="{759584E6-6682-4B33-89C8-C7A4F4806B1D}"/>
    <cellStyle name="40% - Énfasis5 11 2 2 2 2 2" xfId="29598" xr:uid="{A8ED940B-16C3-4417-89F9-86B75FDB5FD7}"/>
    <cellStyle name="40% - Énfasis5 11 2 2 2 2 2 2" xfId="47585" xr:uid="{1BF7032C-845A-40EB-8BBF-144082AFDB51}"/>
    <cellStyle name="40% - Énfasis5 11 2 2 2 2 3" xfId="47584" xr:uid="{C0BDBDAC-2560-4B54-98E6-3BE668A8B5C3}"/>
    <cellStyle name="40% - Énfasis5 11 2 2 2 3" xfId="21893" xr:uid="{B94788B4-AC50-4E9F-9766-D0E3BA5D3CB5}"/>
    <cellStyle name="40% - Énfasis5 11 2 2 2 3 2" xfId="47586" xr:uid="{A150AE25-47F3-40B6-B5FD-234DFD0C44E1}"/>
    <cellStyle name="40% - Énfasis5 11 2 2 2 4" xfId="47583" xr:uid="{7C0D0ACC-0173-4CFB-811A-E0DF3882EBDD}"/>
    <cellStyle name="40% - Énfasis5 11 2 2 3" xfId="10457" xr:uid="{5307ABE8-E059-4951-9185-78F6F04CBFD6}"/>
    <cellStyle name="40% - Énfasis5 11 2 2 3 2" xfId="25870" xr:uid="{465D07AA-5EC5-41E9-B553-9DC8C5687586}"/>
    <cellStyle name="40% - Énfasis5 11 2 2 3 2 2" xfId="47588" xr:uid="{85146BF1-62B7-4ADA-B40C-C0E16F9D1423}"/>
    <cellStyle name="40% - Énfasis5 11 2 2 3 3" xfId="47587" xr:uid="{1AF5A0F2-1196-4917-815C-A1DF0FE43BCB}"/>
    <cellStyle name="40% - Énfasis5 11 2 2 4" xfId="18165" xr:uid="{6248CE98-918B-4578-AB61-BCDD5D372D38}"/>
    <cellStyle name="40% - Énfasis5 11 2 2 4 2" xfId="47589" xr:uid="{710755BB-6DBA-4A2D-9387-56584E881653}"/>
    <cellStyle name="40% - Énfasis5 11 2 2 5" xfId="47582" xr:uid="{ED306915-2753-4C97-9C54-AF774BB7CD5A}"/>
    <cellStyle name="40% - Énfasis5 11 2 3" xfId="5015" xr:uid="{C530F6C6-90AE-4168-9481-FE85F9470F2A}"/>
    <cellStyle name="40% - Énfasis5 11 2 3 2" xfId="12723" xr:uid="{079ACAF8-CD3E-4E8A-AE22-AA7CBB976C6A}"/>
    <cellStyle name="40% - Énfasis5 11 2 3 2 2" xfId="28135" xr:uid="{BC87F590-2010-4C5E-80BB-C32DC231A8D7}"/>
    <cellStyle name="40% - Énfasis5 11 2 3 2 2 2" xfId="47592" xr:uid="{BC7783C1-9D6A-4258-B2FE-B10E41033792}"/>
    <cellStyle name="40% - Énfasis5 11 2 3 2 3" xfId="47591" xr:uid="{A28ED14E-7B84-402E-AFC0-7B20EE3AA5DD}"/>
    <cellStyle name="40% - Énfasis5 11 2 3 3" xfId="20430" xr:uid="{4FB9353B-528A-40A4-8660-2228ADEE6EED}"/>
    <cellStyle name="40% - Énfasis5 11 2 3 3 2" xfId="47593" xr:uid="{0366A485-50DF-4AAD-B815-40A99160740C}"/>
    <cellStyle name="40% - Énfasis5 11 2 3 4" xfId="47590" xr:uid="{7BA82B53-71EE-4563-AD15-76076F8929FB}"/>
    <cellStyle name="40% - Énfasis5 11 2 4" xfId="8998" xr:uid="{01B1E34F-F3D6-45E4-80B6-06ED996ACC70}"/>
    <cellStyle name="40% - Énfasis5 11 2 4 2" xfId="24411" xr:uid="{E46EDA18-2CDF-451C-ABEE-32CD58E5466E}"/>
    <cellStyle name="40% - Énfasis5 11 2 4 2 2" xfId="47595" xr:uid="{12104DAA-87F3-4A63-ABFE-C44E427F615C}"/>
    <cellStyle name="40% - Énfasis5 11 2 4 3" xfId="47594" xr:uid="{2B4AC46F-F696-43CF-B4BA-2C3EB8E84DC6}"/>
    <cellStyle name="40% - Énfasis5 11 2 5" xfId="16706" xr:uid="{1FA25BB6-8C1F-4E7E-BD70-BF7473BC9307}"/>
    <cellStyle name="40% - Énfasis5 11 2 5 2" xfId="47596" xr:uid="{28A8E593-41E7-470F-94BC-BCD9FC7E35A7}"/>
    <cellStyle name="40% - Énfasis5 11 2 6" xfId="47581" xr:uid="{EF8829B3-1B22-4EA7-B337-5C8825A0F41E}"/>
    <cellStyle name="40% - Énfasis5 11 3" xfId="2108" xr:uid="{A77E31B5-6155-436D-BB4C-61383126844D}"/>
    <cellStyle name="40% - Énfasis5 11 3 2" xfId="5840" xr:uid="{142B43F0-F2C9-42B2-BB42-50BAE630373C}"/>
    <cellStyle name="40% - Énfasis5 11 3 2 2" xfId="13548" xr:uid="{7AD80F76-B70B-4037-9B38-9EF527C48BA2}"/>
    <cellStyle name="40% - Énfasis5 11 3 2 2 2" xfId="28960" xr:uid="{42119AAB-1F30-449F-B130-3F4DB205C7B7}"/>
    <cellStyle name="40% - Énfasis5 11 3 2 2 2 2" xfId="47600" xr:uid="{DB610D47-0F40-4AFC-83E9-D95A956AB1D4}"/>
    <cellStyle name="40% - Énfasis5 11 3 2 2 3" xfId="47599" xr:uid="{0774CF24-2794-4AAD-A7B5-BCDFF1191217}"/>
    <cellStyle name="40% - Énfasis5 11 3 2 3" xfId="21255" xr:uid="{F15F2455-09F7-4F64-8D8D-7AC8160056CA}"/>
    <cellStyle name="40% - Énfasis5 11 3 2 3 2" xfId="47601" xr:uid="{B9E7E294-F8C1-4657-B924-BFDD0FD82812}"/>
    <cellStyle name="40% - Énfasis5 11 3 2 4" xfId="47598" xr:uid="{A8140B79-B158-453F-A686-CBBEE77AB9D4}"/>
    <cellStyle name="40% - Énfasis5 11 3 3" xfId="9819" xr:uid="{F2E802D2-E1A3-4E28-84A8-87BAE96E79B4}"/>
    <cellStyle name="40% - Énfasis5 11 3 3 2" xfId="25232" xr:uid="{E14AEA59-C98B-48CF-93B3-4007EAE68542}"/>
    <cellStyle name="40% - Énfasis5 11 3 3 2 2" xfId="47603" xr:uid="{446D48AF-E954-45F4-BEB1-58933B7CD636}"/>
    <cellStyle name="40% - Énfasis5 11 3 3 3" xfId="47602" xr:uid="{E8839BE0-8924-4FE0-B15B-730DEA629107}"/>
    <cellStyle name="40% - Énfasis5 11 3 4" xfId="17527" xr:uid="{7B605494-8A85-4C1F-8E0A-87A05E8E3810}"/>
    <cellStyle name="40% - Énfasis5 11 3 4 2" xfId="47604" xr:uid="{A2EB4972-F9D9-44EB-9564-206B832FD931}"/>
    <cellStyle name="40% - Énfasis5 11 3 5" xfId="47597" xr:uid="{51EB7DB0-BDE8-47A0-B6DA-5C58A0D65138}"/>
    <cellStyle name="40% - Énfasis5 11 4" xfId="4363" xr:uid="{5162D5A1-46A9-44DA-8F24-A846DA0DDD3D}"/>
    <cellStyle name="40% - Énfasis5 11 4 2" xfId="12071" xr:uid="{927EAEF3-AC81-4786-B924-63649689B6AB}"/>
    <cellStyle name="40% - Énfasis5 11 4 2 2" xfId="27483" xr:uid="{BA99065E-0007-405C-B18C-45AB131EFC92}"/>
    <cellStyle name="40% - Énfasis5 11 4 2 2 2" xfId="47607" xr:uid="{9C91AA2F-0012-494B-BB64-35748017C153}"/>
    <cellStyle name="40% - Énfasis5 11 4 2 3" xfId="47606" xr:uid="{E0291812-B43F-42D3-BD74-EB6351AFB1B4}"/>
    <cellStyle name="40% - Énfasis5 11 4 3" xfId="19778" xr:uid="{CDED1810-3C0A-488B-9841-490A5A8336F1}"/>
    <cellStyle name="40% - Énfasis5 11 4 3 2" xfId="47608" xr:uid="{98B03285-9DC5-4CF3-AB73-6DA67CA8A4F9}"/>
    <cellStyle name="40% - Énfasis5 11 4 4" xfId="47605" xr:uid="{0D39B7C0-4B63-4E37-BA13-F374236A5217}"/>
    <cellStyle name="40% - Énfasis5 11 5" xfId="8360" xr:uid="{2ABADDA6-B372-4A3B-A857-308EF865AC32}"/>
    <cellStyle name="40% - Énfasis5 11 5 2" xfId="23773" xr:uid="{5A967869-2133-4990-8954-475F773A541C}"/>
    <cellStyle name="40% - Énfasis5 11 5 2 2" xfId="47610" xr:uid="{FB407DDB-6161-4F31-8C16-759C11BB0A27}"/>
    <cellStyle name="40% - Énfasis5 11 5 3" xfId="47609" xr:uid="{11CB1239-3388-4619-97DF-B28131C92773}"/>
    <cellStyle name="40% - Énfasis5 11 6" xfId="16068" xr:uid="{CD63A2CE-2F11-4B11-B3F8-F179D4CD0FD5}"/>
    <cellStyle name="40% - Énfasis5 11 6 2" xfId="47611" xr:uid="{30800F7B-7CA9-45D2-A713-E5284280E03B}"/>
    <cellStyle name="40% - Énfasis5 11 7" xfId="47580" xr:uid="{406BCED2-CE1F-4476-A0F6-9F20C2ACA176}"/>
    <cellStyle name="40% - Énfasis5 12" xfId="638" xr:uid="{1AF7CD6E-F8E3-4CBC-9617-34C3AAE840F1}"/>
    <cellStyle name="40% - Énfasis5 12 2" xfId="1299" xr:uid="{9E963EE3-E0E4-4A54-B8BA-847269C97DBD}"/>
    <cellStyle name="40% - Énfasis5 12 2 2" xfId="2766" xr:uid="{B58428AB-C585-4117-B57D-A77AB1DA9329}"/>
    <cellStyle name="40% - Énfasis5 12 2 2 2" xfId="6498" xr:uid="{0F0DCF4D-EC16-4447-BF2E-DAFBC6E4FDA3}"/>
    <cellStyle name="40% - Énfasis5 12 2 2 2 2" xfId="14206" xr:uid="{BA42D57D-7A84-4D89-96D5-879E2A8D194E}"/>
    <cellStyle name="40% - Énfasis5 12 2 2 2 2 2" xfId="29618" xr:uid="{B1715B8D-AF72-4828-8740-64F8784073D6}"/>
    <cellStyle name="40% - Énfasis5 12 2 2 2 2 2 2" xfId="47617" xr:uid="{05ADB3DC-5372-4A54-AD0E-FBE74241E44A}"/>
    <cellStyle name="40% - Énfasis5 12 2 2 2 2 3" xfId="47616" xr:uid="{047F0E62-C82E-4F89-A63F-4558BFD3F78E}"/>
    <cellStyle name="40% - Énfasis5 12 2 2 2 3" xfId="21913" xr:uid="{8773A5B5-0E6D-486C-B8A5-86B8A19E07DE}"/>
    <cellStyle name="40% - Énfasis5 12 2 2 2 3 2" xfId="47618" xr:uid="{94857ACB-C080-43E3-AA42-D384C6C10EC8}"/>
    <cellStyle name="40% - Énfasis5 12 2 2 2 4" xfId="47615" xr:uid="{F3558CAD-3394-49B2-B0D2-98F7FFA49608}"/>
    <cellStyle name="40% - Énfasis5 12 2 2 3" xfId="10477" xr:uid="{2311231C-1F29-44A4-88D0-C8572840B802}"/>
    <cellStyle name="40% - Énfasis5 12 2 2 3 2" xfId="25890" xr:uid="{DD468F79-511A-4D0A-A127-71913DA8C4EA}"/>
    <cellStyle name="40% - Énfasis5 12 2 2 3 2 2" xfId="47620" xr:uid="{9785A138-624D-4A48-97EC-2AA531AD4057}"/>
    <cellStyle name="40% - Énfasis5 12 2 2 3 3" xfId="47619" xr:uid="{B49819AC-7EEE-4291-87B5-5B80C9FEC44B}"/>
    <cellStyle name="40% - Énfasis5 12 2 2 4" xfId="18185" xr:uid="{A9086E5D-C871-412B-9E42-DD57714A605F}"/>
    <cellStyle name="40% - Énfasis5 12 2 2 4 2" xfId="47621" xr:uid="{F6609297-8C47-47E9-BFDE-71D472E15C0F}"/>
    <cellStyle name="40% - Énfasis5 12 2 2 5" xfId="47614" xr:uid="{536AF555-D9A4-4565-ACAA-B35346D032C3}"/>
    <cellStyle name="40% - Énfasis5 12 2 3" xfId="5035" xr:uid="{AA6443D3-9553-40E2-98A7-4C3A5752B464}"/>
    <cellStyle name="40% - Énfasis5 12 2 3 2" xfId="12743" xr:uid="{9929AB49-778D-4CCF-9859-33E47B3773F9}"/>
    <cellStyle name="40% - Énfasis5 12 2 3 2 2" xfId="28155" xr:uid="{0840646E-E42E-452C-ACAF-9C36F79BDAFA}"/>
    <cellStyle name="40% - Énfasis5 12 2 3 2 2 2" xfId="47624" xr:uid="{EBD05ACF-1376-4183-8EDC-7A580D22EA6D}"/>
    <cellStyle name="40% - Énfasis5 12 2 3 2 3" xfId="47623" xr:uid="{03D91849-D06E-4DC6-83AC-7A540DE48405}"/>
    <cellStyle name="40% - Énfasis5 12 2 3 3" xfId="20450" xr:uid="{4D9B357F-07F4-40FF-A6B9-F6E2C3253856}"/>
    <cellStyle name="40% - Énfasis5 12 2 3 3 2" xfId="47625" xr:uid="{B9A16CE8-D141-4655-9CE6-81153ED893F4}"/>
    <cellStyle name="40% - Énfasis5 12 2 3 4" xfId="47622" xr:uid="{CB030F9E-2A31-46A7-ACDB-27262D5A38E5}"/>
    <cellStyle name="40% - Énfasis5 12 2 4" xfId="9018" xr:uid="{B058E38C-8A5E-4618-8D1F-2EA357D80101}"/>
    <cellStyle name="40% - Énfasis5 12 2 4 2" xfId="24431" xr:uid="{E2DDB100-1ECA-48DA-A122-8DE7DA5C40CF}"/>
    <cellStyle name="40% - Énfasis5 12 2 4 2 2" xfId="47627" xr:uid="{87BBB735-9223-46A8-B8C8-655CD572EF92}"/>
    <cellStyle name="40% - Énfasis5 12 2 4 3" xfId="47626" xr:uid="{7DEE2211-7C0D-4EB4-988D-A3FE0753A48E}"/>
    <cellStyle name="40% - Énfasis5 12 2 5" xfId="16726" xr:uid="{A9BD4C21-9A56-42D6-9321-69298C0F96EC}"/>
    <cellStyle name="40% - Énfasis5 12 2 5 2" xfId="47628" xr:uid="{D758E557-E0D5-483B-A0D7-2150F6397951}"/>
    <cellStyle name="40% - Énfasis5 12 2 6" xfId="47613" xr:uid="{0068874C-DBE0-41F3-94B6-DA08E006F77B}"/>
    <cellStyle name="40% - Énfasis5 12 3" xfId="2128" xr:uid="{1C39E4D7-A090-48A6-B377-0107FE5D1C7C}"/>
    <cellStyle name="40% - Énfasis5 12 3 2" xfId="5860" xr:uid="{880187A1-E885-494D-8367-3BB679D99DE3}"/>
    <cellStyle name="40% - Énfasis5 12 3 2 2" xfId="13568" xr:uid="{128A81FF-9CDE-4053-8343-8F3769AD5D22}"/>
    <cellStyle name="40% - Énfasis5 12 3 2 2 2" xfId="28980" xr:uid="{5281425E-D396-462A-97B0-8F275022919F}"/>
    <cellStyle name="40% - Énfasis5 12 3 2 2 2 2" xfId="47632" xr:uid="{6A58678B-B540-428C-A0CF-8D22E07959B7}"/>
    <cellStyle name="40% - Énfasis5 12 3 2 2 3" xfId="47631" xr:uid="{A577A180-956B-4440-9904-20B2CBFE5125}"/>
    <cellStyle name="40% - Énfasis5 12 3 2 3" xfId="21275" xr:uid="{544A7239-8F14-4050-9F98-760FFB137354}"/>
    <cellStyle name="40% - Énfasis5 12 3 2 3 2" xfId="47633" xr:uid="{6953E4F1-14E5-4551-915B-14897545BB41}"/>
    <cellStyle name="40% - Énfasis5 12 3 2 4" xfId="47630" xr:uid="{AE3012DF-120E-4008-970B-02F28280FCB0}"/>
    <cellStyle name="40% - Énfasis5 12 3 3" xfId="9839" xr:uid="{03382C26-E739-400C-AC19-ADD54E264080}"/>
    <cellStyle name="40% - Énfasis5 12 3 3 2" xfId="25252" xr:uid="{DB061780-794C-4A9C-A344-AA058791C3F7}"/>
    <cellStyle name="40% - Énfasis5 12 3 3 2 2" xfId="47635" xr:uid="{8DC86913-11A2-4E74-8AEB-DF71D3A5AF0D}"/>
    <cellStyle name="40% - Énfasis5 12 3 3 3" xfId="47634" xr:uid="{49968C48-A878-4755-837B-66330BF2CA7A}"/>
    <cellStyle name="40% - Énfasis5 12 3 4" xfId="17547" xr:uid="{DF16BAC5-1917-4B6C-B8C5-ECAB110142B4}"/>
    <cellStyle name="40% - Énfasis5 12 3 4 2" xfId="47636" xr:uid="{10DF1589-CB73-4645-84BC-DB4ABFF326D4}"/>
    <cellStyle name="40% - Énfasis5 12 3 5" xfId="47629" xr:uid="{D4547664-B1F0-4C14-AFD7-52EB4860F631}"/>
    <cellStyle name="40% - Énfasis5 12 4" xfId="4383" xr:uid="{A51A4D8C-52AE-4167-B773-E7070B5250DD}"/>
    <cellStyle name="40% - Énfasis5 12 4 2" xfId="12091" xr:uid="{393AE043-6F14-44DB-8F6B-7473E19280CE}"/>
    <cellStyle name="40% - Énfasis5 12 4 2 2" xfId="27503" xr:uid="{99A919C5-0CAC-4269-95B4-5290E9F6957A}"/>
    <cellStyle name="40% - Énfasis5 12 4 2 2 2" xfId="47639" xr:uid="{B3474D74-9D9A-4DC3-AEAA-414F86641D10}"/>
    <cellStyle name="40% - Énfasis5 12 4 2 3" xfId="47638" xr:uid="{2D865FB6-9E1B-4AFD-8DB0-AEDAF85CBAA7}"/>
    <cellStyle name="40% - Énfasis5 12 4 3" xfId="19798" xr:uid="{CA6A1777-EB5B-425E-AE70-EF927F21D557}"/>
    <cellStyle name="40% - Énfasis5 12 4 3 2" xfId="47640" xr:uid="{BDB19313-0A53-4D51-A468-3C1CDD5C7BBB}"/>
    <cellStyle name="40% - Énfasis5 12 4 4" xfId="47637" xr:uid="{D56588C6-4488-4E01-8C90-08FD09B6E4AD}"/>
    <cellStyle name="40% - Énfasis5 12 5" xfId="8380" xr:uid="{42E8E668-E844-4487-A935-704CED34F50C}"/>
    <cellStyle name="40% - Énfasis5 12 5 2" xfId="23793" xr:uid="{87220F7F-A3E2-49D7-B84D-54865AFC7FC7}"/>
    <cellStyle name="40% - Énfasis5 12 5 2 2" xfId="47642" xr:uid="{13C74A6E-E2C9-464B-A7C8-B8EBBD36B168}"/>
    <cellStyle name="40% - Énfasis5 12 5 3" xfId="47641" xr:uid="{3F766F9C-4AD9-4321-B7CB-6CE1159B703B}"/>
    <cellStyle name="40% - Énfasis5 12 6" xfId="16088" xr:uid="{E7F74D8E-0339-4CEB-AC30-98974112A61D}"/>
    <cellStyle name="40% - Énfasis5 12 6 2" xfId="47643" xr:uid="{433AEE48-8341-488B-8129-5EC49EB8E4BD}"/>
    <cellStyle name="40% - Énfasis5 12 7" xfId="47612" xr:uid="{61E96D1E-A6DF-4D7C-8504-079E6D4C883F}"/>
    <cellStyle name="40% - Énfasis5 13" xfId="659" xr:uid="{81B14731-2953-4464-9AE6-6E97415440D8}"/>
    <cellStyle name="40% - Énfasis5 13 2" xfId="1320" xr:uid="{FFD8A179-102D-48B5-A19D-15658EEB14B2}"/>
    <cellStyle name="40% - Énfasis5 13 2 2" xfId="2787" xr:uid="{091D06AE-870D-4C06-953C-55AD700BA37B}"/>
    <cellStyle name="40% - Énfasis5 13 2 2 2" xfId="6519" xr:uid="{30E705C4-3A4B-48D6-8F7C-896F0586F4FA}"/>
    <cellStyle name="40% - Énfasis5 13 2 2 2 2" xfId="14227" xr:uid="{87D10947-14A1-49F7-94BD-471C8E509B0B}"/>
    <cellStyle name="40% - Énfasis5 13 2 2 2 2 2" xfId="29639" xr:uid="{BF60CE74-702A-4546-931C-793BB1972237}"/>
    <cellStyle name="40% - Énfasis5 13 2 2 2 2 2 2" xfId="47649" xr:uid="{5183AD75-C238-4B68-888D-BD79CB786824}"/>
    <cellStyle name="40% - Énfasis5 13 2 2 2 2 3" xfId="47648" xr:uid="{2659F1E8-AC2F-4597-B86D-1EA81E6D4ACE}"/>
    <cellStyle name="40% - Énfasis5 13 2 2 2 3" xfId="21934" xr:uid="{04D6C621-30E2-4F32-8B05-E7FAAA76C163}"/>
    <cellStyle name="40% - Énfasis5 13 2 2 2 3 2" xfId="47650" xr:uid="{59EE3F21-A76C-42DA-B085-A22C595478CE}"/>
    <cellStyle name="40% - Énfasis5 13 2 2 2 4" xfId="47647" xr:uid="{05E33A9D-8A57-4830-BF88-F810D7262626}"/>
    <cellStyle name="40% - Énfasis5 13 2 2 3" xfId="10498" xr:uid="{8BC65E04-1E43-455A-BDFB-8E9D68AB7E3A}"/>
    <cellStyle name="40% - Énfasis5 13 2 2 3 2" xfId="25911" xr:uid="{7D78EA98-64D7-47D5-9E05-8656EA2ACA4D}"/>
    <cellStyle name="40% - Énfasis5 13 2 2 3 2 2" xfId="47652" xr:uid="{35C493BC-5518-455E-859F-413295B422C4}"/>
    <cellStyle name="40% - Énfasis5 13 2 2 3 3" xfId="47651" xr:uid="{F178605A-6AD0-42FE-A95A-CE329469280F}"/>
    <cellStyle name="40% - Énfasis5 13 2 2 4" xfId="18206" xr:uid="{466A39F1-FB0F-4644-9321-9457D11815FA}"/>
    <cellStyle name="40% - Énfasis5 13 2 2 4 2" xfId="47653" xr:uid="{E1DDB44F-401A-4698-8F9A-03CF43845D4D}"/>
    <cellStyle name="40% - Énfasis5 13 2 2 5" xfId="47646" xr:uid="{EC17040D-39E8-46B7-A6C5-0AC8AD8ECC10}"/>
    <cellStyle name="40% - Énfasis5 13 2 3" xfId="5056" xr:uid="{A5CC2BC1-BEEB-40FA-BC95-4961CB644006}"/>
    <cellStyle name="40% - Énfasis5 13 2 3 2" xfId="12764" xr:uid="{3A8493C8-D4BF-4491-BF97-5B15096FBD36}"/>
    <cellStyle name="40% - Énfasis5 13 2 3 2 2" xfId="28176" xr:uid="{49FEA1CF-820E-4D5A-AFF3-82EBEF8E3969}"/>
    <cellStyle name="40% - Énfasis5 13 2 3 2 2 2" xfId="47656" xr:uid="{D735B333-E6AA-4D8F-9BBC-7FAE8695857F}"/>
    <cellStyle name="40% - Énfasis5 13 2 3 2 3" xfId="47655" xr:uid="{10EBFF52-D093-4A2F-908A-3BEBAE302278}"/>
    <cellStyle name="40% - Énfasis5 13 2 3 3" xfId="20471" xr:uid="{68BAD8F2-8D7E-40C0-B50F-D1457D55C40B}"/>
    <cellStyle name="40% - Énfasis5 13 2 3 3 2" xfId="47657" xr:uid="{676CEC75-681D-4250-A0AA-8CED5D9BBDFE}"/>
    <cellStyle name="40% - Énfasis5 13 2 3 4" xfId="47654" xr:uid="{5EA543ED-C0E9-4090-9422-948A83CC84E0}"/>
    <cellStyle name="40% - Énfasis5 13 2 4" xfId="9039" xr:uid="{B75CBEBF-F5F5-41CC-AE8E-0C885E1E646C}"/>
    <cellStyle name="40% - Énfasis5 13 2 4 2" xfId="24452" xr:uid="{68B11C89-F110-43CB-96FF-793F4EB061A7}"/>
    <cellStyle name="40% - Énfasis5 13 2 4 2 2" xfId="47659" xr:uid="{9998C86F-9C4A-4E2F-AEF4-874FBAED8235}"/>
    <cellStyle name="40% - Énfasis5 13 2 4 3" xfId="47658" xr:uid="{98A38F06-D6A7-4BF8-95BE-C6023CFD269F}"/>
    <cellStyle name="40% - Énfasis5 13 2 5" xfId="16747" xr:uid="{4C7F2337-6D7D-47AB-8DFA-C1BCD8F6D52F}"/>
    <cellStyle name="40% - Énfasis5 13 2 5 2" xfId="47660" xr:uid="{7D1B4617-C55B-496A-98B7-5B1298958430}"/>
    <cellStyle name="40% - Énfasis5 13 2 6" xfId="47645" xr:uid="{2380F6C4-C920-45CE-9B06-3680676CBE3A}"/>
    <cellStyle name="40% - Énfasis5 13 3" xfId="2149" xr:uid="{5D0C799C-4922-46D7-86AE-5F874964A52D}"/>
    <cellStyle name="40% - Énfasis5 13 3 2" xfId="5881" xr:uid="{83E793D7-65F3-44C2-8056-6A61ECA92EA7}"/>
    <cellStyle name="40% - Énfasis5 13 3 2 2" xfId="13589" xr:uid="{9856D749-8035-4B46-BBCC-C436BF14E765}"/>
    <cellStyle name="40% - Énfasis5 13 3 2 2 2" xfId="29001" xr:uid="{4409134D-80D7-4AF6-920C-AA4AE351A9FC}"/>
    <cellStyle name="40% - Énfasis5 13 3 2 2 2 2" xfId="47664" xr:uid="{FF5EDAF0-A278-4715-A676-7231A5F9F652}"/>
    <cellStyle name="40% - Énfasis5 13 3 2 2 3" xfId="47663" xr:uid="{DF5A0C75-9022-40DE-B4EE-3E4D81A77CD0}"/>
    <cellStyle name="40% - Énfasis5 13 3 2 3" xfId="21296" xr:uid="{DD9712DD-A152-4484-B8C2-E267C6862F3E}"/>
    <cellStyle name="40% - Énfasis5 13 3 2 3 2" xfId="47665" xr:uid="{44088C49-1CA4-413B-A8AE-FCF2FD2E2C9D}"/>
    <cellStyle name="40% - Énfasis5 13 3 2 4" xfId="47662" xr:uid="{D0547A0B-BF67-4088-9BB3-394DC66E682D}"/>
    <cellStyle name="40% - Énfasis5 13 3 3" xfId="9860" xr:uid="{F1B98539-2535-42FA-992D-92C81DDD7C50}"/>
    <cellStyle name="40% - Énfasis5 13 3 3 2" xfId="25273" xr:uid="{4ABCADFC-D216-4EB1-B4F8-2ABFEB54D1AF}"/>
    <cellStyle name="40% - Énfasis5 13 3 3 2 2" xfId="47667" xr:uid="{2071AC82-A04A-4249-B368-6A5052404D66}"/>
    <cellStyle name="40% - Énfasis5 13 3 3 3" xfId="47666" xr:uid="{249798C0-A93E-49C5-91D3-84A679667E71}"/>
    <cellStyle name="40% - Énfasis5 13 3 4" xfId="17568" xr:uid="{8DB4EA22-F632-4A3D-B895-4E9D8C6535EB}"/>
    <cellStyle name="40% - Énfasis5 13 3 4 2" xfId="47668" xr:uid="{A6561D1C-2E7B-42AB-8799-DC80FBE3CB11}"/>
    <cellStyle name="40% - Énfasis5 13 3 5" xfId="47661" xr:uid="{FF10AD09-4DC8-4D20-A95F-B6A85A61F562}"/>
    <cellStyle name="40% - Énfasis5 13 4" xfId="4404" xr:uid="{BFFB1A8A-AA88-49B3-ACB3-3F16BE3C96B4}"/>
    <cellStyle name="40% - Énfasis5 13 4 2" xfId="12112" xr:uid="{E2DA9F25-34CA-41E9-B4BD-AD51EC5C9F90}"/>
    <cellStyle name="40% - Énfasis5 13 4 2 2" xfId="27524" xr:uid="{F564E5D5-4CEA-4E5B-94BD-404FD84B2D9D}"/>
    <cellStyle name="40% - Énfasis5 13 4 2 2 2" xfId="47671" xr:uid="{0DE7DB44-8589-475D-BB12-AA76B724FAAE}"/>
    <cellStyle name="40% - Énfasis5 13 4 2 3" xfId="47670" xr:uid="{9FB708E5-291B-4DE3-8ADC-772320373427}"/>
    <cellStyle name="40% - Énfasis5 13 4 3" xfId="19819" xr:uid="{EC609D44-F653-44D8-9F51-1E4955736B0B}"/>
    <cellStyle name="40% - Énfasis5 13 4 3 2" xfId="47672" xr:uid="{0D0DD107-A733-472F-908D-8526F0E63B46}"/>
    <cellStyle name="40% - Énfasis5 13 4 4" xfId="47669" xr:uid="{35BC565F-1DC1-4DB5-9CF1-8809FDC051DD}"/>
    <cellStyle name="40% - Énfasis5 13 5" xfId="8401" xr:uid="{CF1E51A3-545C-49B8-8638-805558F60A40}"/>
    <cellStyle name="40% - Énfasis5 13 5 2" xfId="23814" xr:uid="{9863A9D5-9005-44A3-A422-804070A8E07A}"/>
    <cellStyle name="40% - Énfasis5 13 5 2 2" xfId="47674" xr:uid="{FCC47F78-A616-4D50-9D80-E828318C4C55}"/>
    <cellStyle name="40% - Énfasis5 13 5 3" xfId="47673" xr:uid="{1AE6CDD8-4D05-4A64-B53F-5D4127ECC0B7}"/>
    <cellStyle name="40% - Énfasis5 13 6" xfId="16109" xr:uid="{6529E3A2-BC4C-4775-A4CD-9BB0C60D3F59}"/>
    <cellStyle name="40% - Énfasis5 13 6 2" xfId="47675" xr:uid="{4D36C751-4CC5-4755-B517-F836F35F4367}"/>
    <cellStyle name="40% - Énfasis5 13 7" xfId="47644" xr:uid="{A8B21095-FDB6-4AB0-86B4-8299E9117EA5}"/>
    <cellStyle name="40% - Énfasis5 14" xfId="679" xr:uid="{33F4FA5F-3560-4FAC-8C8D-D09E5D9CD49C}"/>
    <cellStyle name="40% - Énfasis5 14 2" xfId="1340" xr:uid="{4CAEC08F-7380-4654-83BA-8BA3B9E63B68}"/>
    <cellStyle name="40% - Énfasis5 14 2 2" xfId="2807" xr:uid="{5EC21755-A544-4013-9A91-354475A645C6}"/>
    <cellStyle name="40% - Énfasis5 14 2 2 2" xfId="6539" xr:uid="{A3B14086-9E3A-4B7D-A8B5-3944601C41F6}"/>
    <cellStyle name="40% - Énfasis5 14 2 2 2 2" xfId="14247" xr:uid="{C3B0D1CA-E014-4ABD-A752-521DA5218E69}"/>
    <cellStyle name="40% - Énfasis5 14 2 2 2 2 2" xfId="29659" xr:uid="{542F6C67-BCD7-41CF-BD80-BF42481D8080}"/>
    <cellStyle name="40% - Énfasis5 14 2 2 2 2 2 2" xfId="47681" xr:uid="{05119D06-8685-4C59-9342-8A0436850EDB}"/>
    <cellStyle name="40% - Énfasis5 14 2 2 2 2 3" xfId="47680" xr:uid="{B38FEF71-45AD-4AE4-9B2A-AB3F37A17A24}"/>
    <cellStyle name="40% - Énfasis5 14 2 2 2 3" xfId="21954" xr:uid="{53D4A53A-5818-461E-BC02-C0531A350F3D}"/>
    <cellStyle name="40% - Énfasis5 14 2 2 2 3 2" xfId="47682" xr:uid="{9040476E-43FB-4595-A199-3C9A9604E26B}"/>
    <cellStyle name="40% - Énfasis5 14 2 2 2 4" xfId="47679" xr:uid="{9916335E-AB2D-4E96-9FFA-262208831CDA}"/>
    <cellStyle name="40% - Énfasis5 14 2 2 3" xfId="10518" xr:uid="{DC6B4EC1-D7C1-4F5E-88FF-3135C2E552E8}"/>
    <cellStyle name="40% - Énfasis5 14 2 2 3 2" xfId="25931" xr:uid="{533D90DD-AB0B-41F2-8B04-AF146297C260}"/>
    <cellStyle name="40% - Énfasis5 14 2 2 3 2 2" xfId="47684" xr:uid="{E2408961-2FE9-4755-ADA1-D67D3B5B283F}"/>
    <cellStyle name="40% - Énfasis5 14 2 2 3 3" xfId="47683" xr:uid="{CE959B18-4A0A-46CC-9FCA-465B40C82956}"/>
    <cellStyle name="40% - Énfasis5 14 2 2 4" xfId="18226" xr:uid="{3E7D3428-B23C-4057-961B-EDCD253A728A}"/>
    <cellStyle name="40% - Énfasis5 14 2 2 4 2" xfId="47685" xr:uid="{08A735D6-2945-4B2F-8C3A-CA070151A1AB}"/>
    <cellStyle name="40% - Énfasis5 14 2 2 5" xfId="47678" xr:uid="{D23C31DC-C54D-40FD-8E12-8834C2E7E009}"/>
    <cellStyle name="40% - Énfasis5 14 2 3" xfId="5076" xr:uid="{EC35FF5B-202B-46C6-A8EA-F0DC96325021}"/>
    <cellStyle name="40% - Énfasis5 14 2 3 2" xfId="12784" xr:uid="{BB7ABFDF-6189-4E7C-9268-C8473578B2C1}"/>
    <cellStyle name="40% - Énfasis5 14 2 3 2 2" xfId="28196" xr:uid="{CFBCC49A-BC14-4924-900D-708DC9566056}"/>
    <cellStyle name="40% - Énfasis5 14 2 3 2 2 2" xfId="47688" xr:uid="{2716323F-3C64-46B9-AADF-70AA90B0505B}"/>
    <cellStyle name="40% - Énfasis5 14 2 3 2 3" xfId="47687" xr:uid="{33E07382-0E6B-4D3F-A526-B15C3706451B}"/>
    <cellStyle name="40% - Énfasis5 14 2 3 3" xfId="20491" xr:uid="{598BC8A5-8BD8-454F-B71D-695B831F5CA8}"/>
    <cellStyle name="40% - Énfasis5 14 2 3 3 2" xfId="47689" xr:uid="{D1F851A1-5E4B-4849-AE55-E919DD5BB043}"/>
    <cellStyle name="40% - Énfasis5 14 2 3 4" xfId="47686" xr:uid="{A6430101-F997-494C-8567-AD673306D740}"/>
    <cellStyle name="40% - Énfasis5 14 2 4" xfId="9059" xr:uid="{4B5A2371-946E-4256-B671-ACDFC369AF0E}"/>
    <cellStyle name="40% - Énfasis5 14 2 4 2" xfId="24472" xr:uid="{216067FA-1E22-4FA1-B6CF-A295B0D0AB57}"/>
    <cellStyle name="40% - Énfasis5 14 2 4 2 2" xfId="47691" xr:uid="{B737206A-F497-4AFB-ABCC-1662EE93183C}"/>
    <cellStyle name="40% - Énfasis5 14 2 4 3" xfId="47690" xr:uid="{255BF867-EB34-4230-8D74-38CF091EDF11}"/>
    <cellStyle name="40% - Énfasis5 14 2 5" xfId="16767" xr:uid="{E8BD7307-00CA-46A5-8FE2-57C51716DBD3}"/>
    <cellStyle name="40% - Énfasis5 14 2 5 2" xfId="47692" xr:uid="{ACC4B53E-1E00-46BD-BD25-042E51FA7C35}"/>
    <cellStyle name="40% - Énfasis5 14 2 6" xfId="47677" xr:uid="{FC8A419F-E8A0-464B-ACC5-8655645A516E}"/>
    <cellStyle name="40% - Énfasis5 14 3" xfId="2169" xr:uid="{D43CA233-8E1D-46EA-BCF5-191C7970592F}"/>
    <cellStyle name="40% - Énfasis5 14 3 2" xfId="5901" xr:uid="{3AED21A8-D6B1-43F8-9F70-8DE2D20566A8}"/>
    <cellStyle name="40% - Énfasis5 14 3 2 2" xfId="13609" xr:uid="{7569CBB5-79A8-4F44-95CE-7951C679A0E0}"/>
    <cellStyle name="40% - Énfasis5 14 3 2 2 2" xfId="29021" xr:uid="{1BF3DB1C-22D2-42DF-A71A-6FC5EEF51E92}"/>
    <cellStyle name="40% - Énfasis5 14 3 2 2 2 2" xfId="47696" xr:uid="{6FDD08B0-7744-4270-9162-C23E0899A4A0}"/>
    <cellStyle name="40% - Énfasis5 14 3 2 2 3" xfId="47695" xr:uid="{FE5F88DB-94A2-4F2E-9620-F08C94547A25}"/>
    <cellStyle name="40% - Énfasis5 14 3 2 3" xfId="21316" xr:uid="{9FC6DBFA-D068-4E6A-A2A0-AC123209CF93}"/>
    <cellStyle name="40% - Énfasis5 14 3 2 3 2" xfId="47697" xr:uid="{20421F9E-EFFC-4B77-B6AA-04B95BFDFB32}"/>
    <cellStyle name="40% - Énfasis5 14 3 2 4" xfId="47694" xr:uid="{8FB4C433-7E7D-407E-B472-146A72A323BB}"/>
    <cellStyle name="40% - Énfasis5 14 3 3" xfId="9880" xr:uid="{DE2C42DC-190D-466F-A9C9-F1DE155C5AD8}"/>
    <cellStyle name="40% - Énfasis5 14 3 3 2" xfId="25293" xr:uid="{0C654A03-B9B5-4FE7-8D8E-4292E45F45EA}"/>
    <cellStyle name="40% - Énfasis5 14 3 3 2 2" xfId="47699" xr:uid="{91F13094-5939-4D8C-A31C-3EE762B2384E}"/>
    <cellStyle name="40% - Énfasis5 14 3 3 3" xfId="47698" xr:uid="{697D19BC-72E5-40AE-BC42-25938D038295}"/>
    <cellStyle name="40% - Énfasis5 14 3 4" xfId="17588" xr:uid="{BD6FAFBF-1C30-4ACC-815F-ECA106F0B5B0}"/>
    <cellStyle name="40% - Énfasis5 14 3 4 2" xfId="47700" xr:uid="{69C36FC2-2319-47E7-BFF8-4A9884E43A9D}"/>
    <cellStyle name="40% - Énfasis5 14 3 5" xfId="47693" xr:uid="{45AD1C8E-3734-4458-B2C3-290F1866F147}"/>
    <cellStyle name="40% - Énfasis5 14 4" xfId="4424" xr:uid="{1C6946A2-A951-46D4-ABF5-1E45DF0EEEB9}"/>
    <cellStyle name="40% - Énfasis5 14 4 2" xfId="12132" xr:uid="{F189D93F-0170-4F5D-B1E5-F39FB55937A9}"/>
    <cellStyle name="40% - Énfasis5 14 4 2 2" xfId="27544" xr:uid="{C6558611-5EF4-4BD7-80E5-67F84057CD23}"/>
    <cellStyle name="40% - Énfasis5 14 4 2 2 2" xfId="47703" xr:uid="{75802B3F-750B-46FA-8A48-A811FF4AA9B2}"/>
    <cellStyle name="40% - Énfasis5 14 4 2 3" xfId="47702" xr:uid="{84C7D460-E150-4F3E-B44A-C86C3AB7DB7D}"/>
    <cellStyle name="40% - Énfasis5 14 4 3" xfId="19839" xr:uid="{EDFFA269-D0F9-47FC-919D-1C8C53F3B448}"/>
    <cellStyle name="40% - Énfasis5 14 4 3 2" xfId="47704" xr:uid="{DF350153-7729-4863-A47F-3EEEDCC7C0D9}"/>
    <cellStyle name="40% - Énfasis5 14 4 4" xfId="47701" xr:uid="{4B045F9A-D2D3-4619-A136-CD05FFB2186C}"/>
    <cellStyle name="40% - Énfasis5 14 5" xfId="8421" xr:uid="{2EC12296-E8EC-4F52-86EE-084E806F744F}"/>
    <cellStyle name="40% - Énfasis5 14 5 2" xfId="23834" xr:uid="{58FE1B96-99A9-479F-910B-95B3E4D4D62C}"/>
    <cellStyle name="40% - Énfasis5 14 5 2 2" xfId="47706" xr:uid="{7164049E-A61C-4DA0-A2E9-C0F22368E2FA}"/>
    <cellStyle name="40% - Énfasis5 14 5 3" xfId="47705" xr:uid="{310A2159-AF86-4F1C-A350-7ADA9459A878}"/>
    <cellStyle name="40% - Énfasis5 14 6" xfId="16129" xr:uid="{F97F8AE5-4111-4790-9416-A3D142089E38}"/>
    <cellStyle name="40% - Énfasis5 14 6 2" xfId="47707" xr:uid="{BC4C6CA6-4050-4C17-90A3-B16040D8AC6D}"/>
    <cellStyle name="40% - Énfasis5 14 7" xfId="47676" xr:uid="{EDBAFE02-9B64-442C-99DB-AD0C603BABAE}"/>
    <cellStyle name="40% - Énfasis5 15" xfId="699" xr:uid="{755446DC-A735-41D6-AA60-AC9D2C8D8140}"/>
    <cellStyle name="40% - Énfasis5 15 2" xfId="1360" xr:uid="{1A59D495-F27C-4530-AE3B-5F7D148C6564}"/>
    <cellStyle name="40% - Énfasis5 15 2 2" xfId="2827" xr:uid="{8AD46064-DB93-496D-9DBA-8344A3F180AF}"/>
    <cellStyle name="40% - Énfasis5 15 2 2 2" xfId="6559" xr:uid="{F2AE38C1-8003-4D94-AD7A-BF15DB86BD02}"/>
    <cellStyle name="40% - Énfasis5 15 2 2 2 2" xfId="14267" xr:uid="{CBCD0534-5A26-4961-8F0A-4ED3C31AAC8F}"/>
    <cellStyle name="40% - Énfasis5 15 2 2 2 2 2" xfId="29679" xr:uid="{970C1F15-22E3-4FEE-AC3E-422C3B1ABC36}"/>
    <cellStyle name="40% - Énfasis5 15 2 2 2 2 2 2" xfId="47713" xr:uid="{D2653906-C80D-457C-9798-B6110A3970C8}"/>
    <cellStyle name="40% - Énfasis5 15 2 2 2 2 3" xfId="47712" xr:uid="{C669A4DE-0A97-4224-84B9-1D5054CACFB1}"/>
    <cellStyle name="40% - Énfasis5 15 2 2 2 3" xfId="21974" xr:uid="{344C5EAE-2E0D-42E9-B634-3D0372045766}"/>
    <cellStyle name="40% - Énfasis5 15 2 2 2 3 2" xfId="47714" xr:uid="{507F39D4-0EA6-412B-8AD6-3586CE3E9691}"/>
    <cellStyle name="40% - Énfasis5 15 2 2 2 4" xfId="47711" xr:uid="{19CE9CAC-8478-4586-B4F2-42D8B84F06C9}"/>
    <cellStyle name="40% - Énfasis5 15 2 2 3" xfId="10538" xr:uid="{DD2008E6-B0C1-46C4-9E44-ED3E50938B2C}"/>
    <cellStyle name="40% - Énfasis5 15 2 2 3 2" xfId="25951" xr:uid="{10568E6D-2359-44B2-BD1B-4C68DAF97FC6}"/>
    <cellStyle name="40% - Énfasis5 15 2 2 3 2 2" xfId="47716" xr:uid="{19856E98-A13A-4D69-B1C3-363D34CF13D8}"/>
    <cellStyle name="40% - Énfasis5 15 2 2 3 3" xfId="47715" xr:uid="{5A4913A9-08BC-47B2-9F36-2ACC8E6829D2}"/>
    <cellStyle name="40% - Énfasis5 15 2 2 4" xfId="18246" xr:uid="{50411091-41AA-4E5E-B062-BBE8CE36F7F6}"/>
    <cellStyle name="40% - Énfasis5 15 2 2 4 2" xfId="47717" xr:uid="{6B19393E-D820-4014-8293-C8A858CBFFE4}"/>
    <cellStyle name="40% - Énfasis5 15 2 2 5" xfId="47710" xr:uid="{F87D8C1C-E2C5-4180-8FF1-37305C9A9DFD}"/>
    <cellStyle name="40% - Énfasis5 15 2 3" xfId="5096" xr:uid="{7120F0C0-921A-491A-8A1A-1088823E89AD}"/>
    <cellStyle name="40% - Énfasis5 15 2 3 2" xfId="12804" xr:uid="{BA9193BA-41C6-4BA1-9EEC-723C710C3DDA}"/>
    <cellStyle name="40% - Énfasis5 15 2 3 2 2" xfId="28216" xr:uid="{434AD0C4-F0A7-4E8A-AFF5-DDA91B752413}"/>
    <cellStyle name="40% - Énfasis5 15 2 3 2 2 2" xfId="47720" xr:uid="{B58582EF-34A7-43BB-B959-EBE2B78412C5}"/>
    <cellStyle name="40% - Énfasis5 15 2 3 2 3" xfId="47719" xr:uid="{29A9FA87-F0EF-4B7A-B450-5593D61EC8E3}"/>
    <cellStyle name="40% - Énfasis5 15 2 3 3" xfId="20511" xr:uid="{0D79419C-23AA-48D6-A538-87AF70E54857}"/>
    <cellStyle name="40% - Énfasis5 15 2 3 3 2" xfId="47721" xr:uid="{CA68AFFF-6086-49AA-8639-FFB5CF7C6BF7}"/>
    <cellStyle name="40% - Énfasis5 15 2 3 4" xfId="47718" xr:uid="{93B63AEA-9D3E-4D87-8146-AB2F11D31A78}"/>
    <cellStyle name="40% - Énfasis5 15 2 4" xfId="9079" xr:uid="{C59A35F4-8714-4DAA-85C8-78F6CDCDE6C1}"/>
    <cellStyle name="40% - Énfasis5 15 2 4 2" xfId="24492" xr:uid="{89FF9D8D-8923-4AF1-8756-260A7EB64542}"/>
    <cellStyle name="40% - Énfasis5 15 2 4 2 2" xfId="47723" xr:uid="{3DA5F838-1F70-426D-86F4-8E738E5AAA5A}"/>
    <cellStyle name="40% - Énfasis5 15 2 4 3" xfId="47722" xr:uid="{07B03A40-6CE9-4C98-BFCA-2FD99E624249}"/>
    <cellStyle name="40% - Énfasis5 15 2 5" xfId="16787" xr:uid="{092F9C70-0F73-4350-BEC9-8C5B41381BA0}"/>
    <cellStyle name="40% - Énfasis5 15 2 5 2" xfId="47724" xr:uid="{BB49C696-313A-46B9-BBD2-B91C8ACF3B6D}"/>
    <cellStyle name="40% - Énfasis5 15 2 6" xfId="47709" xr:uid="{803EDF38-1FD7-4644-9967-AE008E989DD2}"/>
    <cellStyle name="40% - Énfasis5 15 3" xfId="2189" xr:uid="{C512B013-DD21-4196-BF31-55E86DA20CFE}"/>
    <cellStyle name="40% - Énfasis5 15 3 2" xfId="5921" xr:uid="{3DDE0679-7CCB-4E56-AEAB-8F67098C5548}"/>
    <cellStyle name="40% - Énfasis5 15 3 2 2" xfId="13629" xr:uid="{0E5C0392-B4BD-4F2F-9DC0-C7C5FD63F3C6}"/>
    <cellStyle name="40% - Énfasis5 15 3 2 2 2" xfId="29041" xr:uid="{2DEDA5C4-BB57-49F3-9144-B0B71025605E}"/>
    <cellStyle name="40% - Énfasis5 15 3 2 2 2 2" xfId="47728" xr:uid="{46B4514D-2DED-44F7-8996-DE448828199D}"/>
    <cellStyle name="40% - Énfasis5 15 3 2 2 3" xfId="47727" xr:uid="{8879411E-DA6A-493E-A3BC-B8AC7A665878}"/>
    <cellStyle name="40% - Énfasis5 15 3 2 3" xfId="21336" xr:uid="{16C99C59-8813-44D0-8AAE-7A7A83A05EE6}"/>
    <cellStyle name="40% - Énfasis5 15 3 2 3 2" xfId="47729" xr:uid="{2A80A375-C27D-4802-8E90-21AB4599261D}"/>
    <cellStyle name="40% - Énfasis5 15 3 2 4" xfId="47726" xr:uid="{1E77A05D-9384-43B1-A06A-53AB8F3DD8C0}"/>
    <cellStyle name="40% - Énfasis5 15 3 3" xfId="9900" xr:uid="{BF8D0EA3-E759-4BF3-8FFD-6F5FA4A0A920}"/>
    <cellStyle name="40% - Énfasis5 15 3 3 2" xfId="25313" xr:uid="{4B2090FA-69FC-4100-93FB-29B7D611B902}"/>
    <cellStyle name="40% - Énfasis5 15 3 3 2 2" xfId="47731" xr:uid="{E5C0B2B6-DCC2-43AF-859B-9E3B55781D60}"/>
    <cellStyle name="40% - Énfasis5 15 3 3 3" xfId="47730" xr:uid="{4A61B964-4ACD-4850-8603-E5BC123B0B0F}"/>
    <cellStyle name="40% - Énfasis5 15 3 4" xfId="17608" xr:uid="{A6D10B8F-58BB-403A-A07F-FEECAA9EAF8F}"/>
    <cellStyle name="40% - Énfasis5 15 3 4 2" xfId="47732" xr:uid="{B2F8F967-D5B7-4C1B-89F3-7711947DDC8F}"/>
    <cellStyle name="40% - Énfasis5 15 3 5" xfId="47725" xr:uid="{ACE964E0-99B1-4F47-94AC-757C0C9F1004}"/>
    <cellStyle name="40% - Énfasis5 15 4" xfId="4444" xr:uid="{7324FACF-80A0-4CF6-BF7A-976F3D8D06C6}"/>
    <cellStyle name="40% - Énfasis5 15 4 2" xfId="12152" xr:uid="{904276F9-F96A-4119-89F9-04EF4424F6C5}"/>
    <cellStyle name="40% - Énfasis5 15 4 2 2" xfId="27564" xr:uid="{8AA7586A-C683-447F-9B8B-1ED64F00279F}"/>
    <cellStyle name="40% - Énfasis5 15 4 2 2 2" xfId="47735" xr:uid="{E305FA43-ACED-4C22-9B29-56B8132F508A}"/>
    <cellStyle name="40% - Énfasis5 15 4 2 3" xfId="47734" xr:uid="{4FD8A74B-EA5B-47ED-A939-1FFB4AD94EF7}"/>
    <cellStyle name="40% - Énfasis5 15 4 3" xfId="19859" xr:uid="{29B7E545-3190-4565-9051-FD0099C33E11}"/>
    <cellStyle name="40% - Énfasis5 15 4 3 2" xfId="47736" xr:uid="{ABCF9284-D308-4CDF-B4AF-3B1C44602FF9}"/>
    <cellStyle name="40% - Énfasis5 15 4 4" xfId="47733" xr:uid="{A2A2A661-1525-44CA-86B3-59B7739AF1AE}"/>
    <cellStyle name="40% - Énfasis5 15 5" xfId="8441" xr:uid="{B1F10796-DE7B-4CF6-912C-CB55414A7016}"/>
    <cellStyle name="40% - Énfasis5 15 5 2" xfId="23854" xr:uid="{D2A52573-1D6F-4387-BD61-DA6F668E01F5}"/>
    <cellStyle name="40% - Énfasis5 15 5 2 2" xfId="47738" xr:uid="{279F907D-5903-42AB-B1F5-3572E56D84D9}"/>
    <cellStyle name="40% - Énfasis5 15 5 3" xfId="47737" xr:uid="{57075CC3-C2C4-4E13-AF21-7C9E66677B06}"/>
    <cellStyle name="40% - Énfasis5 15 6" xfId="16149" xr:uid="{3BA1CF14-AA39-4D49-881A-28F974F279FF}"/>
    <cellStyle name="40% - Énfasis5 15 6 2" xfId="47739" xr:uid="{7D060A8C-A80C-46EE-9C5C-F4E1C9C110B8}"/>
    <cellStyle name="40% - Énfasis5 15 7" xfId="47708" xr:uid="{567DF8D4-FDA2-4767-A8C4-E9716E812274}"/>
    <cellStyle name="40% - Énfasis5 16" xfId="720" xr:uid="{CD63402B-53FC-442B-864C-F3F175638AF9}"/>
    <cellStyle name="40% - Énfasis5 16 2" xfId="1381" xr:uid="{4172AD28-0409-4CFC-BD91-1D9EC78BAD8B}"/>
    <cellStyle name="40% - Énfasis5 16 2 2" xfId="2848" xr:uid="{B45B5E03-A4D3-46B8-9EDA-78C5B7ED64CC}"/>
    <cellStyle name="40% - Énfasis5 16 2 2 2" xfId="6580" xr:uid="{AA17630B-B3BD-432D-BACE-234B5D92110D}"/>
    <cellStyle name="40% - Énfasis5 16 2 2 2 2" xfId="14288" xr:uid="{386A6004-3B84-4769-B831-5257939D7E70}"/>
    <cellStyle name="40% - Énfasis5 16 2 2 2 2 2" xfId="29700" xr:uid="{C9A4F28D-6C6D-4D00-8269-969508D4DF42}"/>
    <cellStyle name="40% - Énfasis5 16 2 2 2 2 2 2" xfId="47745" xr:uid="{5EF19EE2-6574-43A1-AAF2-D646D8C852E6}"/>
    <cellStyle name="40% - Énfasis5 16 2 2 2 2 3" xfId="47744" xr:uid="{2F2B57B2-15E9-4F54-B1C2-5A29FA9BF53D}"/>
    <cellStyle name="40% - Énfasis5 16 2 2 2 3" xfId="21995" xr:uid="{B598E163-6068-458B-AFA5-72A683EC3D58}"/>
    <cellStyle name="40% - Énfasis5 16 2 2 2 3 2" xfId="47746" xr:uid="{07BA8007-D653-4920-9C22-71AE59F7228D}"/>
    <cellStyle name="40% - Énfasis5 16 2 2 2 4" xfId="47743" xr:uid="{53640CA0-2721-406B-B56F-A398279F2B4B}"/>
    <cellStyle name="40% - Énfasis5 16 2 2 3" xfId="10559" xr:uid="{72E1609E-C94A-40BF-BAC3-55440C775BAD}"/>
    <cellStyle name="40% - Énfasis5 16 2 2 3 2" xfId="25972" xr:uid="{CF9E6481-DA68-401E-A090-164BC4E9D194}"/>
    <cellStyle name="40% - Énfasis5 16 2 2 3 2 2" xfId="47748" xr:uid="{75E2851D-63A5-4ADE-BA69-C2AAC46415EE}"/>
    <cellStyle name="40% - Énfasis5 16 2 2 3 3" xfId="47747" xr:uid="{E59E0C7B-36A8-428F-8BFE-263F0FEE69D6}"/>
    <cellStyle name="40% - Énfasis5 16 2 2 4" xfId="18267" xr:uid="{9054732E-CC75-454F-934F-E469723A4231}"/>
    <cellStyle name="40% - Énfasis5 16 2 2 4 2" xfId="47749" xr:uid="{224C9400-E64D-486A-BF5D-308E66CAEE53}"/>
    <cellStyle name="40% - Énfasis5 16 2 2 5" xfId="47742" xr:uid="{5C0C62AA-E79C-4B3A-9FE5-3F3AEC7B7C79}"/>
    <cellStyle name="40% - Énfasis5 16 2 3" xfId="5117" xr:uid="{1B1730BC-BB8D-43ED-82A1-E729836CB62A}"/>
    <cellStyle name="40% - Énfasis5 16 2 3 2" xfId="12825" xr:uid="{75439754-1EDB-4573-961D-94F01C2FD683}"/>
    <cellStyle name="40% - Énfasis5 16 2 3 2 2" xfId="28237" xr:uid="{1A9C5451-9399-418D-B909-E9687E41AAEB}"/>
    <cellStyle name="40% - Énfasis5 16 2 3 2 2 2" xfId="47752" xr:uid="{5355966C-D0FB-4AC3-950E-E425F08F7574}"/>
    <cellStyle name="40% - Énfasis5 16 2 3 2 3" xfId="47751" xr:uid="{9CB65492-BC48-489D-BD54-CF04ABE5E3F9}"/>
    <cellStyle name="40% - Énfasis5 16 2 3 3" xfId="20532" xr:uid="{44D5E0DD-2021-4621-96DF-AC00C4E2912F}"/>
    <cellStyle name="40% - Énfasis5 16 2 3 3 2" xfId="47753" xr:uid="{C4502FEC-8DB2-4A85-9911-0A0C76D849D6}"/>
    <cellStyle name="40% - Énfasis5 16 2 3 4" xfId="47750" xr:uid="{BEF8BF3D-3F79-42C3-8105-6F2BE62D7FA0}"/>
    <cellStyle name="40% - Énfasis5 16 2 4" xfId="9100" xr:uid="{8DE8CE5F-6DCB-4A8F-BB21-12C397D255D6}"/>
    <cellStyle name="40% - Énfasis5 16 2 4 2" xfId="24513" xr:uid="{B4D5A967-35C6-4EF2-9A61-313CF813E023}"/>
    <cellStyle name="40% - Énfasis5 16 2 4 2 2" xfId="47755" xr:uid="{20152909-BBC9-4C61-8B1A-640CDAF95BD7}"/>
    <cellStyle name="40% - Énfasis5 16 2 4 3" xfId="47754" xr:uid="{56897EB5-AECD-4008-B150-9D750E241242}"/>
    <cellStyle name="40% - Énfasis5 16 2 5" xfId="16808" xr:uid="{12D43B75-95A9-488F-B033-F128D0732DF4}"/>
    <cellStyle name="40% - Énfasis5 16 2 5 2" xfId="47756" xr:uid="{DB373F0B-4A20-411A-AB00-8ED383D1C90D}"/>
    <cellStyle name="40% - Énfasis5 16 2 6" xfId="47741" xr:uid="{A654763B-48F1-4239-993C-95AD9F0E1DC2}"/>
    <cellStyle name="40% - Énfasis5 16 3" xfId="2210" xr:uid="{F5449C47-159E-4173-AD0C-48501F43CE0D}"/>
    <cellStyle name="40% - Énfasis5 16 3 2" xfId="5942" xr:uid="{9779C322-4C9C-45A0-8B52-A3DCF3ABA74F}"/>
    <cellStyle name="40% - Énfasis5 16 3 2 2" xfId="13650" xr:uid="{D7420B58-34C6-4364-A249-597C49544CEE}"/>
    <cellStyle name="40% - Énfasis5 16 3 2 2 2" xfId="29062" xr:uid="{B103CB5C-C18D-49ED-838C-EB9E4ADCC377}"/>
    <cellStyle name="40% - Énfasis5 16 3 2 2 2 2" xfId="47760" xr:uid="{809228A9-2A09-4B0C-B3DE-AC7E4690653B}"/>
    <cellStyle name="40% - Énfasis5 16 3 2 2 3" xfId="47759" xr:uid="{12B9CCE2-1CB2-4DBF-8784-0EFF9DA82EA1}"/>
    <cellStyle name="40% - Énfasis5 16 3 2 3" xfId="21357" xr:uid="{D057973E-9A53-4778-ABB3-A1CA7FE48A96}"/>
    <cellStyle name="40% - Énfasis5 16 3 2 3 2" xfId="47761" xr:uid="{F6DC1D96-66BD-40BF-BA38-AB2508461C65}"/>
    <cellStyle name="40% - Énfasis5 16 3 2 4" xfId="47758" xr:uid="{30DA5F4C-8CFC-46F9-8DAF-8AB96FE05B19}"/>
    <cellStyle name="40% - Énfasis5 16 3 3" xfId="9921" xr:uid="{EF03849A-9846-4C13-BFD2-5634F953907B}"/>
    <cellStyle name="40% - Énfasis5 16 3 3 2" xfId="25334" xr:uid="{55140E61-04B7-4284-B9B4-871C2E28F9E2}"/>
    <cellStyle name="40% - Énfasis5 16 3 3 2 2" xfId="47763" xr:uid="{501EB311-D924-47D4-8497-EE615C9C183D}"/>
    <cellStyle name="40% - Énfasis5 16 3 3 3" xfId="47762" xr:uid="{B757BDE7-CF22-4711-A556-63840E1FE13A}"/>
    <cellStyle name="40% - Énfasis5 16 3 4" xfId="17629" xr:uid="{8BF74356-706A-4794-9308-650D72BB36BC}"/>
    <cellStyle name="40% - Énfasis5 16 3 4 2" xfId="47764" xr:uid="{1552B4B2-7E80-4A92-90A2-1CD3B3E96D4C}"/>
    <cellStyle name="40% - Énfasis5 16 3 5" xfId="47757" xr:uid="{755B89B6-E5B5-4561-A53A-71382A2C5B5B}"/>
    <cellStyle name="40% - Énfasis5 16 4" xfId="4465" xr:uid="{9542311B-F8B2-4953-8746-792D3AD06A05}"/>
    <cellStyle name="40% - Énfasis5 16 4 2" xfId="12173" xr:uid="{58D87D31-0D63-4E17-8286-8D14C1A10920}"/>
    <cellStyle name="40% - Énfasis5 16 4 2 2" xfId="27585" xr:uid="{BC3726CD-0C43-4145-9BB1-E2CAF4113D38}"/>
    <cellStyle name="40% - Énfasis5 16 4 2 2 2" xfId="47767" xr:uid="{EC4C4893-EEED-4764-9D10-484B8A663455}"/>
    <cellStyle name="40% - Énfasis5 16 4 2 3" xfId="47766" xr:uid="{7482B936-2FE7-4FB6-8390-E8CB97D913C5}"/>
    <cellStyle name="40% - Énfasis5 16 4 3" xfId="19880" xr:uid="{5179EB5E-33EE-4074-BB00-A40A6CCDA1BC}"/>
    <cellStyle name="40% - Énfasis5 16 4 3 2" xfId="47768" xr:uid="{2A1DC774-E16B-4A15-8AB8-26342B52EC36}"/>
    <cellStyle name="40% - Énfasis5 16 4 4" xfId="47765" xr:uid="{DD710FEF-13BC-4F1A-A6AD-FB6788DE062D}"/>
    <cellStyle name="40% - Énfasis5 16 5" xfId="8462" xr:uid="{FEFF2E98-1EDB-446C-8FA5-CEA93EBFCEA0}"/>
    <cellStyle name="40% - Énfasis5 16 5 2" xfId="23875" xr:uid="{B5EA4779-C0FB-4A8E-9077-9DC772C38B06}"/>
    <cellStyle name="40% - Énfasis5 16 5 2 2" xfId="47770" xr:uid="{EDE32DF1-F640-4BBE-A2FB-B994C59AF6C1}"/>
    <cellStyle name="40% - Énfasis5 16 5 3" xfId="47769" xr:uid="{566F639F-1565-4279-B693-EEBC2E26DDCD}"/>
    <cellStyle name="40% - Énfasis5 16 6" xfId="16170" xr:uid="{F8113FF0-DBAD-4465-9F2A-DFA520E550EE}"/>
    <cellStyle name="40% - Énfasis5 16 6 2" xfId="47771" xr:uid="{89ED0A4A-B7F0-4831-9B5E-5A8622DCFCE7}"/>
    <cellStyle name="40% - Énfasis5 16 7" xfId="47740" xr:uid="{FFAE4E6F-DE81-485D-95DA-C90CE71DF1D3}"/>
    <cellStyle name="40% - Énfasis5 17" xfId="740" xr:uid="{4F6EE7D3-3F91-4CB1-9AC2-76A5A640A401}"/>
    <cellStyle name="40% - Énfasis5 17 2" xfId="1401" xr:uid="{D7C58733-512E-41B0-96DF-2F505AA7D255}"/>
    <cellStyle name="40% - Énfasis5 17 2 2" xfId="2868" xr:uid="{82D9C257-72B0-4DFE-8AEF-2F2B3237940D}"/>
    <cellStyle name="40% - Énfasis5 17 2 2 2" xfId="6600" xr:uid="{93F3CFDD-64B0-43C4-AD57-8F322E56C57A}"/>
    <cellStyle name="40% - Énfasis5 17 2 2 2 2" xfId="14308" xr:uid="{5BC7EF5F-870D-438D-BAC8-0BE9C6AE11A6}"/>
    <cellStyle name="40% - Énfasis5 17 2 2 2 2 2" xfId="29720" xr:uid="{297D42AD-D4D8-40DA-9E91-8FB2A49ABFEF}"/>
    <cellStyle name="40% - Énfasis5 17 2 2 2 2 2 2" xfId="47777" xr:uid="{E9FB3285-2C78-4708-B952-607359F22C3A}"/>
    <cellStyle name="40% - Énfasis5 17 2 2 2 2 3" xfId="47776" xr:uid="{61C816CB-F390-43FB-81B2-51E9F46A6FC5}"/>
    <cellStyle name="40% - Énfasis5 17 2 2 2 3" xfId="22015" xr:uid="{4E7D1892-3E62-4FFB-8308-51DB83A83CB3}"/>
    <cellStyle name="40% - Énfasis5 17 2 2 2 3 2" xfId="47778" xr:uid="{2C62D00E-2344-4021-954A-1773A7644E95}"/>
    <cellStyle name="40% - Énfasis5 17 2 2 2 4" xfId="47775" xr:uid="{B1A9275E-253B-4002-8FDF-6E0AECE37CD8}"/>
    <cellStyle name="40% - Énfasis5 17 2 2 3" xfId="10579" xr:uid="{3C635DFF-6063-4359-929A-9498B35F2B02}"/>
    <cellStyle name="40% - Énfasis5 17 2 2 3 2" xfId="25992" xr:uid="{15E43336-9246-4659-ABB5-FFA342B7582F}"/>
    <cellStyle name="40% - Énfasis5 17 2 2 3 2 2" xfId="47780" xr:uid="{CAF2AA2E-F52F-43E4-B373-F87C3B522316}"/>
    <cellStyle name="40% - Énfasis5 17 2 2 3 3" xfId="47779" xr:uid="{DBD7B732-4948-43D2-97C1-B6BA9318BAFA}"/>
    <cellStyle name="40% - Énfasis5 17 2 2 4" xfId="18287" xr:uid="{5E04B381-44C2-4C78-9330-73BFFEDB9F37}"/>
    <cellStyle name="40% - Énfasis5 17 2 2 4 2" xfId="47781" xr:uid="{F33DBAEC-86CB-4F8A-96DE-7BC4B4FBACC7}"/>
    <cellStyle name="40% - Énfasis5 17 2 2 5" xfId="47774" xr:uid="{EF0BAA96-AF06-4626-BDAF-42AFACCDA94C}"/>
    <cellStyle name="40% - Énfasis5 17 2 3" xfId="5137" xr:uid="{361A60A7-7047-475D-8858-9F4491311952}"/>
    <cellStyle name="40% - Énfasis5 17 2 3 2" xfId="12845" xr:uid="{606C647C-70B0-4715-972A-BAC54C1422FB}"/>
    <cellStyle name="40% - Énfasis5 17 2 3 2 2" xfId="28257" xr:uid="{618E2BCC-8A8F-4CAD-8C3C-AC91E64B5C2F}"/>
    <cellStyle name="40% - Énfasis5 17 2 3 2 2 2" xfId="47784" xr:uid="{772E44BF-987E-438E-B480-0E2C21DEBAE7}"/>
    <cellStyle name="40% - Énfasis5 17 2 3 2 3" xfId="47783" xr:uid="{2E168EB2-4456-416A-8557-3E35CD848944}"/>
    <cellStyle name="40% - Énfasis5 17 2 3 3" xfId="20552" xr:uid="{60A9BB75-5C93-40C0-BD57-B8A43AA4DD40}"/>
    <cellStyle name="40% - Énfasis5 17 2 3 3 2" xfId="47785" xr:uid="{3B59CA79-D5AC-4274-AA72-64FAF02635A1}"/>
    <cellStyle name="40% - Énfasis5 17 2 3 4" xfId="47782" xr:uid="{DB86C795-71A0-4472-88A5-216E62D40565}"/>
    <cellStyle name="40% - Énfasis5 17 2 4" xfId="9120" xr:uid="{3EAFB1D0-C572-4EC0-B132-03E238CD4EDB}"/>
    <cellStyle name="40% - Énfasis5 17 2 4 2" xfId="24533" xr:uid="{021F239C-F0AE-478F-AF22-B477914F34E2}"/>
    <cellStyle name="40% - Énfasis5 17 2 4 2 2" xfId="47787" xr:uid="{20440116-B2D8-4837-A959-FE2DD076A797}"/>
    <cellStyle name="40% - Énfasis5 17 2 4 3" xfId="47786" xr:uid="{BCEC3666-C0FB-4A73-B048-E599A08C74B5}"/>
    <cellStyle name="40% - Énfasis5 17 2 5" xfId="16828" xr:uid="{5D08CE6F-102D-4B4D-A3A1-3B49D7D32A93}"/>
    <cellStyle name="40% - Énfasis5 17 2 5 2" xfId="47788" xr:uid="{FE02C407-5F84-4353-ABB1-930D01F532A4}"/>
    <cellStyle name="40% - Énfasis5 17 2 6" xfId="47773" xr:uid="{D470C927-1672-4E56-B030-A98CBA1BD616}"/>
    <cellStyle name="40% - Énfasis5 17 3" xfId="2230" xr:uid="{D64C7875-291F-4C8F-BC44-129BEC678AB2}"/>
    <cellStyle name="40% - Énfasis5 17 3 2" xfId="5962" xr:uid="{ED6C91F2-0648-45A1-BE47-446CCA75BEF5}"/>
    <cellStyle name="40% - Énfasis5 17 3 2 2" xfId="13670" xr:uid="{282F75B0-52F0-4B4A-B6AD-F665FE524739}"/>
    <cellStyle name="40% - Énfasis5 17 3 2 2 2" xfId="29082" xr:uid="{947A0DEF-E8FA-45D5-8662-DE828C677973}"/>
    <cellStyle name="40% - Énfasis5 17 3 2 2 2 2" xfId="47792" xr:uid="{F86FFD64-5674-49CE-83BE-CE15ACC76A25}"/>
    <cellStyle name="40% - Énfasis5 17 3 2 2 3" xfId="47791" xr:uid="{87E6C133-2F86-4804-B5E3-6A4AC8ECE9C8}"/>
    <cellStyle name="40% - Énfasis5 17 3 2 3" xfId="21377" xr:uid="{42BE625E-12F2-463D-986A-939504163AD9}"/>
    <cellStyle name="40% - Énfasis5 17 3 2 3 2" xfId="47793" xr:uid="{73305ED5-5396-45AC-8FBA-70C0470865C2}"/>
    <cellStyle name="40% - Énfasis5 17 3 2 4" xfId="47790" xr:uid="{DB463127-3BD4-4D85-8CAC-03469451685A}"/>
    <cellStyle name="40% - Énfasis5 17 3 3" xfId="9941" xr:uid="{70400B60-1D9E-458D-A198-9B15ABB6DBC3}"/>
    <cellStyle name="40% - Énfasis5 17 3 3 2" xfId="25354" xr:uid="{6667D47A-07A2-4D5C-A5CD-F5733E455B51}"/>
    <cellStyle name="40% - Énfasis5 17 3 3 2 2" xfId="47795" xr:uid="{0569E99C-4B34-40D2-A4CD-7CCC133D560B}"/>
    <cellStyle name="40% - Énfasis5 17 3 3 3" xfId="47794" xr:uid="{EA22AE24-8FC5-4C66-B436-C6C878DAA574}"/>
    <cellStyle name="40% - Énfasis5 17 3 4" xfId="17649" xr:uid="{A8A47415-96C1-43F8-B9FB-54F17305FDCD}"/>
    <cellStyle name="40% - Énfasis5 17 3 4 2" xfId="47796" xr:uid="{1EE8835F-53A6-4720-8CFF-3601718E40CB}"/>
    <cellStyle name="40% - Énfasis5 17 3 5" xfId="47789" xr:uid="{0AC30C57-F624-4E71-B7C3-BF693BA5DB88}"/>
    <cellStyle name="40% - Énfasis5 17 4" xfId="4485" xr:uid="{3EE469AC-4725-4466-9453-7E874FD97024}"/>
    <cellStyle name="40% - Énfasis5 17 4 2" xfId="12193" xr:uid="{839DDF7D-70F4-4405-A207-C6C3424A7634}"/>
    <cellStyle name="40% - Énfasis5 17 4 2 2" xfId="27605" xr:uid="{1854EE44-B161-496E-B861-B067F5911E3D}"/>
    <cellStyle name="40% - Énfasis5 17 4 2 2 2" xfId="47799" xr:uid="{7A3D6879-CA5E-46BB-BCEA-3A87C719B1C9}"/>
    <cellStyle name="40% - Énfasis5 17 4 2 3" xfId="47798" xr:uid="{BDE2CB45-37E7-493E-A8C2-F8913F12CAD5}"/>
    <cellStyle name="40% - Énfasis5 17 4 3" xfId="19900" xr:uid="{AC48EB9A-49CF-4255-B05A-0D76D420A99B}"/>
    <cellStyle name="40% - Énfasis5 17 4 3 2" xfId="47800" xr:uid="{46E6D485-FFAA-4212-8F3B-BB1A08B2267D}"/>
    <cellStyle name="40% - Énfasis5 17 4 4" xfId="47797" xr:uid="{EA61FEE5-F79A-45E3-B05C-8C3E6499409E}"/>
    <cellStyle name="40% - Énfasis5 17 5" xfId="8482" xr:uid="{8B554055-8642-43BE-BDB2-4C09B6FCA44F}"/>
    <cellStyle name="40% - Énfasis5 17 5 2" xfId="23895" xr:uid="{42485161-1793-429D-A5AE-CBC9933BB8F7}"/>
    <cellStyle name="40% - Énfasis5 17 5 2 2" xfId="47802" xr:uid="{3974C225-95BC-4328-AD55-A71D5102FB3C}"/>
    <cellStyle name="40% - Énfasis5 17 5 3" xfId="47801" xr:uid="{F4EE3713-AA79-4F51-9DEF-EFF025FE66EC}"/>
    <cellStyle name="40% - Énfasis5 17 6" xfId="16190" xr:uid="{25D7C1B9-4CC8-4134-994C-FE1A7DA2B5D4}"/>
    <cellStyle name="40% - Énfasis5 17 6 2" xfId="47803" xr:uid="{58970405-C55B-465B-864B-B2A9C4322EB5}"/>
    <cellStyle name="40% - Énfasis5 17 7" xfId="47772" xr:uid="{34A3E06B-A256-4EF0-A842-84B75FBE791F}"/>
    <cellStyle name="40% - Énfasis5 18" xfId="760" xr:uid="{BD9AC620-AB31-4054-B0FB-B74E0A1BBA34}"/>
    <cellStyle name="40% - Énfasis5 18 2" xfId="1421" xr:uid="{A3DC66BC-4AB6-4616-82D0-B854ED8187FB}"/>
    <cellStyle name="40% - Énfasis5 18 2 2" xfId="2888" xr:uid="{FFB25FE6-3F49-4103-8F3F-200C799FA82E}"/>
    <cellStyle name="40% - Énfasis5 18 2 2 2" xfId="6620" xr:uid="{B8CF9CB1-E08C-43F4-9C13-9A701995990D}"/>
    <cellStyle name="40% - Énfasis5 18 2 2 2 2" xfId="14328" xr:uid="{AACD2EFF-9A67-4CA5-B4B7-24663CF2F193}"/>
    <cellStyle name="40% - Énfasis5 18 2 2 2 2 2" xfId="29740" xr:uid="{0874CFE5-0F93-47EE-80F3-FFA8687FD35A}"/>
    <cellStyle name="40% - Énfasis5 18 2 2 2 2 2 2" xfId="47809" xr:uid="{CD1A2307-A888-477A-8452-221A71760E4D}"/>
    <cellStyle name="40% - Énfasis5 18 2 2 2 2 3" xfId="47808" xr:uid="{54DD9964-151C-497B-B4EF-945D3C632B0A}"/>
    <cellStyle name="40% - Énfasis5 18 2 2 2 3" xfId="22035" xr:uid="{EA9AA504-3505-43D3-A1D8-EA80BD33926A}"/>
    <cellStyle name="40% - Énfasis5 18 2 2 2 3 2" xfId="47810" xr:uid="{75D11207-D899-4E73-8B98-AC5516EFCE4F}"/>
    <cellStyle name="40% - Énfasis5 18 2 2 2 4" xfId="47807" xr:uid="{89F8A980-B950-4A82-9CEA-B02681CF9368}"/>
    <cellStyle name="40% - Énfasis5 18 2 2 3" xfId="10599" xr:uid="{8173D3DD-9CB3-4364-80A3-9E3AC5CC8B11}"/>
    <cellStyle name="40% - Énfasis5 18 2 2 3 2" xfId="26012" xr:uid="{919BB3A9-4413-4B5C-A107-27A9F6F98ECB}"/>
    <cellStyle name="40% - Énfasis5 18 2 2 3 2 2" xfId="47812" xr:uid="{1A646674-1A2F-4337-AB6A-9D459290E66F}"/>
    <cellStyle name="40% - Énfasis5 18 2 2 3 3" xfId="47811" xr:uid="{4521E2DD-A00E-4B2C-829B-96F5230AECC3}"/>
    <cellStyle name="40% - Énfasis5 18 2 2 4" xfId="18307" xr:uid="{03AAB6D1-CB0E-46D5-8A1A-A0E53744B14F}"/>
    <cellStyle name="40% - Énfasis5 18 2 2 4 2" xfId="47813" xr:uid="{A18B9CE5-17F3-46B9-9B36-76A0E7F57A17}"/>
    <cellStyle name="40% - Énfasis5 18 2 2 5" xfId="47806" xr:uid="{A75F36A0-7D79-4499-B230-9E4DAE60D108}"/>
    <cellStyle name="40% - Énfasis5 18 2 3" xfId="5157" xr:uid="{064DDF53-0E27-40CE-AEDB-98C967547EBF}"/>
    <cellStyle name="40% - Énfasis5 18 2 3 2" xfId="12865" xr:uid="{FA746474-B269-4918-9940-8E21578A7383}"/>
    <cellStyle name="40% - Énfasis5 18 2 3 2 2" xfId="28277" xr:uid="{E8B5EEC0-0E57-43E2-BC76-07450F1EF378}"/>
    <cellStyle name="40% - Énfasis5 18 2 3 2 2 2" xfId="47816" xr:uid="{FDE9CD31-D2AC-4889-9AD8-6E413F202428}"/>
    <cellStyle name="40% - Énfasis5 18 2 3 2 3" xfId="47815" xr:uid="{0E0E40EB-9F50-49AF-829D-C163CEC5AA46}"/>
    <cellStyle name="40% - Énfasis5 18 2 3 3" xfId="20572" xr:uid="{53BEC340-57AB-47A6-83D4-F1A818537125}"/>
    <cellStyle name="40% - Énfasis5 18 2 3 3 2" xfId="47817" xr:uid="{C97EE890-21C7-4615-9BD7-0F79E74A8D31}"/>
    <cellStyle name="40% - Énfasis5 18 2 3 4" xfId="47814" xr:uid="{566500CC-52B3-4055-843F-B44DF5E16ABF}"/>
    <cellStyle name="40% - Énfasis5 18 2 4" xfId="9140" xr:uid="{CF630FE0-76EC-44BC-BA85-FA9C35913045}"/>
    <cellStyle name="40% - Énfasis5 18 2 4 2" xfId="24553" xr:uid="{BCBF0D0A-0E3C-4349-8D67-3D4E4D1183E5}"/>
    <cellStyle name="40% - Énfasis5 18 2 4 2 2" xfId="47819" xr:uid="{D9A90A48-65F7-4779-A6A0-609C8749015E}"/>
    <cellStyle name="40% - Énfasis5 18 2 4 3" xfId="47818" xr:uid="{CA132F5D-CA09-46B0-B2B5-D8E2FAB9DF1E}"/>
    <cellStyle name="40% - Énfasis5 18 2 5" xfId="16848" xr:uid="{F933E023-C6BE-40D2-A0C9-68D779D22E4E}"/>
    <cellStyle name="40% - Énfasis5 18 2 5 2" xfId="47820" xr:uid="{FE6527B7-B86E-4EB2-9ABA-C17E8B0C54F2}"/>
    <cellStyle name="40% - Énfasis5 18 2 6" xfId="47805" xr:uid="{855D68C5-0AA4-4B7E-A267-5FD11271F20A}"/>
    <cellStyle name="40% - Énfasis5 18 3" xfId="2250" xr:uid="{BFC64BAB-328D-4199-BF25-6C34DF12BB22}"/>
    <cellStyle name="40% - Énfasis5 18 3 2" xfId="5982" xr:uid="{4F8E888D-A807-4C03-ABC4-98E258B4D185}"/>
    <cellStyle name="40% - Énfasis5 18 3 2 2" xfId="13690" xr:uid="{3B15C49A-96DD-4974-A65D-BA234361F1A3}"/>
    <cellStyle name="40% - Énfasis5 18 3 2 2 2" xfId="29102" xr:uid="{8F6AA2AA-47E6-4E73-B76C-621F9DD77E2C}"/>
    <cellStyle name="40% - Énfasis5 18 3 2 2 2 2" xfId="47824" xr:uid="{A24B3385-5A84-4E47-9CFE-2B3E6147B9E7}"/>
    <cellStyle name="40% - Énfasis5 18 3 2 2 3" xfId="47823" xr:uid="{75DBABDE-B898-4A5F-9C52-8CF63C2C831B}"/>
    <cellStyle name="40% - Énfasis5 18 3 2 3" xfId="21397" xr:uid="{F263C8D4-C1A7-4F90-B2E8-0562E2106492}"/>
    <cellStyle name="40% - Énfasis5 18 3 2 3 2" xfId="47825" xr:uid="{100C3348-BC32-40C9-9529-D0EF70A09DBC}"/>
    <cellStyle name="40% - Énfasis5 18 3 2 4" xfId="47822" xr:uid="{7C221FF9-0484-40C0-B0FA-4FEA4A54E243}"/>
    <cellStyle name="40% - Énfasis5 18 3 3" xfId="9961" xr:uid="{D5699357-B0EB-49DF-B487-05ACE0EE7C87}"/>
    <cellStyle name="40% - Énfasis5 18 3 3 2" xfId="25374" xr:uid="{0702D09B-DB6F-4D6A-AFC5-1D118A0137CA}"/>
    <cellStyle name="40% - Énfasis5 18 3 3 2 2" xfId="47827" xr:uid="{36B93F20-7DC7-47FE-8BAB-6A330A99FB87}"/>
    <cellStyle name="40% - Énfasis5 18 3 3 3" xfId="47826" xr:uid="{DC04088D-E689-4856-BC49-5B0B7312920B}"/>
    <cellStyle name="40% - Énfasis5 18 3 4" xfId="17669" xr:uid="{02542A0B-7208-4069-BF02-370603B7BDFC}"/>
    <cellStyle name="40% - Énfasis5 18 3 4 2" xfId="47828" xr:uid="{92852D4A-77C9-48A5-8D2C-0956E69E1C8C}"/>
    <cellStyle name="40% - Énfasis5 18 3 5" xfId="47821" xr:uid="{DDEE31EB-EAEC-46FE-B893-9648432B4E0F}"/>
    <cellStyle name="40% - Énfasis5 18 4" xfId="4505" xr:uid="{A1A66C6A-635D-4990-B129-8AA78CE8A4D7}"/>
    <cellStyle name="40% - Énfasis5 18 4 2" xfId="12213" xr:uid="{0D9389BD-870D-44C2-8A93-96F40B32D69D}"/>
    <cellStyle name="40% - Énfasis5 18 4 2 2" xfId="27625" xr:uid="{7FE6ED23-776F-4B84-ACE0-F8E48B5CC338}"/>
    <cellStyle name="40% - Énfasis5 18 4 2 2 2" xfId="47831" xr:uid="{DA9471D5-6509-434E-AC52-3CD2B6947863}"/>
    <cellStyle name="40% - Énfasis5 18 4 2 3" xfId="47830" xr:uid="{4AA332C2-B885-4C0E-91C0-400E8FC6EB24}"/>
    <cellStyle name="40% - Énfasis5 18 4 3" xfId="19920" xr:uid="{C53C8569-AA5C-4435-BBA9-4BEAED1C05E5}"/>
    <cellStyle name="40% - Énfasis5 18 4 3 2" xfId="47832" xr:uid="{04114D3F-B6F1-4A79-BC07-0DF862E87999}"/>
    <cellStyle name="40% - Énfasis5 18 4 4" xfId="47829" xr:uid="{777F196E-9492-44CC-97C2-36D7F687F805}"/>
    <cellStyle name="40% - Énfasis5 18 5" xfId="8502" xr:uid="{8B2E1B88-B72F-4919-981F-DC39AA96A573}"/>
    <cellStyle name="40% - Énfasis5 18 5 2" xfId="23915" xr:uid="{989B36F0-71A0-4623-AA2A-11A89D541467}"/>
    <cellStyle name="40% - Énfasis5 18 5 2 2" xfId="47834" xr:uid="{949C596F-E914-45B6-BCA0-EF0161A33B13}"/>
    <cellStyle name="40% - Énfasis5 18 5 3" xfId="47833" xr:uid="{325933BA-0871-4213-98BF-966A3110208A}"/>
    <cellStyle name="40% - Énfasis5 18 6" xfId="16210" xr:uid="{7FFA4B9C-408D-4E88-A911-08B2326F1C18}"/>
    <cellStyle name="40% - Énfasis5 18 6 2" xfId="47835" xr:uid="{888674A6-525F-4A39-8A94-BF28763C88C1}"/>
    <cellStyle name="40% - Énfasis5 18 7" xfId="47804" xr:uid="{941AA748-AC8D-44D0-B223-6B5D617F9421}"/>
    <cellStyle name="40% - Énfasis5 19" xfId="779" xr:uid="{6AF3F6B0-3E85-4B0E-942D-87E109B71FC7}"/>
    <cellStyle name="40% - Énfasis5 19 2" xfId="2269" xr:uid="{F2343E44-962D-47C0-85A1-351494334985}"/>
    <cellStyle name="40% - Énfasis5 19 2 2" xfId="6001" xr:uid="{9AA5ACE9-0496-4843-92E6-B75BCFBC79FE}"/>
    <cellStyle name="40% - Énfasis5 19 2 2 2" xfId="13709" xr:uid="{FF71164C-D837-4875-B8B7-C4672ED204CD}"/>
    <cellStyle name="40% - Énfasis5 19 2 2 2 2" xfId="29121" xr:uid="{F35214CA-C451-4612-B2CF-F3261B3BFF30}"/>
    <cellStyle name="40% - Énfasis5 19 2 2 2 2 2" xfId="47840" xr:uid="{0B432E0F-730B-4265-B8AD-F088FBC08193}"/>
    <cellStyle name="40% - Énfasis5 19 2 2 2 3" xfId="47839" xr:uid="{C4811E4A-9FEE-4FAB-83F8-2E22027A0834}"/>
    <cellStyle name="40% - Énfasis5 19 2 2 3" xfId="21416" xr:uid="{CD8AE1C4-B7C7-4CB3-BB78-92BA55881406}"/>
    <cellStyle name="40% - Énfasis5 19 2 2 3 2" xfId="47841" xr:uid="{1113FF33-741F-41E8-9B07-076AB675AAD3}"/>
    <cellStyle name="40% - Énfasis5 19 2 2 4" xfId="47838" xr:uid="{5B045531-F231-45AC-9782-EDA5415E9463}"/>
    <cellStyle name="40% - Énfasis5 19 2 3" xfId="9980" xr:uid="{ADBBE14E-FCA3-4D81-92AB-D6ECB0001BB8}"/>
    <cellStyle name="40% - Énfasis5 19 2 3 2" xfId="25393" xr:uid="{2EF09FEE-11D0-47CE-8219-D0AA41E943B0}"/>
    <cellStyle name="40% - Énfasis5 19 2 3 2 2" xfId="47843" xr:uid="{9DE68A1D-1159-4F4C-B66E-9F1B4A842D13}"/>
    <cellStyle name="40% - Énfasis5 19 2 3 3" xfId="47842" xr:uid="{23793DEE-F12E-4B98-832B-286E30AE85F1}"/>
    <cellStyle name="40% - Énfasis5 19 2 4" xfId="17688" xr:uid="{07EF53FA-F7A9-42F8-A6AD-37861BF65B7C}"/>
    <cellStyle name="40% - Énfasis5 19 2 4 2" xfId="47844" xr:uid="{E31B8554-ADE2-4B42-932E-9004D2E5EC46}"/>
    <cellStyle name="40% - Énfasis5 19 2 5" xfId="47837" xr:uid="{08ACB36B-5CFC-42FF-8918-C2DDAF172D29}"/>
    <cellStyle name="40% - Énfasis5 19 3" xfId="4524" xr:uid="{310AE1E8-A60E-452A-A2B9-361AC72B0B30}"/>
    <cellStyle name="40% - Énfasis5 19 3 2" xfId="12232" xr:uid="{92D6F305-C8B4-4746-9B6F-BB7364FB1B08}"/>
    <cellStyle name="40% - Énfasis5 19 3 2 2" xfId="27644" xr:uid="{F8353CAF-1C91-498D-9748-5E3D7F5EF146}"/>
    <cellStyle name="40% - Énfasis5 19 3 2 2 2" xfId="47847" xr:uid="{C6CB82D0-EF7C-443F-94B0-800F8D704CB3}"/>
    <cellStyle name="40% - Énfasis5 19 3 2 3" xfId="47846" xr:uid="{72508E45-814F-4A34-B2AD-5933ED189824}"/>
    <cellStyle name="40% - Énfasis5 19 3 3" xfId="19939" xr:uid="{2A3BF1EE-5D59-4615-A677-FEFEA75627DA}"/>
    <cellStyle name="40% - Énfasis5 19 3 3 2" xfId="47848" xr:uid="{783DC235-03DD-45C3-A53A-CE3762D2428C}"/>
    <cellStyle name="40% - Énfasis5 19 3 4" xfId="47845" xr:uid="{A63D2114-456E-4938-A3B3-2E7D15C5D6A0}"/>
    <cellStyle name="40% - Énfasis5 19 4" xfId="8521" xr:uid="{AB39A975-391D-4863-BE97-C30BCF07D34A}"/>
    <cellStyle name="40% - Énfasis5 19 4 2" xfId="23934" xr:uid="{AC26D8D2-0471-4A4A-BCAD-1C85BCFF2760}"/>
    <cellStyle name="40% - Énfasis5 19 4 2 2" xfId="47850" xr:uid="{E92B638C-BFFF-47F1-9223-FD5B8FFB25AF}"/>
    <cellStyle name="40% - Énfasis5 19 4 3" xfId="47849" xr:uid="{AA7AEA66-476F-4A46-A0A7-4F7A4E2D564A}"/>
    <cellStyle name="40% - Énfasis5 19 5" xfId="16229" xr:uid="{B52E2BB1-280D-4032-AAF3-FC55201CAE97}"/>
    <cellStyle name="40% - Énfasis5 19 5 2" xfId="47851" xr:uid="{0321A0CD-840B-4D28-873B-D9FAA0DB2D27}"/>
    <cellStyle name="40% - Énfasis5 19 6" xfId="47836" xr:uid="{6B36FFD9-7D78-4F20-B2C7-2BA55ED934CF}"/>
    <cellStyle name="40% - Énfasis5 2" xfId="179" xr:uid="{50010C00-2393-4C05-80E5-F59CF4D19E39}"/>
    <cellStyle name="40% - Énfasis5 2 2" xfId="389" xr:uid="{4D5203FD-08C7-49FB-85EE-88BE1A43EE5C}"/>
    <cellStyle name="40% - Énfasis5 2 2 2" xfId="1051" xr:uid="{B0723571-3E3A-4728-9DC4-D3E179123F45}"/>
    <cellStyle name="40% - Énfasis5 2 2 2 2" xfId="2519" xr:uid="{658C3B5A-BF89-440E-AC18-BF73E2FB36C8}"/>
    <cellStyle name="40% - Énfasis5 2 2 2 2 2" xfId="6251" xr:uid="{F617A12C-7A68-4E69-931B-7DDD1A5EA9DF}"/>
    <cellStyle name="40% - Énfasis5 2 2 2 2 2 2" xfId="13959" xr:uid="{654BA927-0FFB-44CD-9B80-2E9E52C173D0}"/>
    <cellStyle name="40% - Énfasis5 2 2 2 2 2 2 2" xfId="29371" xr:uid="{9CB2BA0A-BBCB-4429-A27C-4BE0BD111F6F}"/>
    <cellStyle name="40% - Énfasis5 2 2 2 2 2 2 2 2" xfId="47858" xr:uid="{20F63AB4-4648-4807-B6F5-85879C664495}"/>
    <cellStyle name="40% - Énfasis5 2 2 2 2 2 2 3" xfId="47857" xr:uid="{D56B3DD4-A214-46F9-89D8-6A9138724926}"/>
    <cellStyle name="40% - Énfasis5 2 2 2 2 2 3" xfId="21666" xr:uid="{49B9D8C7-2FD4-4904-A6C9-0D4C588A5356}"/>
    <cellStyle name="40% - Énfasis5 2 2 2 2 2 3 2" xfId="47859" xr:uid="{E104CB87-AF47-4434-A8EB-94CFFBE74919}"/>
    <cellStyle name="40% - Énfasis5 2 2 2 2 2 4" xfId="47856" xr:uid="{899F612A-3907-46BD-BB50-771A24A2AA35}"/>
    <cellStyle name="40% - Énfasis5 2 2 2 2 3" xfId="10230" xr:uid="{6BDF5E74-2FDE-41C5-8CE4-7DF99A48FD67}"/>
    <cellStyle name="40% - Énfasis5 2 2 2 2 3 2" xfId="25643" xr:uid="{7875AB42-0868-4D5C-8962-AD1A7549F8D4}"/>
    <cellStyle name="40% - Énfasis5 2 2 2 2 3 2 2" xfId="47861" xr:uid="{C9499455-9E0D-44B3-9C7A-50A1743EB585}"/>
    <cellStyle name="40% - Énfasis5 2 2 2 2 3 3" xfId="47860" xr:uid="{039EC0B3-A55A-45D1-A859-DD16FE4BE0A9}"/>
    <cellStyle name="40% - Énfasis5 2 2 2 2 4" xfId="17938" xr:uid="{AE0C261D-750A-4C50-AD3A-0ED44215CE79}"/>
    <cellStyle name="40% - Énfasis5 2 2 2 2 4 2" xfId="47862" xr:uid="{E0554269-FB19-436A-B4F2-35314FFA4046}"/>
    <cellStyle name="40% - Énfasis5 2 2 2 2 5" xfId="47855" xr:uid="{94BFA94D-191B-49F9-91A5-7E3E4F15D56B}"/>
    <cellStyle name="40% - Énfasis5 2 2 2 3" xfId="4788" xr:uid="{244885D7-5549-4BBB-ACFA-D5E1A7C9796E}"/>
    <cellStyle name="40% - Énfasis5 2 2 2 3 2" xfId="12496" xr:uid="{37BA4C1A-3BBD-4069-BE94-4FD53140A431}"/>
    <cellStyle name="40% - Énfasis5 2 2 2 3 2 2" xfId="27908" xr:uid="{7EF54D8E-BA80-4F1A-A8E4-125F987EA730}"/>
    <cellStyle name="40% - Énfasis5 2 2 2 3 2 2 2" xfId="47865" xr:uid="{EEB5D39B-989B-49D3-A920-4F2F7653FAEE}"/>
    <cellStyle name="40% - Énfasis5 2 2 2 3 2 3" xfId="47864" xr:uid="{5FF5304A-7BBB-4261-99EB-FB4B4527E794}"/>
    <cellStyle name="40% - Énfasis5 2 2 2 3 3" xfId="20203" xr:uid="{DFBB8601-7F80-49F4-BA27-609875EE6364}"/>
    <cellStyle name="40% - Énfasis5 2 2 2 3 3 2" xfId="47866" xr:uid="{16BFDBF7-8A7A-41DB-86A1-B7C68C6B7B66}"/>
    <cellStyle name="40% - Énfasis5 2 2 2 3 4" xfId="47863" xr:uid="{A7C4B2C5-EF3A-40B4-8BD6-2B116F594A38}"/>
    <cellStyle name="40% - Énfasis5 2 2 2 4" xfId="8771" xr:uid="{C4B8C44D-24C6-44EE-9BA9-97392AE1F164}"/>
    <cellStyle name="40% - Énfasis5 2 2 2 4 2" xfId="24184" xr:uid="{FE806F25-4969-402C-AF35-CEFBB76D01F3}"/>
    <cellStyle name="40% - Énfasis5 2 2 2 4 2 2" xfId="47868" xr:uid="{7568A045-2D65-4643-A469-E958C2934465}"/>
    <cellStyle name="40% - Énfasis5 2 2 2 4 3" xfId="47867" xr:uid="{0C65F9CD-E36A-435D-BF8B-5F571B5C7DA7}"/>
    <cellStyle name="40% - Énfasis5 2 2 2 5" xfId="16479" xr:uid="{32904128-D723-4212-A2E4-DA06AB89C449}"/>
    <cellStyle name="40% - Énfasis5 2 2 2 5 2" xfId="47869" xr:uid="{CDE891CD-BD39-40CC-A421-FA4FC9F32013}"/>
    <cellStyle name="40% - Énfasis5 2 2 2 6" xfId="47854" xr:uid="{D9511B27-95F1-4567-873C-40D9404BC317}"/>
    <cellStyle name="40% - Énfasis5 2 2 3" xfId="1881" xr:uid="{FD868B48-C5C9-436E-BA15-6E9C347A8BCC}"/>
    <cellStyle name="40% - Énfasis5 2 2 3 2" xfId="5613" xr:uid="{9F3DE997-C920-4688-AD76-94FBEDEEF44D}"/>
    <cellStyle name="40% - Énfasis5 2 2 3 2 2" xfId="13321" xr:uid="{41D2C5ED-E067-4EDC-B9CD-30F7C224A0B6}"/>
    <cellStyle name="40% - Énfasis5 2 2 3 2 2 2" xfId="28733" xr:uid="{6CA071D0-40E4-400D-85A6-412A58DB3918}"/>
    <cellStyle name="40% - Énfasis5 2 2 3 2 2 2 2" xfId="47873" xr:uid="{0660EE86-B666-4A05-8A58-9F74D451E488}"/>
    <cellStyle name="40% - Énfasis5 2 2 3 2 2 3" xfId="47872" xr:uid="{816C1D7E-974C-4E1C-9748-BE76729D94DA}"/>
    <cellStyle name="40% - Énfasis5 2 2 3 2 3" xfId="21028" xr:uid="{984C914B-3CC7-43DE-AB58-B2507C63BDA7}"/>
    <cellStyle name="40% - Énfasis5 2 2 3 2 3 2" xfId="47874" xr:uid="{50965C27-848E-46E0-A5A7-B7FA13DBCDFD}"/>
    <cellStyle name="40% - Énfasis5 2 2 3 2 4" xfId="47871" xr:uid="{2A496E9D-61B8-46EB-8604-F5BC9596C6F8}"/>
    <cellStyle name="40% - Énfasis5 2 2 3 3" xfId="9592" xr:uid="{46103B96-1ED0-49CC-A0C9-D851135FE4A8}"/>
    <cellStyle name="40% - Énfasis5 2 2 3 3 2" xfId="25005" xr:uid="{866CEE56-4A39-46A7-9177-538FDD7C9ADD}"/>
    <cellStyle name="40% - Énfasis5 2 2 3 3 2 2" xfId="47876" xr:uid="{7820EB99-62DC-42D6-ABC5-2CB1D08C11C9}"/>
    <cellStyle name="40% - Énfasis5 2 2 3 3 3" xfId="47875" xr:uid="{6DF1BFF8-F282-4BC1-BBAD-CFC875EF8211}"/>
    <cellStyle name="40% - Énfasis5 2 2 3 4" xfId="17300" xr:uid="{1086A531-EE07-495A-BF26-06343B777ADB}"/>
    <cellStyle name="40% - Énfasis5 2 2 3 4 2" xfId="47877" xr:uid="{4B3FA814-4078-43B3-9F32-61F5D312BF18}"/>
    <cellStyle name="40% - Énfasis5 2 2 3 5" xfId="47870" xr:uid="{BF386543-F8D3-4D3C-9E2C-0363170A3C70}"/>
    <cellStyle name="40% - Énfasis5 2 2 4" xfId="4136" xr:uid="{9CAC985C-0D9F-4F4E-A916-6E61DA886B95}"/>
    <cellStyle name="40% - Énfasis5 2 2 4 2" xfId="11844" xr:uid="{C762513D-3FAD-43AD-BD07-74A438C3B068}"/>
    <cellStyle name="40% - Énfasis5 2 2 4 2 2" xfId="27256" xr:uid="{76259577-52C3-40FB-889C-FFADE40C7D1F}"/>
    <cellStyle name="40% - Énfasis5 2 2 4 2 2 2" xfId="47880" xr:uid="{AC3F1EA9-C4B5-4FDA-BCF7-9C8DF6047312}"/>
    <cellStyle name="40% - Énfasis5 2 2 4 2 3" xfId="47879" xr:uid="{242AAADD-D633-4FCE-892F-B50138C34057}"/>
    <cellStyle name="40% - Énfasis5 2 2 4 3" xfId="19551" xr:uid="{2B604575-35AB-4B93-9A6B-E3CBECD80567}"/>
    <cellStyle name="40% - Énfasis5 2 2 4 3 2" xfId="47881" xr:uid="{E631B858-8C40-4A96-AD40-67BFAC41D0ED}"/>
    <cellStyle name="40% - Énfasis5 2 2 4 4" xfId="47878" xr:uid="{9F18B369-E226-4042-B4EB-E4E3A5A13E87}"/>
    <cellStyle name="40% - Énfasis5 2 2 5" xfId="8133" xr:uid="{ABD45DCC-24A9-48CF-B4D8-DDF363A8812D}"/>
    <cellStyle name="40% - Énfasis5 2 2 5 2" xfId="23546" xr:uid="{49B7BDF5-7D8D-4A34-AF60-2978F657B42F}"/>
    <cellStyle name="40% - Énfasis5 2 2 5 2 2" xfId="47883" xr:uid="{F3C3FC94-DCA1-42A4-BE48-99324C0E0535}"/>
    <cellStyle name="40% - Énfasis5 2 2 5 3" xfId="47882" xr:uid="{C7C6B89E-5687-4344-AD3B-E8F3CBE19FE0}"/>
    <cellStyle name="40% - Énfasis5 2 2 6" xfId="15841" xr:uid="{0EBA8B9C-12AD-4075-97ED-E65DA12BDACF}"/>
    <cellStyle name="40% - Énfasis5 2 2 6 2" xfId="47884" xr:uid="{1CD896FB-9A01-4CA3-93C4-A348C21E22F7}"/>
    <cellStyle name="40% - Énfasis5 2 2 7" xfId="47853" xr:uid="{F3977344-D093-43AA-B460-8650DFE80673}"/>
    <cellStyle name="40% - Énfasis5 2 3" xfId="846" xr:uid="{5E1F25B3-2216-4446-BD0E-D6E549BF1058}"/>
    <cellStyle name="40% - Énfasis5 2 3 2" xfId="2321" xr:uid="{603A417C-9FF9-4E69-8138-AF7769E70DBD}"/>
    <cellStyle name="40% - Énfasis5 2 3 2 2" xfId="6053" xr:uid="{ECADC72D-93F4-4083-A0D5-2BB57D6FF557}"/>
    <cellStyle name="40% - Énfasis5 2 3 2 2 2" xfId="13761" xr:uid="{7D8DB91F-38A5-4E47-9BB1-40F02F884A0A}"/>
    <cellStyle name="40% - Énfasis5 2 3 2 2 2 2" xfId="29173" xr:uid="{C5ADEE05-8B76-471E-A397-8FA16BCAB8EC}"/>
    <cellStyle name="40% - Énfasis5 2 3 2 2 2 2 2" xfId="47889" xr:uid="{FE9E0530-DDAF-403F-B6D5-3A7F833F3E46}"/>
    <cellStyle name="40% - Énfasis5 2 3 2 2 2 3" xfId="47888" xr:uid="{BD295EAF-BD4F-441E-B5C6-D11ADB678FF7}"/>
    <cellStyle name="40% - Énfasis5 2 3 2 2 3" xfId="21468" xr:uid="{236DEC0D-29D2-4BE7-8486-46963F1E30E0}"/>
    <cellStyle name="40% - Énfasis5 2 3 2 2 3 2" xfId="47890" xr:uid="{306DD6EF-B2F6-4E46-BD1E-C7503C996EA6}"/>
    <cellStyle name="40% - Énfasis5 2 3 2 2 4" xfId="47887" xr:uid="{B08F345A-C7B3-4D7C-A82A-9861143F5AA3}"/>
    <cellStyle name="40% - Énfasis5 2 3 2 3" xfId="10032" xr:uid="{045A7934-64CD-4DE1-BEB2-F8EEE951BB12}"/>
    <cellStyle name="40% - Énfasis5 2 3 2 3 2" xfId="25445" xr:uid="{E07E3603-54BE-4871-8644-9DF05C2DDE16}"/>
    <cellStyle name="40% - Énfasis5 2 3 2 3 2 2" xfId="47892" xr:uid="{26319645-C10F-4BD2-8507-0FCAC4AC561C}"/>
    <cellStyle name="40% - Énfasis5 2 3 2 3 3" xfId="47891" xr:uid="{67B035D2-E7CD-4252-A4CF-6E602CE023FA}"/>
    <cellStyle name="40% - Énfasis5 2 3 2 4" xfId="17740" xr:uid="{BCEEE79C-344B-44CF-94A6-DAF7EC1B9778}"/>
    <cellStyle name="40% - Énfasis5 2 3 2 4 2" xfId="47893" xr:uid="{C6ABC9F1-6E43-45FB-AA69-A84FC519CFD5}"/>
    <cellStyle name="40% - Énfasis5 2 3 2 5" xfId="47886" xr:uid="{A1D4BAB4-49CC-406F-9CD5-6E2307BA58E6}"/>
    <cellStyle name="40% - Énfasis5 2 3 3" xfId="4583" xr:uid="{C00BF788-3760-4FEB-8FDB-40741EC582F5}"/>
    <cellStyle name="40% - Énfasis5 2 3 3 2" xfId="12291" xr:uid="{A939E94D-80A8-464B-8FC2-0EAC44C3926E}"/>
    <cellStyle name="40% - Énfasis5 2 3 3 2 2" xfId="27703" xr:uid="{FFDE9739-ADB0-467A-82F9-3406C049B7FC}"/>
    <cellStyle name="40% - Énfasis5 2 3 3 2 2 2" xfId="47896" xr:uid="{222870E3-D341-4606-95AE-7111C73B0435}"/>
    <cellStyle name="40% - Énfasis5 2 3 3 2 3" xfId="47895" xr:uid="{70C55B76-561A-425F-BA80-2EE0CAC7301A}"/>
    <cellStyle name="40% - Énfasis5 2 3 3 3" xfId="19998" xr:uid="{9C74C20D-FE21-4AC9-915C-62B9DFA1AEF4}"/>
    <cellStyle name="40% - Énfasis5 2 3 3 3 2" xfId="47897" xr:uid="{73419A96-F47A-4E4E-9849-B8C70D596048}"/>
    <cellStyle name="40% - Énfasis5 2 3 3 4" xfId="47894" xr:uid="{0D617C34-B3E8-43D9-9EF8-9B2D4F24E36E}"/>
    <cellStyle name="40% - Énfasis5 2 3 4" xfId="8573" xr:uid="{DA26120B-898D-4799-B5D6-3A17F7F3BAEC}"/>
    <cellStyle name="40% - Énfasis5 2 3 4 2" xfId="23986" xr:uid="{DB4B32A0-34F8-422A-AB62-08D7926CA8E3}"/>
    <cellStyle name="40% - Énfasis5 2 3 4 2 2" xfId="47899" xr:uid="{6EECAC0D-4766-413D-9CEA-7B2E28903D18}"/>
    <cellStyle name="40% - Énfasis5 2 3 4 3" xfId="47898" xr:uid="{03A814CA-90B2-4028-A560-67363DEFA7CE}"/>
    <cellStyle name="40% - Énfasis5 2 3 5" xfId="16281" xr:uid="{229B3BCD-1BB4-4962-9B78-CF4966E97C0F}"/>
    <cellStyle name="40% - Énfasis5 2 3 5 2" xfId="47900" xr:uid="{500BD848-ED32-4A56-B46D-D2D4C84EB81A}"/>
    <cellStyle name="40% - Énfasis5 2 3 6" xfId="47885" xr:uid="{06DBC97E-E926-467B-B1D3-E0ECEAD5438D}"/>
    <cellStyle name="40% - Énfasis5 2 4" xfId="1683" xr:uid="{01B3CCC4-9D68-4855-8D32-8D893D68D1A9}"/>
    <cellStyle name="40% - Énfasis5 2 4 2" xfId="5415" xr:uid="{55390671-6B7B-41A3-92D3-A51D0A190110}"/>
    <cellStyle name="40% - Énfasis5 2 4 2 2" xfId="13123" xr:uid="{44698749-7C00-4F33-9FDE-46464EFAAE8B}"/>
    <cellStyle name="40% - Énfasis5 2 4 2 2 2" xfId="28535" xr:uid="{46A2EBEB-7A4F-43D7-8E80-BE35337D3D01}"/>
    <cellStyle name="40% - Énfasis5 2 4 2 2 2 2" xfId="47904" xr:uid="{01364AF4-2F9C-466A-A100-510EC4D32144}"/>
    <cellStyle name="40% - Énfasis5 2 4 2 2 3" xfId="47903" xr:uid="{7F09A0B4-1D33-4046-9C6A-AEFF5989AF3D}"/>
    <cellStyle name="40% - Énfasis5 2 4 2 3" xfId="20830" xr:uid="{E96A7976-4AA9-444D-BC54-5ED06FE09BAF}"/>
    <cellStyle name="40% - Énfasis5 2 4 2 3 2" xfId="47905" xr:uid="{696B7D3D-E0B8-49D5-8964-08B73FC86873}"/>
    <cellStyle name="40% - Énfasis5 2 4 2 4" xfId="47902" xr:uid="{2E071916-93D6-4AB5-AC87-C68642021ACB}"/>
    <cellStyle name="40% - Énfasis5 2 4 3" xfId="9394" xr:uid="{DAFADADB-CFA2-4CC1-84AB-FBB9A988FA01}"/>
    <cellStyle name="40% - Énfasis5 2 4 3 2" xfId="24807" xr:uid="{32B4D3DA-CE77-4574-96A6-7B8446B94A2D}"/>
    <cellStyle name="40% - Énfasis5 2 4 3 2 2" xfId="47907" xr:uid="{2CFB918A-E471-41F2-93E3-91F3EFCB7A28}"/>
    <cellStyle name="40% - Énfasis5 2 4 3 3" xfId="47906" xr:uid="{DEF2BF86-D363-4D40-A7DE-CA4DDB083E80}"/>
    <cellStyle name="40% - Énfasis5 2 4 4" xfId="17102" xr:uid="{5E2DFD04-E7F6-410C-82B6-47FE3D04794A}"/>
    <cellStyle name="40% - Énfasis5 2 4 4 2" xfId="47908" xr:uid="{542D0D4F-FD05-4EE0-9E72-5608D2F02FA1}"/>
    <cellStyle name="40% - Énfasis5 2 4 5" xfId="47901" xr:uid="{DDB96E46-EA09-4778-9BBA-704A3D7FE73D}"/>
    <cellStyle name="40% - Énfasis5 2 5" xfId="3931" xr:uid="{F3FC687A-0FD6-471B-BA20-E3A2C0CFEB7E}"/>
    <cellStyle name="40% - Énfasis5 2 5 2" xfId="11639" xr:uid="{35FA7511-39AD-442E-8B0C-00CE82789077}"/>
    <cellStyle name="40% - Énfasis5 2 5 2 2" xfId="27051" xr:uid="{4D10DE8E-9043-422E-81AF-2C1AD375F863}"/>
    <cellStyle name="40% - Énfasis5 2 5 2 2 2" xfId="47911" xr:uid="{8EEC473D-30CA-44B9-92EE-7CE6A6D2E26D}"/>
    <cellStyle name="40% - Énfasis5 2 5 2 3" xfId="47910" xr:uid="{3F7CB418-0C1C-43FF-BA8E-A464AB43DB6F}"/>
    <cellStyle name="40% - Énfasis5 2 5 3" xfId="19346" xr:uid="{9502319A-500F-4C9F-B661-DB5637515F7B}"/>
    <cellStyle name="40% - Énfasis5 2 5 3 2" xfId="47912" xr:uid="{68497944-284D-47CE-A7BC-57402A89E290}"/>
    <cellStyle name="40% - Énfasis5 2 5 4" xfId="47909" xr:uid="{8C4132FC-17FF-460E-9EAE-1F92EA4EFE4E}"/>
    <cellStyle name="40% - Énfasis5 2 6" xfId="7935" xr:uid="{BDAB2C31-3E65-448A-A378-A08528CB2D59}"/>
    <cellStyle name="40% - Énfasis5 2 6 2" xfId="23348" xr:uid="{DA65051F-293F-4811-B312-A5EE0480BB82}"/>
    <cellStyle name="40% - Énfasis5 2 6 2 2" xfId="47914" xr:uid="{9E6FEDFC-4FCC-4145-9744-E13D3209364A}"/>
    <cellStyle name="40% - Énfasis5 2 6 3" xfId="47913" xr:uid="{A3E795DA-5ECB-4EE9-B5E3-B2AE3246D266}"/>
    <cellStyle name="40% - Énfasis5 2 7" xfId="15643" xr:uid="{C92552D8-B944-4E09-973F-946C5607616F}"/>
    <cellStyle name="40% - Énfasis5 2 7 2" xfId="47915" xr:uid="{5FF9903D-B0A0-4E16-BFBD-33B78B225DA9}"/>
    <cellStyle name="40% - Énfasis5 2 8" xfId="47852" xr:uid="{AA6AE956-E638-4B07-ACB4-7AA8BDCBFE2F}"/>
    <cellStyle name="40% - Énfasis5 20" xfId="1443" xr:uid="{77B8D7DB-51EC-4147-BA7B-13FC0B79BE2E}"/>
    <cellStyle name="40% - Énfasis5 20 2" xfId="2908" xr:uid="{B564CCD6-7403-4696-BEE3-301E5623AC99}"/>
    <cellStyle name="40% - Énfasis5 20 2 2" xfId="6640" xr:uid="{0E405E25-B6DE-4832-82E9-2B09A9500AD3}"/>
    <cellStyle name="40% - Énfasis5 20 2 2 2" xfId="14348" xr:uid="{E0ECF381-1C13-43DB-8AB7-E1B6CA4AD7F5}"/>
    <cellStyle name="40% - Énfasis5 20 2 2 2 2" xfId="29760" xr:uid="{4B77BC0A-2A09-4F48-8442-705D46FF9336}"/>
    <cellStyle name="40% - Énfasis5 20 2 2 2 2 2" xfId="47920" xr:uid="{7AC614D3-6D99-44AC-9F96-667D9F799BAE}"/>
    <cellStyle name="40% - Énfasis5 20 2 2 2 3" xfId="47919" xr:uid="{F6615D23-4C6D-4C78-B723-F5077D77A259}"/>
    <cellStyle name="40% - Énfasis5 20 2 2 3" xfId="22055" xr:uid="{811B7479-69CD-4126-A994-4A8080C0C93C}"/>
    <cellStyle name="40% - Énfasis5 20 2 2 3 2" xfId="47921" xr:uid="{644BAEDD-AA83-47EB-8C05-6E8CC096A7CF}"/>
    <cellStyle name="40% - Énfasis5 20 2 2 4" xfId="47918" xr:uid="{3B518D26-D91C-4570-AD5C-BCA6B31C1CF4}"/>
    <cellStyle name="40% - Énfasis5 20 2 3" xfId="10619" xr:uid="{9E79D17F-3A09-4EF6-81EA-06A95E3F36D1}"/>
    <cellStyle name="40% - Énfasis5 20 2 3 2" xfId="26032" xr:uid="{D9EA9BF4-CF53-47FF-B96B-92D905996BC8}"/>
    <cellStyle name="40% - Énfasis5 20 2 3 2 2" xfId="47923" xr:uid="{20AE41A2-6A50-4574-96B2-4C8D73E12523}"/>
    <cellStyle name="40% - Énfasis5 20 2 3 3" xfId="47922" xr:uid="{A446CD78-17CC-49AF-AA61-C60C7A931331}"/>
    <cellStyle name="40% - Énfasis5 20 2 4" xfId="18327" xr:uid="{8DD3AA7D-2FB1-44B1-8797-A06A71CC940A}"/>
    <cellStyle name="40% - Énfasis5 20 2 4 2" xfId="47924" xr:uid="{B7B6B6A7-839D-4F65-A375-7BD4B9D1A04B}"/>
    <cellStyle name="40% - Énfasis5 20 2 5" xfId="47917" xr:uid="{A08368BB-F7CD-44B1-8B2B-E287860141F6}"/>
    <cellStyle name="40% - Énfasis5 20 3" xfId="5179" xr:uid="{B26C91D3-6595-4EA3-BB4B-3BC3ADCA9EC5}"/>
    <cellStyle name="40% - Énfasis5 20 3 2" xfId="12887" xr:uid="{A21611BC-619B-4060-BE0D-526A190E2D4C}"/>
    <cellStyle name="40% - Énfasis5 20 3 2 2" xfId="28299" xr:uid="{971D7ED5-10CE-464C-ADDA-79C01DC4CC90}"/>
    <cellStyle name="40% - Énfasis5 20 3 2 2 2" xfId="47927" xr:uid="{0DBEB038-B722-432D-B1D7-58B39F1FDEE8}"/>
    <cellStyle name="40% - Énfasis5 20 3 2 3" xfId="47926" xr:uid="{1C43845C-251B-4196-AE77-31A5D31C7063}"/>
    <cellStyle name="40% - Énfasis5 20 3 3" xfId="20594" xr:uid="{4C9DB041-4E06-47ED-BD86-F6866171DE4C}"/>
    <cellStyle name="40% - Énfasis5 20 3 3 2" xfId="47928" xr:uid="{547A0BB5-960F-48C0-8DD0-8CD6C5DC253C}"/>
    <cellStyle name="40% - Énfasis5 20 3 4" xfId="47925" xr:uid="{F9CBFBFE-9553-4909-8285-0FE63A23DBC7}"/>
    <cellStyle name="40% - Énfasis5 20 4" xfId="9160" xr:uid="{EB6EFBB6-8996-4DCC-9002-779878B35BBA}"/>
    <cellStyle name="40% - Énfasis5 20 4 2" xfId="24573" xr:uid="{799A6BA6-CF83-47B0-9BB7-5FAA25F8CABF}"/>
    <cellStyle name="40% - Énfasis5 20 4 2 2" xfId="47930" xr:uid="{385EF4CA-69CE-4303-8643-50919A4929CC}"/>
    <cellStyle name="40% - Énfasis5 20 4 3" xfId="47929" xr:uid="{DE27FF7F-8CF8-490A-B2CF-C96A3C64FB84}"/>
    <cellStyle name="40% - Énfasis5 20 5" xfId="16868" xr:uid="{50345F9F-2F80-4650-A207-EA8CFBA58AF0}"/>
    <cellStyle name="40% - Énfasis5 20 5 2" xfId="47931" xr:uid="{2D94E0E4-6703-4876-BAEE-3F5709470A59}"/>
    <cellStyle name="40% - Énfasis5 20 6" xfId="47916" xr:uid="{1A440773-23A6-44C8-B410-6A787008B6E6}"/>
    <cellStyle name="40% - Énfasis5 21" xfId="1463" xr:uid="{D39C1AD5-0416-46A4-B0B0-E750A41F72D5}"/>
    <cellStyle name="40% - Énfasis5 21 2" xfId="2928" xr:uid="{8EBAA5B9-C3BE-4395-A9F9-23CC269D0B2F}"/>
    <cellStyle name="40% - Énfasis5 21 2 2" xfId="6660" xr:uid="{751408CA-A174-4054-84F1-CFBE13E5B89F}"/>
    <cellStyle name="40% - Énfasis5 21 2 2 2" xfId="14368" xr:uid="{143CBB4E-F894-49EF-88B4-577FD24B2F2D}"/>
    <cellStyle name="40% - Énfasis5 21 2 2 2 2" xfId="29780" xr:uid="{82963D8C-8B05-4F3C-B2B0-F66FDFEE2274}"/>
    <cellStyle name="40% - Énfasis5 21 2 2 2 2 2" xfId="47936" xr:uid="{C85FF41D-CC38-4F48-859C-86018AC1D8B1}"/>
    <cellStyle name="40% - Énfasis5 21 2 2 2 3" xfId="47935" xr:uid="{B946526E-8CDE-41F7-87E6-FB449D579AFD}"/>
    <cellStyle name="40% - Énfasis5 21 2 2 3" xfId="22075" xr:uid="{68843EA5-113A-473E-95C2-80FEEEA2D82E}"/>
    <cellStyle name="40% - Énfasis5 21 2 2 3 2" xfId="47937" xr:uid="{13BE382F-A410-40C1-B6EE-34F6791D1D95}"/>
    <cellStyle name="40% - Énfasis5 21 2 2 4" xfId="47934" xr:uid="{DF7B2AB2-7B1F-4477-8A89-68EAE4AF5F77}"/>
    <cellStyle name="40% - Énfasis5 21 2 3" xfId="10639" xr:uid="{7A43E160-0666-4117-A209-B0F14250A002}"/>
    <cellStyle name="40% - Énfasis5 21 2 3 2" xfId="26052" xr:uid="{28E9C073-A21B-41C7-9BCF-9D8E2AC49E9E}"/>
    <cellStyle name="40% - Énfasis5 21 2 3 2 2" xfId="47939" xr:uid="{959A8C53-B786-4E93-A25D-CABD728F126D}"/>
    <cellStyle name="40% - Énfasis5 21 2 3 3" xfId="47938" xr:uid="{3E2EDF0C-82D1-4E61-BE30-11CECD45093A}"/>
    <cellStyle name="40% - Énfasis5 21 2 4" xfId="18347" xr:uid="{99F65F29-71AD-408C-8BA2-DDCFA4AE924F}"/>
    <cellStyle name="40% - Énfasis5 21 2 4 2" xfId="47940" xr:uid="{8B03F0D9-5F02-4C9C-8FAD-B20DC2EF1310}"/>
    <cellStyle name="40% - Énfasis5 21 2 5" xfId="47933" xr:uid="{FBA3D8EF-A91C-4437-9F52-768D588EBCB1}"/>
    <cellStyle name="40% - Énfasis5 21 3" xfId="5199" xr:uid="{A1EC8A0A-ECD4-4F3E-9234-7243CB09AF3C}"/>
    <cellStyle name="40% - Énfasis5 21 3 2" xfId="12907" xr:uid="{5DAA2A1E-BCC6-440E-82E1-87655E3BDB40}"/>
    <cellStyle name="40% - Énfasis5 21 3 2 2" xfId="28319" xr:uid="{B78FAC66-98A3-4CC6-B63F-DC427D125C62}"/>
    <cellStyle name="40% - Énfasis5 21 3 2 2 2" xfId="47943" xr:uid="{D2C7F58B-0E79-44D0-A847-6C5F1929FF7E}"/>
    <cellStyle name="40% - Énfasis5 21 3 2 3" xfId="47942" xr:uid="{05DD4269-FEE5-47AA-BDF7-F34E65703E0D}"/>
    <cellStyle name="40% - Énfasis5 21 3 3" xfId="20614" xr:uid="{C74234E5-3095-456C-8DAC-917B23150193}"/>
    <cellStyle name="40% - Énfasis5 21 3 3 2" xfId="47944" xr:uid="{49160C66-B2C0-4A7A-B0D4-F3CF04A9F00A}"/>
    <cellStyle name="40% - Énfasis5 21 3 4" xfId="47941" xr:uid="{B0A148A2-E867-4C5F-AC6F-7670F226D721}"/>
    <cellStyle name="40% - Énfasis5 21 4" xfId="9180" xr:uid="{7E79B283-1E22-4215-ACBC-084E778E82C8}"/>
    <cellStyle name="40% - Énfasis5 21 4 2" xfId="24593" xr:uid="{5B065446-D2D7-4CF1-92AB-C008FDCE62AD}"/>
    <cellStyle name="40% - Énfasis5 21 4 2 2" xfId="47946" xr:uid="{75A3F32C-1C18-4C19-81E2-C8791DDDF694}"/>
    <cellStyle name="40% - Énfasis5 21 4 3" xfId="47945" xr:uid="{DB85DB07-785F-49AA-8B72-E45FBC22A2D9}"/>
    <cellStyle name="40% - Énfasis5 21 5" xfId="16888" xr:uid="{19ABF8FE-CDFE-4F79-AA7F-63C8C1A6C70C}"/>
    <cellStyle name="40% - Énfasis5 21 5 2" xfId="47947" xr:uid="{6185B5D4-8314-4C17-8A36-5537E72E2062}"/>
    <cellStyle name="40% - Énfasis5 21 6" xfId="47932" xr:uid="{7DE546A7-26C0-4E59-88CE-59C024C51D6A}"/>
    <cellStyle name="40% - Énfasis5 22" xfId="1483" xr:uid="{151DDB27-C188-4F95-A3DC-ED52F6BE8009}"/>
    <cellStyle name="40% - Énfasis5 22 2" xfId="2948" xr:uid="{CBC3BF81-1D8A-4B55-BFA6-BEB58A2FA407}"/>
    <cellStyle name="40% - Énfasis5 22 2 2" xfId="6680" xr:uid="{E021CDD0-5069-43EF-8197-843C08EA52FA}"/>
    <cellStyle name="40% - Énfasis5 22 2 2 2" xfId="14388" xr:uid="{23426AA3-3A4E-4A64-BA01-8B22E955DDCB}"/>
    <cellStyle name="40% - Énfasis5 22 2 2 2 2" xfId="29800" xr:uid="{16F99DDA-1E74-44E4-B3F3-2C2EDFFDDD35}"/>
    <cellStyle name="40% - Énfasis5 22 2 2 2 2 2" xfId="47952" xr:uid="{1DBA55AC-B867-41C2-9165-0C10124D3377}"/>
    <cellStyle name="40% - Énfasis5 22 2 2 2 3" xfId="47951" xr:uid="{7FC83B48-874A-4DE1-861C-EEAB27362A57}"/>
    <cellStyle name="40% - Énfasis5 22 2 2 3" xfId="22095" xr:uid="{AC4CD9D2-23EF-41EC-9C34-A83E713704C1}"/>
    <cellStyle name="40% - Énfasis5 22 2 2 3 2" xfId="47953" xr:uid="{A0A81E7C-069D-4781-AC28-8A0824E25A1B}"/>
    <cellStyle name="40% - Énfasis5 22 2 2 4" xfId="47950" xr:uid="{66B5FED6-5EF9-4985-B834-EC7C4201BB84}"/>
    <cellStyle name="40% - Énfasis5 22 2 3" xfId="10659" xr:uid="{6F2F42CC-8DCA-43F5-8373-10FD0153D273}"/>
    <cellStyle name="40% - Énfasis5 22 2 3 2" xfId="26072" xr:uid="{3884A5F1-35AB-446D-89E1-C58108056A5B}"/>
    <cellStyle name="40% - Énfasis5 22 2 3 2 2" xfId="47955" xr:uid="{47F73AEB-03FA-4AA9-BF1A-0C64213A87FF}"/>
    <cellStyle name="40% - Énfasis5 22 2 3 3" xfId="47954" xr:uid="{13AE2B3D-3A62-4B5D-A2EA-B0E74D0155BF}"/>
    <cellStyle name="40% - Énfasis5 22 2 4" xfId="18367" xr:uid="{A7B1E79B-3AD2-4E27-AE66-7E1E60E98ED8}"/>
    <cellStyle name="40% - Énfasis5 22 2 4 2" xfId="47956" xr:uid="{59735C1A-0B6F-43F3-A8EE-33BA27F1B851}"/>
    <cellStyle name="40% - Énfasis5 22 2 5" xfId="47949" xr:uid="{CCB9D292-18F4-4C6E-8DFE-DC56102B9154}"/>
    <cellStyle name="40% - Énfasis5 22 3" xfId="5219" xr:uid="{DCC516F5-121F-40B0-99DD-4C5FE453E87F}"/>
    <cellStyle name="40% - Énfasis5 22 3 2" xfId="12927" xr:uid="{F7FD4F21-563F-4F16-BFF0-636313382D50}"/>
    <cellStyle name="40% - Énfasis5 22 3 2 2" xfId="28339" xr:uid="{CC662006-7AB0-47F3-B37B-8A025882B98A}"/>
    <cellStyle name="40% - Énfasis5 22 3 2 2 2" xfId="47959" xr:uid="{827B80B8-709B-4FF1-BA36-7E2E7EDB7FB9}"/>
    <cellStyle name="40% - Énfasis5 22 3 2 3" xfId="47958" xr:uid="{60B4B00B-2F07-457F-853F-A8B44C88F3AC}"/>
    <cellStyle name="40% - Énfasis5 22 3 3" xfId="20634" xr:uid="{61F64D3C-AFD5-42BE-8C4A-E1C85E5D7F5E}"/>
    <cellStyle name="40% - Énfasis5 22 3 3 2" xfId="47960" xr:uid="{FF82BC28-072A-4C7D-B1A4-E7DCA44E75D3}"/>
    <cellStyle name="40% - Énfasis5 22 3 4" xfId="47957" xr:uid="{CE91BF9F-9EF0-4DF0-9F9C-0BDAA0FA3C7D}"/>
    <cellStyle name="40% - Énfasis5 22 4" xfId="9200" xr:uid="{5D0A6A20-5B8D-4F77-8258-B8C517D771B8}"/>
    <cellStyle name="40% - Énfasis5 22 4 2" xfId="24613" xr:uid="{022B569E-8421-430E-B6F4-DD73B0E76A97}"/>
    <cellStyle name="40% - Énfasis5 22 4 2 2" xfId="47962" xr:uid="{C20F91E9-D5E5-4C36-BE20-5C0F1B676CCE}"/>
    <cellStyle name="40% - Énfasis5 22 4 3" xfId="47961" xr:uid="{55D9FAF1-2518-4F0E-BDF2-3F1FD2407AC8}"/>
    <cellStyle name="40% - Énfasis5 22 5" xfId="16908" xr:uid="{3695A973-37BA-4193-8506-ED8CD07F2D81}"/>
    <cellStyle name="40% - Énfasis5 22 5 2" xfId="47963" xr:uid="{380A19CB-780A-4154-8EC7-381BFFCD51E1}"/>
    <cellStyle name="40% - Énfasis5 22 6" xfId="47948" xr:uid="{A75FB6D4-1273-49DB-BCBE-504969224847}"/>
    <cellStyle name="40% - Énfasis5 23" xfId="1503" xr:uid="{D8B78B5E-BC62-483C-8839-3E475DECFF51}"/>
    <cellStyle name="40% - Énfasis5 23 2" xfId="2968" xr:uid="{247CCFBD-848C-4187-8F59-B3041DE0FFE3}"/>
    <cellStyle name="40% - Énfasis5 23 2 2" xfId="6700" xr:uid="{408CBC13-4451-4365-AB9C-FE93E3961462}"/>
    <cellStyle name="40% - Énfasis5 23 2 2 2" xfId="14408" xr:uid="{13F729C2-618F-4445-8621-5FE78F2E659D}"/>
    <cellStyle name="40% - Énfasis5 23 2 2 2 2" xfId="29820" xr:uid="{E5CDEE5D-07B5-41AE-A1B3-A2687D49CA35}"/>
    <cellStyle name="40% - Énfasis5 23 2 2 2 2 2" xfId="47968" xr:uid="{9AA4CDC3-91A8-4988-AB31-440D027BADBA}"/>
    <cellStyle name="40% - Énfasis5 23 2 2 2 3" xfId="47967" xr:uid="{A08A709B-17EA-4EE9-9285-DB62CF165369}"/>
    <cellStyle name="40% - Énfasis5 23 2 2 3" xfId="22115" xr:uid="{EE1E53A3-1E60-4978-92CC-FB90AECF4412}"/>
    <cellStyle name="40% - Énfasis5 23 2 2 3 2" xfId="47969" xr:uid="{C35ECE6E-F011-4952-AEDE-44430FB512DA}"/>
    <cellStyle name="40% - Énfasis5 23 2 2 4" xfId="47966" xr:uid="{86490841-BE7F-4007-AF02-2E0E77FEE847}"/>
    <cellStyle name="40% - Énfasis5 23 2 3" xfId="10679" xr:uid="{FBEC8AB8-556F-4BD6-B99E-9F727270A96E}"/>
    <cellStyle name="40% - Énfasis5 23 2 3 2" xfId="26092" xr:uid="{3AC1EA32-EBCB-4674-8D34-B2B0DDDE63AA}"/>
    <cellStyle name="40% - Énfasis5 23 2 3 2 2" xfId="47971" xr:uid="{D25E940D-5AF0-4BB4-B49A-433FA5C2CFAE}"/>
    <cellStyle name="40% - Énfasis5 23 2 3 3" xfId="47970" xr:uid="{9577D3EB-5762-4C7A-92B0-6CBE7BFB0DEB}"/>
    <cellStyle name="40% - Énfasis5 23 2 4" xfId="18387" xr:uid="{23467758-6B06-4854-8747-CF664C4198EC}"/>
    <cellStyle name="40% - Énfasis5 23 2 4 2" xfId="47972" xr:uid="{63DF6DDE-FA51-4756-9363-886619E34163}"/>
    <cellStyle name="40% - Énfasis5 23 2 5" xfId="47965" xr:uid="{E92383BC-4DBC-4A0A-9257-C1CE3C04EFF0}"/>
    <cellStyle name="40% - Énfasis5 23 3" xfId="5239" xr:uid="{79D7F897-A10B-4BC9-8E98-C18F374B587D}"/>
    <cellStyle name="40% - Énfasis5 23 3 2" xfId="12947" xr:uid="{3DDFA3AB-1A5D-4E72-AF38-5F1533450FFC}"/>
    <cellStyle name="40% - Énfasis5 23 3 2 2" xfId="28359" xr:uid="{6396E1C6-C955-43DB-A138-0792A04B7054}"/>
    <cellStyle name="40% - Énfasis5 23 3 2 2 2" xfId="47975" xr:uid="{FB2FE245-895C-46BD-81BC-E15309D10EF4}"/>
    <cellStyle name="40% - Énfasis5 23 3 2 3" xfId="47974" xr:uid="{BC3861BE-878C-4BD9-A12F-DA76A24F8A70}"/>
    <cellStyle name="40% - Énfasis5 23 3 3" xfId="20654" xr:uid="{C70CE2C2-693C-48E1-B1BF-946763142617}"/>
    <cellStyle name="40% - Énfasis5 23 3 3 2" xfId="47976" xr:uid="{F652EF07-220F-4133-A79C-D239BC5E9879}"/>
    <cellStyle name="40% - Énfasis5 23 3 4" xfId="47973" xr:uid="{F9F555DA-6330-4EE7-A48F-DD2705A84732}"/>
    <cellStyle name="40% - Énfasis5 23 4" xfId="9220" xr:uid="{DD5D1684-71AC-408E-92A8-69C0C8A2CCC4}"/>
    <cellStyle name="40% - Énfasis5 23 4 2" xfId="24633" xr:uid="{8DD8F16A-4E25-4C46-A030-ABD015354F61}"/>
    <cellStyle name="40% - Énfasis5 23 4 2 2" xfId="47978" xr:uid="{388CEB73-3D18-4EF3-88AE-DE43655EFBBA}"/>
    <cellStyle name="40% - Énfasis5 23 4 3" xfId="47977" xr:uid="{E92684C6-6481-489B-952F-48F5A5F4B75C}"/>
    <cellStyle name="40% - Énfasis5 23 5" xfId="16928" xr:uid="{EAF8BB95-F82F-4787-9B65-2E65162E4C7A}"/>
    <cellStyle name="40% - Énfasis5 23 5 2" xfId="47979" xr:uid="{D5BC01C1-44F3-4BEB-9E88-CEFCB2256B4B}"/>
    <cellStyle name="40% - Énfasis5 23 6" xfId="47964" xr:uid="{40B6BAD3-EB1D-4584-9DE0-CA8AAEB52F77}"/>
    <cellStyle name="40% - Énfasis5 24" xfId="1523" xr:uid="{43C96A09-559A-42E7-8A76-AF64F72BC444}"/>
    <cellStyle name="40% - Énfasis5 24 2" xfId="2988" xr:uid="{502688E9-7062-4A82-9860-7413DE4EC324}"/>
    <cellStyle name="40% - Énfasis5 24 2 2" xfId="6720" xr:uid="{34BC3A11-3FA0-4EDE-879E-F7E28EE68C99}"/>
    <cellStyle name="40% - Énfasis5 24 2 2 2" xfId="14428" xr:uid="{C67C6CB4-D62E-48C6-9FC8-8454F6BF329E}"/>
    <cellStyle name="40% - Énfasis5 24 2 2 2 2" xfId="29840" xr:uid="{65B6D1BD-E127-4B14-9362-2018A824E7FF}"/>
    <cellStyle name="40% - Énfasis5 24 2 2 2 2 2" xfId="47984" xr:uid="{2ADB6D3A-6E75-4FC9-AF02-9F4FDA951F0D}"/>
    <cellStyle name="40% - Énfasis5 24 2 2 2 3" xfId="47983" xr:uid="{FEC2C4B5-B3DC-448B-A04E-5592215A170E}"/>
    <cellStyle name="40% - Énfasis5 24 2 2 3" xfId="22135" xr:uid="{E7D6ED4B-2307-4759-B043-A4D932602ABE}"/>
    <cellStyle name="40% - Énfasis5 24 2 2 3 2" xfId="47985" xr:uid="{EFE21417-BD71-4ADD-B383-55CB806F5C06}"/>
    <cellStyle name="40% - Énfasis5 24 2 2 4" xfId="47982" xr:uid="{0B3E2883-6D28-4F22-AAEE-50BDD3551327}"/>
    <cellStyle name="40% - Énfasis5 24 2 3" xfId="10699" xr:uid="{03C70C7E-5778-436E-9299-3EDE47EF450F}"/>
    <cellStyle name="40% - Énfasis5 24 2 3 2" xfId="26112" xr:uid="{D67D462C-6C02-4B73-B071-5B5DC20E8CD4}"/>
    <cellStyle name="40% - Énfasis5 24 2 3 2 2" xfId="47987" xr:uid="{4FF6D0BF-D19C-4AF9-8781-0CEB139E8EF9}"/>
    <cellStyle name="40% - Énfasis5 24 2 3 3" xfId="47986" xr:uid="{707D3062-6A0B-426F-801B-45C121CCFCDB}"/>
    <cellStyle name="40% - Énfasis5 24 2 4" xfId="18407" xr:uid="{0B1C9804-0BC0-42E1-B0D7-B4ABA69CC9FD}"/>
    <cellStyle name="40% - Énfasis5 24 2 4 2" xfId="47988" xr:uid="{3456D1A8-7859-46D9-863E-BE540F2447E7}"/>
    <cellStyle name="40% - Énfasis5 24 2 5" xfId="47981" xr:uid="{C37C1B15-E8E8-49B7-809E-FE7ED687D88A}"/>
    <cellStyle name="40% - Énfasis5 24 3" xfId="5259" xr:uid="{6D3E4B36-A4AC-4D2C-A8DA-74DB39C835CF}"/>
    <cellStyle name="40% - Énfasis5 24 3 2" xfId="12967" xr:uid="{6BFC51B5-9962-4FB5-AB01-E9B18FBECD52}"/>
    <cellStyle name="40% - Énfasis5 24 3 2 2" xfId="28379" xr:uid="{C2F865ED-68B2-4654-8BD7-083EC800EE37}"/>
    <cellStyle name="40% - Énfasis5 24 3 2 2 2" xfId="47991" xr:uid="{8317C4D7-B586-42F6-BC9A-062F5259AAF8}"/>
    <cellStyle name="40% - Énfasis5 24 3 2 3" xfId="47990" xr:uid="{107B625C-D266-46CC-834F-4B0FB4E4D09A}"/>
    <cellStyle name="40% - Énfasis5 24 3 3" xfId="20674" xr:uid="{C540E367-6CD4-4D88-BB74-BB091F20A134}"/>
    <cellStyle name="40% - Énfasis5 24 3 3 2" xfId="47992" xr:uid="{97DA6F23-80F3-40F8-BCE1-F06D38E25B08}"/>
    <cellStyle name="40% - Énfasis5 24 3 4" xfId="47989" xr:uid="{5361FA11-DD6C-4B92-8D7B-D3129A3AD7B9}"/>
    <cellStyle name="40% - Énfasis5 24 4" xfId="9240" xr:uid="{F518C1F3-CEAA-4065-9A7A-1DF25D4827EB}"/>
    <cellStyle name="40% - Énfasis5 24 4 2" xfId="24653" xr:uid="{7C55CDB5-6F51-46E9-BFD5-0D63713107B1}"/>
    <cellStyle name="40% - Énfasis5 24 4 2 2" xfId="47994" xr:uid="{4A7B5F80-79F7-4B1C-9571-441F998C6132}"/>
    <cellStyle name="40% - Énfasis5 24 4 3" xfId="47993" xr:uid="{C74A33C9-D537-4922-A71B-3E70E8DA9F1D}"/>
    <cellStyle name="40% - Énfasis5 24 5" xfId="16948" xr:uid="{EF1824BF-8F9B-4E10-A8FB-55F65437D967}"/>
    <cellStyle name="40% - Énfasis5 24 5 2" xfId="47995" xr:uid="{034F000E-B574-446A-805C-9A6194594897}"/>
    <cellStyle name="40% - Énfasis5 24 6" xfId="47980" xr:uid="{F6E338BF-2ED2-4C4B-8AFD-434BF93D41AE}"/>
    <cellStyle name="40% - Énfasis5 25" xfId="1543" xr:uid="{7DB9B018-31F6-4083-B3ED-B106D1D2659B}"/>
    <cellStyle name="40% - Énfasis5 25 2" xfId="3008" xr:uid="{636DEA3C-C004-4D81-A3D0-B0C6A79E1062}"/>
    <cellStyle name="40% - Énfasis5 25 2 2" xfId="6740" xr:uid="{BBB850B0-E3D2-4E50-8A1A-B4347AF125B4}"/>
    <cellStyle name="40% - Énfasis5 25 2 2 2" xfId="14448" xr:uid="{44117700-DE96-46FF-A5E0-B92404A66A1A}"/>
    <cellStyle name="40% - Énfasis5 25 2 2 2 2" xfId="29860" xr:uid="{A412C65F-93A6-4B45-8742-C42C188373BD}"/>
    <cellStyle name="40% - Énfasis5 25 2 2 2 2 2" xfId="48000" xr:uid="{2A79091A-24C1-4A8B-AAD4-E8285F7A3636}"/>
    <cellStyle name="40% - Énfasis5 25 2 2 2 3" xfId="47999" xr:uid="{7EC8C1D4-7020-46A0-A50D-9F1B1A1CC140}"/>
    <cellStyle name="40% - Énfasis5 25 2 2 3" xfId="22155" xr:uid="{BB5490DC-B5AE-4407-B014-9D9DEB5C2366}"/>
    <cellStyle name="40% - Énfasis5 25 2 2 3 2" xfId="48001" xr:uid="{96F50322-7AF1-4A45-AE98-5688DC9443C6}"/>
    <cellStyle name="40% - Énfasis5 25 2 2 4" xfId="47998" xr:uid="{3EF2EAC5-EF39-4463-9174-99F0364FBC57}"/>
    <cellStyle name="40% - Énfasis5 25 2 3" xfId="10719" xr:uid="{F44B193E-A9DF-4968-8CD1-54F9FF545F23}"/>
    <cellStyle name="40% - Énfasis5 25 2 3 2" xfId="26132" xr:uid="{5314E618-AFD9-45B0-87F8-A160AA2F2E16}"/>
    <cellStyle name="40% - Énfasis5 25 2 3 2 2" xfId="48003" xr:uid="{000711E4-6ABB-4D04-B38B-74AD3CE088E2}"/>
    <cellStyle name="40% - Énfasis5 25 2 3 3" xfId="48002" xr:uid="{C0B23757-CD92-4DE7-BB05-E584BA9F272A}"/>
    <cellStyle name="40% - Énfasis5 25 2 4" xfId="18427" xr:uid="{C1ED64AB-5A27-4307-9875-C8C66AE0F6B6}"/>
    <cellStyle name="40% - Énfasis5 25 2 4 2" xfId="48004" xr:uid="{390FF5B8-BFC3-4C99-BE36-E6C54DB7D594}"/>
    <cellStyle name="40% - Énfasis5 25 2 5" xfId="47997" xr:uid="{2F0EF0AA-3EF9-4EF0-9F67-10993655973A}"/>
    <cellStyle name="40% - Énfasis5 25 3" xfId="5279" xr:uid="{1F5CF221-6E3C-4AA3-80DA-1B34C5F410EA}"/>
    <cellStyle name="40% - Énfasis5 25 3 2" xfId="12987" xr:uid="{748BD0F7-8FD2-494D-ACBC-1ED9FA028172}"/>
    <cellStyle name="40% - Énfasis5 25 3 2 2" xfId="28399" xr:uid="{620AA810-364A-485D-8A8B-C1E4CD5CE4E5}"/>
    <cellStyle name="40% - Énfasis5 25 3 2 2 2" xfId="48007" xr:uid="{C6C997BB-855B-4CFF-8623-F761FF00A971}"/>
    <cellStyle name="40% - Énfasis5 25 3 2 3" xfId="48006" xr:uid="{913DFB92-902C-4434-869C-FDD9C7D0F261}"/>
    <cellStyle name="40% - Énfasis5 25 3 3" xfId="20694" xr:uid="{B836013A-98E8-4DF3-8C32-88ABB2534B39}"/>
    <cellStyle name="40% - Énfasis5 25 3 3 2" xfId="48008" xr:uid="{0694B062-7CF3-4A0B-AA34-02A8538828AD}"/>
    <cellStyle name="40% - Énfasis5 25 3 4" xfId="48005" xr:uid="{9C4639C2-5481-48AB-A9BB-73778C01AFF5}"/>
    <cellStyle name="40% - Énfasis5 25 4" xfId="9260" xr:uid="{51AE7022-2AB0-42C0-84F7-D5322E04A0C9}"/>
    <cellStyle name="40% - Énfasis5 25 4 2" xfId="24673" xr:uid="{1882975D-907B-479E-8364-46CAE1A27755}"/>
    <cellStyle name="40% - Énfasis5 25 4 2 2" xfId="48010" xr:uid="{252E9447-F28A-4E45-B337-076AB27E00F5}"/>
    <cellStyle name="40% - Énfasis5 25 4 3" xfId="48009" xr:uid="{960423C2-5A42-4037-814D-79010CAE0547}"/>
    <cellStyle name="40% - Énfasis5 25 5" xfId="16968" xr:uid="{0BC6E062-92FB-4B32-9CFF-2A9AF741AE03}"/>
    <cellStyle name="40% - Énfasis5 25 5 2" xfId="48011" xr:uid="{C40B85C9-C6BF-48C6-AA1D-A9C1E28E49E5}"/>
    <cellStyle name="40% - Énfasis5 25 6" xfId="47996" xr:uid="{F90C1964-B069-4D96-8BBF-40E768C16ACD}"/>
    <cellStyle name="40% - Énfasis5 26" xfId="1563" xr:uid="{0BC7F0BB-AB81-462E-A3B8-14F4A4DBBA18}"/>
    <cellStyle name="40% - Énfasis5 26 2" xfId="3028" xr:uid="{139C73D1-AE63-48D2-AAC1-A7BBC896B47B}"/>
    <cellStyle name="40% - Énfasis5 26 2 2" xfId="6760" xr:uid="{A6C479B5-62C5-483F-AA5D-BD99E8E2B7CD}"/>
    <cellStyle name="40% - Énfasis5 26 2 2 2" xfId="14468" xr:uid="{2BDD99DB-BC16-452B-B6AC-1E400A6B3BB1}"/>
    <cellStyle name="40% - Énfasis5 26 2 2 2 2" xfId="29880" xr:uid="{F03A9455-1652-4775-941D-DAB91B634353}"/>
    <cellStyle name="40% - Énfasis5 26 2 2 2 2 2" xfId="48016" xr:uid="{477A314A-753E-4874-9199-6DA63F086BA7}"/>
    <cellStyle name="40% - Énfasis5 26 2 2 2 3" xfId="48015" xr:uid="{502FFD17-816C-4005-B71A-92C56922F662}"/>
    <cellStyle name="40% - Énfasis5 26 2 2 3" xfId="22175" xr:uid="{64D373CD-D10A-4A5A-AF9B-02CEE72BBA49}"/>
    <cellStyle name="40% - Énfasis5 26 2 2 3 2" xfId="48017" xr:uid="{07B9232D-601A-44B1-831D-0E603BB5394C}"/>
    <cellStyle name="40% - Énfasis5 26 2 2 4" xfId="48014" xr:uid="{5E21A960-3A02-40C2-A9C3-E46F18C8E250}"/>
    <cellStyle name="40% - Énfasis5 26 2 3" xfId="10739" xr:uid="{1E283A80-28CA-4C33-8527-81E00DB917B8}"/>
    <cellStyle name="40% - Énfasis5 26 2 3 2" xfId="26152" xr:uid="{4501129E-A6C4-46B3-94F1-8110174C8BC7}"/>
    <cellStyle name="40% - Énfasis5 26 2 3 2 2" xfId="48019" xr:uid="{61C5E308-2059-48A8-A167-960DC51379E3}"/>
    <cellStyle name="40% - Énfasis5 26 2 3 3" xfId="48018" xr:uid="{F80688D6-89BF-4657-BBEC-F084F3395B22}"/>
    <cellStyle name="40% - Énfasis5 26 2 4" xfId="18447" xr:uid="{EA70E2F6-F24F-44BF-A91A-B2E83EED9AA1}"/>
    <cellStyle name="40% - Énfasis5 26 2 4 2" xfId="48020" xr:uid="{0C23B4E4-E3EF-4016-9BD2-AFF57D9EE775}"/>
    <cellStyle name="40% - Énfasis5 26 2 5" xfId="48013" xr:uid="{BA2844A7-15D0-4061-93A5-2AACA16DD723}"/>
    <cellStyle name="40% - Énfasis5 26 3" xfId="5299" xr:uid="{F8B80272-7C68-4703-96AB-6987E1EE0CED}"/>
    <cellStyle name="40% - Énfasis5 26 3 2" xfId="13007" xr:uid="{D894003C-3D68-4B96-8A37-0E03CE0DD445}"/>
    <cellStyle name="40% - Énfasis5 26 3 2 2" xfId="28419" xr:uid="{FC72F660-787F-47E6-B84B-37510EEB2E0E}"/>
    <cellStyle name="40% - Énfasis5 26 3 2 2 2" xfId="48023" xr:uid="{D14B5C0A-D056-4A2B-9CC0-969B5A8EF6C9}"/>
    <cellStyle name="40% - Énfasis5 26 3 2 3" xfId="48022" xr:uid="{0C96D4D8-C64B-48C0-8C04-2635B33BD476}"/>
    <cellStyle name="40% - Énfasis5 26 3 3" xfId="20714" xr:uid="{EA33B694-15E0-4B60-886F-023F2FBDB2EF}"/>
    <cellStyle name="40% - Énfasis5 26 3 3 2" xfId="48024" xr:uid="{34E180DD-2FF9-48AC-9AD1-A4F23EA0FEF2}"/>
    <cellStyle name="40% - Énfasis5 26 3 4" xfId="48021" xr:uid="{BBDCC97D-178E-4618-AF48-CBE7A00C8BBF}"/>
    <cellStyle name="40% - Énfasis5 26 4" xfId="9280" xr:uid="{FEEA8B65-005F-4797-9F9E-F91C2743B2FE}"/>
    <cellStyle name="40% - Énfasis5 26 4 2" xfId="24693" xr:uid="{8BB7EE62-E1FF-4235-ABFC-445A7B582B84}"/>
    <cellStyle name="40% - Énfasis5 26 4 2 2" xfId="48026" xr:uid="{865E55C3-5DFA-4402-B449-9E1F43141975}"/>
    <cellStyle name="40% - Énfasis5 26 4 3" xfId="48025" xr:uid="{AB4493B6-4FCF-4ACB-82A5-63A0E9F2081A}"/>
    <cellStyle name="40% - Énfasis5 26 5" xfId="16988" xr:uid="{508E04A0-7AED-4589-9784-71505C3025A7}"/>
    <cellStyle name="40% - Énfasis5 26 5 2" xfId="48027" xr:uid="{DC09E298-DF70-430A-A12F-711753E9AC6F}"/>
    <cellStyle name="40% - Énfasis5 26 6" xfId="48012" xr:uid="{950924D2-BC1A-4645-A8E9-CF25CBE190BC}"/>
    <cellStyle name="40% - Énfasis5 27" xfId="1583" xr:uid="{B35EF8CA-BCD3-4C7C-8026-4BC8236DA176}"/>
    <cellStyle name="40% - Énfasis5 27 2" xfId="3048" xr:uid="{81225ED1-1FD4-4459-AF1E-20747E8EB8C6}"/>
    <cellStyle name="40% - Énfasis5 27 2 2" xfId="6780" xr:uid="{F4B1C0BE-53CB-49AE-9197-61B17E7C015B}"/>
    <cellStyle name="40% - Énfasis5 27 2 2 2" xfId="14488" xr:uid="{EA02A822-1FF6-48B9-B671-85C792B49569}"/>
    <cellStyle name="40% - Énfasis5 27 2 2 2 2" xfId="29900" xr:uid="{BDAC747B-3A24-4BB7-A7A4-9C482BD45601}"/>
    <cellStyle name="40% - Énfasis5 27 2 2 2 2 2" xfId="48032" xr:uid="{6FA3ECA4-843B-4E72-8553-AFDDA90CDFFB}"/>
    <cellStyle name="40% - Énfasis5 27 2 2 2 3" xfId="48031" xr:uid="{85E885F1-EA7F-438F-986D-14AD27F5C751}"/>
    <cellStyle name="40% - Énfasis5 27 2 2 3" xfId="22195" xr:uid="{77C57AD6-FCC9-4B42-8FBD-47A39C2040A8}"/>
    <cellStyle name="40% - Énfasis5 27 2 2 3 2" xfId="48033" xr:uid="{2DFCC29B-589D-47BF-9E2C-30653CA0F4A2}"/>
    <cellStyle name="40% - Énfasis5 27 2 2 4" xfId="48030" xr:uid="{A5D636BA-5552-4F99-986B-0EB502963F53}"/>
    <cellStyle name="40% - Énfasis5 27 2 3" xfId="10759" xr:uid="{D7E3B34E-869D-48A2-85F5-3C76FDB0C78A}"/>
    <cellStyle name="40% - Énfasis5 27 2 3 2" xfId="26172" xr:uid="{C663F1A6-5A2E-4E50-AC8E-E2FAC61A120B}"/>
    <cellStyle name="40% - Énfasis5 27 2 3 2 2" xfId="48035" xr:uid="{8FE4BE89-C7B7-4568-B1CA-26E02656C05D}"/>
    <cellStyle name="40% - Énfasis5 27 2 3 3" xfId="48034" xr:uid="{6F816022-993B-4D94-953C-9C9195F96D27}"/>
    <cellStyle name="40% - Énfasis5 27 2 4" xfId="18467" xr:uid="{DBBABA74-C4D2-417C-BB88-6294AA766CC9}"/>
    <cellStyle name="40% - Énfasis5 27 2 4 2" xfId="48036" xr:uid="{5C604E10-8010-46C1-8EB1-271F646004A1}"/>
    <cellStyle name="40% - Énfasis5 27 2 5" xfId="48029" xr:uid="{D496FA60-7038-4B7B-AB38-7534F69DF157}"/>
    <cellStyle name="40% - Énfasis5 27 3" xfId="5319" xr:uid="{01FF2BF5-A99B-4AB8-8FA1-E9E34077DA10}"/>
    <cellStyle name="40% - Énfasis5 27 3 2" xfId="13027" xr:uid="{5473377C-80A5-45AB-9ABF-BFE8CAD80FAE}"/>
    <cellStyle name="40% - Énfasis5 27 3 2 2" xfId="28439" xr:uid="{868EBA07-81DC-4488-B405-65EC7118B3D8}"/>
    <cellStyle name="40% - Énfasis5 27 3 2 2 2" xfId="48039" xr:uid="{3A626F67-E9AF-4F65-80D4-68C4D774F25E}"/>
    <cellStyle name="40% - Énfasis5 27 3 2 3" xfId="48038" xr:uid="{0CDDF936-18B2-4DC2-A376-89582D708BF5}"/>
    <cellStyle name="40% - Énfasis5 27 3 3" xfId="20734" xr:uid="{E0959E00-7839-408E-8DDE-601CD2BB99DA}"/>
    <cellStyle name="40% - Énfasis5 27 3 3 2" xfId="48040" xr:uid="{7B246531-E651-43BF-BE46-DBD5615E1B35}"/>
    <cellStyle name="40% - Énfasis5 27 3 4" xfId="48037" xr:uid="{477EB8C4-5F55-4004-AADE-81E151BF32E9}"/>
    <cellStyle name="40% - Énfasis5 27 4" xfId="9300" xr:uid="{2C43C1D4-9DA7-4861-8CA0-6F382BA563FF}"/>
    <cellStyle name="40% - Énfasis5 27 4 2" xfId="24713" xr:uid="{CB801E3F-379E-415F-A7A5-EF5A9D684193}"/>
    <cellStyle name="40% - Énfasis5 27 4 2 2" xfId="48042" xr:uid="{0397C0E5-A7CE-4E9E-A3DD-1D020429287E}"/>
    <cellStyle name="40% - Énfasis5 27 4 3" xfId="48041" xr:uid="{3A95DAF5-4853-44E0-9CDA-C32FEDD4890E}"/>
    <cellStyle name="40% - Énfasis5 27 5" xfId="17008" xr:uid="{4ED630FC-D9C5-4E61-ACFA-FE15A60EE8AB}"/>
    <cellStyle name="40% - Énfasis5 27 5 2" xfId="48043" xr:uid="{3F389A3B-1120-4ADA-9B26-A980E2176E38}"/>
    <cellStyle name="40% - Énfasis5 27 6" xfId="48028" xr:uid="{8824ADF4-7A6B-47D1-A6E3-7366D5301077}"/>
    <cellStyle name="40% - Énfasis5 28" xfId="1604" xr:uid="{1C1C1F01-E8AA-436F-89E3-4AC8063BEA2F}"/>
    <cellStyle name="40% - Énfasis5 28 2" xfId="3069" xr:uid="{3B3FB094-6070-41FA-AA05-C1934EEF8FC7}"/>
    <cellStyle name="40% - Énfasis5 28 2 2" xfId="6801" xr:uid="{CF66942F-A7FB-4D2D-90E9-55074259BA95}"/>
    <cellStyle name="40% - Énfasis5 28 2 2 2" xfId="14509" xr:uid="{E7D6D931-062A-43E1-8318-762095B97038}"/>
    <cellStyle name="40% - Énfasis5 28 2 2 2 2" xfId="29921" xr:uid="{852FA925-0017-4FFD-A7E3-4B9DAD468ABF}"/>
    <cellStyle name="40% - Énfasis5 28 2 2 2 2 2" xfId="48048" xr:uid="{39F8D8A6-B184-46E9-AD98-17E60386D4C3}"/>
    <cellStyle name="40% - Énfasis5 28 2 2 2 3" xfId="48047" xr:uid="{FE81974A-DF7E-4234-A23E-DDA09F39EF91}"/>
    <cellStyle name="40% - Énfasis5 28 2 2 3" xfId="22216" xr:uid="{75DC27F2-C5F5-48D5-AFD6-F7816BE07A98}"/>
    <cellStyle name="40% - Énfasis5 28 2 2 3 2" xfId="48049" xr:uid="{EFC3CE71-5C1A-4E64-957C-2B8F1B494081}"/>
    <cellStyle name="40% - Énfasis5 28 2 2 4" xfId="48046" xr:uid="{2008A6E6-40DE-4459-B15F-7EE164520DC9}"/>
    <cellStyle name="40% - Énfasis5 28 2 3" xfId="10780" xr:uid="{E63A8418-8C7A-4258-A2C3-8EC5114D73CF}"/>
    <cellStyle name="40% - Énfasis5 28 2 3 2" xfId="26193" xr:uid="{5C688429-A0CC-4D66-994B-B7D4D7171229}"/>
    <cellStyle name="40% - Énfasis5 28 2 3 2 2" xfId="48051" xr:uid="{A7133283-CCCD-4D6E-8E82-E0EB9F40882A}"/>
    <cellStyle name="40% - Énfasis5 28 2 3 3" xfId="48050" xr:uid="{C038649C-4EA0-4F8D-91F6-C8142A114F5A}"/>
    <cellStyle name="40% - Énfasis5 28 2 4" xfId="18488" xr:uid="{67652F52-C5DB-4C54-9EC1-287D192FAD9D}"/>
    <cellStyle name="40% - Énfasis5 28 2 4 2" xfId="48052" xr:uid="{419B7F59-AC00-4EBC-82AB-94AA18556649}"/>
    <cellStyle name="40% - Énfasis5 28 2 5" xfId="48045" xr:uid="{A543346D-04E5-4BCD-99C0-A5BAACD8A3B2}"/>
    <cellStyle name="40% - Énfasis5 28 3" xfId="5340" xr:uid="{3B72F146-0F54-4F11-955E-8D700A2F714C}"/>
    <cellStyle name="40% - Énfasis5 28 3 2" xfId="13048" xr:uid="{8C4FB9E3-36AC-4A4C-B8D5-EBB1306B95B2}"/>
    <cellStyle name="40% - Énfasis5 28 3 2 2" xfId="28460" xr:uid="{B7C9BBFA-3F35-4C6A-88BB-F98BCDDE3867}"/>
    <cellStyle name="40% - Énfasis5 28 3 2 2 2" xfId="48055" xr:uid="{C04FA7D2-BC44-4C14-8B10-C25505D03E9E}"/>
    <cellStyle name="40% - Énfasis5 28 3 2 3" xfId="48054" xr:uid="{CC9DB2F5-7FEA-42DB-ABAC-C4F9725CE69E}"/>
    <cellStyle name="40% - Énfasis5 28 3 3" xfId="20755" xr:uid="{A18D4817-3272-4045-B34C-71FB9AC30ADB}"/>
    <cellStyle name="40% - Énfasis5 28 3 3 2" xfId="48056" xr:uid="{2991E569-A418-474E-A340-650F2C784E8D}"/>
    <cellStyle name="40% - Énfasis5 28 3 4" xfId="48053" xr:uid="{A60981A0-391F-473B-8F99-0632EAF337B6}"/>
    <cellStyle name="40% - Énfasis5 28 4" xfId="9321" xr:uid="{3E77DB68-055B-4DD7-9E18-23D88B9338AC}"/>
    <cellStyle name="40% - Énfasis5 28 4 2" xfId="24734" xr:uid="{7591E6A0-279E-4A9B-A74E-159094408175}"/>
    <cellStyle name="40% - Énfasis5 28 4 2 2" xfId="48058" xr:uid="{E489F5AB-A772-4E11-9CF0-70604261CED3}"/>
    <cellStyle name="40% - Énfasis5 28 4 3" xfId="48057" xr:uid="{901EEB97-01B8-49D6-8AED-C5E2257C6672}"/>
    <cellStyle name="40% - Énfasis5 28 5" xfId="17029" xr:uid="{05BFE194-870D-4BD9-A749-32FF1318176B}"/>
    <cellStyle name="40% - Énfasis5 28 5 2" xfId="48059" xr:uid="{8DACF081-438F-4F4B-B07E-6B789900F8EF}"/>
    <cellStyle name="40% - Énfasis5 28 6" xfId="48044" xr:uid="{A17D6F79-50F8-433E-A63D-C35D9A04BFA3}"/>
    <cellStyle name="40% - Énfasis5 29" xfId="3089" xr:uid="{25C95153-DA7E-43FD-BC70-7D463A3C3258}"/>
    <cellStyle name="40% - Énfasis5 29 2" xfId="6821" xr:uid="{24C45E5E-3FF6-4121-899F-44DEAF65A164}"/>
    <cellStyle name="40% - Énfasis5 29 2 2" xfId="14529" xr:uid="{F1B8B5CD-5B5C-4CB1-9E2C-AD2704E0D874}"/>
    <cellStyle name="40% - Énfasis5 29 2 2 2" xfId="29941" xr:uid="{E68C3D64-7AF5-4D54-8471-1D65FFEFB54F}"/>
    <cellStyle name="40% - Énfasis5 29 2 2 2 2" xfId="48063" xr:uid="{461CA9D8-3F84-44FB-9B5A-05B05D084B34}"/>
    <cellStyle name="40% - Énfasis5 29 2 2 3" xfId="48062" xr:uid="{7B8B30D6-EAA4-40A7-BA1E-8F8E42FB15AE}"/>
    <cellStyle name="40% - Énfasis5 29 2 3" xfId="22236" xr:uid="{14F7ECF7-B687-439E-9494-DAD1B76CBC98}"/>
    <cellStyle name="40% - Énfasis5 29 2 3 2" xfId="48064" xr:uid="{570F2CBA-410F-4A89-B136-4CF72B98C4C4}"/>
    <cellStyle name="40% - Énfasis5 29 2 4" xfId="48061" xr:uid="{0B2A76DA-E619-4EEE-A5A5-311F2945D3FC}"/>
    <cellStyle name="40% - Énfasis5 29 3" xfId="10800" xr:uid="{36BEB4CF-64FC-4D17-845A-04A1E7871950}"/>
    <cellStyle name="40% - Énfasis5 29 3 2" xfId="26213" xr:uid="{646FE183-83FE-409A-BCE3-951E7EC1C639}"/>
    <cellStyle name="40% - Énfasis5 29 3 2 2" xfId="48066" xr:uid="{E1E21DFF-1C4E-41B3-BEB5-102DD8133846}"/>
    <cellStyle name="40% - Énfasis5 29 3 3" xfId="48065" xr:uid="{D34C908A-87B9-46EA-B21D-7D58E39B212B}"/>
    <cellStyle name="40% - Énfasis5 29 4" xfId="18508" xr:uid="{7799641C-CC46-4AFA-A504-9F34E41672DF}"/>
    <cellStyle name="40% - Énfasis5 29 4 2" xfId="48067" xr:uid="{5780418E-3C32-4CF1-A65F-8455187F8406}"/>
    <cellStyle name="40% - Énfasis5 29 5" xfId="48060" xr:uid="{A0CC5555-C77F-4C09-963E-FA0EE1CE1350}"/>
    <cellStyle name="40% - Énfasis5 3" xfId="251" xr:uid="{E4234AB4-F87F-473C-ABDE-44EC173B57F3}"/>
    <cellStyle name="40% - Énfasis5 3 2" xfId="453" xr:uid="{9A237EAD-B7B7-43F3-9872-08F9CF6C3209}"/>
    <cellStyle name="40% - Énfasis5 3 2 2" xfId="1114" xr:uid="{40D9026F-30D2-4E08-BDC2-0391DB48DEB7}"/>
    <cellStyle name="40% - Énfasis5 3 2 2 2" xfId="2582" xr:uid="{8AFB4E0F-FEE9-4106-8B44-3AE90F11E4D7}"/>
    <cellStyle name="40% - Énfasis5 3 2 2 2 2" xfId="6314" xr:uid="{E32EE1B2-3E83-4822-951E-51AE1A895952}"/>
    <cellStyle name="40% - Énfasis5 3 2 2 2 2 2" xfId="14022" xr:uid="{C9F78884-247C-4F34-8926-3C0ED228246F}"/>
    <cellStyle name="40% - Énfasis5 3 2 2 2 2 2 2" xfId="29434" xr:uid="{91299560-4C81-42BD-B086-99EFCD18B706}"/>
    <cellStyle name="40% - Énfasis5 3 2 2 2 2 2 2 2" xfId="48074" xr:uid="{3DECDF2B-A5C3-447D-94D0-C292397AE271}"/>
    <cellStyle name="40% - Énfasis5 3 2 2 2 2 2 3" xfId="48073" xr:uid="{45E31690-FAFE-4900-9436-226ABB9BB7C6}"/>
    <cellStyle name="40% - Énfasis5 3 2 2 2 2 3" xfId="21729" xr:uid="{1018B5FD-B9BD-443F-B0E7-FDA93EBDFC95}"/>
    <cellStyle name="40% - Énfasis5 3 2 2 2 2 3 2" xfId="48075" xr:uid="{156C8978-5FB7-487C-B4D5-872970026BC4}"/>
    <cellStyle name="40% - Énfasis5 3 2 2 2 2 4" xfId="48072" xr:uid="{75A066D0-DEFF-4741-A748-6172BDCF754E}"/>
    <cellStyle name="40% - Énfasis5 3 2 2 2 3" xfId="10293" xr:uid="{482D8794-38B2-45B5-8973-72324713BD00}"/>
    <cellStyle name="40% - Énfasis5 3 2 2 2 3 2" xfId="25706" xr:uid="{7E83A5C5-C6DA-485A-A2A1-B34F69830857}"/>
    <cellStyle name="40% - Énfasis5 3 2 2 2 3 2 2" xfId="48077" xr:uid="{CCE05E70-5788-450A-AB0A-44560E3FFAB1}"/>
    <cellStyle name="40% - Énfasis5 3 2 2 2 3 3" xfId="48076" xr:uid="{0224B902-8B9C-4D3B-94CC-3CC8D4EEFD47}"/>
    <cellStyle name="40% - Énfasis5 3 2 2 2 4" xfId="18001" xr:uid="{2FD39040-B49D-4116-8370-BA951772C4DE}"/>
    <cellStyle name="40% - Énfasis5 3 2 2 2 4 2" xfId="48078" xr:uid="{AB385447-D2DE-4376-A57C-F253453F38A7}"/>
    <cellStyle name="40% - Énfasis5 3 2 2 2 5" xfId="48071" xr:uid="{72E5A435-A141-4014-BD14-4684B52A34CB}"/>
    <cellStyle name="40% - Énfasis5 3 2 2 3" xfId="4851" xr:uid="{D2D2FB6D-FF77-4603-8722-9580A914057B}"/>
    <cellStyle name="40% - Énfasis5 3 2 2 3 2" xfId="12559" xr:uid="{E0E14E39-1D63-436D-B94F-B5826031E0DD}"/>
    <cellStyle name="40% - Énfasis5 3 2 2 3 2 2" xfId="27971" xr:uid="{F265F0DB-3648-4099-87B0-59DCA67AD55D}"/>
    <cellStyle name="40% - Énfasis5 3 2 2 3 2 2 2" xfId="48081" xr:uid="{58515420-DEE4-462E-B24A-E83503C05228}"/>
    <cellStyle name="40% - Énfasis5 3 2 2 3 2 3" xfId="48080" xr:uid="{4B616B1F-510E-4A8A-8CAB-1BD6A968E863}"/>
    <cellStyle name="40% - Énfasis5 3 2 2 3 3" xfId="20266" xr:uid="{319A793B-3F25-4F77-AB30-340A04360ECA}"/>
    <cellStyle name="40% - Énfasis5 3 2 2 3 3 2" xfId="48082" xr:uid="{61A968C4-C642-40E3-AEB1-DB8493E7FF34}"/>
    <cellStyle name="40% - Énfasis5 3 2 2 3 4" xfId="48079" xr:uid="{1C03CF93-B523-420B-B6B1-4C0A7107198C}"/>
    <cellStyle name="40% - Énfasis5 3 2 2 4" xfId="8834" xr:uid="{DFF2AB2F-DBD1-439C-A28A-097938B58756}"/>
    <cellStyle name="40% - Énfasis5 3 2 2 4 2" xfId="24247" xr:uid="{7909F398-5B1F-42E5-B85E-B77CEE4AF05E}"/>
    <cellStyle name="40% - Énfasis5 3 2 2 4 2 2" xfId="48084" xr:uid="{CBB61B09-8154-4056-A8DD-5A2A6891132C}"/>
    <cellStyle name="40% - Énfasis5 3 2 2 4 3" xfId="48083" xr:uid="{944AA10A-B9B3-44F9-820C-54E750A3B779}"/>
    <cellStyle name="40% - Énfasis5 3 2 2 5" xfId="16542" xr:uid="{611A26C4-F797-4584-9A8F-602EAF63D0CA}"/>
    <cellStyle name="40% - Énfasis5 3 2 2 5 2" xfId="48085" xr:uid="{5D341FCE-2B86-4572-9AC3-698C32FDCDF6}"/>
    <cellStyle name="40% - Énfasis5 3 2 2 6" xfId="48070" xr:uid="{5DB0F416-A762-4360-877A-CD303D521C07}"/>
    <cellStyle name="40% - Énfasis5 3 2 3" xfId="1944" xr:uid="{82FCB438-E56B-4FC1-8367-9DFBBB566709}"/>
    <cellStyle name="40% - Énfasis5 3 2 3 2" xfId="5676" xr:uid="{7086F935-B747-43F1-8576-C7285DF54A90}"/>
    <cellStyle name="40% - Énfasis5 3 2 3 2 2" xfId="13384" xr:uid="{FC4A71F7-C99B-47D6-A6A2-F35B962E42E5}"/>
    <cellStyle name="40% - Énfasis5 3 2 3 2 2 2" xfId="28796" xr:uid="{5BAFA291-9AEA-492A-9742-BE097CA3671E}"/>
    <cellStyle name="40% - Énfasis5 3 2 3 2 2 2 2" xfId="48089" xr:uid="{8C0CD765-D9CF-4871-A06D-92C0FB37B3B7}"/>
    <cellStyle name="40% - Énfasis5 3 2 3 2 2 3" xfId="48088" xr:uid="{A341C713-EE70-4B38-B9EE-08871DCA0E8A}"/>
    <cellStyle name="40% - Énfasis5 3 2 3 2 3" xfId="21091" xr:uid="{BAA0BCEE-8FF9-4E97-9C8A-1771743FC93A}"/>
    <cellStyle name="40% - Énfasis5 3 2 3 2 3 2" xfId="48090" xr:uid="{E35A3A2C-9178-4BDA-B71C-117BC425BFF1}"/>
    <cellStyle name="40% - Énfasis5 3 2 3 2 4" xfId="48087" xr:uid="{F044D8ED-A903-4772-903B-3581170F7D93}"/>
    <cellStyle name="40% - Énfasis5 3 2 3 3" xfId="9655" xr:uid="{5F635FEB-B720-4798-8D02-158513F05AC2}"/>
    <cellStyle name="40% - Énfasis5 3 2 3 3 2" xfId="25068" xr:uid="{96261DC8-F2F8-4E65-A069-3E09D275C957}"/>
    <cellStyle name="40% - Énfasis5 3 2 3 3 2 2" xfId="48092" xr:uid="{10C4DE03-EF18-4B97-9792-D2CA5574F3DE}"/>
    <cellStyle name="40% - Énfasis5 3 2 3 3 3" xfId="48091" xr:uid="{8C5069A5-38A1-4891-A24D-C14103B344E5}"/>
    <cellStyle name="40% - Énfasis5 3 2 3 4" xfId="17363" xr:uid="{84B2D11C-1ABF-433A-9EB5-07AD878759A5}"/>
    <cellStyle name="40% - Énfasis5 3 2 3 4 2" xfId="48093" xr:uid="{A944CFCD-32E3-4CE9-95A5-F0F0F92B5A8F}"/>
    <cellStyle name="40% - Énfasis5 3 2 3 5" xfId="48086" xr:uid="{88134414-F9E1-45B3-A721-6911009C32F3}"/>
    <cellStyle name="40% - Énfasis5 3 2 4" xfId="4199" xr:uid="{B381A65F-F577-491D-804C-2EF255A9D8E3}"/>
    <cellStyle name="40% - Énfasis5 3 2 4 2" xfId="11907" xr:uid="{43450903-0417-40C1-BFCE-CC5F822F7A00}"/>
    <cellStyle name="40% - Énfasis5 3 2 4 2 2" xfId="27319" xr:uid="{5E64DCEB-E458-4E0A-9D75-4E0F55A3442D}"/>
    <cellStyle name="40% - Énfasis5 3 2 4 2 2 2" xfId="48096" xr:uid="{56C593B2-5CBF-4F91-993C-870A9D77DAC2}"/>
    <cellStyle name="40% - Énfasis5 3 2 4 2 3" xfId="48095" xr:uid="{07CE77B2-78C1-4CCB-9CA5-D83EA8614527}"/>
    <cellStyle name="40% - Énfasis5 3 2 4 3" xfId="19614" xr:uid="{6B48A243-81D5-4D35-A9DF-C7F35BB1AE57}"/>
    <cellStyle name="40% - Énfasis5 3 2 4 3 2" xfId="48097" xr:uid="{7596ABB5-47BC-4A6A-9351-21AA6E7978F7}"/>
    <cellStyle name="40% - Énfasis5 3 2 4 4" xfId="48094" xr:uid="{96C7D208-8874-4F98-9EEE-ECA3811675FD}"/>
    <cellStyle name="40% - Énfasis5 3 2 5" xfId="8196" xr:uid="{0285858D-F8DD-49AB-AED8-FB47F9FDDB6A}"/>
    <cellStyle name="40% - Énfasis5 3 2 5 2" xfId="23609" xr:uid="{9CBA84B7-0D74-453A-8338-A52325C4BD51}"/>
    <cellStyle name="40% - Énfasis5 3 2 5 2 2" xfId="48099" xr:uid="{06A0D202-B0FD-4F0F-847C-DDDA88993729}"/>
    <cellStyle name="40% - Énfasis5 3 2 5 3" xfId="48098" xr:uid="{D1AA8047-B205-4296-9066-A956B83E91ED}"/>
    <cellStyle name="40% - Énfasis5 3 2 6" xfId="15904" xr:uid="{19AF70AD-DC88-4853-8357-5D81484AB254}"/>
    <cellStyle name="40% - Énfasis5 3 2 6 2" xfId="48100" xr:uid="{D39637CD-566B-4333-BC19-ACA8312FB189}"/>
    <cellStyle name="40% - Énfasis5 3 2 7" xfId="48069" xr:uid="{FC852FE5-EF30-4245-8AF8-D458B312FD54}"/>
    <cellStyle name="40% - Énfasis5 3 3" xfId="914" xr:uid="{8B670DB1-BD09-4C0E-B831-AFA7E3BA0C9E}"/>
    <cellStyle name="40% - Énfasis5 3 3 2" xfId="2384" xr:uid="{3000262C-BB8A-402C-88A6-643D796AFE2E}"/>
    <cellStyle name="40% - Énfasis5 3 3 2 2" xfId="6116" xr:uid="{9E2B1311-1AD9-4FDD-BB5D-5E312A9DD68C}"/>
    <cellStyle name="40% - Énfasis5 3 3 2 2 2" xfId="13824" xr:uid="{53583950-7BFC-4411-B53E-11161C1456B0}"/>
    <cellStyle name="40% - Énfasis5 3 3 2 2 2 2" xfId="29236" xr:uid="{625A0ED8-6584-4C51-91F6-BECBCF3F34CF}"/>
    <cellStyle name="40% - Énfasis5 3 3 2 2 2 2 2" xfId="48105" xr:uid="{122617BF-47BF-42DE-9B20-9ACB36AA0BE3}"/>
    <cellStyle name="40% - Énfasis5 3 3 2 2 2 3" xfId="48104" xr:uid="{F1F401AD-3D3C-4E23-8DE3-4B19028384BC}"/>
    <cellStyle name="40% - Énfasis5 3 3 2 2 3" xfId="21531" xr:uid="{4B1DEF88-017C-4B49-AF64-3420E5676FCC}"/>
    <cellStyle name="40% - Énfasis5 3 3 2 2 3 2" xfId="48106" xr:uid="{BBAB3F33-066B-4718-8807-3402B81FD069}"/>
    <cellStyle name="40% - Énfasis5 3 3 2 2 4" xfId="48103" xr:uid="{B616961B-309D-4822-AD6B-501F8A47C2E7}"/>
    <cellStyle name="40% - Énfasis5 3 3 2 3" xfId="10095" xr:uid="{0AACF37D-620F-4472-8CCA-FF3E0A9DAE59}"/>
    <cellStyle name="40% - Énfasis5 3 3 2 3 2" xfId="25508" xr:uid="{38ED9FF1-F1E1-4A1A-B27E-E66F2A13D0C5}"/>
    <cellStyle name="40% - Énfasis5 3 3 2 3 2 2" xfId="48108" xr:uid="{2DBB3CB7-3523-4C01-B00D-26273D2AB9E3}"/>
    <cellStyle name="40% - Énfasis5 3 3 2 3 3" xfId="48107" xr:uid="{AE8C35E7-2D1A-4B4F-BDE6-8B222F14227A}"/>
    <cellStyle name="40% - Énfasis5 3 3 2 4" xfId="17803" xr:uid="{24BCE4B4-66AA-4743-9C52-A4307BE51874}"/>
    <cellStyle name="40% - Énfasis5 3 3 2 4 2" xfId="48109" xr:uid="{A1450B30-778E-4608-8AE1-F038F77CBCDA}"/>
    <cellStyle name="40% - Énfasis5 3 3 2 5" xfId="48102" xr:uid="{F0FBFEA8-2589-426F-9181-005F8BC6146F}"/>
    <cellStyle name="40% - Énfasis5 3 3 3" xfId="4651" xr:uid="{0C8BB4B2-FE15-4AB0-8346-3E54DDD0F4CC}"/>
    <cellStyle name="40% - Énfasis5 3 3 3 2" xfId="12359" xr:uid="{8A3B9054-04FF-4B80-8481-C98059C33115}"/>
    <cellStyle name="40% - Énfasis5 3 3 3 2 2" xfId="27771" xr:uid="{F1B4129F-EC85-4EE7-9F6A-BAEFFC4744B4}"/>
    <cellStyle name="40% - Énfasis5 3 3 3 2 2 2" xfId="48112" xr:uid="{6E8EE0FD-0984-4249-BE82-C25029D51984}"/>
    <cellStyle name="40% - Énfasis5 3 3 3 2 3" xfId="48111" xr:uid="{D92B9421-E162-4CD8-B178-511E6DC6888F}"/>
    <cellStyle name="40% - Énfasis5 3 3 3 3" xfId="20066" xr:uid="{F8B28E78-ADC2-437E-9ACC-74D691987808}"/>
    <cellStyle name="40% - Énfasis5 3 3 3 3 2" xfId="48113" xr:uid="{53D0B89F-9419-4F80-A163-E1E905850C76}"/>
    <cellStyle name="40% - Énfasis5 3 3 3 4" xfId="48110" xr:uid="{AC01883A-362C-4CC1-96A4-D73AF2F12E67}"/>
    <cellStyle name="40% - Énfasis5 3 3 4" xfId="8636" xr:uid="{C447358F-2CB6-4661-B893-58DD4CFF9EB3}"/>
    <cellStyle name="40% - Énfasis5 3 3 4 2" xfId="24049" xr:uid="{0F5B4627-3B5B-419F-88BB-C246F18A6C3A}"/>
    <cellStyle name="40% - Énfasis5 3 3 4 2 2" xfId="48115" xr:uid="{678A268E-B896-40EC-9472-B1DD50ECFBA2}"/>
    <cellStyle name="40% - Énfasis5 3 3 4 3" xfId="48114" xr:uid="{34925B80-1C81-4673-B9FD-436D0BC3F0AD}"/>
    <cellStyle name="40% - Énfasis5 3 3 5" xfId="16344" xr:uid="{6DD56A18-D705-4584-A9EC-0161A42CDC01}"/>
    <cellStyle name="40% - Énfasis5 3 3 5 2" xfId="48116" xr:uid="{253002F8-4B97-4438-AE5F-A9E575DC4F45}"/>
    <cellStyle name="40% - Énfasis5 3 3 6" xfId="48101" xr:uid="{720B8E69-75BE-4F92-A3FF-FAA3B5915D5B}"/>
    <cellStyle name="40% - Énfasis5 3 4" xfId="1746" xr:uid="{07FAE76C-AE8A-446C-BA42-8457513002C5}"/>
    <cellStyle name="40% - Énfasis5 3 4 2" xfId="5478" xr:uid="{41C7CE3E-4ECC-4BC2-9B50-EA22087617B2}"/>
    <cellStyle name="40% - Énfasis5 3 4 2 2" xfId="13186" xr:uid="{71AE30B5-8074-4AD5-A160-E94CA4B845C0}"/>
    <cellStyle name="40% - Énfasis5 3 4 2 2 2" xfId="28598" xr:uid="{FDC35953-FA10-4874-AAEA-46FD4ADB08B9}"/>
    <cellStyle name="40% - Énfasis5 3 4 2 2 2 2" xfId="48120" xr:uid="{2E2901DA-9CA9-40AB-B36D-841905D18536}"/>
    <cellStyle name="40% - Énfasis5 3 4 2 2 3" xfId="48119" xr:uid="{5427D159-043B-48E4-AD22-248C9404C049}"/>
    <cellStyle name="40% - Énfasis5 3 4 2 3" xfId="20893" xr:uid="{DFB24333-B171-4E0A-ADEE-689F3820A87B}"/>
    <cellStyle name="40% - Énfasis5 3 4 2 3 2" xfId="48121" xr:uid="{F5C43187-0521-4C9D-9875-3D72F32A77D7}"/>
    <cellStyle name="40% - Énfasis5 3 4 2 4" xfId="48118" xr:uid="{ABC41F82-B458-45DC-8545-10558D061A0F}"/>
    <cellStyle name="40% - Énfasis5 3 4 3" xfId="9457" xr:uid="{D8F84708-DD56-4007-9D1C-CF94C75B5451}"/>
    <cellStyle name="40% - Énfasis5 3 4 3 2" xfId="24870" xr:uid="{143C5779-FB6C-4A5D-AD73-B0BD12CECCB1}"/>
    <cellStyle name="40% - Énfasis5 3 4 3 2 2" xfId="48123" xr:uid="{54C46184-F8DB-4417-8B52-9E86FCC61062}"/>
    <cellStyle name="40% - Énfasis5 3 4 3 3" xfId="48122" xr:uid="{989CFFB3-935C-46E1-B800-D9F6D0B71F01}"/>
    <cellStyle name="40% - Énfasis5 3 4 4" xfId="17165" xr:uid="{98BD4526-5DB6-49F3-999B-0871F12DEE85}"/>
    <cellStyle name="40% - Énfasis5 3 4 4 2" xfId="48124" xr:uid="{71E10F55-B48D-41D0-9ECC-76C670B3699F}"/>
    <cellStyle name="40% - Énfasis5 3 4 5" xfId="48117" xr:uid="{12010AB6-089D-4B53-B8BC-09CA63CB51C5}"/>
    <cellStyle name="40% - Énfasis5 3 5" xfId="3999" xr:uid="{B3BBF939-E146-4466-89B2-C53C29ACB58F}"/>
    <cellStyle name="40% - Énfasis5 3 5 2" xfId="11707" xr:uid="{012740F6-9646-4BD8-AC29-DD2A7E11C3BB}"/>
    <cellStyle name="40% - Énfasis5 3 5 2 2" xfId="27119" xr:uid="{C3C92229-439E-4368-99E1-566A2A299F0C}"/>
    <cellStyle name="40% - Énfasis5 3 5 2 2 2" xfId="48127" xr:uid="{E25C33C5-34F3-496C-8801-EEC927D33F97}"/>
    <cellStyle name="40% - Énfasis5 3 5 2 3" xfId="48126" xr:uid="{5747F410-31EC-4ECD-AE91-AA16411182C0}"/>
    <cellStyle name="40% - Énfasis5 3 5 3" xfId="19414" xr:uid="{1C7CB152-902C-44D3-A253-386BF6946168}"/>
    <cellStyle name="40% - Énfasis5 3 5 3 2" xfId="48128" xr:uid="{2DF309A5-4696-4D36-B3B8-98566EBA3045}"/>
    <cellStyle name="40% - Énfasis5 3 5 4" xfId="48125" xr:uid="{FD958471-7E40-451F-926E-6ED82F5D332D}"/>
    <cellStyle name="40% - Énfasis5 3 6" xfId="7998" xr:uid="{C260513A-FC85-47D9-ADBE-2BFC235FFC71}"/>
    <cellStyle name="40% - Énfasis5 3 6 2" xfId="23411" xr:uid="{93AADE2A-026F-414D-BBC2-CD1F1FA36417}"/>
    <cellStyle name="40% - Énfasis5 3 6 2 2" xfId="48130" xr:uid="{C4999D93-DD0C-440E-9C70-EDE06A6460D3}"/>
    <cellStyle name="40% - Énfasis5 3 6 3" xfId="48129" xr:uid="{B8AEF6DB-BFA3-4605-AFAB-27B137395D97}"/>
    <cellStyle name="40% - Énfasis5 3 7" xfId="15706" xr:uid="{F667BEDB-BE7C-4F68-BCAE-0B81E24BE136}"/>
    <cellStyle name="40% - Énfasis5 3 7 2" xfId="48131" xr:uid="{65E1A4BA-E53B-4E0E-86EB-91AD18287CF1}"/>
    <cellStyle name="40% - Énfasis5 3 8" xfId="48068" xr:uid="{0633508B-CD5A-42BC-B2B3-7F855C40E363}"/>
    <cellStyle name="40% - Énfasis5 30" xfId="3109" xr:uid="{2E6B4A52-8D89-4299-A4D5-44860A825F1E}"/>
    <cellStyle name="40% - Énfasis5 30 2" xfId="6841" xr:uid="{974C6B84-A84D-4CBC-98EC-FCC2A88E9131}"/>
    <cellStyle name="40% - Énfasis5 30 2 2" xfId="14549" xr:uid="{797796CF-631D-440A-8464-C6C3F66A09EE}"/>
    <cellStyle name="40% - Énfasis5 30 2 2 2" xfId="29961" xr:uid="{CC1A79F2-B1ED-458E-ADF2-555ECFB1A0ED}"/>
    <cellStyle name="40% - Énfasis5 30 2 2 2 2" xfId="48135" xr:uid="{C3F56A4C-E636-497F-B473-1D3B31984B14}"/>
    <cellStyle name="40% - Énfasis5 30 2 2 3" xfId="48134" xr:uid="{D40CE61F-BEE7-4545-9EED-F6CA574E954A}"/>
    <cellStyle name="40% - Énfasis5 30 2 3" xfId="22256" xr:uid="{F21CFB34-B187-4502-A845-CB91E76FD98B}"/>
    <cellStyle name="40% - Énfasis5 30 2 3 2" xfId="48136" xr:uid="{340D9C39-5829-412C-8B56-B7FA8EF52AD3}"/>
    <cellStyle name="40% - Énfasis5 30 2 4" xfId="48133" xr:uid="{5BE61D32-5D8C-4E6D-B24B-EA8451073E35}"/>
    <cellStyle name="40% - Énfasis5 30 3" xfId="10820" xr:uid="{82FE87BB-1314-4B89-BDC5-286316389F00}"/>
    <cellStyle name="40% - Énfasis5 30 3 2" xfId="26233" xr:uid="{B1100E79-62E2-41F8-A31B-F2E8C13E4270}"/>
    <cellStyle name="40% - Énfasis5 30 3 2 2" xfId="48138" xr:uid="{683519C0-F449-43A0-AEB3-6E1C6226B39D}"/>
    <cellStyle name="40% - Énfasis5 30 3 3" xfId="48137" xr:uid="{32B34761-066F-4F79-919A-A19BDCED8480}"/>
    <cellStyle name="40% - Énfasis5 30 4" xfId="18528" xr:uid="{BD0D3D2F-F80D-4599-84C1-F895682C5678}"/>
    <cellStyle name="40% - Énfasis5 30 4 2" xfId="48139" xr:uid="{C6DA0458-ADB5-4B2D-9533-C4E77A151458}"/>
    <cellStyle name="40% - Énfasis5 30 5" xfId="48132" xr:uid="{83ED8143-7F22-4EA0-8532-73E94EB61A67}"/>
    <cellStyle name="40% - Énfasis5 31" xfId="3129" xr:uid="{F5D8CCD9-B42C-4173-AC1D-C98B5EFC71B1}"/>
    <cellStyle name="40% - Énfasis5 31 2" xfId="6861" xr:uid="{9B2CC25A-A058-4389-8AE0-47606B1CE065}"/>
    <cellStyle name="40% - Énfasis5 31 2 2" xfId="14569" xr:uid="{9A55631B-42C3-42B1-8575-425A4822992B}"/>
    <cellStyle name="40% - Énfasis5 31 2 2 2" xfId="29981" xr:uid="{D4CFCCAA-0446-49B0-9314-494333587162}"/>
    <cellStyle name="40% - Énfasis5 31 2 2 2 2" xfId="48143" xr:uid="{A652EC9C-A5E7-4F11-8BD4-40FB766F5EEF}"/>
    <cellStyle name="40% - Énfasis5 31 2 2 3" xfId="48142" xr:uid="{3113F849-597E-449B-8717-50F16AEC1D27}"/>
    <cellStyle name="40% - Énfasis5 31 2 3" xfId="22276" xr:uid="{79E45894-7A6A-43EA-B258-68713A4D473E}"/>
    <cellStyle name="40% - Énfasis5 31 2 3 2" xfId="48144" xr:uid="{DD914E79-E16E-44B7-8CDF-D392903497BB}"/>
    <cellStyle name="40% - Énfasis5 31 2 4" xfId="48141" xr:uid="{814DB72B-97E9-4B87-A29D-4DC4AF2F9687}"/>
    <cellStyle name="40% - Énfasis5 31 3" xfId="10840" xr:uid="{E805E115-0270-42A3-BA0E-6D82EEA5778B}"/>
    <cellStyle name="40% - Énfasis5 31 3 2" xfId="26253" xr:uid="{9A5FA25B-9732-440B-A669-FC2169E3199B}"/>
    <cellStyle name="40% - Énfasis5 31 3 2 2" xfId="48146" xr:uid="{DDD4B80B-5031-4AAF-9FC2-A33F0066E51E}"/>
    <cellStyle name="40% - Énfasis5 31 3 3" xfId="48145" xr:uid="{E33026C6-9978-4027-B6FB-B71D8E3ED04F}"/>
    <cellStyle name="40% - Énfasis5 31 4" xfId="18548" xr:uid="{7B9879ED-D079-4ABD-A850-76038452A049}"/>
    <cellStyle name="40% - Énfasis5 31 4 2" xfId="48147" xr:uid="{6B6BAAC7-CCE8-4522-9A3A-6CB61CF6E605}"/>
    <cellStyle name="40% - Énfasis5 31 5" xfId="48140" xr:uid="{AA50E797-14B8-40F7-A88D-9BE8ABEB4148}"/>
    <cellStyle name="40% - Énfasis5 32" xfId="3149" xr:uid="{96F56AFC-37AF-41F9-A938-CAF47E17070F}"/>
    <cellStyle name="40% - Énfasis5 32 2" xfId="6881" xr:uid="{F2F4B617-4D50-4CD2-95FB-563FFB0F83BE}"/>
    <cellStyle name="40% - Énfasis5 32 2 2" xfId="14589" xr:uid="{BE01E608-24C6-4280-965E-68463F60D393}"/>
    <cellStyle name="40% - Énfasis5 32 2 2 2" xfId="30001" xr:uid="{2BA0747B-477E-46E9-8E3A-7E31FD4B612A}"/>
    <cellStyle name="40% - Énfasis5 32 2 2 2 2" xfId="48151" xr:uid="{13102D21-D578-44E7-B9F8-B173BCADE524}"/>
    <cellStyle name="40% - Énfasis5 32 2 2 3" xfId="48150" xr:uid="{A778CF75-E9EC-4C08-9DC2-D56B99B46BFA}"/>
    <cellStyle name="40% - Énfasis5 32 2 3" xfId="22296" xr:uid="{151A78DE-E7FC-4DE7-8D8F-9F4AB47D989C}"/>
    <cellStyle name="40% - Énfasis5 32 2 3 2" xfId="48152" xr:uid="{153D9F37-902C-4D48-ADF3-455639535874}"/>
    <cellStyle name="40% - Énfasis5 32 2 4" xfId="48149" xr:uid="{96C5569A-62EB-4106-8D43-C02DF1F2FCED}"/>
    <cellStyle name="40% - Énfasis5 32 3" xfId="10860" xr:uid="{EF6A8B0C-670F-485C-AC13-BFC881F8426E}"/>
    <cellStyle name="40% - Énfasis5 32 3 2" xfId="26273" xr:uid="{6C4B1AC8-9B58-4EA4-AE8F-E1A8DE7EB205}"/>
    <cellStyle name="40% - Énfasis5 32 3 2 2" xfId="48154" xr:uid="{7863716D-AA50-42C0-A270-75BD7F3DAEF1}"/>
    <cellStyle name="40% - Énfasis5 32 3 3" xfId="48153" xr:uid="{E3F34EE5-1851-4970-845F-172EF36C4910}"/>
    <cellStyle name="40% - Énfasis5 32 4" xfId="18568" xr:uid="{7EE6C224-6C82-47D9-990B-D2F9A225F563}"/>
    <cellStyle name="40% - Énfasis5 32 4 2" xfId="48155" xr:uid="{9E926099-B119-4AA4-8D0A-23A192B15271}"/>
    <cellStyle name="40% - Énfasis5 32 5" xfId="48148" xr:uid="{20568D5F-D9DC-4450-AEA0-5F50A6BAB779}"/>
    <cellStyle name="40% - Énfasis5 33" xfId="3169" xr:uid="{351BF012-23C7-49A9-BF74-061C2ADC41E5}"/>
    <cellStyle name="40% - Énfasis5 33 2" xfId="6901" xr:uid="{0BE50E5B-5277-4160-8987-5F6F1DE4F570}"/>
    <cellStyle name="40% - Énfasis5 33 2 2" xfId="14609" xr:uid="{2EA63948-6861-43DB-B379-B0C9534F18A1}"/>
    <cellStyle name="40% - Énfasis5 33 2 2 2" xfId="30021" xr:uid="{F6D7C9C8-0863-450F-9C65-F3AFBD273FB5}"/>
    <cellStyle name="40% - Énfasis5 33 2 2 2 2" xfId="48159" xr:uid="{671F08E3-EE51-4B88-A58B-4429C80E1FAD}"/>
    <cellStyle name="40% - Énfasis5 33 2 2 3" xfId="48158" xr:uid="{5FFBB47D-1741-4C4F-857C-63B57B47041B}"/>
    <cellStyle name="40% - Énfasis5 33 2 3" xfId="22316" xr:uid="{CC1BD6E2-32E5-4319-BB28-3D817751FF45}"/>
    <cellStyle name="40% - Énfasis5 33 2 3 2" xfId="48160" xr:uid="{CAD2E60D-1F6D-4D81-891B-94B6523CCC39}"/>
    <cellStyle name="40% - Énfasis5 33 2 4" xfId="48157" xr:uid="{7D7F8683-930B-4968-B27B-0341B3B5233F}"/>
    <cellStyle name="40% - Énfasis5 33 3" xfId="10880" xr:uid="{52E94546-DE86-431D-A104-3722351D0FCE}"/>
    <cellStyle name="40% - Énfasis5 33 3 2" xfId="26293" xr:uid="{6715164B-ED02-4BD0-BECD-6094F43A8E9F}"/>
    <cellStyle name="40% - Énfasis5 33 3 2 2" xfId="48162" xr:uid="{5ACAA0A8-55AE-4006-8F2F-D5CAA7A35F66}"/>
    <cellStyle name="40% - Énfasis5 33 3 3" xfId="48161" xr:uid="{450EAB90-005E-4290-B1A9-74E3835DBD56}"/>
    <cellStyle name="40% - Énfasis5 33 4" xfId="18588" xr:uid="{4076C215-D2EC-4E50-A9BE-056C97F2CB77}"/>
    <cellStyle name="40% - Énfasis5 33 4 2" xfId="48163" xr:uid="{055390A1-6E5C-422C-8008-8E611EC0E0CB}"/>
    <cellStyle name="40% - Énfasis5 33 5" xfId="48156" xr:uid="{8967E725-A7A2-4AB9-8533-E772DBE18C16}"/>
    <cellStyle name="40% - Énfasis5 34" xfId="3189" xr:uid="{1EB38296-0456-490D-B378-074A2E84C645}"/>
    <cellStyle name="40% - Énfasis5 34 2" xfId="6921" xr:uid="{AD794BE3-8688-4A62-9DE7-FABE94C4A9B7}"/>
    <cellStyle name="40% - Énfasis5 34 2 2" xfId="14629" xr:uid="{A3B1C596-BD69-4FFF-9C2B-91344DD19588}"/>
    <cellStyle name="40% - Énfasis5 34 2 2 2" xfId="30041" xr:uid="{293BE536-278C-44E6-B986-103662B0585B}"/>
    <cellStyle name="40% - Énfasis5 34 2 2 2 2" xfId="48167" xr:uid="{BA5353F4-55FB-48A0-A055-5D132C2E1391}"/>
    <cellStyle name="40% - Énfasis5 34 2 2 3" xfId="48166" xr:uid="{BDAB66C8-AAE8-4457-AD9E-FD1835F558BE}"/>
    <cellStyle name="40% - Énfasis5 34 2 3" xfId="22336" xr:uid="{A651809F-451B-436B-98BE-41761E412C89}"/>
    <cellStyle name="40% - Énfasis5 34 2 3 2" xfId="48168" xr:uid="{3E67A852-1EB3-451D-A346-10573E743D11}"/>
    <cellStyle name="40% - Énfasis5 34 2 4" xfId="48165" xr:uid="{C184DBCD-4A9C-42FB-95AA-E9A17F8D3309}"/>
    <cellStyle name="40% - Énfasis5 34 3" xfId="10900" xr:uid="{6986E2A8-7592-4D18-8CEF-B498184BDE06}"/>
    <cellStyle name="40% - Énfasis5 34 3 2" xfId="26313" xr:uid="{72A2B425-235E-4402-9F5C-F457C9D53D28}"/>
    <cellStyle name="40% - Énfasis5 34 3 2 2" xfId="48170" xr:uid="{71AA3FBD-6DCC-4C0B-BE9D-807F23146750}"/>
    <cellStyle name="40% - Énfasis5 34 3 3" xfId="48169" xr:uid="{88B84154-CADF-45B1-8CB7-83E8C64F94F5}"/>
    <cellStyle name="40% - Énfasis5 34 4" xfId="18608" xr:uid="{41164CF2-7CFD-40CF-8328-61163B59BD4F}"/>
    <cellStyle name="40% - Énfasis5 34 4 2" xfId="48171" xr:uid="{E6A85DF8-2BC0-4F6C-B7C6-BE7F120EF7EA}"/>
    <cellStyle name="40% - Énfasis5 34 5" xfId="48164" xr:uid="{7B4185CA-344F-43C1-B27E-F5C36F21AC9A}"/>
    <cellStyle name="40% - Énfasis5 35" xfId="3209" xr:uid="{5D90F8F7-347D-42BE-ABC2-BF321B589691}"/>
    <cellStyle name="40% - Énfasis5 35 2" xfId="6941" xr:uid="{316B3443-0513-444D-9A02-C141294458B8}"/>
    <cellStyle name="40% - Énfasis5 35 2 2" xfId="14649" xr:uid="{745E23F3-A43F-4139-B862-CCFD02366EC3}"/>
    <cellStyle name="40% - Énfasis5 35 2 2 2" xfId="30061" xr:uid="{E262288B-8028-4E7F-AF9A-9C3CFB574A42}"/>
    <cellStyle name="40% - Énfasis5 35 2 2 2 2" xfId="48175" xr:uid="{8ACEBFA2-748A-4EF3-B1C9-11CC5D83AF63}"/>
    <cellStyle name="40% - Énfasis5 35 2 2 3" xfId="48174" xr:uid="{D72EE50F-DBED-40D1-929B-DEBD9C448DCD}"/>
    <cellStyle name="40% - Énfasis5 35 2 3" xfId="22356" xr:uid="{71800E48-7945-470F-A026-FF087C0E4DE8}"/>
    <cellStyle name="40% - Énfasis5 35 2 3 2" xfId="48176" xr:uid="{A0272294-16FA-4C0F-899E-24E3F7E92B19}"/>
    <cellStyle name="40% - Énfasis5 35 2 4" xfId="48173" xr:uid="{A39BC683-E969-477E-ADB5-1D98C1016502}"/>
    <cellStyle name="40% - Énfasis5 35 3" xfId="10920" xr:uid="{4AB03B41-6BDA-4FB6-B5CD-16B3005DC01C}"/>
    <cellStyle name="40% - Énfasis5 35 3 2" xfId="26333" xr:uid="{891877BE-8A9D-4547-8655-5C561D6F6665}"/>
    <cellStyle name="40% - Énfasis5 35 3 2 2" xfId="48178" xr:uid="{E02B6785-D2F4-4878-9939-5356EA0FA4F7}"/>
    <cellStyle name="40% - Énfasis5 35 3 3" xfId="48177" xr:uid="{D547EF3E-2BC8-4271-919B-6B334C969EB3}"/>
    <cellStyle name="40% - Énfasis5 35 4" xfId="18628" xr:uid="{B875348E-4F31-45C8-AE29-F98EE3ED1EB7}"/>
    <cellStyle name="40% - Énfasis5 35 4 2" xfId="48179" xr:uid="{3947DDD9-85FC-46B7-AD72-DF2D21C44265}"/>
    <cellStyle name="40% - Énfasis5 35 5" xfId="48172" xr:uid="{ECBBB8E6-EC1F-4C3E-B8A4-C77F649BECC8}"/>
    <cellStyle name="40% - Énfasis5 36" xfId="3229" xr:uid="{119F330C-3AE3-4E4E-95BE-2B4A79AA06FF}"/>
    <cellStyle name="40% - Énfasis5 36 2" xfId="6961" xr:uid="{B715F3B7-B99B-496C-A591-E945ACDB502F}"/>
    <cellStyle name="40% - Énfasis5 36 2 2" xfId="14669" xr:uid="{2E465A31-5041-426B-BAC8-D6AAA4EC3717}"/>
    <cellStyle name="40% - Énfasis5 36 2 2 2" xfId="30081" xr:uid="{A009405A-751F-46BA-912B-E30D8F26EB41}"/>
    <cellStyle name="40% - Énfasis5 36 2 2 2 2" xfId="48183" xr:uid="{62F555B3-BE25-4919-93CB-9CEDD866C933}"/>
    <cellStyle name="40% - Énfasis5 36 2 2 3" xfId="48182" xr:uid="{604E7731-9721-4D6B-A4C2-5DA4432A780D}"/>
    <cellStyle name="40% - Énfasis5 36 2 3" xfId="22376" xr:uid="{3F523BDD-7E09-4262-A136-544880E2B907}"/>
    <cellStyle name="40% - Énfasis5 36 2 3 2" xfId="48184" xr:uid="{4BB2FA66-1362-49BD-A252-9567395D6BF3}"/>
    <cellStyle name="40% - Énfasis5 36 2 4" xfId="48181" xr:uid="{EB6FE39D-B33E-4C51-89FD-E83E3EC6E0B3}"/>
    <cellStyle name="40% - Énfasis5 36 3" xfId="10940" xr:uid="{F16542BC-90A9-4FFF-9618-EAF684DA1E25}"/>
    <cellStyle name="40% - Énfasis5 36 3 2" xfId="26353" xr:uid="{AACF9A9A-7D03-4E8E-A0B9-F183A14D58D1}"/>
    <cellStyle name="40% - Énfasis5 36 3 2 2" xfId="48186" xr:uid="{605C48C0-A188-4D80-83A7-CFF704512457}"/>
    <cellStyle name="40% - Énfasis5 36 3 3" xfId="48185" xr:uid="{79E22972-5959-4C82-87AA-A0EAE7500071}"/>
    <cellStyle name="40% - Énfasis5 36 4" xfId="18648" xr:uid="{E7C16FA4-680E-4147-814D-DA91FBBB1295}"/>
    <cellStyle name="40% - Énfasis5 36 4 2" xfId="48187" xr:uid="{C50CB415-2663-49AE-B323-EC393AE58336}"/>
    <cellStyle name="40% - Énfasis5 36 5" xfId="48180" xr:uid="{542BB860-373F-4627-B52F-0571CEF60F3A}"/>
    <cellStyle name="40% - Énfasis5 37" xfId="3249" xr:uid="{FD27F52C-427C-450F-B78A-27ADF2FDECDC}"/>
    <cellStyle name="40% - Énfasis5 37 2" xfId="6981" xr:uid="{9CC827D1-ACB1-4089-87B4-737DD66B0448}"/>
    <cellStyle name="40% - Énfasis5 37 2 2" xfId="14689" xr:uid="{1573AB1B-3C04-45D3-A62E-7274D3A6FD08}"/>
    <cellStyle name="40% - Énfasis5 37 2 2 2" xfId="30101" xr:uid="{DF797BC3-7D76-48C2-B32C-EEE73BE86FB9}"/>
    <cellStyle name="40% - Énfasis5 37 2 2 2 2" xfId="48191" xr:uid="{FCB3EF5D-B26C-47DF-B259-E71EB33FF5B4}"/>
    <cellStyle name="40% - Énfasis5 37 2 2 3" xfId="48190" xr:uid="{1C84D859-FDD5-4A4C-9808-E8F0A4AD5CA3}"/>
    <cellStyle name="40% - Énfasis5 37 2 3" xfId="22396" xr:uid="{FF2CE27D-B16E-47C9-9E72-8818F95217A8}"/>
    <cellStyle name="40% - Énfasis5 37 2 3 2" xfId="48192" xr:uid="{4DEC55CC-4D13-44AA-9E2A-235B74DC8AD5}"/>
    <cellStyle name="40% - Énfasis5 37 2 4" xfId="48189" xr:uid="{E9FB3B4C-9382-473F-9100-42040120571E}"/>
    <cellStyle name="40% - Énfasis5 37 3" xfId="10960" xr:uid="{605810C7-1676-461B-8138-9BA754EB89D6}"/>
    <cellStyle name="40% - Énfasis5 37 3 2" xfId="26373" xr:uid="{7B2CC540-0306-4D72-A98B-31B5DC785D1B}"/>
    <cellStyle name="40% - Énfasis5 37 3 2 2" xfId="48194" xr:uid="{4C73234A-1821-49EA-A230-BD00A9E0C185}"/>
    <cellStyle name="40% - Énfasis5 37 3 3" xfId="48193" xr:uid="{81FB8F11-39F0-46B9-A967-54DDB7C9A3CF}"/>
    <cellStyle name="40% - Énfasis5 37 4" xfId="18668" xr:uid="{D5C3A8C6-8E3E-4249-8A86-BDCBEF07E7D7}"/>
    <cellStyle name="40% - Énfasis5 37 4 2" xfId="48195" xr:uid="{24BD00AA-6BA6-4338-9219-114F10AD16A6}"/>
    <cellStyle name="40% - Énfasis5 37 5" xfId="48188" xr:uid="{4BDE9992-EBFE-413F-8CAF-418E3E49D33D}"/>
    <cellStyle name="40% - Énfasis5 38" xfId="3269" xr:uid="{070D0960-90B1-47E9-A457-E93ED9FD8489}"/>
    <cellStyle name="40% - Énfasis5 38 2" xfId="7001" xr:uid="{D6DFFB59-8211-4A03-A20F-770336583E14}"/>
    <cellStyle name="40% - Énfasis5 38 2 2" xfId="14709" xr:uid="{B53200DE-F6C6-479C-BDBA-DBE82191C26D}"/>
    <cellStyle name="40% - Énfasis5 38 2 2 2" xfId="30121" xr:uid="{3B4C19E1-B24B-484C-8056-C996DC9E2BD3}"/>
    <cellStyle name="40% - Énfasis5 38 2 2 2 2" xfId="48199" xr:uid="{092847DB-3BBE-48B6-A5D6-0A6AA61097E7}"/>
    <cellStyle name="40% - Énfasis5 38 2 2 3" xfId="48198" xr:uid="{35C2D0B0-7EF3-439E-A962-95280766618C}"/>
    <cellStyle name="40% - Énfasis5 38 2 3" xfId="22416" xr:uid="{732838CF-1010-40BC-8343-451FDE22B0C2}"/>
    <cellStyle name="40% - Énfasis5 38 2 3 2" xfId="48200" xr:uid="{252D0D74-FBE8-4B17-95AB-BA26C1E150CC}"/>
    <cellStyle name="40% - Énfasis5 38 2 4" xfId="48197" xr:uid="{203F7569-9A79-4761-BA5F-559520B731D4}"/>
    <cellStyle name="40% - Énfasis5 38 3" xfId="10980" xr:uid="{128BB166-5BB8-4F4B-96AC-A2A08D22CBA5}"/>
    <cellStyle name="40% - Énfasis5 38 3 2" xfId="26393" xr:uid="{2C8254A9-E4CA-4443-A866-81A77C1FB241}"/>
    <cellStyle name="40% - Énfasis5 38 3 2 2" xfId="48202" xr:uid="{0FD41F5F-7541-41C3-8B57-EEB1DD0F366B}"/>
    <cellStyle name="40% - Énfasis5 38 3 3" xfId="48201" xr:uid="{6400073E-B394-477E-9377-78DE4D5475B7}"/>
    <cellStyle name="40% - Énfasis5 38 4" xfId="18688" xr:uid="{7D14180F-BCDD-4627-9040-6BF1479AFB2E}"/>
    <cellStyle name="40% - Énfasis5 38 4 2" xfId="48203" xr:uid="{F19D56DC-0296-4033-A770-0F5FD14DCB03}"/>
    <cellStyle name="40% - Énfasis5 38 5" xfId="48196" xr:uid="{899D1B38-BA29-46F3-8F57-34D43E5289CA}"/>
    <cellStyle name="40% - Énfasis5 39" xfId="3289" xr:uid="{19387C14-6CB5-495D-A6EA-0002DC17094F}"/>
    <cellStyle name="40% - Énfasis5 39 2" xfId="7021" xr:uid="{99E81650-9BBC-421F-B8DB-0B1A56555084}"/>
    <cellStyle name="40% - Énfasis5 39 2 2" xfId="14729" xr:uid="{365F7480-6FEB-490F-89B2-DD8A6497C824}"/>
    <cellStyle name="40% - Énfasis5 39 2 2 2" xfId="30141" xr:uid="{5E269C47-3FD7-44E0-AA9A-BE7E0B605DDA}"/>
    <cellStyle name="40% - Énfasis5 39 2 2 2 2" xfId="48207" xr:uid="{878CD32A-9F81-4AD4-BD0D-E6323F6F48A2}"/>
    <cellStyle name="40% - Énfasis5 39 2 2 3" xfId="48206" xr:uid="{D7FA8613-3244-4C32-A447-D875EFC68EF8}"/>
    <cellStyle name="40% - Énfasis5 39 2 3" xfId="22436" xr:uid="{DEC3921D-8696-460F-9B13-9B2C018D7566}"/>
    <cellStyle name="40% - Énfasis5 39 2 3 2" xfId="48208" xr:uid="{9BEE3B5C-1C92-43B0-9672-586100951F65}"/>
    <cellStyle name="40% - Énfasis5 39 2 4" xfId="48205" xr:uid="{8419B3A0-C221-4A9F-9414-2D073E850C4E}"/>
    <cellStyle name="40% - Énfasis5 39 3" xfId="11000" xr:uid="{8CFCB901-D879-43FA-B6C7-EFDA99374981}"/>
    <cellStyle name="40% - Énfasis5 39 3 2" xfId="26413" xr:uid="{6B4A79C3-27D5-417D-8D67-5761BE0EE982}"/>
    <cellStyle name="40% - Énfasis5 39 3 2 2" xfId="48210" xr:uid="{CC98AE69-326B-4525-9650-5CA04A507936}"/>
    <cellStyle name="40% - Énfasis5 39 3 3" xfId="48209" xr:uid="{0F360507-822B-450D-8B31-F4DE7805E7DC}"/>
    <cellStyle name="40% - Énfasis5 39 4" xfId="18708" xr:uid="{1C880C92-CB0C-48FC-AE5F-AEADC2A8B9F2}"/>
    <cellStyle name="40% - Énfasis5 39 4 2" xfId="48211" xr:uid="{F7F41279-FB6B-4213-8EAF-EF5E24D41514}"/>
    <cellStyle name="40% - Énfasis5 39 5" xfId="48204" xr:uid="{34E3BF96-5DEB-4765-AC32-B70568C6EFFA}"/>
    <cellStyle name="40% - Énfasis5 4" xfId="274" xr:uid="{99422FC8-201B-4E32-9B7A-C5204EF39455}"/>
    <cellStyle name="40% - Énfasis5 4 2" xfId="477" xr:uid="{C39918A2-07E7-40FA-AD81-D3F22DE56D5A}"/>
    <cellStyle name="40% - Énfasis5 4 2 2" xfId="1138" xr:uid="{C74871DA-FC5F-4101-AC4D-DAF927B41F7A}"/>
    <cellStyle name="40% - Énfasis5 4 2 2 2" xfId="2606" xr:uid="{6EC388E4-DA18-4EEB-ABE3-8C684DE5FCD1}"/>
    <cellStyle name="40% - Énfasis5 4 2 2 2 2" xfId="6338" xr:uid="{B1C5C7BB-E84C-4BB9-A788-A2A913F27DEB}"/>
    <cellStyle name="40% - Énfasis5 4 2 2 2 2 2" xfId="14046" xr:uid="{B4B570D8-9602-473D-BE25-569D5FF7D4E3}"/>
    <cellStyle name="40% - Énfasis5 4 2 2 2 2 2 2" xfId="29458" xr:uid="{AE51E410-3914-4730-9A43-DC51B998A698}"/>
    <cellStyle name="40% - Énfasis5 4 2 2 2 2 2 2 2" xfId="48218" xr:uid="{DFA9AEF6-8E5A-4BF3-9FFF-87D561A46AA9}"/>
    <cellStyle name="40% - Énfasis5 4 2 2 2 2 2 3" xfId="48217" xr:uid="{F298A727-8E08-4011-954E-3E989C40D4E5}"/>
    <cellStyle name="40% - Énfasis5 4 2 2 2 2 3" xfId="21753" xr:uid="{E0890C67-89E5-46A5-87E6-89959C9A27E3}"/>
    <cellStyle name="40% - Énfasis5 4 2 2 2 2 3 2" xfId="48219" xr:uid="{0222CB7E-C6C6-42D2-8ABB-DC7AD396FD23}"/>
    <cellStyle name="40% - Énfasis5 4 2 2 2 2 4" xfId="48216" xr:uid="{6E72EB5B-8B1F-4230-A198-1780E2F0695C}"/>
    <cellStyle name="40% - Énfasis5 4 2 2 2 3" xfId="10317" xr:uid="{79E222CC-D355-4F39-A8EF-306D793FB96B}"/>
    <cellStyle name="40% - Énfasis5 4 2 2 2 3 2" xfId="25730" xr:uid="{1F4A6045-D87C-4229-9AD8-57FEDDBCB3DA}"/>
    <cellStyle name="40% - Énfasis5 4 2 2 2 3 2 2" xfId="48221" xr:uid="{7D7F85A4-79DC-497B-B69F-488EAD0F510E}"/>
    <cellStyle name="40% - Énfasis5 4 2 2 2 3 3" xfId="48220" xr:uid="{EAA75C91-8E4E-4883-89F9-C9C101D19FF0}"/>
    <cellStyle name="40% - Énfasis5 4 2 2 2 4" xfId="18025" xr:uid="{CBF6325D-196A-42F9-8B29-D3664CBB5EB9}"/>
    <cellStyle name="40% - Énfasis5 4 2 2 2 4 2" xfId="48222" xr:uid="{7172B191-C9E0-4F20-AF84-0411C71B4657}"/>
    <cellStyle name="40% - Énfasis5 4 2 2 2 5" xfId="48215" xr:uid="{FE09805D-D637-4822-A81F-CF26F1664443}"/>
    <cellStyle name="40% - Énfasis5 4 2 2 3" xfId="4875" xr:uid="{0D42CA36-D456-4914-9CA1-8D79933042DC}"/>
    <cellStyle name="40% - Énfasis5 4 2 2 3 2" xfId="12583" xr:uid="{F66BF267-9E60-40C2-AAF8-027F0723FE31}"/>
    <cellStyle name="40% - Énfasis5 4 2 2 3 2 2" xfId="27995" xr:uid="{8C0A6F24-1FBE-4CBC-8802-E4B2968F02E9}"/>
    <cellStyle name="40% - Énfasis5 4 2 2 3 2 2 2" xfId="48225" xr:uid="{2DC701D8-33C7-452B-AC38-EADC750CA3B1}"/>
    <cellStyle name="40% - Énfasis5 4 2 2 3 2 3" xfId="48224" xr:uid="{F70BB983-D5A5-4ACC-A58E-92C61A53064C}"/>
    <cellStyle name="40% - Énfasis5 4 2 2 3 3" xfId="20290" xr:uid="{D9DFA4E5-14BE-4C34-A44D-8C2D18FB0D62}"/>
    <cellStyle name="40% - Énfasis5 4 2 2 3 3 2" xfId="48226" xr:uid="{5013ABCB-E320-4DE5-A80B-EF15DDB7B912}"/>
    <cellStyle name="40% - Énfasis5 4 2 2 3 4" xfId="48223" xr:uid="{605338F3-E39E-4198-9E72-4F515A26F279}"/>
    <cellStyle name="40% - Énfasis5 4 2 2 4" xfId="8858" xr:uid="{9A854A84-83F3-407D-A0EC-6ED2B9EC1CE9}"/>
    <cellStyle name="40% - Énfasis5 4 2 2 4 2" xfId="24271" xr:uid="{C31740A0-FA28-4D5D-B1DB-40907A852B32}"/>
    <cellStyle name="40% - Énfasis5 4 2 2 4 2 2" xfId="48228" xr:uid="{6457275B-F244-43FF-A025-6096718F5470}"/>
    <cellStyle name="40% - Énfasis5 4 2 2 4 3" xfId="48227" xr:uid="{45AF4800-D773-4C3F-9F13-26B7A35DE9AB}"/>
    <cellStyle name="40% - Énfasis5 4 2 2 5" xfId="16566" xr:uid="{286C5AF9-5ADB-49C3-A44E-6FD0441C04DC}"/>
    <cellStyle name="40% - Énfasis5 4 2 2 5 2" xfId="48229" xr:uid="{34EED9EC-A5D6-46B4-9AC9-C3F2E6BE1D3D}"/>
    <cellStyle name="40% - Énfasis5 4 2 2 6" xfId="48214" xr:uid="{5F886FAB-3FAD-4816-B7FE-5BAAB5850B73}"/>
    <cellStyle name="40% - Énfasis5 4 2 3" xfId="1968" xr:uid="{E00C4BF2-1805-4869-8FC3-0C2C60D052E4}"/>
    <cellStyle name="40% - Énfasis5 4 2 3 2" xfId="5700" xr:uid="{23E94B27-C84F-4D33-BAA4-4A009CB84227}"/>
    <cellStyle name="40% - Énfasis5 4 2 3 2 2" xfId="13408" xr:uid="{787B8EA3-2561-4D71-B90C-D4B98765187B}"/>
    <cellStyle name="40% - Énfasis5 4 2 3 2 2 2" xfId="28820" xr:uid="{C2AAC561-FB8B-4AF6-B7D1-3AE21121F51D}"/>
    <cellStyle name="40% - Énfasis5 4 2 3 2 2 2 2" xfId="48233" xr:uid="{B4D75877-B839-4CA1-90C0-215E8616FD96}"/>
    <cellStyle name="40% - Énfasis5 4 2 3 2 2 3" xfId="48232" xr:uid="{EC63EEC9-B81C-4266-8255-ED6098CB3BC9}"/>
    <cellStyle name="40% - Énfasis5 4 2 3 2 3" xfId="21115" xr:uid="{70DBD588-F59D-48E0-82B2-E7387F6C3A2E}"/>
    <cellStyle name="40% - Énfasis5 4 2 3 2 3 2" xfId="48234" xr:uid="{431C7393-7E5C-45FE-A7A2-24432500570E}"/>
    <cellStyle name="40% - Énfasis5 4 2 3 2 4" xfId="48231" xr:uid="{C8B4CAAE-C124-4C70-9CF8-B8E39B0C30F0}"/>
    <cellStyle name="40% - Énfasis5 4 2 3 3" xfId="9679" xr:uid="{3E61F902-5582-451B-BDFC-7E2A87E8EBDD}"/>
    <cellStyle name="40% - Énfasis5 4 2 3 3 2" xfId="25092" xr:uid="{A69E0E8F-C20E-40F5-838C-EE15A3B51D94}"/>
    <cellStyle name="40% - Énfasis5 4 2 3 3 2 2" xfId="48236" xr:uid="{D404FD03-34BE-40E2-8445-C2AA7A7B3599}"/>
    <cellStyle name="40% - Énfasis5 4 2 3 3 3" xfId="48235" xr:uid="{D45D18BC-B9F6-494E-A89A-42BFDB9C1F4F}"/>
    <cellStyle name="40% - Énfasis5 4 2 3 4" xfId="17387" xr:uid="{EF35A79D-B385-4205-B446-80E002AC38D4}"/>
    <cellStyle name="40% - Énfasis5 4 2 3 4 2" xfId="48237" xr:uid="{A580C2B0-F394-437B-B75E-AD5FA86C6ED0}"/>
    <cellStyle name="40% - Énfasis5 4 2 3 5" xfId="48230" xr:uid="{763FCF44-D8F4-415F-B2A1-949CC552C089}"/>
    <cellStyle name="40% - Énfasis5 4 2 4" xfId="4223" xr:uid="{0FD37D2A-95F2-4C0C-9CA8-2F8811401856}"/>
    <cellStyle name="40% - Énfasis5 4 2 4 2" xfId="11931" xr:uid="{27CC77BC-AACB-4D8D-B74F-1E7F343ABCDA}"/>
    <cellStyle name="40% - Énfasis5 4 2 4 2 2" xfId="27343" xr:uid="{9C4E9098-04C5-436A-868F-38F221C6A659}"/>
    <cellStyle name="40% - Énfasis5 4 2 4 2 2 2" xfId="48240" xr:uid="{5341EC3E-B67D-47F1-B476-E195DE45676A}"/>
    <cellStyle name="40% - Énfasis5 4 2 4 2 3" xfId="48239" xr:uid="{34D191DA-2F1F-4A3D-B4D3-5DA5CDB0810C}"/>
    <cellStyle name="40% - Énfasis5 4 2 4 3" xfId="19638" xr:uid="{679C1D8A-630B-4F3C-9026-F306ED120705}"/>
    <cellStyle name="40% - Énfasis5 4 2 4 3 2" xfId="48241" xr:uid="{D3E175A5-384C-4190-A627-99F205FC49BC}"/>
    <cellStyle name="40% - Énfasis5 4 2 4 4" xfId="48238" xr:uid="{288581E7-BF83-4B7B-BF5A-EB176D0BE5B8}"/>
    <cellStyle name="40% - Énfasis5 4 2 5" xfId="8220" xr:uid="{5B7DEFF6-4273-4971-8CA9-9CD87C2F9DD6}"/>
    <cellStyle name="40% - Énfasis5 4 2 5 2" xfId="23633" xr:uid="{46E4B476-47AE-4CD6-AD1B-BD2C67241B39}"/>
    <cellStyle name="40% - Énfasis5 4 2 5 2 2" xfId="48243" xr:uid="{B5751B50-DD56-43E1-AA10-343B9F5FC62B}"/>
    <cellStyle name="40% - Énfasis5 4 2 5 3" xfId="48242" xr:uid="{AD00C8E3-858B-483F-94DB-8867BA2C1B67}"/>
    <cellStyle name="40% - Énfasis5 4 2 6" xfId="15928" xr:uid="{8C660C55-F6FF-43EF-A2E5-9885E2C5CDE7}"/>
    <cellStyle name="40% - Énfasis5 4 2 6 2" xfId="48244" xr:uid="{26700269-C8CE-4E36-9451-84B335E916BC}"/>
    <cellStyle name="40% - Énfasis5 4 2 7" xfId="48213" xr:uid="{7198F6E7-13F3-42D3-9CB2-380FBD32A177}"/>
    <cellStyle name="40% - Énfasis5 4 3" xfId="938" xr:uid="{55E3C7B4-7B82-420B-8417-AC16CF01D355}"/>
    <cellStyle name="40% - Énfasis5 4 3 2" xfId="2408" xr:uid="{F96BB516-EA45-4F93-9F63-DF6E0CCA68C3}"/>
    <cellStyle name="40% - Énfasis5 4 3 2 2" xfId="6140" xr:uid="{061576D8-2025-429D-BBAE-1DA199D088A9}"/>
    <cellStyle name="40% - Énfasis5 4 3 2 2 2" xfId="13848" xr:uid="{C39320F1-946D-4CE0-AE63-D2006CC72D49}"/>
    <cellStyle name="40% - Énfasis5 4 3 2 2 2 2" xfId="29260" xr:uid="{DBD89872-EE9F-4318-86F5-D3A98EB5C50F}"/>
    <cellStyle name="40% - Énfasis5 4 3 2 2 2 2 2" xfId="48249" xr:uid="{229DC599-AC55-4034-A483-44CA312FC4CD}"/>
    <cellStyle name="40% - Énfasis5 4 3 2 2 2 3" xfId="48248" xr:uid="{A4D38FEC-DD78-485A-8EB1-4FC99AE83FD9}"/>
    <cellStyle name="40% - Énfasis5 4 3 2 2 3" xfId="21555" xr:uid="{2D0EA2B2-F0A9-45C5-9210-D4498C3807D6}"/>
    <cellStyle name="40% - Énfasis5 4 3 2 2 3 2" xfId="48250" xr:uid="{8EF36731-C620-4B4C-A06D-FF0D8BCA9A9A}"/>
    <cellStyle name="40% - Énfasis5 4 3 2 2 4" xfId="48247" xr:uid="{EE73CFCC-F9D6-4F6C-8CF3-97B6E959911B}"/>
    <cellStyle name="40% - Énfasis5 4 3 2 3" xfId="10119" xr:uid="{325DD62A-D1BC-43BF-84E4-9C42FC17553E}"/>
    <cellStyle name="40% - Énfasis5 4 3 2 3 2" xfId="25532" xr:uid="{F77D892C-DDA9-4B08-9FA6-3FBB5FF131DF}"/>
    <cellStyle name="40% - Énfasis5 4 3 2 3 2 2" xfId="48252" xr:uid="{2B60BA50-BB51-42EA-BC61-0883E9775E3A}"/>
    <cellStyle name="40% - Énfasis5 4 3 2 3 3" xfId="48251" xr:uid="{73DE8E39-D1B8-42F1-BCCD-77B1F5DE6FB3}"/>
    <cellStyle name="40% - Énfasis5 4 3 2 4" xfId="17827" xr:uid="{276A26AB-BBBF-4E5C-AD53-EE2AADC5EC74}"/>
    <cellStyle name="40% - Énfasis5 4 3 2 4 2" xfId="48253" xr:uid="{2332040C-A811-46D2-B8F5-D0219A2075E5}"/>
    <cellStyle name="40% - Énfasis5 4 3 2 5" xfId="48246" xr:uid="{C2A5B066-C95F-499D-9CEA-199D9F0AE716}"/>
    <cellStyle name="40% - Énfasis5 4 3 3" xfId="4675" xr:uid="{745750ED-2620-40E5-A1BA-628F0266E55B}"/>
    <cellStyle name="40% - Énfasis5 4 3 3 2" xfId="12383" xr:uid="{2041D654-FCF3-4E89-BA2B-76DF9CF04550}"/>
    <cellStyle name="40% - Énfasis5 4 3 3 2 2" xfId="27795" xr:uid="{0198D50B-349D-45DF-9A76-8BCD878F02B2}"/>
    <cellStyle name="40% - Énfasis5 4 3 3 2 2 2" xfId="48256" xr:uid="{82FAB7B0-914C-44C0-B36A-C71E1B93DD39}"/>
    <cellStyle name="40% - Énfasis5 4 3 3 2 3" xfId="48255" xr:uid="{1E08B736-2A80-496B-8DA8-087E470A9D80}"/>
    <cellStyle name="40% - Énfasis5 4 3 3 3" xfId="20090" xr:uid="{65C6781E-1F01-4757-9B70-CD63C70E1B71}"/>
    <cellStyle name="40% - Énfasis5 4 3 3 3 2" xfId="48257" xr:uid="{22A393F5-253C-4A4B-BE6D-FCD6BD253E73}"/>
    <cellStyle name="40% - Énfasis5 4 3 3 4" xfId="48254" xr:uid="{861DAB0F-C8A3-4737-BE6C-D478A2C36032}"/>
    <cellStyle name="40% - Énfasis5 4 3 4" xfId="8660" xr:uid="{45E766B3-2719-41CD-9155-E859DD52171A}"/>
    <cellStyle name="40% - Énfasis5 4 3 4 2" xfId="24073" xr:uid="{851F7CB3-9812-415F-97BE-86F3D8129C86}"/>
    <cellStyle name="40% - Énfasis5 4 3 4 2 2" xfId="48259" xr:uid="{6E23E887-5433-4F3A-AC80-13D9268BDE9B}"/>
    <cellStyle name="40% - Énfasis5 4 3 4 3" xfId="48258" xr:uid="{63234453-3A76-4691-B848-C66213EA21F9}"/>
    <cellStyle name="40% - Énfasis5 4 3 5" xfId="16368" xr:uid="{77C834C5-762E-48D7-883F-726D31F6968D}"/>
    <cellStyle name="40% - Énfasis5 4 3 5 2" xfId="48260" xr:uid="{B2E9DD6D-1E95-478A-92F3-EE85B2D76B05}"/>
    <cellStyle name="40% - Énfasis5 4 3 6" xfId="48245" xr:uid="{C0E9C3B8-38E4-45E4-AE01-F781AA991DD3}"/>
    <cellStyle name="40% - Énfasis5 4 4" xfId="1770" xr:uid="{ACA102F5-7443-4457-AFFE-C413298D7F94}"/>
    <cellStyle name="40% - Énfasis5 4 4 2" xfId="5502" xr:uid="{ADC8AB0A-F61E-4E73-9197-401953D94279}"/>
    <cellStyle name="40% - Énfasis5 4 4 2 2" xfId="13210" xr:uid="{C6DB5E64-836A-46CA-97CA-EB4032917CF6}"/>
    <cellStyle name="40% - Énfasis5 4 4 2 2 2" xfId="28622" xr:uid="{742F81B9-1A7F-4DE7-87F5-3B01586BE454}"/>
    <cellStyle name="40% - Énfasis5 4 4 2 2 2 2" xfId="48264" xr:uid="{07718EC4-88B8-4EA5-AAEF-03E659E8DEE7}"/>
    <cellStyle name="40% - Énfasis5 4 4 2 2 3" xfId="48263" xr:uid="{EED2C927-54FC-4E56-A54B-4FC443FDE94F}"/>
    <cellStyle name="40% - Énfasis5 4 4 2 3" xfId="20917" xr:uid="{7DA6EA27-01DA-4994-8C5B-EF08BA0072F7}"/>
    <cellStyle name="40% - Énfasis5 4 4 2 3 2" xfId="48265" xr:uid="{1E880EC7-6892-4DE5-8755-D2F5CF08F219}"/>
    <cellStyle name="40% - Énfasis5 4 4 2 4" xfId="48262" xr:uid="{161FE7DC-7D2A-4F50-A86E-9C057355C652}"/>
    <cellStyle name="40% - Énfasis5 4 4 3" xfId="9481" xr:uid="{2BD8062D-1590-4CFB-A2C8-7384CE341A46}"/>
    <cellStyle name="40% - Énfasis5 4 4 3 2" xfId="24894" xr:uid="{BDC5DF07-95EB-4D69-8CC6-B34E17556F9E}"/>
    <cellStyle name="40% - Énfasis5 4 4 3 2 2" xfId="48267" xr:uid="{3FC6D763-3047-4F9B-8EC8-1A9A16BE672A}"/>
    <cellStyle name="40% - Énfasis5 4 4 3 3" xfId="48266" xr:uid="{02659557-CF3A-444F-B1BD-CE2237319263}"/>
    <cellStyle name="40% - Énfasis5 4 4 4" xfId="17189" xr:uid="{8B895F02-476F-47F8-81BD-24EE52AD43EE}"/>
    <cellStyle name="40% - Énfasis5 4 4 4 2" xfId="48268" xr:uid="{4404D98F-4CB1-45E0-9C59-598201C271B5}"/>
    <cellStyle name="40% - Énfasis5 4 4 5" xfId="48261" xr:uid="{00EDF7D8-3D1E-4AD5-BBC3-D283E771A4D0}"/>
    <cellStyle name="40% - Énfasis5 4 5" xfId="4023" xr:uid="{291E703D-47EE-4FE6-8DB5-734175BF0AAB}"/>
    <cellStyle name="40% - Énfasis5 4 5 2" xfId="11731" xr:uid="{74FA71AC-2F0C-4542-885C-79101CCFE693}"/>
    <cellStyle name="40% - Énfasis5 4 5 2 2" xfId="27143" xr:uid="{F1B15DD6-398F-4927-B870-E6B1D3CB145E}"/>
    <cellStyle name="40% - Énfasis5 4 5 2 2 2" xfId="48271" xr:uid="{5002700A-2052-4411-9DAA-65F01037CB6F}"/>
    <cellStyle name="40% - Énfasis5 4 5 2 3" xfId="48270" xr:uid="{CC2AAF72-7207-4D1E-B96F-8F3988280AC1}"/>
    <cellStyle name="40% - Énfasis5 4 5 3" xfId="19438" xr:uid="{06F9FBF5-888E-47E6-8A61-199F681D43EF}"/>
    <cellStyle name="40% - Énfasis5 4 5 3 2" xfId="48272" xr:uid="{219E054B-373E-4B83-8A06-C19C5721D4B3}"/>
    <cellStyle name="40% - Énfasis5 4 5 4" xfId="48269" xr:uid="{5495BFD6-36A5-4D4E-BC7D-BA570384AA6C}"/>
    <cellStyle name="40% - Énfasis5 4 6" xfId="8022" xr:uid="{A6342620-2B78-4B82-B2C8-59630520880D}"/>
    <cellStyle name="40% - Énfasis5 4 6 2" xfId="23435" xr:uid="{33559622-8A1C-44E2-B585-34A243E27D68}"/>
    <cellStyle name="40% - Énfasis5 4 6 2 2" xfId="48274" xr:uid="{1EE57846-003D-4E2F-9917-E66468B973D7}"/>
    <cellStyle name="40% - Énfasis5 4 6 3" xfId="48273" xr:uid="{B8618A5D-C3B4-4F6C-BB71-A0C3CB04C674}"/>
    <cellStyle name="40% - Énfasis5 4 7" xfId="15730" xr:uid="{3E988B8D-3EE4-461E-BD3C-295C9490EE11}"/>
    <cellStyle name="40% - Énfasis5 4 7 2" xfId="48275" xr:uid="{AC249FA7-5F7C-407E-95F9-E7843668993F}"/>
    <cellStyle name="40% - Énfasis5 4 8" xfId="48212" xr:uid="{22B090C1-3648-45C1-8BC8-8C22102AEB3E}"/>
    <cellStyle name="40% - Énfasis5 5" xfId="294" xr:uid="{8D507710-ED1F-4232-A22D-761541D2768B}"/>
    <cellStyle name="40% - Énfasis5 5 2" xfId="497" xr:uid="{A2FD5686-A44C-46C0-B974-59352D0E39B2}"/>
    <cellStyle name="40% - Énfasis5 5 2 2" xfId="1158" xr:uid="{9B089EB0-426F-4061-A482-C37690069594}"/>
    <cellStyle name="40% - Énfasis5 5 2 2 2" xfId="2626" xr:uid="{0DB442E4-894D-4ED0-B48F-AAD68C9CBC59}"/>
    <cellStyle name="40% - Énfasis5 5 2 2 2 2" xfId="6358" xr:uid="{217DA7FB-D646-4F57-8BD6-2E0B60517D3D}"/>
    <cellStyle name="40% - Énfasis5 5 2 2 2 2 2" xfId="14066" xr:uid="{010D81E6-2874-45C6-928B-7FDD9F4F6D0E}"/>
    <cellStyle name="40% - Énfasis5 5 2 2 2 2 2 2" xfId="29478" xr:uid="{AD83EFD4-EA8D-4F5F-A25E-C6CBA2AD7264}"/>
    <cellStyle name="40% - Énfasis5 5 2 2 2 2 2 2 2" xfId="48282" xr:uid="{AD11653C-31F6-4702-81C3-4E09EB25EB3A}"/>
    <cellStyle name="40% - Énfasis5 5 2 2 2 2 2 3" xfId="48281" xr:uid="{D5A95130-3392-4E09-BBA9-27317E23FF67}"/>
    <cellStyle name="40% - Énfasis5 5 2 2 2 2 3" xfId="21773" xr:uid="{FE6D1A3C-4281-44FD-9FFC-AEE8F6BE3CAB}"/>
    <cellStyle name="40% - Énfasis5 5 2 2 2 2 3 2" xfId="48283" xr:uid="{6C71C7AF-123A-4E55-8BD2-2AE3C58318AA}"/>
    <cellStyle name="40% - Énfasis5 5 2 2 2 2 4" xfId="48280" xr:uid="{E42C8958-F852-467E-A9E3-6150EB722CF0}"/>
    <cellStyle name="40% - Énfasis5 5 2 2 2 3" xfId="10337" xr:uid="{80247C1A-17ED-4E34-837E-A854F5CCA58B}"/>
    <cellStyle name="40% - Énfasis5 5 2 2 2 3 2" xfId="25750" xr:uid="{ECC630A0-99E7-4AF5-8D0E-006609DDC386}"/>
    <cellStyle name="40% - Énfasis5 5 2 2 2 3 2 2" xfId="48285" xr:uid="{3F084F1B-0B5C-476B-80EE-8EFFD7C6B73A}"/>
    <cellStyle name="40% - Énfasis5 5 2 2 2 3 3" xfId="48284" xr:uid="{A42BF28C-8294-40E9-A04B-B9D7A91723C1}"/>
    <cellStyle name="40% - Énfasis5 5 2 2 2 4" xfId="18045" xr:uid="{41E03FB0-CD77-4B66-94F5-5CED7CF991C6}"/>
    <cellStyle name="40% - Énfasis5 5 2 2 2 4 2" xfId="48286" xr:uid="{F0FFB546-1D98-4335-94BE-082F155DBADB}"/>
    <cellStyle name="40% - Énfasis5 5 2 2 2 5" xfId="48279" xr:uid="{4E7D12C7-12F6-4718-B761-F1740259E57A}"/>
    <cellStyle name="40% - Énfasis5 5 2 2 3" xfId="4895" xr:uid="{CD0D5645-45FA-4198-819F-AC4A1F59BD17}"/>
    <cellStyle name="40% - Énfasis5 5 2 2 3 2" xfId="12603" xr:uid="{097A379C-72BF-4230-A0E7-58E1D0A1BF86}"/>
    <cellStyle name="40% - Énfasis5 5 2 2 3 2 2" xfId="28015" xr:uid="{BC523683-C58F-4161-9D45-49C0A3BD4DAB}"/>
    <cellStyle name="40% - Énfasis5 5 2 2 3 2 2 2" xfId="48289" xr:uid="{224ADC9C-2EE4-459A-AF6C-14C698BB5E49}"/>
    <cellStyle name="40% - Énfasis5 5 2 2 3 2 3" xfId="48288" xr:uid="{5716C2B1-6541-4D71-85C4-D283A005F1E7}"/>
    <cellStyle name="40% - Énfasis5 5 2 2 3 3" xfId="20310" xr:uid="{EF5FB44C-6CE7-42CC-B563-38E14E87305B}"/>
    <cellStyle name="40% - Énfasis5 5 2 2 3 3 2" xfId="48290" xr:uid="{DFD83E0A-3753-4D3B-A903-7AC9AA61015F}"/>
    <cellStyle name="40% - Énfasis5 5 2 2 3 4" xfId="48287" xr:uid="{7F99CD08-B116-4D77-8E95-E78BF46FE569}"/>
    <cellStyle name="40% - Énfasis5 5 2 2 4" xfId="8878" xr:uid="{2CBBBF51-4E14-4EDF-BE2D-2ED5D63EDD8E}"/>
    <cellStyle name="40% - Énfasis5 5 2 2 4 2" xfId="24291" xr:uid="{F69E4EB6-EC7C-48A9-8B90-B9D523D622D1}"/>
    <cellStyle name="40% - Énfasis5 5 2 2 4 2 2" xfId="48292" xr:uid="{365B8B39-5C3E-4357-9023-5BC8DC49D151}"/>
    <cellStyle name="40% - Énfasis5 5 2 2 4 3" xfId="48291" xr:uid="{B0A138D8-A7B7-4956-AE93-989545C8136D}"/>
    <cellStyle name="40% - Énfasis5 5 2 2 5" xfId="16586" xr:uid="{DF7618D8-1C97-4E59-B1DC-ACBDA7022E21}"/>
    <cellStyle name="40% - Énfasis5 5 2 2 5 2" xfId="48293" xr:uid="{D1BB98EB-B98B-4D5B-B301-416324C8576A}"/>
    <cellStyle name="40% - Énfasis5 5 2 2 6" xfId="48278" xr:uid="{60B6682E-CA0E-438E-97F5-7D043D730332}"/>
    <cellStyle name="40% - Énfasis5 5 2 3" xfId="1988" xr:uid="{315A552D-C60B-41B4-83FE-B9C8A6FF2FC0}"/>
    <cellStyle name="40% - Énfasis5 5 2 3 2" xfId="5720" xr:uid="{476BEAE6-FEA0-41DF-AA1A-9C5ED38C6E9C}"/>
    <cellStyle name="40% - Énfasis5 5 2 3 2 2" xfId="13428" xr:uid="{508EF6C9-6DC3-4A6C-8135-81B67830A404}"/>
    <cellStyle name="40% - Énfasis5 5 2 3 2 2 2" xfId="28840" xr:uid="{A05D4B22-2BE2-4E2C-9F49-BC3016C20329}"/>
    <cellStyle name="40% - Énfasis5 5 2 3 2 2 2 2" xfId="48297" xr:uid="{A9CA4DA4-ABE2-43F1-909B-4E449D502519}"/>
    <cellStyle name="40% - Énfasis5 5 2 3 2 2 3" xfId="48296" xr:uid="{950F3619-016A-4A0D-A9F9-E0BA8DAB9936}"/>
    <cellStyle name="40% - Énfasis5 5 2 3 2 3" xfId="21135" xr:uid="{64F3851B-1218-4CFE-9D92-C8830B96D68D}"/>
    <cellStyle name="40% - Énfasis5 5 2 3 2 3 2" xfId="48298" xr:uid="{5067D02D-F85B-4C92-97E3-BB9722FF82BF}"/>
    <cellStyle name="40% - Énfasis5 5 2 3 2 4" xfId="48295" xr:uid="{B6441DE9-6AE6-40E3-A4D9-56717DEB571B}"/>
    <cellStyle name="40% - Énfasis5 5 2 3 3" xfId="9699" xr:uid="{B6AEA274-4F18-4D72-B94A-5FAA406960E8}"/>
    <cellStyle name="40% - Énfasis5 5 2 3 3 2" xfId="25112" xr:uid="{C6AE4A25-6712-4762-9527-6DF14D42AAA6}"/>
    <cellStyle name="40% - Énfasis5 5 2 3 3 2 2" xfId="48300" xr:uid="{B34AC4F2-C8CE-4695-9896-246C503FC0D0}"/>
    <cellStyle name="40% - Énfasis5 5 2 3 3 3" xfId="48299" xr:uid="{9B902F3F-AF9B-40D8-8C0F-205EFBF1E588}"/>
    <cellStyle name="40% - Énfasis5 5 2 3 4" xfId="17407" xr:uid="{80BBB1A5-0210-4D6D-94B1-BBE9D3FFBBF5}"/>
    <cellStyle name="40% - Énfasis5 5 2 3 4 2" xfId="48301" xr:uid="{BD875DE9-D6E5-490A-8036-161D8478B8AE}"/>
    <cellStyle name="40% - Énfasis5 5 2 3 5" xfId="48294" xr:uid="{86B5CBE2-0213-4FC2-94B6-0C9F8DFA964F}"/>
    <cellStyle name="40% - Énfasis5 5 2 4" xfId="4243" xr:uid="{9AF2FA16-E560-46AD-90E6-FA8D735D594E}"/>
    <cellStyle name="40% - Énfasis5 5 2 4 2" xfId="11951" xr:uid="{CF6DFE1E-64AD-47B2-97C2-25171BFDBB5E}"/>
    <cellStyle name="40% - Énfasis5 5 2 4 2 2" xfId="27363" xr:uid="{AEA6AD1C-87C5-4085-95B4-CFDCD9AFE88A}"/>
    <cellStyle name="40% - Énfasis5 5 2 4 2 2 2" xfId="48304" xr:uid="{C1CA67E2-4D36-48FE-BD3B-5F3798CB1351}"/>
    <cellStyle name="40% - Énfasis5 5 2 4 2 3" xfId="48303" xr:uid="{95C7F47A-37F6-4396-ABA2-824D64E67572}"/>
    <cellStyle name="40% - Énfasis5 5 2 4 3" xfId="19658" xr:uid="{153AA1DA-851C-4083-9FF7-AE45BAA03837}"/>
    <cellStyle name="40% - Énfasis5 5 2 4 3 2" xfId="48305" xr:uid="{71FC0437-4CEF-41C8-8C99-0EF8F0D65D27}"/>
    <cellStyle name="40% - Énfasis5 5 2 4 4" xfId="48302" xr:uid="{3FF20B28-D5C7-4142-84EB-515E9529D0E8}"/>
    <cellStyle name="40% - Énfasis5 5 2 5" xfId="8240" xr:uid="{61366C61-6955-4712-829E-C4A3B23996BC}"/>
    <cellStyle name="40% - Énfasis5 5 2 5 2" xfId="23653" xr:uid="{F88A2637-3415-410A-AD66-F3ED36271AB1}"/>
    <cellStyle name="40% - Énfasis5 5 2 5 2 2" xfId="48307" xr:uid="{CA745D69-EB07-47BE-899F-E278B67E505D}"/>
    <cellStyle name="40% - Énfasis5 5 2 5 3" xfId="48306" xr:uid="{22B87E77-A1C5-4AD9-95B6-348AA90B85DE}"/>
    <cellStyle name="40% - Énfasis5 5 2 6" xfId="15948" xr:uid="{C1FC0165-DA63-4C3E-8077-483A93954302}"/>
    <cellStyle name="40% - Énfasis5 5 2 6 2" xfId="48308" xr:uid="{30CD4C6D-67A7-45F5-949F-E33B32525151}"/>
    <cellStyle name="40% - Énfasis5 5 2 7" xfId="48277" xr:uid="{AACB0AE0-7979-421F-BC8D-1BBFEA775688}"/>
    <cellStyle name="40% - Énfasis5 5 3" xfId="958" xr:uid="{FF33936B-5C16-4241-9DBC-B60CD7DEE76A}"/>
    <cellStyle name="40% - Énfasis5 5 3 2" xfId="2428" xr:uid="{47B23CC7-6960-462B-AEF0-55525BB47BA5}"/>
    <cellStyle name="40% - Énfasis5 5 3 2 2" xfId="6160" xr:uid="{94CD4FB3-0B42-436E-90DE-8A68231E2B2B}"/>
    <cellStyle name="40% - Énfasis5 5 3 2 2 2" xfId="13868" xr:uid="{A0197F85-D65B-429A-8985-03A065877603}"/>
    <cellStyle name="40% - Énfasis5 5 3 2 2 2 2" xfId="29280" xr:uid="{17D87693-70F8-4FD9-AAA2-CD71A7D82FA8}"/>
    <cellStyle name="40% - Énfasis5 5 3 2 2 2 2 2" xfId="48313" xr:uid="{69B15BD0-7E5C-42CE-9DFE-ECEE457EF016}"/>
    <cellStyle name="40% - Énfasis5 5 3 2 2 2 3" xfId="48312" xr:uid="{22403E7C-BC49-4EFB-ADAE-162E008A84B0}"/>
    <cellStyle name="40% - Énfasis5 5 3 2 2 3" xfId="21575" xr:uid="{499DA033-0261-48BC-8D0F-629F1A2E7834}"/>
    <cellStyle name="40% - Énfasis5 5 3 2 2 3 2" xfId="48314" xr:uid="{333FA441-7B6D-42EE-BA30-A1205C54BCA8}"/>
    <cellStyle name="40% - Énfasis5 5 3 2 2 4" xfId="48311" xr:uid="{59D5E865-BEFB-42AA-A02D-EAE45C4F075D}"/>
    <cellStyle name="40% - Énfasis5 5 3 2 3" xfId="10139" xr:uid="{869BC9B2-6149-4A2E-8D2A-5B08F3299270}"/>
    <cellStyle name="40% - Énfasis5 5 3 2 3 2" xfId="25552" xr:uid="{BE4C96E2-DEE4-4713-BE1F-E9D438FEB417}"/>
    <cellStyle name="40% - Énfasis5 5 3 2 3 2 2" xfId="48316" xr:uid="{1FAE27DB-D82F-444A-AD80-E7ED73188946}"/>
    <cellStyle name="40% - Énfasis5 5 3 2 3 3" xfId="48315" xr:uid="{418A2136-1F2A-457B-AB6E-7D30580C10D5}"/>
    <cellStyle name="40% - Énfasis5 5 3 2 4" xfId="17847" xr:uid="{EC48438D-4ABF-4CD8-83B1-A84B7F86C2A1}"/>
    <cellStyle name="40% - Énfasis5 5 3 2 4 2" xfId="48317" xr:uid="{71DB073C-2A40-4B82-87F1-6F23D88631CC}"/>
    <cellStyle name="40% - Énfasis5 5 3 2 5" xfId="48310" xr:uid="{3B1AB97A-CE2D-48D6-B52C-75191F4E318E}"/>
    <cellStyle name="40% - Énfasis5 5 3 3" xfId="4695" xr:uid="{43DAF67C-8CA7-4815-8886-613F8B245BFF}"/>
    <cellStyle name="40% - Énfasis5 5 3 3 2" xfId="12403" xr:uid="{EEE722A9-72A2-42D5-B471-85566915D71E}"/>
    <cellStyle name="40% - Énfasis5 5 3 3 2 2" xfId="27815" xr:uid="{94377881-B36F-43AA-BEC3-F94419340DA3}"/>
    <cellStyle name="40% - Énfasis5 5 3 3 2 2 2" xfId="48320" xr:uid="{287E4690-4E4A-4E88-A09F-8FCC2B69B9E8}"/>
    <cellStyle name="40% - Énfasis5 5 3 3 2 3" xfId="48319" xr:uid="{70747138-D368-4474-A188-63E70166E9BC}"/>
    <cellStyle name="40% - Énfasis5 5 3 3 3" xfId="20110" xr:uid="{EC49D0B3-DEBE-4D97-8B21-5C23B075F5DB}"/>
    <cellStyle name="40% - Énfasis5 5 3 3 3 2" xfId="48321" xr:uid="{454A1772-435F-4ACE-8FCB-94521F8A3E3D}"/>
    <cellStyle name="40% - Énfasis5 5 3 3 4" xfId="48318" xr:uid="{A8B3DCE5-4B24-4821-8064-B2EDE4607429}"/>
    <cellStyle name="40% - Énfasis5 5 3 4" xfId="8680" xr:uid="{BE6AF618-FC0F-47B2-86D8-25DE9B4A5750}"/>
    <cellStyle name="40% - Énfasis5 5 3 4 2" xfId="24093" xr:uid="{4C2B8382-B4C4-4821-8795-6DFE67EEBDF7}"/>
    <cellStyle name="40% - Énfasis5 5 3 4 2 2" xfId="48323" xr:uid="{0D990093-DC41-463D-8A6A-7227F89CB022}"/>
    <cellStyle name="40% - Énfasis5 5 3 4 3" xfId="48322" xr:uid="{C7D5D75D-5875-4E88-899E-54AD3A0234F4}"/>
    <cellStyle name="40% - Énfasis5 5 3 5" xfId="16388" xr:uid="{A771EDDF-7392-4D29-A907-BFA5CF4446B5}"/>
    <cellStyle name="40% - Énfasis5 5 3 5 2" xfId="48324" xr:uid="{A67F98DC-2D44-4565-A3E0-93F6B94AB2F5}"/>
    <cellStyle name="40% - Énfasis5 5 3 6" xfId="48309" xr:uid="{3BC557BC-2FD6-4D7E-9352-D6D5ACBA2A47}"/>
    <cellStyle name="40% - Énfasis5 5 4" xfId="1790" xr:uid="{8218BBA2-1F9E-42FA-AA39-822541A64EEE}"/>
    <cellStyle name="40% - Énfasis5 5 4 2" xfId="5522" xr:uid="{33A2D6A6-773B-403B-8F29-3D9B5C21D3D7}"/>
    <cellStyle name="40% - Énfasis5 5 4 2 2" xfId="13230" xr:uid="{DE29E07E-B242-4D4E-ABF0-B6F3D385088D}"/>
    <cellStyle name="40% - Énfasis5 5 4 2 2 2" xfId="28642" xr:uid="{8088B1D2-F1D3-44D9-B7AB-84F2178A1AE9}"/>
    <cellStyle name="40% - Énfasis5 5 4 2 2 2 2" xfId="48328" xr:uid="{8ABCC1AB-A736-4D3A-AB99-A6CEB913F9B8}"/>
    <cellStyle name="40% - Énfasis5 5 4 2 2 3" xfId="48327" xr:uid="{920CC93D-766C-4EF9-B962-9009C0DFF9B9}"/>
    <cellStyle name="40% - Énfasis5 5 4 2 3" xfId="20937" xr:uid="{A6D78488-1EAC-406B-BB61-8E03DE513980}"/>
    <cellStyle name="40% - Énfasis5 5 4 2 3 2" xfId="48329" xr:uid="{A38EAE47-FC87-43C9-B089-119CA1CCEE8C}"/>
    <cellStyle name="40% - Énfasis5 5 4 2 4" xfId="48326" xr:uid="{18775D8C-120F-40CE-B2A4-62349B6F597C}"/>
    <cellStyle name="40% - Énfasis5 5 4 3" xfId="9501" xr:uid="{3CD855F5-3F6E-40A8-A12D-8862931288C1}"/>
    <cellStyle name="40% - Énfasis5 5 4 3 2" xfId="24914" xr:uid="{184C924C-9DE5-403F-B419-54A494928AFE}"/>
    <cellStyle name="40% - Énfasis5 5 4 3 2 2" xfId="48331" xr:uid="{FD28CA78-C478-44E4-AA9D-0152B511B42D}"/>
    <cellStyle name="40% - Énfasis5 5 4 3 3" xfId="48330" xr:uid="{220C817D-ADFA-47BF-81C3-FBB94E04F4CC}"/>
    <cellStyle name="40% - Énfasis5 5 4 4" xfId="17209" xr:uid="{63E9B178-8526-49CD-AC87-AF75BF4D63BC}"/>
    <cellStyle name="40% - Énfasis5 5 4 4 2" xfId="48332" xr:uid="{F071ED3C-8A99-46E9-8034-CB6C1A68095C}"/>
    <cellStyle name="40% - Énfasis5 5 4 5" xfId="48325" xr:uid="{82CAF45F-AF75-4F96-9F9C-8052EE8FE661}"/>
    <cellStyle name="40% - Énfasis5 5 5" xfId="4043" xr:uid="{E2CB2858-ED2D-4E08-A797-3C1DA8A5FF7A}"/>
    <cellStyle name="40% - Énfasis5 5 5 2" xfId="11751" xr:uid="{C7A3A768-40E4-4BAF-8DE2-6E6D16C682F4}"/>
    <cellStyle name="40% - Énfasis5 5 5 2 2" xfId="27163" xr:uid="{1BA4001B-B19F-4166-ADCB-0FF628AD50F2}"/>
    <cellStyle name="40% - Énfasis5 5 5 2 2 2" xfId="48335" xr:uid="{249BFDCD-B965-46C0-A1DA-B8AF9E35679A}"/>
    <cellStyle name="40% - Énfasis5 5 5 2 3" xfId="48334" xr:uid="{2C604FA4-B053-47C9-A7DA-272D06424033}"/>
    <cellStyle name="40% - Énfasis5 5 5 3" xfId="19458" xr:uid="{23886FEA-B635-4722-A27F-FE08545C526E}"/>
    <cellStyle name="40% - Énfasis5 5 5 3 2" xfId="48336" xr:uid="{191F3A8B-92A4-47D5-A371-B0AEF752D879}"/>
    <cellStyle name="40% - Énfasis5 5 5 4" xfId="48333" xr:uid="{0918F729-A4B1-432B-92E8-73AE397C41C4}"/>
    <cellStyle name="40% - Énfasis5 5 6" xfId="8042" xr:uid="{68519BE0-6019-4D71-B56F-DADE342A84F9}"/>
    <cellStyle name="40% - Énfasis5 5 6 2" xfId="23455" xr:uid="{2FC4A5C5-5103-4C43-97D3-38E71F6A92AA}"/>
    <cellStyle name="40% - Énfasis5 5 6 2 2" xfId="48338" xr:uid="{79D48A47-EB0B-4B4A-8275-E2E1399ABEF1}"/>
    <cellStyle name="40% - Énfasis5 5 6 3" xfId="48337" xr:uid="{C09469FD-D1FC-4F96-B1A5-42E6BE1B5013}"/>
    <cellStyle name="40% - Énfasis5 5 7" xfId="15750" xr:uid="{0EEFC40D-4776-4672-AAED-44E4A69D4D78}"/>
    <cellStyle name="40% - Énfasis5 5 7 2" xfId="48339" xr:uid="{7F283427-9CD9-4F6C-8841-A99703F1E118}"/>
    <cellStyle name="40% - Énfasis5 5 8" xfId="48276" xr:uid="{C38B8447-2232-4A87-98C2-AC233B044AF8}"/>
    <cellStyle name="40% - Énfasis5 6" xfId="314" xr:uid="{283EB56B-EB60-4767-868E-F2CA5737D2EF}"/>
    <cellStyle name="40% - Énfasis5 6 2" xfId="517" xr:uid="{200EB312-14DF-4816-9C4B-C476147DD101}"/>
    <cellStyle name="40% - Énfasis5 6 2 2" xfId="1178" xr:uid="{03A3896B-7E66-46BD-86D6-C61AF4A5F470}"/>
    <cellStyle name="40% - Énfasis5 6 2 2 2" xfId="2646" xr:uid="{A6E78E54-0F8E-463C-8C78-F1A8E252F40D}"/>
    <cellStyle name="40% - Énfasis5 6 2 2 2 2" xfId="6378" xr:uid="{2762B11F-BE59-4194-B99B-DB0FA73E41B0}"/>
    <cellStyle name="40% - Énfasis5 6 2 2 2 2 2" xfId="14086" xr:uid="{4F998772-360E-41E7-B170-809F505B2BA9}"/>
    <cellStyle name="40% - Énfasis5 6 2 2 2 2 2 2" xfId="29498" xr:uid="{B4C6C5AC-DFA6-4F34-8478-46FF5EA59C86}"/>
    <cellStyle name="40% - Énfasis5 6 2 2 2 2 2 2 2" xfId="48346" xr:uid="{E4DA7290-82CD-4EC7-A6AD-594F539361F3}"/>
    <cellStyle name="40% - Énfasis5 6 2 2 2 2 2 3" xfId="48345" xr:uid="{0C8A24B6-7CD9-4525-9ECA-2DF49E7D776F}"/>
    <cellStyle name="40% - Énfasis5 6 2 2 2 2 3" xfId="21793" xr:uid="{6496EDF7-E5C5-430F-B2C4-F18FC1783F4F}"/>
    <cellStyle name="40% - Énfasis5 6 2 2 2 2 3 2" xfId="48347" xr:uid="{4EBABA7B-B8BF-4B7D-9F84-38CB07C1B67B}"/>
    <cellStyle name="40% - Énfasis5 6 2 2 2 2 4" xfId="48344" xr:uid="{9876822F-7478-47FC-81F7-24DD7CFF2594}"/>
    <cellStyle name="40% - Énfasis5 6 2 2 2 3" xfId="10357" xr:uid="{0EBF7BF4-111C-409D-9126-3D3218D6E8BA}"/>
    <cellStyle name="40% - Énfasis5 6 2 2 2 3 2" xfId="25770" xr:uid="{01C6295F-71D6-4CFF-BF67-D2A153AA9824}"/>
    <cellStyle name="40% - Énfasis5 6 2 2 2 3 2 2" xfId="48349" xr:uid="{ED985E92-A747-4754-840C-3A67F914D216}"/>
    <cellStyle name="40% - Énfasis5 6 2 2 2 3 3" xfId="48348" xr:uid="{C4A26987-58F2-425E-AFE3-691E015ADAEA}"/>
    <cellStyle name="40% - Énfasis5 6 2 2 2 4" xfId="18065" xr:uid="{1811388C-F83C-45A6-88D3-80262E2C681F}"/>
    <cellStyle name="40% - Énfasis5 6 2 2 2 4 2" xfId="48350" xr:uid="{12DEA581-96A6-41FF-9C81-4C3BB8B63539}"/>
    <cellStyle name="40% - Énfasis5 6 2 2 2 5" xfId="48343" xr:uid="{EC9A27B8-64C1-42D8-977E-3ADA5104443A}"/>
    <cellStyle name="40% - Énfasis5 6 2 2 3" xfId="4915" xr:uid="{CE333EF4-37C9-4673-8A6B-859C7EFEAF68}"/>
    <cellStyle name="40% - Énfasis5 6 2 2 3 2" xfId="12623" xr:uid="{3B58606B-F48E-4AC7-835C-6BDD97E0B571}"/>
    <cellStyle name="40% - Énfasis5 6 2 2 3 2 2" xfId="28035" xr:uid="{3FBF4CA2-1457-44F5-97E7-18F88257B0E6}"/>
    <cellStyle name="40% - Énfasis5 6 2 2 3 2 2 2" xfId="48353" xr:uid="{FCF45C25-5C77-4B0F-9BE7-75721CD1D585}"/>
    <cellStyle name="40% - Énfasis5 6 2 2 3 2 3" xfId="48352" xr:uid="{35A68335-A8AD-4CD1-9147-FBF8D48B6CB3}"/>
    <cellStyle name="40% - Énfasis5 6 2 2 3 3" xfId="20330" xr:uid="{C7631D10-4578-4A23-B790-47705931F5C5}"/>
    <cellStyle name="40% - Énfasis5 6 2 2 3 3 2" xfId="48354" xr:uid="{8BF94831-032D-48DA-A942-0CA5B2328CFB}"/>
    <cellStyle name="40% - Énfasis5 6 2 2 3 4" xfId="48351" xr:uid="{A7214D70-59E9-4BAA-83E4-2EB0F8DE4261}"/>
    <cellStyle name="40% - Énfasis5 6 2 2 4" xfId="8898" xr:uid="{DAAA59C9-F35E-4B50-A390-1FF2BE6581F3}"/>
    <cellStyle name="40% - Énfasis5 6 2 2 4 2" xfId="24311" xr:uid="{B367CD35-4504-4348-A54F-784FE29C1184}"/>
    <cellStyle name="40% - Énfasis5 6 2 2 4 2 2" xfId="48356" xr:uid="{F28E8614-8D6C-48D8-8AFA-9DED6CF3D0C2}"/>
    <cellStyle name="40% - Énfasis5 6 2 2 4 3" xfId="48355" xr:uid="{311A48B1-E6EC-434F-AA59-7C7767485FA4}"/>
    <cellStyle name="40% - Énfasis5 6 2 2 5" xfId="16606" xr:uid="{B3584835-8716-4482-A120-C51B8445CC60}"/>
    <cellStyle name="40% - Énfasis5 6 2 2 5 2" xfId="48357" xr:uid="{2DB1BD34-1209-4539-B84E-B9A0C17E5F03}"/>
    <cellStyle name="40% - Énfasis5 6 2 2 6" xfId="48342" xr:uid="{44FC6D90-A66E-42CB-B7F5-DAE364FACF37}"/>
    <cellStyle name="40% - Énfasis5 6 2 3" xfId="2008" xr:uid="{B376539C-CF86-4494-9030-73FC7419A7FD}"/>
    <cellStyle name="40% - Énfasis5 6 2 3 2" xfId="5740" xr:uid="{8C6B8E7E-CAFE-42E6-B858-4B69E0840D30}"/>
    <cellStyle name="40% - Énfasis5 6 2 3 2 2" xfId="13448" xr:uid="{A7AFDA01-D9B1-49A2-9C4F-4FCC3473E9D5}"/>
    <cellStyle name="40% - Énfasis5 6 2 3 2 2 2" xfId="28860" xr:uid="{20A61E57-25EA-44F4-8D2B-70964256BCDC}"/>
    <cellStyle name="40% - Énfasis5 6 2 3 2 2 2 2" xfId="48361" xr:uid="{E9394DDA-86BA-4B59-BEB0-994741A5D241}"/>
    <cellStyle name="40% - Énfasis5 6 2 3 2 2 3" xfId="48360" xr:uid="{9CF72C0F-5A81-4B37-BE62-C34D4756AB24}"/>
    <cellStyle name="40% - Énfasis5 6 2 3 2 3" xfId="21155" xr:uid="{B62F27D9-B667-45BB-AB90-D4640A93399E}"/>
    <cellStyle name="40% - Énfasis5 6 2 3 2 3 2" xfId="48362" xr:uid="{60CABA24-BC58-46B1-BC89-19D1EC1BC1B8}"/>
    <cellStyle name="40% - Énfasis5 6 2 3 2 4" xfId="48359" xr:uid="{5EB8018B-B743-452B-BD42-6A6B2E4FA8CC}"/>
    <cellStyle name="40% - Énfasis5 6 2 3 3" xfId="9719" xr:uid="{93417D70-B8B7-4BAD-8530-C5F3883FB5FB}"/>
    <cellStyle name="40% - Énfasis5 6 2 3 3 2" xfId="25132" xr:uid="{6A7769DD-5931-434A-AFCD-597F636BDCA4}"/>
    <cellStyle name="40% - Énfasis5 6 2 3 3 2 2" xfId="48364" xr:uid="{349ACFFE-559D-42F4-A168-3CC301403483}"/>
    <cellStyle name="40% - Énfasis5 6 2 3 3 3" xfId="48363" xr:uid="{2DE9ADB6-9275-4215-AE69-936890757246}"/>
    <cellStyle name="40% - Énfasis5 6 2 3 4" xfId="17427" xr:uid="{63EB2145-0E21-4663-AB93-5DD89C810DB6}"/>
    <cellStyle name="40% - Énfasis5 6 2 3 4 2" xfId="48365" xr:uid="{2C32AEB3-6343-4D5B-94A2-9676065BC91F}"/>
    <cellStyle name="40% - Énfasis5 6 2 3 5" xfId="48358" xr:uid="{70C63489-1B92-4982-8CC2-8BEA122AF3CC}"/>
    <cellStyle name="40% - Énfasis5 6 2 4" xfId="4263" xr:uid="{C7FBE6F7-7588-43A2-8622-76CACAEDCBC6}"/>
    <cellStyle name="40% - Énfasis5 6 2 4 2" xfId="11971" xr:uid="{1132D350-8AC7-4516-BAFF-243B61B475CE}"/>
    <cellStyle name="40% - Énfasis5 6 2 4 2 2" xfId="27383" xr:uid="{251E1449-F8EF-4333-9F48-6FC3BC02FDA4}"/>
    <cellStyle name="40% - Énfasis5 6 2 4 2 2 2" xfId="48368" xr:uid="{3E2D9581-1163-48BE-B214-A2A5975464F5}"/>
    <cellStyle name="40% - Énfasis5 6 2 4 2 3" xfId="48367" xr:uid="{FACA77DA-15D0-4846-B5C1-17A3078A3E9B}"/>
    <cellStyle name="40% - Énfasis5 6 2 4 3" xfId="19678" xr:uid="{D658E988-53AC-407A-AF98-70C3424CB6CB}"/>
    <cellStyle name="40% - Énfasis5 6 2 4 3 2" xfId="48369" xr:uid="{D42EC36F-5D21-4B16-8879-899583AC3B25}"/>
    <cellStyle name="40% - Énfasis5 6 2 4 4" xfId="48366" xr:uid="{E3EFE4E2-ADEB-4984-A6C3-B4E1BF997847}"/>
    <cellStyle name="40% - Énfasis5 6 2 5" xfId="8260" xr:uid="{B9630A6B-F189-4201-915C-585B6024C9C8}"/>
    <cellStyle name="40% - Énfasis5 6 2 5 2" xfId="23673" xr:uid="{30CE4ECF-3E7B-4B2F-9C5E-4511F7CA58D1}"/>
    <cellStyle name="40% - Énfasis5 6 2 5 2 2" xfId="48371" xr:uid="{FC9EA6D3-646C-46D5-85C3-F75163525B99}"/>
    <cellStyle name="40% - Énfasis5 6 2 5 3" xfId="48370" xr:uid="{13C0B13B-080E-4BE3-830F-EA51581596AD}"/>
    <cellStyle name="40% - Énfasis5 6 2 6" xfId="15968" xr:uid="{3ADF4E72-4B11-4CB3-9619-2DF3E3F06853}"/>
    <cellStyle name="40% - Énfasis5 6 2 6 2" xfId="48372" xr:uid="{1F53DEB1-89E6-4556-8D51-6F6523160829}"/>
    <cellStyle name="40% - Énfasis5 6 2 7" xfId="48341" xr:uid="{3E5685CC-1CC3-4CD3-B55D-BF55303702D3}"/>
    <cellStyle name="40% - Énfasis5 6 3" xfId="978" xr:uid="{2A652ADA-3651-47B5-87DB-17A0A21A3E7D}"/>
    <cellStyle name="40% - Énfasis5 6 3 2" xfId="2448" xr:uid="{9122DA7D-A623-4EAC-8191-D22400AE929C}"/>
    <cellStyle name="40% - Énfasis5 6 3 2 2" xfId="6180" xr:uid="{9199DB30-00BC-4921-BCC4-6201106E3AF1}"/>
    <cellStyle name="40% - Énfasis5 6 3 2 2 2" xfId="13888" xr:uid="{D39E05CD-5402-4104-8EF3-C1D14D3C595F}"/>
    <cellStyle name="40% - Énfasis5 6 3 2 2 2 2" xfId="29300" xr:uid="{8C6686B2-AAB6-4F4A-9E4B-578670039F19}"/>
    <cellStyle name="40% - Énfasis5 6 3 2 2 2 2 2" xfId="48377" xr:uid="{B167665E-71D0-4F5B-A584-14218E0353B2}"/>
    <cellStyle name="40% - Énfasis5 6 3 2 2 2 3" xfId="48376" xr:uid="{F5884989-B412-4215-9115-7A830B59F44C}"/>
    <cellStyle name="40% - Énfasis5 6 3 2 2 3" xfId="21595" xr:uid="{1A05D88C-DE47-4653-A902-2C553A8F0E38}"/>
    <cellStyle name="40% - Énfasis5 6 3 2 2 3 2" xfId="48378" xr:uid="{C1F77CBD-D0A4-418C-A1C6-6605D4D2C79F}"/>
    <cellStyle name="40% - Énfasis5 6 3 2 2 4" xfId="48375" xr:uid="{49527DAD-B8CB-4BAD-9BCD-83AC4D85B7B6}"/>
    <cellStyle name="40% - Énfasis5 6 3 2 3" xfId="10159" xr:uid="{8DEB615F-A580-466D-BDFD-B1CE1DE8A141}"/>
    <cellStyle name="40% - Énfasis5 6 3 2 3 2" xfId="25572" xr:uid="{7453C835-7F1A-4BD2-BEF1-68E53665BAEA}"/>
    <cellStyle name="40% - Énfasis5 6 3 2 3 2 2" xfId="48380" xr:uid="{CC3F43AA-DE57-43CC-B1B6-CD08B99387BA}"/>
    <cellStyle name="40% - Énfasis5 6 3 2 3 3" xfId="48379" xr:uid="{02C513A8-7426-4AD7-9938-A952CC11A80E}"/>
    <cellStyle name="40% - Énfasis5 6 3 2 4" xfId="17867" xr:uid="{E6AA7457-B9B4-4870-B29D-D2D0ABDB08EB}"/>
    <cellStyle name="40% - Énfasis5 6 3 2 4 2" xfId="48381" xr:uid="{F140A5B0-E7C7-4007-BA51-E89D2570DD6B}"/>
    <cellStyle name="40% - Énfasis5 6 3 2 5" xfId="48374" xr:uid="{86B75F3D-BB58-452F-AA1E-BB9345197A7A}"/>
    <cellStyle name="40% - Énfasis5 6 3 3" xfId="4715" xr:uid="{CBBB3A55-AFC7-407E-8D7A-410FB4D000F2}"/>
    <cellStyle name="40% - Énfasis5 6 3 3 2" xfId="12423" xr:uid="{C53DF871-24DE-41E9-B857-31FDA9AF3827}"/>
    <cellStyle name="40% - Énfasis5 6 3 3 2 2" xfId="27835" xr:uid="{6F0BCC25-020B-4AB6-948B-DF56598E540F}"/>
    <cellStyle name="40% - Énfasis5 6 3 3 2 2 2" xfId="48384" xr:uid="{CC64EF3F-6E0A-485C-9889-0609FB26DD2A}"/>
    <cellStyle name="40% - Énfasis5 6 3 3 2 3" xfId="48383" xr:uid="{E8BFF1A7-CAD7-4C4A-A88B-A351EE370B62}"/>
    <cellStyle name="40% - Énfasis5 6 3 3 3" xfId="20130" xr:uid="{EB3A0298-597C-4543-91F0-6EEA89400441}"/>
    <cellStyle name="40% - Énfasis5 6 3 3 3 2" xfId="48385" xr:uid="{58901205-78CA-469A-9A90-AF7687A902F4}"/>
    <cellStyle name="40% - Énfasis5 6 3 3 4" xfId="48382" xr:uid="{1CED36F0-BAE9-4E47-A59B-6297C3F2FE71}"/>
    <cellStyle name="40% - Énfasis5 6 3 4" xfId="8700" xr:uid="{3139F239-FA02-47B8-8548-AB7D7E586684}"/>
    <cellStyle name="40% - Énfasis5 6 3 4 2" xfId="24113" xr:uid="{A172EDC0-68F6-4DFD-8549-5D263E3DB7B3}"/>
    <cellStyle name="40% - Énfasis5 6 3 4 2 2" xfId="48387" xr:uid="{A99CD3D5-E3B7-4E13-918B-91E19F0D3F4B}"/>
    <cellStyle name="40% - Énfasis5 6 3 4 3" xfId="48386" xr:uid="{A375C9CA-7CBB-45A2-AE63-AE6B584F0E45}"/>
    <cellStyle name="40% - Énfasis5 6 3 5" xfId="16408" xr:uid="{ED9C8C42-E24E-43DD-936D-DEE36128D42D}"/>
    <cellStyle name="40% - Énfasis5 6 3 5 2" xfId="48388" xr:uid="{A9D882D9-D0BF-455E-836E-30C98D88C6A7}"/>
    <cellStyle name="40% - Énfasis5 6 3 6" xfId="48373" xr:uid="{907078DF-6C09-4671-A483-FAA55740B3F7}"/>
    <cellStyle name="40% - Énfasis5 6 4" xfId="1810" xr:uid="{1461B365-F536-4F52-B3A9-EE3A610F5ADA}"/>
    <cellStyle name="40% - Énfasis5 6 4 2" xfId="5542" xr:uid="{4DC5D0F1-11A9-4440-9747-DC6F421E5490}"/>
    <cellStyle name="40% - Énfasis5 6 4 2 2" xfId="13250" xr:uid="{9B7CDD7C-31C0-4DBE-8882-2B5DEA580E8C}"/>
    <cellStyle name="40% - Énfasis5 6 4 2 2 2" xfId="28662" xr:uid="{A1A64AF0-1F01-4370-9599-C4408CB58EC1}"/>
    <cellStyle name="40% - Énfasis5 6 4 2 2 2 2" xfId="48392" xr:uid="{1EF299E3-884D-4FA1-BFAC-4ADE219F7C85}"/>
    <cellStyle name="40% - Énfasis5 6 4 2 2 3" xfId="48391" xr:uid="{81E039CD-1B70-4ECE-BF05-E197BC011565}"/>
    <cellStyle name="40% - Énfasis5 6 4 2 3" xfId="20957" xr:uid="{9EC96AB8-E371-4FB5-B3DC-3AF2F8F60F6F}"/>
    <cellStyle name="40% - Énfasis5 6 4 2 3 2" xfId="48393" xr:uid="{3903CB57-C4AF-4EC8-84FB-D96D059FC15B}"/>
    <cellStyle name="40% - Énfasis5 6 4 2 4" xfId="48390" xr:uid="{B23C22C6-B677-4CBE-A311-759A9A806A7C}"/>
    <cellStyle name="40% - Énfasis5 6 4 3" xfId="9521" xr:uid="{5410D9E1-0C8E-4C28-B83C-FA87AD805528}"/>
    <cellStyle name="40% - Énfasis5 6 4 3 2" xfId="24934" xr:uid="{0ADF75F0-337C-440E-992F-14DAD1E0AE36}"/>
    <cellStyle name="40% - Énfasis5 6 4 3 2 2" xfId="48395" xr:uid="{8234AA5E-CCC4-48DC-B374-850DB0C49D30}"/>
    <cellStyle name="40% - Énfasis5 6 4 3 3" xfId="48394" xr:uid="{D020415B-CED9-42D2-9178-826D34E35740}"/>
    <cellStyle name="40% - Énfasis5 6 4 4" xfId="17229" xr:uid="{2833CEBB-8321-4BDC-B5AD-230FD18A83BA}"/>
    <cellStyle name="40% - Énfasis5 6 4 4 2" xfId="48396" xr:uid="{39941061-8050-4789-BC4D-7E9CF4E83727}"/>
    <cellStyle name="40% - Énfasis5 6 4 5" xfId="48389" xr:uid="{6E8F0B32-F8F7-49F1-A8DC-9B3A4BA9B220}"/>
    <cellStyle name="40% - Énfasis5 6 5" xfId="4063" xr:uid="{AA725535-F3D0-496F-9A84-F9F1D28CBCAF}"/>
    <cellStyle name="40% - Énfasis5 6 5 2" xfId="11771" xr:uid="{54C66AE0-E25B-4ABD-AF2D-48C4E2E58717}"/>
    <cellStyle name="40% - Énfasis5 6 5 2 2" xfId="27183" xr:uid="{77378BDF-5F67-4FB9-8552-A1B302E47E68}"/>
    <cellStyle name="40% - Énfasis5 6 5 2 2 2" xfId="48399" xr:uid="{50A30CFA-8D2A-4A30-A3A9-D83D51C96E9A}"/>
    <cellStyle name="40% - Énfasis5 6 5 2 3" xfId="48398" xr:uid="{B90AC8DF-F9F4-4F8B-BE56-B8866EA2CADE}"/>
    <cellStyle name="40% - Énfasis5 6 5 3" xfId="19478" xr:uid="{06E1DB3D-9CDD-4FB9-86AA-284F08C3B8B1}"/>
    <cellStyle name="40% - Énfasis5 6 5 3 2" xfId="48400" xr:uid="{655F783D-AF78-40D4-A716-8157B53BF7EB}"/>
    <cellStyle name="40% - Énfasis5 6 5 4" xfId="48397" xr:uid="{367FF2C7-32A2-46B0-B5FB-4A6572EA4579}"/>
    <cellStyle name="40% - Énfasis5 6 6" xfId="8062" xr:uid="{BAA77EC6-8572-44BE-AC73-B68AC5B83094}"/>
    <cellStyle name="40% - Énfasis5 6 6 2" xfId="23475" xr:uid="{B93CCF37-F5D6-4FDF-A6D0-2121C8756902}"/>
    <cellStyle name="40% - Énfasis5 6 6 2 2" xfId="48402" xr:uid="{D7B84545-904C-4F57-B812-1227759F78D2}"/>
    <cellStyle name="40% - Énfasis5 6 6 3" xfId="48401" xr:uid="{6B787789-F861-496A-BA85-2D85C8C61A74}"/>
    <cellStyle name="40% - Énfasis5 6 7" xfId="15770" xr:uid="{706C3D8E-AB4B-4146-A9EA-89DC16F34499}"/>
    <cellStyle name="40% - Énfasis5 6 7 2" xfId="48403" xr:uid="{C9D90394-9C4A-40DC-A0D3-431E3E77AC0B}"/>
    <cellStyle name="40% - Énfasis5 6 8" xfId="48340" xr:uid="{EA689D3F-0DB4-4F59-9028-FAE3DCBB4192}"/>
    <cellStyle name="40% - Énfasis5 7" xfId="537" xr:uid="{AE0D2CA6-05DC-4290-83A8-C8B7FEDB6219}"/>
    <cellStyle name="40% - Énfasis5 7 2" xfId="1198" xr:uid="{F83E3A70-AF5B-4CFE-924D-25E2C57B0CCF}"/>
    <cellStyle name="40% - Énfasis5 7 2 2" xfId="2666" xr:uid="{DEFDFB57-08A3-4457-8C5F-648967464F2C}"/>
    <cellStyle name="40% - Énfasis5 7 2 2 2" xfId="6398" xr:uid="{9EC736EA-1C91-4019-B6D0-7A9B27F3DAFC}"/>
    <cellStyle name="40% - Énfasis5 7 2 2 2 2" xfId="14106" xr:uid="{5C8F2969-F3E3-4088-BEFF-A9C6F00BFF96}"/>
    <cellStyle name="40% - Énfasis5 7 2 2 2 2 2" xfId="29518" xr:uid="{0F9CC798-4455-459A-B3F6-C349287F8BE9}"/>
    <cellStyle name="40% - Énfasis5 7 2 2 2 2 2 2" xfId="48409" xr:uid="{CE5D7FB0-83DA-4C0E-87CF-0E18C2E533D0}"/>
    <cellStyle name="40% - Énfasis5 7 2 2 2 2 3" xfId="48408" xr:uid="{BA62D313-FEB4-449D-B059-C1C7989176F7}"/>
    <cellStyle name="40% - Énfasis5 7 2 2 2 3" xfId="21813" xr:uid="{398E66D9-DBDD-4A43-B3CF-65A879BC3EBE}"/>
    <cellStyle name="40% - Énfasis5 7 2 2 2 3 2" xfId="48410" xr:uid="{580A3BAD-107A-4F6E-A774-EEAE37FE3930}"/>
    <cellStyle name="40% - Énfasis5 7 2 2 2 4" xfId="48407" xr:uid="{2EF486A8-BF3C-4B25-BC8D-6EB3604CAEF6}"/>
    <cellStyle name="40% - Énfasis5 7 2 2 3" xfId="10377" xr:uid="{F677A1BE-B0C6-4E46-820A-41335D9E23E3}"/>
    <cellStyle name="40% - Énfasis5 7 2 2 3 2" xfId="25790" xr:uid="{2B943D43-2CCD-40B9-9E59-7DE4608A90C5}"/>
    <cellStyle name="40% - Énfasis5 7 2 2 3 2 2" xfId="48412" xr:uid="{686C4D8F-09D4-4EF5-8673-4B58248AB17C}"/>
    <cellStyle name="40% - Énfasis5 7 2 2 3 3" xfId="48411" xr:uid="{B60BFFCA-EBBB-444A-B71A-C8F8676D7ED5}"/>
    <cellStyle name="40% - Énfasis5 7 2 2 4" xfId="18085" xr:uid="{E2B23FC5-1C4A-4361-8296-6534E3F75D0C}"/>
    <cellStyle name="40% - Énfasis5 7 2 2 4 2" xfId="48413" xr:uid="{FB525455-40F2-4880-B2D9-50D459064971}"/>
    <cellStyle name="40% - Énfasis5 7 2 2 5" xfId="48406" xr:uid="{444F5B72-F71B-4229-826B-2E9FCA841835}"/>
    <cellStyle name="40% - Énfasis5 7 2 3" xfId="4935" xr:uid="{E4629932-9FCA-4A8E-810F-472B63EA8826}"/>
    <cellStyle name="40% - Énfasis5 7 2 3 2" xfId="12643" xr:uid="{4D8F6657-1060-4E14-8AC4-F818BA121BDF}"/>
    <cellStyle name="40% - Énfasis5 7 2 3 2 2" xfId="28055" xr:uid="{D88355E9-3EB7-49DF-9BC1-D36A302CF136}"/>
    <cellStyle name="40% - Énfasis5 7 2 3 2 2 2" xfId="48416" xr:uid="{F0999C99-C013-4478-9834-4359DD375B89}"/>
    <cellStyle name="40% - Énfasis5 7 2 3 2 3" xfId="48415" xr:uid="{77329A2D-118E-40C6-8C6A-66672E506CED}"/>
    <cellStyle name="40% - Énfasis5 7 2 3 3" xfId="20350" xr:uid="{92CF5754-F0CA-4754-9CE8-139A5D9EF743}"/>
    <cellStyle name="40% - Énfasis5 7 2 3 3 2" xfId="48417" xr:uid="{5726F2AA-CF7B-43C7-BF70-2EF6F4F7AF04}"/>
    <cellStyle name="40% - Énfasis5 7 2 3 4" xfId="48414" xr:uid="{016A38C2-D645-419E-82D2-A01FF7E9829D}"/>
    <cellStyle name="40% - Énfasis5 7 2 4" xfId="8918" xr:uid="{5D10BB76-AF3E-40AB-BA1E-4FCE738D4B8C}"/>
    <cellStyle name="40% - Énfasis5 7 2 4 2" xfId="24331" xr:uid="{D4714A53-1970-4159-8E00-D7B61F08E99A}"/>
    <cellStyle name="40% - Énfasis5 7 2 4 2 2" xfId="48419" xr:uid="{9B6249FB-809A-4711-BE58-B7C2E3400465}"/>
    <cellStyle name="40% - Énfasis5 7 2 4 3" xfId="48418" xr:uid="{96BB63C0-B546-4A13-9107-28996F333E0B}"/>
    <cellStyle name="40% - Énfasis5 7 2 5" xfId="16626" xr:uid="{9074A824-9D65-4BE5-B6C4-E5EDFE30BF42}"/>
    <cellStyle name="40% - Énfasis5 7 2 5 2" xfId="48420" xr:uid="{E63D741D-8A45-485D-B06F-661FFB042F55}"/>
    <cellStyle name="40% - Énfasis5 7 2 6" xfId="48405" xr:uid="{7AE97A01-0DBD-431D-80AD-E3D7012E2FC9}"/>
    <cellStyle name="40% - Énfasis5 7 3" xfId="2028" xr:uid="{F1DD69C2-A3C1-47E8-A76C-7BE47702A772}"/>
    <cellStyle name="40% - Énfasis5 7 3 2" xfId="5760" xr:uid="{23207E46-0356-49D7-9596-5A63B99B13EF}"/>
    <cellStyle name="40% - Énfasis5 7 3 2 2" xfId="13468" xr:uid="{4EB44329-E82E-43C0-A67E-7F112FF424FA}"/>
    <cellStyle name="40% - Énfasis5 7 3 2 2 2" xfId="28880" xr:uid="{75B7E3FC-4DEC-4C87-805A-60392DA6FAC7}"/>
    <cellStyle name="40% - Énfasis5 7 3 2 2 2 2" xfId="48424" xr:uid="{A39D21C6-3B87-42C9-9724-0A50AEC929C1}"/>
    <cellStyle name="40% - Énfasis5 7 3 2 2 3" xfId="48423" xr:uid="{3DE06D10-0B20-411B-8863-154E8200FD0B}"/>
    <cellStyle name="40% - Énfasis5 7 3 2 3" xfId="21175" xr:uid="{F96D6674-FE3A-42CF-B09C-49C87F9599F4}"/>
    <cellStyle name="40% - Énfasis5 7 3 2 3 2" xfId="48425" xr:uid="{0EE33C8D-4C04-4D9B-8C95-0CF4EC6B4E9A}"/>
    <cellStyle name="40% - Énfasis5 7 3 2 4" xfId="48422" xr:uid="{6F39CBE1-63ED-4B73-9A3F-861153B76FE9}"/>
    <cellStyle name="40% - Énfasis5 7 3 3" xfId="9739" xr:uid="{D1A71251-CA7A-4BD0-9678-55677EC6BDB1}"/>
    <cellStyle name="40% - Énfasis5 7 3 3 2" xfId="25152" xr:uid="{466727CA-25FF-46EF-BBDA-B406548A3599}"/>
    <cellStyle name="40% - Énfasis5 7 3 3 2 2" xfId="48427" xr:uid="{26E45B75-B377-4037-8654-48BC806134AB}"/>
    <cellStyle name="40% - Énfasis5 7 3 3 3" xfId="48426" xr:uid="{D183130C-F912-4FA8-9D0C-BAC3BF8F2530}"/>
    <cellStyle name="40% - Énfasis5 7 3 4" xfId="17447" xr:uid="{BE3EB6BC-F352-4537-958E-A09DD6299F9B}"/>
    <cellStyle name="40% - Énfasis5 7 3 4 2" xfId="48428" xr:uid="{1A7484B5-0A71-437A-BC83-FE7479C09359}"/>
    <cellStyle name="40% - Énfasis5 7 3 5" xfId="48421" xr:uid="{B79B58FE-AB14-4092-AD27-A5C3F45FD917}"/>
    <cellStyle name="40% - Énfasis5 7 4" xfId="4283" xr:uid="{05C6C0A2-E060-4CEC-BF9A-CA8674AD48BA}"/>
    <cellStyle name="40% - Énfasis5 7 4 2" xfId="11991" xr:uid="{1B229DF3-2C79-48BE-8E49-D4E5B4479BB2}"/>
    <cellStyle name="40% - Énfasis5 7 4 2 2" xfId="27403" xr:uid="{C2B9C70A-425D-43BC-B632-734CC9F7BBAA}"/>
    <cellStyle name="40% - Énfasis5 7 4 2 2 2" xfId="48431" xr:uid="{911663B5-8B6B-4C37-9765-BDC4B23252E1}"/>
    <cellStyle name="40% - Énfasis5 7 4 2 3" xfId="48430" xr:uid="{5603C73A-91F6-4EC2-BC5A-479FEF9C41E6}"/>
    <cellStyle name="40% - Énfasis5 7 4 3" xfId="19698" xr:uid="{639CFA7B-F8C6-4609-9D3E-1694FA03DF20}"/>
    <cellStyle name="40% - Énfasis5 7 4 3 2" xfId="48432" xr:uid="{FCBB4902-37A5-4000-8249-3362E4C016BE}"/>
    <cellStyle name="40% - Énfasis5 7 4 4" xfId="48429" xr:uid="{A48E1226-C7CD-4E30-B5F4-C3DE27623224}"/>
    <cellStyle name="40% - Énfasis5 7 5" xfId="8280" xr:uid="{16097621-927B-46D6-8941-AB7F55225580}"/>
    <cellStyle name="40% - Énfasis5 7 5 2" xfId="23693" xr:uid="{09D9CC4E-D242-4AEE-98E6-A3C2F1C280E0}"/>
    <cellStyle name="40% - Énfasis5 7 5 2 2" xfId="48434" xr:uid="{FB2BADDF-4BCC-46FC-93D4-4BAC62819795}"/>
    <cellStyle name="40% - Énfasis5 7 5 3" xfId="48433" xr:uid="{F2923626-D730-4DA1-A67D-3A2B8F821D84}"/>
    <cellStyle name="40% - Énfasis5 7 6" xfId="15988" xr:uid="{C339FE16-152D-427C-A81C-7358472438D4}"/>
    <cellStyle name="40% - Énfasis5 7 6 2" xfId="48435" xr:uid="{6FC60E08-C56B-4949-BEFD-9FA2E9B1DAF4}"/>
    <cellStyle name="40% - Énfasis5 7 7" xfId="48404" xr:uid="{28E0E05A-CCE7-496E-99B8-33EA6433D500}"/>
    <cellStyle name="40% - Énfasis5 8" xfId="557" xr:uid="{BE03C7D6-A10A-4553-A998-501DFF8DD2FC}"/>
    <cellStyle name="40% - Énfasis5 8 2" xfId="1218" xr:uid="{B89514C6-B190-4EE7-BBEB-74274471EC25}"/>
    <cellStyle name="40% - Énfasis5 8 2 2" xfId="2686" xr:uid="{5C926AE1-42DD-47F3-A9D7-84292EEFC58F}"/>
    <cellStyle name="40% - Énfasis5 8 2 2 2" xfId="6418" xr:uid="{F2B82B76-0208-45A6-BF25-3A5D7782A589}"/>
    <cellStyle name="40% - Énfasis5 8 2 2 2 2" xfId="14126" xr:uid="{F449A076-9303-4942-8711-2535E66C99A3}"/>
    <cellStyle name="40% - Énfasis5 8 2 2 2 2 2" xfId="29538" xr:uid="{DCC71E3A-9B4E-42F3-A544-EDEA39DDEB3A}"/>
    <cellStyle name="40% - Énfasis5 8 2 2 2 2 2 2" xfId="48441" xr:uid="{95662834-A8C1-425D-82DE-D63FFB2E4FA7}"/>
    <cellStyle name="40% - Énfasis5 8 2 2 2 2 3" xfId="48440" xr:uid="{E45FD732-2BB5-4137-8627-4B4250C7D4BB}"/>
    <cellStyle name="40% - Énfasis5 8 2 2 2 3" xfId="21833" xr:uid="{43398C46-4960-4BB0-A73F-1CD617F75648}"/>
    <cellStyle name="40% - Énfasis5 8 2 2 2 3 2" xfId="48442" xr:uid="{57F30FD8-3665-4455-8540-5F6F2F42305A}"/>
    <cellStyle name="40% - Énfasis5 8 2 2 2 4" xfId="48439" xr:uid="{E52AE347-D0EB-4CEE-903A-720376803C6E}"/>
    <cellStyle name="40% - Énfasis5 8 2 2 3" xfId="10397" xr:uid="{D8C676EF-8DD6-48AF-9F6B-61A028889581}"/>
    <cellStyle name="40% - Énfasis5 8 2 2 3 2" xfId="25810" xr:uid="{80F2D54D-9116-4DD2-9EA1-D7E9AB2A1528}"/>
    <cellStyle name="40% - Énfasis5 8 2 2 3 2 2" xfId="48444" xr:uid="{88C3DF0F-5014-46C5-A532-970B0F736253}"/>
    <cellStyle name="40% - Énfasis5 8 2 2 3 3" xfId="48443" xr:uid="{9B1FEB51-E289-4807-A505-7E12664E4BAE}"/>
    <cellStyle name="40% - Énfasis5 8 2 2 4" xfId="18105" xr:uid="{24566E98-4BD9-4F23-9277-3359E35380D3}"/>
    <cellStyle name="40% - Énfasis5 8 2 2 4 2" xfId="48445" xr:uid="{6D6CDD22-5F4F-4551-BD8E-CCDAD26E7907}"/>
    <cellStyle name="40% - Énfasis5 8 2 2 5" xfId="48438" xr:uid="{FDE8B246-C73D-41B9-95CD-741C7E7E091D}"/>
    <cellStyle name="40% - Énfasis5 8 2 3" xfId="4955" xr:uid="{DA348481-D4A8-4D8C-8C44-5C20AADE7F91}"/>
    <cellStyle name="40% - Énfasis5 8 2 3 2" xfId="12663" xr:uid="{5992DB48-5EEA-48A6-B64B-F75DE0172B0B}"/>
    <cellStyle name="40% - Énfasis5 8 2 3 2 2" xfId="28075" xr:uid="{9C6A582D-DBFF-4C2E-92C9-938FCECD1828}"/>
    <cellStyle name="40% - Énfasis5 8 2 3 2 2 2" xfId="48448" xr:uid="{23B89335-B028-4715-8288-E468FD866172}"/>
    <cellStyle name="40% - Énfasis5 8 2 3 2 3" xfId="48447" xr:uid="{F9F6D3A8-78A5-420C-AB86-569052178D95}"/>
    <cellStyle name="40% - Énfasis5 8 2 3 3" xfId="20370" xr:uid="{1DBF9309-0543-422D-9C4F-2498BCC27776}"/>
    <cellStyle name="40% - Énfasis5 8 2 3 3 2" xfId="48449" xr:uid="{841B333B-E1B1-4525-9B7B-A7F5D4DB4434}"/>
    <cellStyle name="40% - Énfasis5 8 2 3 4" xfId="48446" xr:uid="{872A7297-73E7-4FCB-9016-03C6D1C2EEE3}"/>
    <cellStyle name="40% - Énfasis5 8 2 4" xfId="8938" xr:uid="{4C696618-F4C6-4CC3-BE62-F2BFAF0559E6}"/>
    <cellStyle name="40% - Énfasis5 8 2 4 2" xfId="24351" xr:uid="{CDDA6AB5-487E-40D1-96B3-CA093063ABB2}"/>
    <cellStyle name="40% - Énfasis5 8 2 4 2 2" xfId="48451" xr:uid="{18E12856-61B6-4A28-AE58-54EAAD508B1B}"/>
    <cellStyle name="40% - Énfasis5 8 2 4 3" xfId="48450" xr:uid="{0C7D9AB9-88B1-4B1A-B827-343D5FC5593F}"/>
    <cellStyle name="40% - Énfasis5 8 2 5" xfId="16646" xr:uid="{673404FB-0BD6-4C78-B61D-5E0B9C2EEA56}"/>
    <cellStyle name="40% - Énfasis5 8 2 5 2" xfId="48452" xr:uid="{55BB7ACF-1D9D-4CAB-A90B-A7E3AA0515C0}"/>
    <cellStyle name="40% - Énfasis5 8 2 6" xfId="48437" xr:uid="{55BD89E3-E93B-4117-A53D-A3CF7F8FA8D3}"/>
    <cellStyle name="40% - Énfasis5 8 3" xfId="2048" xr:uid="{1600A3F8-6431-4D8B-B251-1BE8DCCA0198}"/>
    <cellStyle name="40% - Énfasis5 8 3 2" xfId="5780" xr:uid="{2E79C984-D665-4011-A335-3A20FF9EFE9A}"/>
    <cellStyle name="40% - Énfasis5 8 3 2 2" xfId="13488" xr:uid="{3FB9A965-E057-409F-962F-6EDDF73221E8}"/>
    <cellStyle name="40% - Énfasis5 8 3 2 2 2" xfId="28900" xr:uid="{0C581819-F0E8-4FC9-9EA2-E914090B6092}"/>
    <cellStyle name="40% - Énfasis5 8 3 2 2 2 2" xfId="48456" xr:uid="{D9E05086-BB3B-4322-A4ED-AB835F2B30AE}"/>
    <cellStyle name="40% - Énfasis5 8 3 2 2 3" xfId="48455" xr:uid="{D47F270A-71F6-409E-872F-2335042957BD}"/>
    <cellStyle name="40% - Énfasis5 8 3 2 3" xfId="21195" xr:uid="{7F0757D7-1962-4574-8D9E-84E054AD731A}"/>
    <cellStyle name="40% - Énfasis5 8 3 2 3 2" xfId="48457" xr:uid="{B84DAFEA-61C2-4F97-963E-4481653815F4}"/>
    <cellStyle name="40% - Énfasis5 8 3 2 4" xfId="48454" xr:uid="{CEAFE0BA-8EC6-4432-8841-76A1E5A94B1F}"/>
    <cellStyle name="40% - Énfasis5 8 3 3" xfId="9759" xr:uid="{D69DD247-72B3-4624-95AA-EB206C19BCF2}"/>
    <cellStyle name="40% - Énfasis5 8 3 3 2" xfId="25172" xr:uid="{C4F0CB85-AE2E-464F-AA7F-947FDAA792BF}"/>
    <cellStyle name="40% - Énfasis5 8 3 3 2 2" xfId="48459" xr:uid="{E2EEF1E6-D89F-45F3-8FD8-C008EF122224}"/>
    <cellStyle name="40% - Énfasis5 8 3 3 3" xfId="48458" xr:uid="{FBE0FED9-BE15-40B4-855C-22B687797D98}"/>
    <cellStyle name="40% - Énfasis5 8 3 4" xfId="17467" xr:uid="{34C8A803-A5EF-431E-B186-4149E02B3070}"/>
    <cellStyle name="40% - Énfasis5 8 3 4 2" xfId="48460" xr:uid="{1091D253-3CF7-4B5E-B0AC-1222E7936E2A}"/>
    <cellStyle name="40% - Énfasis5 8 3 5" xfId="48453" xr:uid="{423CEA13-42E5-4E22-8ECB-CDD9DAD66393}"/>
    <cellStyle name="40% - Énfasis5 8 4" xfId="4303" xr:uid="{13688FC1-F9CF-4917-AD56-BE9FA3EF6388}"/>
    <cellStyle name="40% - Énfasis5 8 4 2" xfId="12011" xr:uid="{19F90AD6-2DD3-4006-997B-EBBBA043C4C6}"/>
    <cellStyle name="40% - Énfasis5 8 4 2 2" xfId="27423" xr:uid="{86F50CC4-7DFD-4DC4-8EFC-716686DD3DFB}"/>
    <cellStyle name="40% - Énfasis5 8 4 2 2 2" xfId="48463" xr:uid="{B94A63E6-A30B-4AE0-8DB9-87AFE5617C89}"/>
    <cellStyle name="40% - Énfasis5 8 4 2 3" xfId="48462" xr:uid="{2BFC1FB4-6938-4A59-A48C-47FCEF0AA0DA}"/>
    <cellStyle name="40% - Énfasis5 8 4 3" xfId="19718" xr:uid="{942B2380-0BD3-433C-8427-D5A3B2AF8B30}"/>
    <cellStyle name="40% - Énfasis5 8 4 3 2" xfId="48464" xr:uid="{71E1A92D-53EF-400D-8BD9-1AF003139DB1}"/>
    <cellStyle name="40% - Énfasis5 8 4 4" xfId="48461" xr:uid="{D34DF7F3-E3B6-452B-9AEA-14483D7379E5}"/>
    <cellStyle name="40% - Énfasis5 8 5" xfId="8300" xr:uid="{219C6622-725A-47DC-AD59-F836DFD0B43C}"/>
    <cellStyle name="40% - Énfasis5 8 5 2" xfId="23713" xr:uid="{3731E26D-E2B1-44DE-9B48-DBA1AE3DF69F}"/>
    <cellStyle name="40% - Énfasis5 8 5 2 2" xfId="48466" xr:uid="{25E5F680-421B-44CB-A9A3-EEAA29E05D27}"/>
    <cellStyle name="40% - Énfasis5 8 5 3" xfId="48465" xr:uid="{50AA85C5-5AC8-49F3-AC49-B1631EF67B53}"/>
    <cellStyle name="40% - Énfasis5 8 6" xfId="16008" xr:uid="{88D15BA7-0D95-470E-B6C8-AEC534E2995C}"/>
    <cellStyle name="40% - Énfasis5 8 6 2" xfId="48467" xr:uid="{1832CB88-F1D4-43BE-B245-8C30745B8916}"/>
    <cellStyle name="40% - Énfasis5 8 7" xfId="48436" xr:uid="{D231E813-200C-431E-AD1C-FF06A11355D8}"/>
    <cellStyle name="40% - Énfasis5 9" xfId="577" xr:uid="{EFEB9956-6DF8-492D-AD54-05F0EE655453}"/>
    <cellStyle name="40% - Énfasis5 9 2" xfId="1238" xr:uid="{9D82FB85-636E-4AF0-9121-3B2D7A35C3FA}"/>
    <cellStyle name="40% - Énfasis5 9 2 2" xfId="2706" xr:uid="{F9A04839-ADD8-4401-9ECF-8D78C565F08F}"/>
    <cellStyle name="40% - Énfasis5 9 2 2 2" xfId="6438" xr:uid="{A4CB2AA5-B187-4234-A912-47461B54122F}"/>
    <cellStyle name="40% - Énfasis5 9 2 2 2 2" xfId="14146" xr:uid="{0EB3E2AF-68BE-4CBE-B6BE-E11FAED93630}"/>
    <cellStyle name="40% - Énfasis5 9 2 2 2 2 2" xfId="29558" xr:uid="{CFF93271-EB7D-4CA6-BD38-963E97708807}"/>
    <cellStyle name="40% - Énfasis5 9 2 2 2 2 2 2" xfId="48473" xr:uid="{87E225EA-CF94-4742-9F9C-D4E4C26A602A}"/>
    <cellStyle name="40% - Énfasis5 9 2 2 2 2 3" xfId="48472" xr:uid="{73348D39-1852-481C-AADF-1547BBC0572A}"/>
    <cellStyle name="40% - Énfasis5 9 2 2 2 3" xfId="21853" xr:uid="{BA6F76FB-32D1-4941-87B2-EA73DDF05950}"/>
    <cellStyle name="40% - Énfasis5 9 2 2 2 3 2" xfId="48474" xr:uid="{B7658671-AE7A-4731-BF53-93F38E6BEE75}"/>
    <cellStyle name="40% - Énfasis5 9 2 2 2 4" xfId="48471" xr:uid="{83C2A073-99F7-43A6-BAB1-B004C30D9D99}"/>
    <cellStyle name="40% - Énfasis5 9 2 2 3" xfId="10417" xr:uid="{F006936C-04FB-4390-8966-CABE62702ECE}"/>
    <cellStyle name="40% - Énfasis5 9 2 2 3 2" xfId="25830" xr:uid="{D163A03C-AF22-429E-9255-29D30C054A4F}"/>
    <cellStyle name="40% - Énfasis5 9 2 2 3 2 2" xfId="48476" xr:uid="{D058501F-AA60-4CFD-90A9-92D6F0FD7EB2}"/>
    <cellStyle name="40% - Énfasis5 9 2 2 3 3" xfId="48475" xr:uid="{D71860F4-AF20-47FC-BE8C-2545E47315B1}"/>
    <cellStyle name="40% - Énfasis5 9 2 2 4" xfId="18125" xr:uid="{FB63D21F-C672-4874-B069-872461B70A7C}"/>
    <cellStyle name="40% - Énfasis5 9 2 2 4 2" xfId="48477" xr:uid="{A954F124-EDA8-4A80-B15D-BF4D339F0C26}"/>
    <cellStyle name="40% - Énfasis5 9 2 2 5" xfId="48470" xr:uid="{39D6883F-E89C-4944-9567-513944B4E090}"/>
    <cellStyle name="40% - Énfasis5 9 2 3" xfId="4975" xr:uid="{158F468A-7F1A-4607-9633-40833710E27F}"/>
    <cellStyle name="40% - Énfasis5 9 2 3 2" xfId="12683" xr:uid="{4473E5A8-A736-4870-95C1-FE5E02C02C4E}"/>
    <cellStyle name="40% - Énfasis5 9 2 3 2 2" xfId="28095" xr:uid="{AB01CC4A-CAAB-498D-A97F-5D94C84390D1}"/>
    <cellStyle name="40% - Énfasis5 9 2 3 2 2 2" xfId="48480" xr:uid="{DCF42730-05F7-4A89-B9DE-226B140DD286}"/>
    <cellStyle name="40% - Énfasis5 9 2 3 2 3" xfId="48479" xr:uid="{FD84BFE7-F1CC-49D3-ABBA-CB4614963B51}"/>
    <cellStyle name="40% - Énfasis5 9 2 3 3" xfId="20390" xr:uid="{142D5FDF-3357-4FF9-9121-C578F50AC644}"/>
    <cellStyle name="40% - Énfasis5 9 2 3 3 2" xfId="48481" xr:uid="{210126F1-69F1-4165-869F-7849CBD63F41}"/>
    <cellStyle name="40% - Énfasis5 9 2 3 4" xfId="48478" xr:uid="{9038010B-7723-459D-8A7E-7005E7E7CAAC}"/>
    <cellStyle name="40% - Énfasis5 9 2 4" xfId="8958" xr:uid="{25E36169-E6A5-4D2E-BAA2-2FA2E69E5E69}"/>
    <cellStyle name="40% - Énfasis5 9 2 4 2" xfId="24371" xr:uid="{2B195F04-0960-4EE9-9112-0B8988C8EACE}"/>
    <cellStyle name="40% - Énfasis5 9 2 4 2 2" xfId="48483" xr:uid="{4800A513-CD0B-4AFC-A19B-F0BDCF548FA6}"/>
    <cellStyle name="40% - Énfasis5 9 2 4 3" xfId="48482" xr:uid="{621AF90E-88C7-4451-BB9B-18490C01D65C}"/>
    <cellStyle name="40% - Énfasis5 9 2 5" xfId="16666" xr:uid="{EB0AF238-B5D2-4E38-A064-E311F982F0F6}"/>
    <cellStyle name="40% - Énfasis5 9 2 5 2" xfId="48484" xr:uid="{8FAD6619-D339-42A7-8006-05FA68854AD2}"/>
    <cellStyle name="40% - Énfasis5 9 2 6" xfId="48469" xr:uid="{F2B21AFF-48DD-462A-9D69-B282683367F6}"/>
    <cellStyle name="40% - Énfasis5 9 3" xfId="2068" xr:uid="{159C1E06-1746-4A2A-9CDF-D8B718E0D38E}"/>
    <cellStyle name="40% - Énfasis5 9 3 2" xfId="5800" xr:uid="{4B299D5B-BDCC-410F-BB2F-F64ED8584893}"/>
    <cellStyle name="40% - Énfasis5 9 3 2 2" xfId="13508" xr:uid="{0F4F9F87-603E-4CD1-A8BF-8445BB7E4F44}"/>
    <cellStyle name="40% - Énfasis5 9 3 2 2 2" xfId="28920" xr:uid="{184DC192-5AA3-470C-9447-D4AF33D2AA99}"/>
    <cellStyle name="40% - Énfasis5 9 3 2 2 2 2" xfId="48488" xr:uid="{2CC51B0F-CEDE-464C-AE5F-2A85748647A6}"/>
    <cellStyle name="40% - Énfasis5 9 3 2 2 3" xfId="48487" xr:uid="{884AD2A1-0730-40B0-9B77-BC526E92B85A}"/>
    <cellStyle name="40% - Énfasis5 9 3 2 3" xfId="21215" xr:uid="{BD7437BB-F763-472C-8084-67AD0F8D5AF4}"/>
    <cellStyle name="40% - Énfasis5 9 3 2 3 2" xfId="48489" xr:uid="{23D65D52-C6B3-4380-8A15-269FCD3A4C3C}"/>
    <cellStyle name="40% - Énfasis5 9 3 2 4" xfId="48486" xr:uid="{CB9595F4-0461-475E-B0BA-42522A4CFF67}"/>
    <cellStyle name="40% - Énfasis5 9 3 3" xfId="9779" xr:uid="{F329E7D6-1D25-4201-82C1-49C254CCDF94}"/>
    <cellStyle name="40% - Énfasis5 9 3 3 2" xfId="25192" xr:uid="{53920B18-F1DE-4F52-AACE-21256087F0F2}"/>
    <cellStyle name="40% - Énfasis5 9 3 3 2 2" xfId="48491" xr:uid="{6AE43ACF-149C-4B29-8636-BA9E7C690AF8}"/>
    <cellStyle name="40% - Énfasis5 9 3 3 3" xfId="48490" xr:uid="{CA4784CC-C526-4E9C-B6B3-F747A7030E79}"/>
    <cellStyle name="40% - Énfasis5 9 3 4" xfId="17487" xr:uid="{69086478-3362-415D-B774-16B6DF0E0955}"/>
    <cellStyle name="40% - Énfasis5 9 3 4 2" xfId="48492" xr:uid="{C58864B7-8B7A-4AA4-9C06-18F186AC44ED}"/>
    <cellStyle name="40% - Énfasis5 9 3 5" xfId="48485" xr:uid="{E032CB91-3FE3-47F5-941E-F17E3D53E4B8}"/>
    <cellStyle name="40% - Énfasis5 9 4" xfId="4323" xr:uid="{15F2F78F-D78D-4667-B1FE-01132E52734B}"/>
    <cellStyle name="40% - Énfasis5 9 4 2" xfId="12031" xr:uid="{7B816BD1-59CC-49E2-A749-7831B8EFE483}"/>
    <cellStyle name="40% - Énfasis5 9 4 2 2" xfId="27443" xr:uid="{8CB1BE3A-F6F5-49CB-8C85-68262EDA50CA}"/>
    <cellStyle name="40% - Énfasis5 9 4 2 2 2" xfId="48495" xr:uid="{F13B2653-DD5C-4741-84B1-35952E1C6BC8}"/>
    <cellStyle name="40% - Énfasis5 9 4 2 3" xfId="48494" xr:uid="{F0FBD538-04F5-4978-891C-ADE1937744C2}"/>
    <cellStyle name="40% - Énfasis5 9 4 3" xfId="19738" xr:uid="{CB0324CD-6004-4946-ACE0-9C591AB657FF}"/>
    <cellStyle name="40% - Énfasis5 9 4 3 2" xfId="48496" xr:uid="{8CC222AF-381B-4C12-9CCE-485D0DEE8BAD}"/>
    <cellStyle name="40% - Énfasis5 9 4 4" xfId="48493" xr:uid="{6D8D5747-AD69-420A-AC55-CDD227249AEC}"/>
    <cellStyle name="40% - Énfasis5 9 5" xfId="8320" xr:uid="{753C0FB8-A80C-4AAD-8A04-E91B7252610C}"/>
    <cellStyle name="40% - Énfasis5 9 5 2" xfId="23733" xr:uid="{0433D0BB-72FA-4E9E-84AF-9FBC7ABDC6CE}"/>
    <cellStyle name="40% - Énfasis5 9 5 2 2" xfId="48498" xr:uid="{6213DA30-B50B-4405-9D49-EB755E9BBED2}"/>
    <cellStyle name="40% - Énfasis5 9 5 3" xfId="48497" xr:uid="{E1588202-A7A3-4824-A6CD-EF39B4E74381}"/>
    <cellStyle name="40% - Énfasis5 9 6" xfId="16028" xr:uid="{E880A918-2F41-4292-A387-69660E631469}"/>
    <cellStyle name="40% - Énfasis5 9 6 2" xfId="48499" xr:uid="{18D9A6FC-24CC-4921-BDE1-C187C973C5DB}"/>
    <cellStyle name="40% - Énfasis5 9 7" xfId="48468" xr:uid="{6181FEFB-1F5A-49E5-8BB0-2F3A78C4DB59}"/>
    <cellStyle name="40% - Énfasis6" xfId="37" builtinId="51" customBuiltin="1"/>
    <cellStyle name="40% - Énfasis6 10" xfId="600" xr:uid="{426C2691-E41B-43D3-AE94-086FF50B0E21}"/>
    <cellStyle name="40% - Énfasis6 10 2" xfId="1261" xr:uid="{F979B706-8FE9-4C64-874B-6A9598637783}"/>
    <cellStyle name="40% - Énfasis6 10 2 2" xfId="2729" xr:uid="{1780A81F-5277-4B64-9299-EE169F717ED3}"/>
    <cellStyle name="40% - Énfasis6 10 2 2 2" xfId="6461" xr:uid="{EE950400-CAB4-4DB3-B932-7195278AE60B}"/>
    <cellStyle name="40% - Énfasis6 10 2 2 2 2" xfId="14169" xr:uid="{D044A5F0-036A-4DC3-9B3A-8D52EDC1B285}"/>
    <cellStyle name="40% - Énfasis6 10 2 2 2 2 2" xfId="29581" xr:uid="{BF2D796D-4CE2-4FAB-A9FD-4B258A8CA64A}"/>
    <cellStyle name="40% - Énfasis6 10 2 2 2 2 2 2" xfId="48505" xr:uid="{EDEC4A3D-70AE-4D05-9B42-D4C63D33B34F}"/>
    <cellStyle name="40% - Énfasis6 10 2 2 2 2 3" xfId="48504" xr:uid="{DC2F4F95-2387-4DB4-978D-E4769A459EB4}"/>
    <cellStyle name="40% - Énfasis6 10 2 2 2 3" xfId="21876" xr:uid="{96F5BA37-417C-4AF4-89A8-909CC7EB6C58}"/>
    <cellStyle name="40% - Énfasis6 10 2 2 2 3 2" xfId="48506" xr:uid="{6D2048EF-B048-4855-BB31-EF7BD061B0D0}"/>
    <cellStyle name="40% - Énfasis6 10 2 2 2 4" xfId="48503" xr:uid="{D2CFE701-D604-4E72-BDE0-2197DD50665C}"/>
    <cellStyle name="40% - Énfasis6 10 2 2 3" xfId="10440" xr:uid="{81BE338F-324D-4E6A-9C80-86EA408D77B4}"/>
    <cellStyle name="40% - Énfasis6 10 2 2 3 2" xfId="25853" xr:uid="{DCC6B2B1-AC24-4D9D-858B-D27330E0F6A5}"/>
    <cellStyle name="40% - Énfasis6 10 2 2 3 2 2" xfId="48508" xr:uid="{847E681D-868A-4F3A-BE78-2B0DF6B7891B}"/>
    <cellStyle name="40% - Énfasis6 10 2 2 3 3" xfId="48507" xr:uid="{746B4CA0-0B22-469B-A069-2D36DF80202E}"/>
    <cellStyle name="40% - Énfasis6 10 2 2 4" xfId="18148" xr:uid="{2DDBC092-BBB4-445A-85F6-69A79C182906}"/>
    <cellStyle name="40% - Énfasis6 10 2 2 4 2" xfId="48509" xr:uid="{7CC08695-2EF5-44E7-96BF-AD4338EF64FF}"/>
    <cellStyle name="40% - Énfasis6 10 2 2 5" xfId="48502" xr:uid="{6A596673-EDE0-410F-A7A3-65012043FB2C}"/>
    <cellStyle name="40% - Énfasis6 10 2 3" xfId="4998" xr:uid="{DFAC94B0-0D7D-4EB7-8175-BEFD0780AE0B}"/>
    <cellStyle name="40% - Énfasis6 10 2 3 2" xfId="12706" xr:uid="{112DC35D-1813-49D9-8E7D-5EE338F3BBE3}"/>
    <cellStyle name="40% - Énfasis6 10 2 3 2 2" xfId="28118" xr:uid="{31123345-2D28-4A86-9219-C3B20F743CB2}"/>
    <cellStyle name="40% - Énfasis6 10 2 3 2 2 2" xfId="48512" xr:uid="{B60FAA38-8C14-446D-8D2C-F2526AFC8EF9}"/>
    <cellStyle name="40% - Énfasis6 10 2 3 2 3" xfId="48511" xr:uid="{49B086D4-B8E2-4932-B479-B9EF41979465}"/>
    <cellStyle name="40% - Énfasis6 10 2 3 3" xfId="20413" xr:uid="{1C3F2281-509F-4EBC-BA55-A0A9573AB009}"/>
    <cellStyle name="40% - Énfasis6 10 2 3 3 2" xfId="48513" xr:uid="{DDBE417A-2D27-4620-A9B7-50A48D9CD4CB}"/>
    <cellStyle name="40% - Énfasis6 10 2 3 4" xfId="48510" xr:uid="{5D32C199-65EE-43A8-9723-41035F175BDE}"/>
    <cellStyle name="40% - Énfasis6 10 2 4" xfId="8981" xr:uid="{E3E4D82A-4D51-4617-9580-2CC9945B1095}"/>
    <cellStyle name="40% - Énfasis6 10 2 4 2" xfId="24394" xr:uid="{A88D004F-B765-4420-932B-D2D779E681D5}"/>
    <cellStyle name="40% - Énfasis6 10 2 4 2 2" xfId="48515" xr:uid="{73FD1F65-A6C7-458B-9799-82831E6E9E84}"/>
    <cellStyle name="40% - Énfasis6 10 2 4 3" xfId="48514" xr:uid="{9580DFD4-AAF7-45B4-9E35-5A99DB005131}"/>
    <cellStyle name="40% - Énfasis6 10 2 5" xfId="16689" xr:uid="{F1B7CC12-E62B-4994-9152-F0CDCB09E938}"/>
    <cellStyle name="40% - Énfasis6 10 2 5 2" xfId="48516" xr:uid="{D8274A20-8E8E-477E-B395-2B46B73C0F2B}"/>
    <cellStyle name="40% - Énfasis6 10 2 6" xfId="48501" xr:uid="{09F9E9E2-E511-4D89-9234-ECEA17D1599B}"/>
    <cellStyle name="40% - Énfasis6 10 3" xfId="2091" xr:uid="{8F6B0A09-3C87-4B3E-BE4A-1630B62F3765}"/>
    <cellStyle name="40% - Énfasis6 10 3 2" xfId="5823" xr:uid="{FCE9C533-4A81-485B-86B8-8EF4683F992A}"/>
    <cellStyle name="40% - Énfasis6 10 3 2 2" xfId="13531" xr:uid="{73C6F745-7388-4E0F-8D2E-71B0C4325758}"/>
    <cellStyle name="40% - Énfasis6 10 3 2 2 2" xfId="28943" xr:uid="{F58A2DD1-75BC-4F6F-8301-0295D36F93B7}"/>
    <cellStyle name="40% - Énfasis6 10 3 2 2 2 2" xfId="48520" xr:uid="{4B5E483C-F1E7-4BEC-96D5-E00A2F0E5A3A}"/>
    <cellStyle name="40% - Énfasis6 10 3 2 2 3" xfId="48519" xr:uid="{1D584BDC-E20D-49E6-9704-4C481597237D}"/>
    <cellStyle name="40% - Énfasis6 10 3 2 3" xfId="21238" xr:uid="{C3D0582F-2ABF-4C1F-96BB-39E5F05FC3BD}"/>
    <cellStyle name="40% - Énfasis6 10 3 2 3 2" xfId="48521" xr:uid="{E3A632F5-D16F-474B-8BE7-A5141DD219AB}"/>
    <cellStyle name="40% - Énfasis6 10 3 2 4" xfId="48518" xr:uid="{18FDD48D-93D5-4D7A-9B7F-D810C4400E1A}"/>
    <cellStyle name="40% - Énfasis6 10 3 3" xfId="9802" xr:uid="{C8AADB43-3DD2-4BCF-A720-CB084FF73221}"/>
    <cellStyle name="40% - Énfasis6 10 3 3 2" xfId="25215" xr:uid="{7D64B180-5C8D-4C7E-B2DC-4C77D590E26D}"/>
    <cellStyle name="40% - Énfasis6 10 3 3 2 2" xfId="48523" xr:uid="{D040BBC6-9EBD-43FE-ABC0-5D00EAE775DE}"/>
    <cellStyle name="40% - Énfasis6 10 3 3 3" xfId="48522" xr:uid="{CB95E272-F524-4D16-8044-15DC3DEE5D4D}"/>
    <cellStyle name="40% - Énfasis6 10 3 4" xfId="17510" xr:uid="{54E3FDB1-56A9-4A6E-917A-99422A8699C9}"/>
    <cellStyle name="40% - Énfasis6 10 3 4 2" xfId="48524" xr:uid="{027AB792-9DC4-4415-9F2E-91F11209E8C1}"/>
    <cellStyle name="40% - Énfasis6 10 3 5" xfId="48517" xr:uid="{FB44CB2E-1D2F-4DE0-9838-44E0C5543CCA}"/>
    <cellStyle name="40% - Énfasis6 10 4" xfId="4346" xr:uid="{0AAD80EA-D986-4BA1-8058-020A3AAABD54}"/>
    <cellStyle name="40% - Énfasis6 10 4 2" xfId="12054" xr:uid="{ADD5CA6E-87C8-48EC-BB89-6048B7BB189D}"/>
    <cellStyle name="40% - Énfasis6 10 4 2 2" xfId="27466" xr:uid="{8126584B-D6A7-46C7-A784-DD5B8CC51CB9}"/>
    <cellStyle name="40% - Énfasis6 10 4 2 2 2" xfId="48527" xr:uid="{F2FAD117-48F8-4FC3-B454-8776A7C9ABFD}"/>
    <cellStyle name="40% - Énfasis6 10 4 2 3" xfId="48526" xr:uid="{B81E01C1-1595-4BA2-9BDF-53CF9D1A5BCA}"/>
    <cellStyle name="40% - Énfasis6 10 4 3" xfId="19761" xr:uid="{63643997-4190-4A6D-94DC-F095E5DABF92}"/>
    <cellStyle name="40% - Énfasis6 10 4 3 2" xfId="48528" xr:uid="{61C8DEC1-A6B0-4726-8920-EC98E29C6BEF}"/>
    <cellStyle name="40% - Énfasis6 10 4 4" xfId="48525" xr:uid="{DD765FB1-826D-41DF-A332-9923A8201AA4}"/>
    <cellStyle name="40% - Énfasis6 10 5" xfId="8343" xr:uid="{A23D50D8-3521-4FA3-A6D6-3373A4B4E33A}"/>
    <cellStyle name="40% - Énfasis6 10 5 2" xfId="23756" xr:uid="{4928F811-1F39-4BF1-8EC5-CB6BC9927668}"/>
    <cellStyle name="40% - Énfasis6 10 5 2 2" xfId="48530" xr:uid="{C0A9C1F4-8122-4B04-865A-9B4E56F292B6}"/>
    <cellStyle name="40% - Énfasis6 10 5 3" xfId="48529" xr:uid="{2011E9F9-0BE1-4B36-8697-4FE069E3CEF5}"/>
    <cellStyle name="40% - Énfasis6 10 6" xfId="16051" xr:uid="{77648FC8-48AF-4CB0-AF46-9B64866935E6}"/>
    <cellStyle name="40% - Énfasis6 10 6 2" xfId="48531" xr:uid="{4FCDA40F-F1B7-4325-997F-A54BB4B8122A}"/>
    <cellStyle name="40% - Énfasis6 10 7" xfId="48500" xr:uid="{8EE220CE-278D-454D-8DB8-996697491FED}"/>
    <cellStyle name="40% - Énfasis6 11" xfId="621" xr:uid="{68B333D2-7550-44BC-8437-8B4BC7BF26A9}"/>
    <cellStyle name="40% - Énfasis6 11 2" xfId="1282" xr:uid="{A08A4E58-1D3A-4A96-A91B-90782EDB44C1}"/>
    <cellStyle name="40% - Énfasis6 11 2 2" xfId="2749" xr:uid="{F9F4F49C-0087-44E2-9215-71D1CCEAC381}"/>
    <cellStyle name="40% - Énfasis6 11 2 2 2" xfId="6481" xr:uid="{0994610F-36CC-48F8-8ABE-8816F7056604}"/>
    <cellStyle name="40% - Énfasis6 11 2 2 2 2" xfId="14189" xr:uid="{8D23016E-68DD-4493-A4E9-EB072AA74717}"/>
    <cellStyle name="40% - Énfasis6 11 2 2 2 2 2" xfId="29601" xr:uid="{9869E17F-A7E4-4C1D-9305-E80AB215547A}"/>
    <cellStyle name="40% - Énfasis6 11 2 2 2 2 2 2" xfId="48537" xr:uid="{5E19C958-FD27-4161-87D4-1EAE51E0CB08}"/>
    <cellStyle name="40% - Énfasis6 11 2 2 2 2 3" xfId="48536" xr:uid="{9E0D505A-6B4C-4214-96CA-C95F4A8231B3}"/>
    <cellStyle name="40% - Énfasis6 11 2 2 2 3" xfId="21896" xr:uid="{544FA9D9-C5C1-4DF8-972A-2C7FAE5F58A9}"/>
    <cellStyle name="40% - Énfasis6 11 2 2 2 3 2" xfId="48538" xr:uid="{C8AAD1EF-78AB-43E2-99A6-ED31B768349F}"/>
    <cellStyle name="40% - Énfasis6 11 2 2 2 4" xfId="48535" xr:uid="{B48B7419-200F-4A41-88C3-FF572A6C4592}"/>
    <cellStyle name="40% - Énfasis6 11 2 2 3" xfId="10460" xr:uid="{76F38587-A793-4812-9723-6D109E8653CF}"/>
    <cellStyle name="40% - Énfasis6 11 2 2 3 2" xfId="25873" xr:uid="{B65E4148-5CA7-4CB5-A89B-C35ED4926D5D}"/>
    <cellStyle name="40% - Énfasis6 11 2 2 3 2 2" xfId="48540" xr:uid="{51A1F982-1292-491B-9D54-A33FB60898EE}"/>
    <cellStyle name="40% - Énfasis6 11 2 2 3 3" xfId="48539" xr:uid="{6678C143-5780-4D25-ADEC-DA59508D4F47}"/>
    <cellStyle name="40% - Énfasis6 11 2 2 4" xfId="18168" xr:uid="{EB4332EA-C544-48F3-B519-F250DD05307D}"/>
    <cellStyle name="40% - Énfasis6 11 2 2 4 2" xfId="48541" xr:uid="{E6FDF3B5-9F5B-418B-8AA0-1F76D1E36E00}"/>
    <cellStyle name="40% - Énfasis6 11 2 2 5" xfId="48534" xr:uid="{2463195E-0F35-483D-B96A-4BB5E75CC7DD}"/>
    <cellStyle name="40% - Énfasis6 11 2 3" xfId="5018" xr:uid="{B0C90C28-655C-4DEA-91A8-0E8DE2C57184}"/>
    <cellStyle name="40% - Énfasis6 11 2 3 2" xfId="12726" xr:uid="{DBAB0B15-5685-4C6C-A3C6-F89192D19351}"/>
    <cellStyle name="40% - Énfasis6 11 2 3 2 2" xfId="28138" xr:uid="{925FA4CD-75F8-4762-B6BF-741698121194}"/>
    <cellStyle name="40% - Énfasis6 11 2 3 2 2 2" xfId="48544" xr:uid="{CBC6D74A-BD23-4178-9943-1EE8A902B965}"/>
    <cellStyle name="40% - Énfasis6 11 2 3 2 3" xfId="48543" xr:uid="{D66DAEDC-B501-4761-A8BB-A3A459691AFA}"/>
    <cellStyle name="40% - Énfasis6 11 2 3 3" xfId="20433" xr:uid="{37C7B976-4EE2-49D9-80FD-0F9F2BAD5356}"/>
    <cellStyle name="40% - Énfasis6 11 2 3 3 2" xfId="48545" xr:uid="{DAA16DF5-5C03-4ADD-9F02-34EE05BF9B83}"/>
    <cellStyle name="40% - Énfasis6 11 2 3 4" xfId="48542" xr:uid="{C55F143F-22BC-4807-9491-A0981A566AAB}"/>
    <cellStyle name="40% - Énfasis6 11 2 4" xfId="9001" xr:uid="{7B5D91CE-3BA3-49FE-91B6-34C5C1202193}"/>
    <cellStyle name="40% - Énfasis6 11 2 4 2" xfId="24414" xr:uid="{2A0994DA-3494-4B69-B103-1BD9A5627214}"/>
    <cellStyle name="40% - Énfasis6 11 2 4 2 2" xfId="48547" xr:uid="{11BA2A43-BF2B-42ED-BE95-D45ADDB5B3C5}"/>
    <cellStyle name="40% - Énfasis6 11 2 4 3" xfId="48546" xr:uid="{08470EF6-F7C8-4346-BEDA-AAB7982C45FB}"/>
    <cellStyle name="40% - Énfasis6 11 2 5" xfId="16709" xr:uid="{8C732C70-9D9C-4128-AB23-53B0D1CAC0E2}"/>
    <cellStyle name="40% - Énfasis6 11 2 5 2" xfId="48548" xr:uid="{76F34E4A-D73C-442A-A130-52C69E03A370}"/>
    <cellStyle name="40% - Énfasis6 11 2 6" xfId="48533" xr:uid="{E3398437-123F-43E2-A14A-F7BBE0AFCD59}"/>
    <cellStyle name="40% - Énfasis6 11 3" xfId="2111" xr:uid="{70AB392F-B26F-4B36-A36D-40D29BB12BEB}"/>
    <cellStyle name="40% - Énfasis6 11 3 2" xfId="5843" xr:uid="{F017C8EA-9C8D-41CA-BE50-801296CBF43B}"/>
    <cellStyle name="40% - Énfasis6 11 3 2 2" xfId="13551" xr:uid="{F31EAF02-1426-448A-8D73-E05B8ED1D38F}"/>
    <cellStyle name="40% - Énfasis6 11 3 2 2 2" xfId="28963" xr:uid="{A75AAD15-0B2B-4984-AF3F-D28A45341874}"/>
    <cellStyle name="40% - Énfasis6 11 3 2 2 2 2" xfId="48552" xr:uid="{DA8267B9-D52C-49B7-B85D-23944E8B3E1B}"/>
    <cellStyle name="40% - Énfasis6 11 3 2 2 3" xfId="48551" xr:uid="{F26B2F9C-A5B3-4D53-8D59-4D0FC9C6BE84}"/>
    <cellStyle name="40% - Énfasis6 11 3 2 3" xfId="21258" xr:uid="{50E8BDD0-87EF-4D9B-A19A-6606EF0C3E4B}"/>
    <cellStyle name="40% - Énfasis6 11 3 2 3 2" xfId="48553" xr:uid="{E7849FC3-738F-41A6-80EB-38B739B683D3}"/>
    <cellStyle name="40% - Énfasis6 11 3 2 4" xfId="48550" xr:uid="{2BBF4448-E14E-44FF-BBD7-AF14FE44CFE9}"/>
    <cellStyle name="40% - Énfasis6 11 3 3" xfId="9822" xr:uid="{0CDA6E10-47AC-4DF3-A404-8A7BC84CDD83}"/>
    <cellStyle name="40% - Énfasis6 11 3 3 2" xfId="25235" xr:uid="{DD0B7227-A450-4EF5-8616-46AED352AE36}"/>
    <cellStyle name="40% - Énfasis6 11 3 3 2 2" xfId="48555" xr:uid="{6E54FF85-8025-46D0-9B74-07365CF9DB99}"/>
    <cellStyle name="40% - Énfasis6 11 3 3 3" xfId="48554" xr:uid="{2EFBB5AF-D9E2-4B33-8455-7B92B7285BC8}"/>
    <cellStyle name="40% - Énfasis6 11 3 4" xfId="17530" xr:uid="{DFDB2C3B-A180-4BC0-9371-34A9BF327465}"/>
    <cellStyle name="40% - Énfasis6 11 3 4 2" xfId="48556" xr:uid="{CC1CB5AA-9FD9-4E5A-A6DA-A55F13FF0630}"/>
    <cellStyle name="40% - Énfasis6 11 3 5" xfId="48549" xr:uid="{D43F7EFD-A67C-48BF-8D00-BB33A480B5AD}"/>
    <cellStyle name="40% - Énfasis6 11 4" xfId="4366" xr:uid="{90BE7AD4-DB27-48A5-986B-73829EE14008}"/>
    <cellStyle name="40% - Énfasis6 11 4 2" xfId="12074" xr:uid="{40877334-E828-4FE1-A235-612C5D645CCE}"/>
    <cellStyle name="40% - Énfasis6 11 4 2 2" xfId="27486" xr:uid="{7B3DCF4F-0DEA-48A6-8DF1-176D7E873AE0}"/>
    <cellStyle name="40% - Énfasis6 11 4 2 2 2" xfId="48559" xr:uid="{6C1D929F-4D39-4DE4-ABCA-CCCCC57B9B2D}"/>
    <cellStyle name="40% - Énfasis6 11 4 2 3" xfId="48558" xr:uid="{28FB1D2F-9529-46C9-9F47-BABF54F0475C}"/>
    <cellStyle name="40% - Énfasis6 11 4 3" xfId="19781" xr:uid="{4C818C9A-F371-4BBD-85BE-92AC2BA85863}"/>
    <cellStyle name="40% - Énfasis6 11 4 3 2" xfId="48560" xr:uid="{E16EF738-CE44-43A8-B8B0-4EA1045CB02A}"/>
    <cellStyle name="40% - Énfasis6 11 4 4" xfId="48557" xr:uid="{58FB3225-8BC2-44C5-B8DB-B3E0FDEA7904}"/>
    <cellStyle name="40% - Énfasis6 11 5" xfId="8363" xr:uid="{DCEF9BBC-8E78-4F4A-A2CF-B14B45C7338C}"/>
    <cellStyle name="40% - Énfasis6 11 5 2" xfId="23776" xr:uid="{34BAA72E-E98B-445D-BA0E-F0838AE2DEC0}"/>
    <cellStyle name="40% - Énfasis6 11 5 2 2" xfId="48562" xr:uid="{6D2BF2F9-5E00-4AA9-AE0A-E54788EFC7AD}"/>
    <cellStyle name="40% - Énfasis6 11 5 3" xfId="48561" xr:uid="{88E2117F-E1A4-4E3E-AF8F-3A315B153D80}"/>
    <cellStyle name="40% - Énfasis6 11 6" xfId="16071" xr:uid="{FFB6E1F4-20DF-4192-9E2A-E0B58B4321A4}"/>
    <cellStyle name="40% - Énfasis6 11 6 2" xfId="48563" xr:uid="{55F53F30-2E1B-447D-B692-7528A0084ED5}"/>
    <cellStyle name="40% - Énfasis6 11 7" xfId="48532" xr:uid="{1EC4E558-CA83-4A8D-9888-C384A152B8B5}"/>
    <cellStyle name="40% - Énfasis6 12" xfId="641" xr:uid="{C1096D5F-EDB7-4958-B24B-7592CFFC3609}"/>
    <cellStyle name="40% - Énfasis6 12 2" xfId="1302" xr:uid="{D899DE1E-098A-4737-9CC9-2A5FFBB8FEEE}"/>
    <cellStyle name="40% - Énfasis6 12 2 2" xfId="2769" xr:uid="{0F16879F-A985-46B4-8818-50F3BE3463A6}"/>
    <cellStyle name="40% - Énfasis6 12 2 2 2" xfId="6501" xr:uid="{180AEE31-CC14-47E3-A743-905997D0BE80}"/>
    <cellStyle name="40% - Énfasis6 12 2 2 2 2" xfId="14209" xr:uid="{8CE02D58-5986-4450-BC23-D2CB69BD0D82}"/>
    <cellStyle name="40% - Énfasis6 12 2 2 2 2 2" xfId="29621" xr:uid="{ACD90C7C-5B1C-4F16-860B-89E8AAE759F4}"/>
    <cellStyle name="40% - Énfasis6 12 2 2 2 2 2 2" xfId="48569" xr:uid="{6DB2D81A-7318-41FD-AA86-E454910E1B24}"/>
    <cellStyle name="40% - Énfasis6 12 2 2 2 2 3" xfId="48568" xr:uid="{738379E4-2409-4B1E-88F4-B13D1923F1DC}"/>
    <cellStyle name="40% - Énfasis6 12 2 2 2 3" xfId="21916" xr:uid="{7DBE0995-2BE9-4E4A-B1BD-1F7AD89AACDF}"/>
    <cellStyle name="40% - Énfasis6 12 2 2 2 3 2" xfId="48570" xr:uid="{1C17D0D1-3FC2-46F2-A75C-3755EA8D8D8F}"/>
    <cellStyle name="40% - Énfasis6 12 2 2 2 4" xfId="48567" xr:uid="{8152F0DB-0093-43A0-9052-386517FF141B}"/>
    <cellStyle name="40% - Énfasis6 12 2 2 3" xfId="10480" xr:uid="{13EC5978-6551-4679-A014-98C125DB9B7B}"/>
    <cellStyle name="40% - Énfasis6 12 2 2 3 2" xfId="25893" xr:uid="{18ACE5EE-AB20-47AB-A454-9384AB48C495}"/>
    <cellStyle name="40% - Énfasis6 12 2 2 3 2 2" xfId="48572" xr:uid="{DA6B5996-0DE4-47A8-B2A2-000BABAD0EF8}"/>
    <cellStyle name="40% - Énfasis6 12 2 2 3 3" xfId="48571" xr:uid="{F76AD095-6785-44E9-B7AF-9853CFD9CD24}"/>
    <cellStyle name="40% - Énfasis6 12 2 2 4" xfId="18188" xr:uid="{1034274C-3C9B-441A-92AB-C06514BD2106}"/>
    <cellStyle name="40% - Énfasis6 12 2 2 4 2" xfId="48573" xr:uid="{F5E57433-1754-4E4D-8A36-903C722F57D3}"/>
    <cellStyle name="40% - Énfasis6 12 2 2 5" xfId="48566" xr:uid="{0794DFC3-1C85-450A-A291-7173724D65A3}"/>
    <cellStyle name="40% - Énfasis6 12 2 3" xfId="5038" xr:uid="{5A5E103E-AC94-46EE-9DD8-6F8DA02A3593}"/>
    <cellStyle name="40% - Énfasis6 12 2 3 2" xfId="12746" xr:uid="{F19BC4D5-CF7B-474D-A948-466794A5D2BF}"/>
    <cellStyle name="40% - Énfasis6 12 2 3 2 2" xfId="28158" xr:uid="{0BA6845E-8A4E-412D-865E-A4F58A4584C6}"/>
    <cellStyle name="40% - Énfasis6 12 2 3 2 2 2" xfId="48576" xr:uid="{24F15DF2-D91A-47A3-9169-6F422E210AF5}"/>
    <cellStyle name="40% - Énfasis6 12 2 3 2 3" xfId="48575" xr:uid="{FE8F8D88-28C0-4778-9401-788CE004424E}"/>
    <cellStyle name="40% - Énfasis6 12 2 3 3" xfId="20453" xr:uid="{C48B354E-9D13-438E-B671-831DC6654BC8}"/>
    <cellStyle name="40% - Énfasis6 12 2 3 3 2" xfId="48577" xr:uid="{5CDA2DCC-FF1A-4B01-B2E9-542F43EA96FC}"/>
    <cellStyle name="40% - Énfasis6 12 2 3 4" xfId="48574" xr:uid="{DD32DFDD-BC95-4320-A3A1-BDA058C7847A}"/>
    <cellStyle name="40% - Énfasis6 12 2 4" xfId="9021" xr:uid="{033541F0-9BE3-46DE-9494-34E449515810}"/>
    <cellStyle name="40% - Énfasis6 12 2 4 2" xfId="24434" xr:uid="{16F23FB2-B893-49E8-BFE1-D05D63EE3574}"/>
    <cellStyle name="40% - Énfasis6 12 2 4 2 2" xfId="48579" xr:uid="{7D5CBBF7-8C41-424E-ADF4-72033BEA677C}"/>
    <cellStyle name="40% - Énfasis6 12 2 4 3" xfId="48578" xr:uid="{6197BBC7-7C17-49D4-AD16-9B8B9030EAA3}"/>
    <cellStyle name="40% - Énfasis6 12 2 5" xfId="16729" xr:uid="{C98CF752-3946-466F-9350-204672108F8F}"/>
    <cellStyle name="40% - Énfasis6 12 2 5 2" xfId="48580" xr:uid="{0E38495D-9C54-436A-8EA7-F6BAC97118DB}"/>
    <cellStyle name="40% - Énfasis6 12 2 6" xfId="48565" xr:uid="{DA8C3C4E-3D9F-439E-A37A-8761D2A548A5}"/>
    <cellStyle name="40% - Énfasis6 12 3" xfId="2131" xr:uid="{13FAB2B9-7F9E-4AF5-82A0-EB5DD984C9A1}"/>
    <cellStyle name="40% - Énfasis6 12 3 2" xfId="5863" xr:uid="{F3D6A5BA-BFFF-4C68-9379-EFCCA2334B61}"/>
    <cellStyle name="40% - Énfasis6 12 3 2 2" xfId="13571" xr:uid="{DAB3D75C-72AB-4D76-A129-95D117544298}"/>
    <cellStyle name="40% - Énfasis6 12 3 2 2 2" xfId="28983" xr:uid="{44AAB017-9937-4FBC-BDF8-68996A2427AB}"/>
    <cellStyle name="40% - Énfasis6 12 3 2 2 2 2" xfId="48584" xr:uid="{BA6D8074-2DD1-4FCE-9DA5-B3524DC0E318}"/>
    <cellStyle name="40% - Énfasis6 12 3 2 2 3" xfId="48583" xr:uid="{308D31DA-F99E-4838-927B-4CDECFD00D76}"/>
    <cellStyle name="40% - Énfasis6 12 3 2 3" xfId="21278" xr:uid="{DD9CF820-8DFE-4D36-B08C-8E4435E95F3D}"/>
    <cellStyle name="40% - Énfasis6 12 3 2 3 2" xfId="48585" xr:uid="{F4E4715A-9D55-4D3C-984E-A9C749D059D5}"/>
    <cellStyle name="40% - Énfasis6 12 3 2 4" xfId="48582" xr:uid="{14489C1A-9B36-4370-BA86-8D1E1D5E2C40}"/>
    <cellStyle name="40% - Énfasis6 12 3 3" xfId="9842" xr:uid="{D20D25D9-8841-43AC-B17C-3BC566196E53}"/>
    <cellStyle name="40% - Énfasis6 12 3 3 2" xfId="25255" xr:uid="{2614C6F8-AED1-44B7-8857-9236A8EE668C}"/>
    <cellStyle name="40% - Énfasis6 12 3 3 2 2" xfId="48587" xr:uid="{01EA30EA-5C33-413A-A966-FE80AC1BC88B}"/>
    <cellStyle name="40% - Énfasis6 12 3 3 3" xfId="48586" xr:uid="{2B0ABA08-96AF-4EFA-98D2-80730DB58027}"/>
    <cellStyle name="40% - Énfasis6 12 3 4" xfId="17550" xr:uid="{A55BD7AF-62E4-4D55-B5D3-B2DF8B9C420A}"/>
    <cellStyle name="40% - Énfasis6 12 3 4 2" xfId="48588" xr:uid="{B65D9627-D308-4A24-B71F-9ED96FCFB7E8}"/>
    <cellStyle name="40% - Énfasis6 12 3 5" xfId="48581" xr:uid="{6930F58B-0CA0-4FE3-8598-8590450FFDF8}"/>
    <cellStyle name="40% - Énfasis6 12 4" xfId="4386" xr:uid="{C675FF92-766E-475F-9353-E8CD8D7483D9}"/>
    <cellStyle name="40% - Énfasis6 12 4 2" xfId="12094" xr:uid="{8FC902E4-6A3F-4976-A93E-E04AE5224EC4}"/>
    <cellStyle name="40% - Énfasis6 12 4 2 2" xfId="27506" xr:uid="{036525A5-9A44-4DEE-910B-48F314EDBFC1}"/>
    <cellStyle name="40% - Énfasis6 12 4 2 2 2" xfId="48591" xr:uid="{9FD073A5-B97D-4C27-8D16-C8D0925D4BA0}"/>
    <cellStyle name="40% - Énfasis6 12 4 2 3" xfId="48590" xr:uid="{A9B2F673-95C8-499A-98A3-E2712D45A709}"/>
    <cellStyle name="40% - Énfasis6 12 4 3" xfId="19801" xr:uid="{FB1C29F6-3E9A-4B9E-BD5B-D3C80E12C80E}"/>
    <cellStyle name="40% - Énfasis6 12 4 3 2" xfId="48592" xr:uid="{0F0CB78C-CB72-4EC8-8429-8534F5FC70B9}"/>
    <cellStyle name="40% - Énfasis6 12 4 4" xfId="48589" xr:uid="{49882F34-3F8C-4CC8-86D4-91E426B2C8D1}"/>
    <cellStyle name="40% - Énfasis6 12 5" xfId="8383" xr:uid="{81C471D0-ECE0-4482-A20A-45C14DD3E3F8}"/>
    <cellStyle name="40% - Énfasis6 12 5 2" xfId="23796" xr:uid="{AD45ED18-BCC7-495A-BF5B-F70161B4D679}"/>
    <cellStyle name="40% - Énfasis6 12 5 2 2" xfId="48594" xr:uid="{A5C99461-5C1A-4224-B7A9-CE89942BBF47}"/>
    <cellStyle name="40% - Énfasis6 12 5 3" xfId="48593" xr:uid="{1DAF907F-79C3-4123-A80B-4DA14D497121}"/>
    <cellStyle name="40% - Énfasis6 12 6" xfId="16091" xr:uid="{9EE8C2E4-AAFF-42DF-B79E-8794E03774B9}"/>
    <cellStyle name="40% - Énfasis6 12 6 2" xfId="48595" xr:uid="{C23D3CBA-CE39-489D-B192-12F01CEC92AF}"/>
    <cellStyle name="40% - Énfasis6 12 7" xfId="48564" xr:uid="{3BE16B33-7CA9-4111-A0FE-81922454C82B}"/>
    <cellStyle name="40% - Énfasis6 13" xfId="662" xr:uid="{9788F597-69A2-4D6E-BD40-1B1480200452}"/>
    <cellStyle name="40% - Énfasis6 13 2" xfId="1323" xr:uid="{0CD01D8A-67C6-49D2-A3B9-2E6851A8BBBF}"/>
    <cellStyle name="40% - Énfasis6 13 2 2" xfId="2790" xr:uid="{9908B4B8-E6A8-4BC9-AC99-27F5E7B878BA}"/>
    <cellStyle name="40% - Énfasis6 13 2 2 2" xfId="6522" xr:uid="{EDAC51CF-EDDF-467F-A3A1-FC3FFE64AEE5}"/>
    <cellStyle name="40% - Énfasis6 13 2 2 2 2" xfId="14230" xr:uid="{BDA3EEFF-52EF-44C1-B237-548D92C425D2}"/>
    <cellStyle name="40% - Énfasis6 13 2 2 2 2 2" xfId="29642" xr:uid="{FD63B27E-4F41-45C0-AA23-E858F1609083}"/>
    <cellStyle name="40% - Énfasis6 13 2 2 2 2 2 2" xfId="48601" xr:uid="{F54182FB-2D49-4171-AD0B-4B9EA74D7585}"/>
    <cellStyle name="40% - Énfasis6 13 2 2 2 2 3" xfId="48600" xr:uid="{D8235DFC-FE0B-459B-8A86-FC26C6B9BBF0}"/>
    <cellStyle name="40% - Énfasis6 13 2 2 2 3" xfId="21937" xr:uid="{9D4032ED-3162-4F2B-B5AE-FBF148D4066C}"/>
    <cellStyle name="40% - Énfasis6 13 2 2 2 3 2" xfId="48602" xr:uid="{C34CA139-803F-41B0-A9F9-9785CD3B6384}"/>
    <cellStyle name="40% - Énfasis6 13 2 2 2 4" xfId="48599" xr:uid="{796552C9-681C-499F-9F1D-9B55FFDEFA22}"/>
    <cellStyle name="40% - Énfasis6 13 2 2 3" xfId="10501" xr:uid="{FB231C01-9EC5-4FBA-9F9F-2321AD6EF8AC}"/>
    <cellStyle name="40% - Énfasis6 13 2 2 3 2" xfId="25914" xr:uid="{B7308040-8917-4D4D-9254-933E63F85D1F}"/>
    <cellStyle name="40% - Énfasis6 13 2 2 3 2 2" xfId="48604" xr:uid="{E65488FC-2354-45BE-BA19-087D5B760EB3}"/>
    <cellStyle name="40% - Énfasis6 13 2 2 3 3" xfId="48603" xr:uid="{D4FEE354-C1AC-40C6-945C-F3B13B53DE71}"/>
    <cellStyle name="40% - Énfasis6 13 2 2 4" xfId="18209" xr:uid="{36D33CF4-BF93-43D1-B371-7E6F693FB6F3}"/>
    <cellStyle name="40% - Énfasis6 13 2 2 4 2" xfId="48605" xr:uid="{2D0E3DEB-ACA8-4020-BA21-165523AEA901}"/>
    <cellStyle name="40% - Énfasis6 13 2 2 5" xfId="48598" xr:uid="{125038F8-D1A1-47EB-B08E-0B5CACF708E5}"/>
    <cellStyle name="40% - Énfasis6 13 2 3" xfId="5059" xr:uid="{44250E9C-6E53-400E-A463-474ED95BD3C5}"/>
    <cellStyle name="40% - Énfasis6 13 2 3 2" xfId="12767" xr:uid="{4C6DB2A9-BC4E-488F-ACC4-8C17F0807B87}"/>
    <cellStyle name="40% - Énfasis6 13 2 3 2 2" xfId="28179" xr:uid="{E2CE4C6E-3F9C-4F35-BB36-774DCE39C1C5}"/>
    <cellStyle name="40% - Énfasis6 13 2 3 2 2 2" xfId="48608" xr:uid="{7CF27F66-F42C-48D5-8322-E10AFEE360B7}"/>
    <cellStyle name="40% - Énfasis6 13 2 3 2 3" xfId="48607" xr:uid="{79E2A7E7-8494-4FE3-83B9-0AA7279C33B7}"/>
    <cellStyle name="40% - Énfasis6 13 2 3 3" xfId="20474" xr:uid="{06C071FE-A24E-4BEB-9F64-F7E08A0A39C9}"/>
    <cellStyle name="40% - Énfasis6 13 2 3 3 2" xfId="48609" xr:uid="{A8594407-172B-46F9-A97E-1B451A543013}"/>
    <cellStyle name="40% - Énfasis6 13 2 3 4" xfId="48606" xr:uid="{271B63CC-06DD-408D-B31D-AA2C590EBFF7}"/>
    <cellStyle name="40% - Énfasis6 13 2 4" xfId="9042" xr:uid="{9A5D836D-4F80-4C9C-BE70-4E0DD9A844D3}"/>
    <cellStyle name="40% - Énfasis6 13 2 4 2" xfId="24455" xr:uid="{98174686-5134-4AC1-B1B9-F9AEB2335F21}"/>
    <cellStyle name="40% - Énfasis6 13 2 4 2 2" xfId="48611" xr:uid="{3A9C3218-533B-4172-A239-8F6C98E69D42}"/>
    <cellStyle name="40% - Énfasis6 13 2 4 3" xfId="48610" xr:uid="{C5E7A07F-93BD-4CEA-A611-8BC60FBD7E5D}"/>
    <cellStyle name="40% - Énfasis6 13 2 5" xfId="16750" xr:uid="{5A8F1505-9BA2-4E86-92C5-4672E70EFA2E}"/>
    <cellStyle name="40% - Énfasis6 13 2 5 2" xfId="48612" xr:uid="{E31423F9-FD7B-4D94-9977-2CC6D2B76E82}"/>
    <cellStyle name="40% - Énfasis6 13 2 6" xfId="48597" xr:uid="{F1B7BAD3-A8BF-407B-A5B5-6C16D12B2D75}"/>
    <cellStyle name="40% - Énfasis6 13 3" xfId="2152" xr:uid="{8476FB73-EB8F-494E-8456-A9CF507F5AF5}"/>
    <cellStyle name="40% - Énfasis6 13 3 2" xfId="5884" xr:uid="{D4339723-B4AE-48FB-B1A8-F3BC3273721F}"/>
    <cellStyle name="40% - Énfasis6 13 3 2 2" xfId="13592" xr:uid="{973171B0-B036-4CD7-BE55-ED2E29BB99B4}"/>
    <cellStyle name="40% - Énfasis6 13 3 2 2 2" xfId="29004" xr:uid="{EC878DCD-1DDD-4461-BF0F-4D95022FDA4C}"/>
    <cellStyle name="40% - Énfasis6 13 3 2 2 2 2" xfId="48616" xr:uid="{329A4882-DC65-49D3-857A-AA3B9C00A2DD}"/>
    <cellStyle name="40% - Énfasis6 13 3 2 2 3" xfId="48615" xr:uid="{15D90D84-85A3-4332-9588-FCDCC070A4E2}"/>
    <cellStyle name="40% - Énfasis6 13 3 2 3" xfId="21299" xr:uid="{C5E0C508-8DA7-49A4-BD68-83D8F5C8844F}"/>
    <cellStyle name="40% - Énfasis6 13 3 2 3 2" xfId="48617" xr:uid="{C9C89C2A-2E1A-484F-80FE-7D6F4EEBFF41}"/>
    <cellStyle name="40% - Énfasis6 13 3 2 4" xfId="48614" xr:uid="{14FDEF07-6903-40E6-A557-CB0F683AD8C0}"/>
    <cellStyle name="40% - Énfasis6 13 3 3" xfId="9863" xr:uid="{0A2C12C3-17BB-40CC-BB3E-8A67D8DEDAA0}"/>
    <cellStyle name="40% - Énfasis6 13 3 3 2" xfId="25276" xr:uid="{89580C6C-D570-41B3-926F-DEF3D1277E99}"/>
    <cellStyle name="40% - Énfasis6 13 3 3 2 2" xfId="48619" xr:uid="{B7E23BBC-7958-4EAE-A6ED-F6FF60AB2CBC}"/>
    <cellStyle name="40% - Énfasis6 13 3 3 3" xfId="48618" xr:uid="{FB51A909-F446-440A-A4D4-BB5879FA09A7}"/>
    <cellStyle name="40% - Énfasis6 13 3 4" xfId="17571" xr:uid="{70791AD4-D5EE-4020-9D6A-9C37331750B2}"/>
    <cellStyle name="40% - Énfasis6 13 3 4 2" xfId="48620" xr:uid="{F83F4684-0837-4E79-AD66-6675CC39F8B6}"/>
    <cellStyle name="40% - Énfasis6 13 3 5" xfId="48613" xr:uid="{AC3C9406-8808-4BB6-AD81-29A647E37D85}"/>
    <cellStyle name="40% - Énfasis6 13 4" xfId="4407" xr:uid="{31F47258-0664-4867-84F5-63EE6E6AEAB5}"/>
    <cellStyle name="40% - Énfasis6 13 4 2" xfId="12115" xr:uid="{B37C2711-23F1-4BA7-9E5B-D76E1ECAB5D3}"/>
    <cellStyle name="40% - Énfasis6 13 4 2 2" xfId="27527" xr:uid="{B5F21F08-54E2-4613-86E7-92EF6095AC02}"/>
    <cellStyle name="40% - Énfasis6 13 4 2 2 2" xfId="48623" xr:uid="{A27529FC-D5C0-4CA9-B237-9A5EF0AB5940}"/>
    <cellStyle name="40% - Énfasis6 13 4 2 3" xfId="48622" xr:uid="{FB5CFD28-35FB-4D60-A3D0-892C844A97E4}"/>
    <cellStyle name="40% - Énfasis6 13 4 3" xfId="19822" xr:uid="{E8EE492B-4D16-4E58-ABCD-04CB0B3AA4BD}"/>
    <cellStyle name="40% - Énfasis6 13 4 3 2" xfId="48624" xr:uid="{BF7EF21D-97EC-4BC8-ADE2-26DD5641759A}"/>
    <cellStyle name="40% - Énfasis6 13 4 4" xfId="48621" xr:uid="{CC5C0392-6B87-4C62-B1A2-C5378C66800C}"/>
    <cellStyle name="40% - Énfasis6 13 5" xfId="8404" xr:uid="{5ED51472-91B5-4251-BDF5-091F09BFB1C6}"/>
    <cellStyle name="40% - Énfasis6 13 5 2" xfId="23817" xr:uid="{B6E82B69-CE30-41F3-B01A-E7B1C00D1D3F}"/>
    <cellStyle name="40% - Énfasis6 13 5 2 2" xfId="48626" xr:uid="{25BACE0E-5D41-4D74-A404-8006DBD2A325}"/>
    <cellStyle name="40% - Énfasis6 13 5 3" xfId="48625" xr:uid="{1ED91B5F-3142-4272-81C9-A88833ACA6E3}"/>
    <cellStyle name="40% - Énfasis6 13 6" xfId="16112" xr:uid="{BBD733F4-C1B1-49D7-9F48-C7E06E58D0EF}"/>
    <cellStyle name="40% - Énfasis6 13 6 2" xfId="48627" xr:uid="{BD5A71CE-B9F2-4795-A34D-8C72BB2CC49D}"/>
    <cellStyle name="40% - Énfasis6 13 7" xfId="48596" xr:uid="{668B0E9F-00A5-4A4C-993D-1132ACAE7C55}"/>
    <cellStyle name="40% - Énfasis6 14" xfId="682" xr:uid="{25214339-A2AE-4DF5-9938-1D727725B52B}"/>
    <cellStyle name="40% - Énfasis6 14 2" xfId="1343" xr:uid="{F2076453-5D2E-4C72-BC40-8CB84AA82C28}"/>
    <cellStyle name="40% - Énfasis6 14 2 2" xfId="2810" xr:uid="{92E6BEB5-9DF9-4D3D-9AC7-B1EF08FC5A2C}"/>
    <cellStyle name="40% - Énfasis6 14 2 2 2" xfId="6542" xr:uid="{59FDE4C7-D6B7-4245-9233-B982C805D7B9}"/>
    <cellStyle name="40% - Énfasis6 14 2 2 2 2" xfId="14250" xr:uid="{35307C57-2AF0-44CC-B212-B06A3FBFA274}"/>
    <cellStyle name="40% - Énfasis6 14 2 2 2 2 2" xfId="29662" xr:uid="{B83232BC-ED6E-4145-983D-E0828B8EE562}"/>
    <cellStyle name="40% - Énfasis6 14 2 2 2 2 2 2" xfId="48633" xr:uid="{804ABDAC-6730-492C-9064-69FF2A435972}"/>
    <cellStyle name="40% - Énfasis6 14 2 2 2 2 3" xfId="48632" xr:uid="{4EE8964B-99CA-4B55-B169-B1308AB288CF}"/>
    <cellStyle name="40% - Énfasis6 14 2 2 2 3" xfId="21957" xr:uid="{538DA6F0-06E4-4E7D-B1E2-0B3131E1A170}"/>
    <cellStyle name="40% - Énfasis6 14 2 2 2 3 2" xfId="48634" xr:uid="{4C45B3E0-35F8-46F9-B689-5362DF98667E}"/>
    <cellStyle name="40% - Énfasis6 14 2 2 2 4" xfId="48631" xr:uid="{ADA977DE-702E-45D3-8F30-34FE4E6C0198}"/>
    <cellStyle name="40% - Énfasis6 14 2 2 3" xfId="10521" xr:uid="{601262D7-691F-439B-9A31-6F939346C96E}"/>
    <cellStyle name="40% - Énfasis6 14 2 2 3 2" xfId="25934" xr:uid="{32D20313-B55D-49B9-9303-4D7B4901ECE1}"/>
    <cellStyle name="40% - Énfasis6 14 2 2 3 2 2" xfId="48636" xr:uid="{6ADF7418-12B0-4AC2-9625-6C07BE7E6886}"/>
    <cellStyle name="40% - Énfasis6 14 2 2 3 3" xfId="48635" xr:uid="{8F92245C-E58E-46B5-90FD-3372535CFCB9}"/>
    <cellStyle name="40% - Énfasis6 14 2 2 4" xfId="18229" xr:uid="{F45EFC65-6C4B-445C-A91E-3CEA29362E18}"/>
    <cellStyle name="40% - Énfasis6 14 2 2 4 2" xfId="48637" xr:uid="{8F7CE2D0-7E72-4203-933F-8FCD9F010A7E}"/>
    <cellStyle name="40% - Énfasis6 14 2 2 5" xfId="48630" xr:uid="{7026021D-C7ED-43DB-AE1E-35837DED1A5A}"/>
    <cellStyle name="40% - Énfasis6 14 2 3" xfId="5079" xr:uid="{74E81D96-3FB4-420D-B14B-1A2C71EF714B}"/>
    <cellStyle name="40% - Énfasis6 14 2 3 2" xfId="12787" xr:uid="{5903BBCA-FD32-4128-B361-01276E3B5116}"/>
    <cellStyle name="40% - Énfasis6 14 2 3 2 2" xfId="28199" xr:uid="{B97E0512-A2F1-4850-BF68-43D76EBB6E49}"/>
    <cellStyle name="40% - Énfasis6 14 2 3 2 2 2" xfId="48640" xr:uid="{59A93425-65BD-410C-9F7E-F5E869B74828}"/>
    <cellStyle name="40% - Énfasis6 14 2 3 2 3" xfId="48639" xr:uid="{00A1E600-F60F-40D6-84DC-2630B1D70D62}"/>
    <cellStyle name="40% - Énfasis6 14 2 3 3" xfId="20494" xr:uid="{759F18AC-2BCE-476B-B24B-55FE40223D6B}"/>
    <cellStyle name="40% - Énfasis6 14 2 3 3 2" xfId="48641" xr:uid="{FB5CE01B-A0FF-4793-A023-060B6BA6E871}"/>
    <cellStyle name="40% - Énfasis6 14 2 3 4" xfId="48638" xr:uid="{2B995A0E-4AAE-48E9-8841-0D326B542C25}"/>
    <cellStyle name="40% - Énfasis6 14 2 4" xfId="9062" xr:uid="{C3BF7A33-A5E1-4781-9DD7-6475DAB7A286}"/>
    <cellStyle name="40% - Énfasis6 14 2 4 2" xfId="24475" xr:uid="{3EC6601A-A442-48AA-8C93-391B5353C799}"/>
    <cellStyle name="40% - Énfasis6 14 2 4 2 2" xfId="48643" xr:uid="{025CCF96-7225-4488-88CA-F42ED18D7001}"/>
    <cellStyle name="40% - Énfasis6 14 2 4 3" xfId="48642" xr:uid="{A254466D-494A-4B7F-A865-1B4F6A9DE9CD}"/>
    <cellStyle name="40% - Énfasis6 14 2 5" xfId="16770" xr:uid="{C6A71063-3AD5-4648-9517-968110F42D87}"/>
    <cellStyle name="40% - Énfasis6 14 2 5 2" xfId="48644" xr:uid="{B3F9BD38-F284-4669-96D8-2CBFF3A4B75D}"/>
    <cellStyle name="40% - Énfasis6 14 2 6" xfId="48629" xr:uid="{EF5C1E74-44A6-4C3F-A2AE-1B354639322D}"/>
    <cellStyle name="40% - Énfasis6 14 3" xfId="2172" xr:uid="{705B0DEF-0B54-4902-AFE2-22D663BFB72F}"/>
    <cellStyle name="40% - Énfasis6 14 3 2" xfId="5904" xr:uid="{7BAD8C63-D61F-491D-AB82-A0C74A4EBCA1}"/>
    <cellStyle name="40% - Énfasis6 14 3 2 2" xfId="13612" xr:uid="{D86AC1CB-620C-4DE1-BDA7-D764292007E3}"/>
    <cellStyle name="40% - Énfasis6 14 3 2 2 2" xfId="29024" xr:uid="{32DCC06A-12D0-4E68-B3EA-4550DC5255C8}"/>
    <cellStyle name="40% - Énfasis6 14 3 2 2 2 2" xfId="48648" xr:uid="{493476F8-53F3-46AD-9925-D54075D03559}"/>
    <cellStyle name="40% - Énfasis6 14 3 2 2 3" xfId="48647" xr:uid="{9D2BAC14-DD5C-44C1-BFD6-DC8E285D1CF6}"/>
    <cellStyle name="40% - Énfasis6 14 3 2 3" xfId="21319" xr:uid="{8BD39444-F440-43F3-9FDF-90A375E6D1C2}"/>
    <cellStyle name="40% - Énfasis6 14 3 2 3 2" xfId="48649" xr:uid="{E2F35AEA-FA55-449E-AF98-7BEC977CF718}"/>
    <cellStyle name="40% - Énfasis6 14 3 2 4" xfId="48646" xr:uid="{A7F1A3CF-A8C4-4AEB-9B5E-8A2C5A0FAF26}"/>
    <cellStyle name="40% - Énfasis6 14 3 3" xfId="9883" xr:uid="{7D334DE8-B671-4B13-81B5-02700466D117}"/>
    <cellStyle name="40% - Énfasis6 14 3 3 2" xfId="25296" xr:uid="{2A6C0841-5CD1-4BE4-9311-2826193C288F}"/>
    <cellStyle name="40% - Énfasis6 14 3 3 2 2" xfId="48651" xr:uid="{5FC3F385-EE1B-488B-9335-004A54C3150A}"/>
    <cellStyle name="40% - Énfasis6 14 3 3 3" xfId="48650" xr:uid="{2FEA408C-0184-43F6-8925-607495391335}"/>
    <cellStyle name="40% - Énfasis6 14 3 4" xfId="17591" xr:uid="{B50F9035-6D92-4F73-9960-B851B0F95B80}"/>
    <cellStyle name="40% - Énfasis6 14 3 4 2" xfId="48652" xr:uid="{9E8CEB44-51EF-4DB9-84D7-246B03550606}"/>
    <cellStyle name="40% - Énfasis6 14 3 5" xfId="48645" xr:uid="{37A3B828-DDD7-42F3-A3DA-D3A4AA0B527C}"/>
    <cellStyle name="40% - Énfasis6 14 4" xfId="4427" xr:uid="{710DB321-2BCC-4531-B214-040E37A5878F}"/>
    <cellStyle name="40% - Énfasis6 14 4 2" xfId="12135" xr:uid="{69ABAE33-85A9-4DF2-9F65-7580753E0E06}"/>
    <cellStyle name="40% - Énfasis6 14 4 2 2" xfId="27547" xr:uid="{42B31E53-080C-4403-831B-86E645A1B44E}"/>
    <cellStyle name="40% - Énfasis6 14 4 2 2 2" xfId="48655" xr:uid="{F8E3DFA2-4E58-4A29-95B4-21C43EC93527}"/>
    <cellStyle name="40% - Énfasis6 14 4 2 3" xfId="48654" xr:uid="{5CCF61A0-7A60-4231-B5C7-BA779886A8BA}"/>
    <cellStyle name="40% - Énfasis6 14 4 3" xfId="19842" xr:uid="{CCD2D936-BD2C-4B49-9295-65CD64FAA2DA}"/>
    <cellStyle name="40% - Énfasis6 14 4 3 2" xfId="48656" xr:uid="{E29BBE19-9AF2-47A1-AEED-43EDFED5202D}"/>
    <cellStyle name="40% - Énfasis6 14 4 4" xfId="48653" xr:uid="{DB041B15-9124-4F40-AA24-E2593171BBA7}"/>
    <cellStyle name="40% - Énfasis6 14 5" xfId="8424" xr:uid="{FDD95F96-A2BC-445C-9F51-CA297B765533}"/>
    <cellStyle name="40% - Énfasis6 14 5 2" xfId="23837" xr:uid="{A518A866-C4C1-41F9-B768-5472409C1FF3}"/>
    <cellStyle name="40% - Énfasis6 14 5 2 2" xfId="48658" xr:uid="{E5E47D52-56EF-4B5B-B46C-30399449D695}"/>
    <cellStyle name="40% - Énfasis6 14 5 3" xfId="48657" xr:uid="{33F9ED9E-B977-4D39-922D-C50D58C0FEAC}"/>
    <cellStyle name="40% - Énfasis6 14 6" xfId="16132" xr:uid="{1F5A1290-ABA5-4482-A6B7-0157E31D8C1C}"/>
    <cellStyle name="40% - Énfasis6 14 6 2" xfId="48659" xr:uid="{F9B5BC82-ACCD-4096-AF7C-0433B151E5BC}"/>
    <cellStyle name="40% - Énfasis6 14 7" xfId="48628" xr:uid="{3B0E98D9-7F8E-473B-B316-72768874C24C}"/>
    <cellStyle name="40% - Énfasis6 15" xfId="702" xr:uid="{B89CEB7D-7432-4DB9-BC87-261A36FB7C4A}"/>
    <cellStyle name="40% - Énfasis6 15 2" xfId="1363" xr:uid="{96A73CD4-DAD4-409E-9A90-39E254BF5236}"/>
    <cellStyle name="40% - Énfasis6 15 2 2" xfId="2830" xr:uid="{1D615044-D4D0-4557-95C5-E4035C898654}"/>
    <cellStyle name="40% - Énfasis6 15 2 2 2" xfId="6562" xr:uid="{F0BD75C8-F710-4D45-A596-155F09AB4765}"/>
    <cellStyle name="40% - Énfasis6 15 2 2 2 2" xfId="14270" xr:uid="{F57E863B-F690-48C5-9565-E486E053AF94}"/>
    <cellStyle name="40% - Énfasis6 15 2 2 2 2 2" xfId="29682" xr:uid="{2E916A17-BE5F-4968-85E5-52079A30D4BC}"/>
    <cellStyle name="40% - Énfasis6 15 2 2 2 2 2 2" xfId="48665" xr:uid="{CA625580-61AE-49C8-99C2-3015AD97908E}"/>
    <cellStyle name="40% - Énfasis6 15 2 2 2 2 3" xfId="48664" xr:uid="{C1567DD0-D8AF-4AB8-B9C6-9C89DE400C64}"/>
    <cellStyle name="40% - Énfasis6 15 2 2 2 3" xfId="21977" xr:uid="{6D43E09D-E4AF-4767-8687-145DB32058BB}"/>
    <cellStyle name="40% - Énfasis6 15 2 2 2 3 2" xfId="48666" xr:uid="{54EF5A8D-B726-4ABB-A3C3-9C0E58B177D9}"/>
    <cellStyle name="40% - Énfasis6 15 2 2 2 4" xfId="48663" xr:uid="{A7B789B8-A5A6-4974-974D-56D859EFD64F}"/>
    <cellStyle name="40% - Énfasis6 15 2 2 3" xfId="10541" xr:uid="{60564754-90A8-4E94-8EBE-5D90BD161675}"/>
    <cellStyle name="40% - Énfasis6 15 2 2 3 2" xfId="25954" xr:uid="{AD82A611-EA4D-49E9-B5E2-9877DB5C7A24}"/>
    <cellStyle name="40% - Énfasis6 15 2 2 3 2 2" xfId="48668" xr:uid="{CABCEB84-7339-4DDA-BA35-7E6BA9B407C9}"/>
    <cellStyle name="40% - Énfasis6 15 2 2 3 3" xfId="48667" xr:uid="{F2D2FA85-D418-4CF0-8AF3-31B3BF9A48E4}"/>
    <cellStyle name="40% - Énfasis6 15 2 2 4" xfId="18249" xr:uid="{69CCE923-F83F-4CB5-AB41-336E37B699D3}"/>
    <cellStyle name="40% - Énfasis6 15 2 2 4 2" xfId="48669" xr:uid="{315BACAA-6591-4BF6-B9DE-5D0C0CA10A88}"/>
    <cellStyle name="40% - Énfasis6 15 2 2 5" xfId="48662" xr:uid="{33A4A9D9-1313-45E1-B198-1320A793415D}"/>
    <cellStyle name="40% - Énfasis6 15 2 3" xfId="5099" xr:uid="{EE983D64-9940-4EC1-8254-31B448A3AA5E}"/>
    <cellStyle name="40% - Énfasis6 15 2 3 2" xfId="12807" xr:uid="{B5F18996-D2BD-46F8-89B3-AE4951A0705F}"/>
    <cellStyle name="40% - Énfasis6 15 2 3 2 2" xfId="28219" xr:uid="{57A16A79-1188-4B02-B2B1-414605AF1B4A}"/>
    <cellStyle name="40% - Énfasis6 15 2 3 2 2 2" xfId="48672" xr:uid="{9646C25C-E343-4A9B-BBDA-2AED08BA4EF2}"/>
    <cellStyle name="40% - Énfasis6 15 2 3 2 3" xfId="48671" xr:uid="{D2739BB8-93A7-43ED-9ADB-117FD8A28E3C}"/>
    <cellStyle name="40% - Énfasis6 15 2 3 3" xfId="20514" xr:uid="{F56C05E4-46BA-40BA-9D01-F0D43DB2C1D1}"/>
    <cellStyle name="40% - Énfasis6 15 2 3 3 2" xfId="48673" xr:uid="{9FED65DC-F838-4737-A5C5-8A60511A0A3A}"/>
    <cellStyle name="40% - Énfasis6 15 2 3 4" xfId="48670" xr:uid="{52168806-1075-4AA7-A0D5-016415E4EC66}"/>
    <cellStyle name="40% - Énfasis6 15 2 4" xfId="9082" xr:uid="{0214D94D-E174-4549-8912-7C5E761BF3EC}"/>
    <cellStyle name="40% - Énfasis6 15 2 4 2" xfId="24495" xr:uid="{9A11FF5A-3988-46A1-9882-1E6DF13EA4D5}"/>
    <cellStyle name="40% - Énfasis6 15 2 4 2 2" xfId="48675" xr:uid="{C7F212A1-543C-4179-9D88-2328B0A14880}"/>
    <cellStyle name="40% - Énfasis6 15 2 4 3" xfId="48674" xr:uid="{BDAEEF5B-8892-41A0-9664-953F689B13A1}"/>
    <cellStyle name="40% - Énfasis6 15 2 5" xfId="16790" xr:uid="{ED449F20-4424-4672-B302-3B32EE24F47C}"/>
    <cellStyle name="40% - Énfasis6 15 2 5 2" xfId="48676" xr:uid="{FBA51426-9DE6-44C6-A57A-789AFB0D740F}"/>
    <cellStyle name="40% - Énfasis6 15 2 6" xfId="48661" xr:uid="{B3AC52FC-D4B5-458A-BCDD-A45B59ACDEC7}"/>
    <cellStyle name="40% - Énfasis6 15 3" xfId="2192" xr:uid="{BEE8456A-5178-4959-9100-332B52A2B8D1}"/>
    <cellStyle name="40% - Énfasis6 15 3 2" xfId="5924" xr:uid="{ED14F467-3716-4C94-A093-4E9ED0FEB4D5}"/>
    <cellStyle name="40% - Énfasis6 15 3 2 2" xfId="13632" xr:uid="{C8CF8D43-CBBE-41BA-85F6-D55330854D37}"/>
    <cellStyle name="40% - Énfasis6 15 3 2 2 2" xfId="29044" xr:uid="{CA6F5B61-488E-49A3-B3B1-0A86B4428E25}"/>
    <cellStyle name="40% - Énfasis6 15 3 2 2 2 2" xfId="48680" xr:uid="{FE3964D9-87C8-44C6-8704-329EB8D26370}"/>
    <cellStyle name="40% - Énfasis6 15 3 2 2 3" xfId="48679" xr:uid="{01F4B747-5939-4F8D-82D3-B4DC16D4D240}"/>
    <cellStyle name="40% - Énfasis6 15 3 2 3" xfId="21339" xr:uid="{D5C913E6-F1FE-4588-98E7-B6A1F6D1A81A}"/>
    <cellStyle name="40% - Énfasis6 15 3 2 3 2" xfId="48681" xr:uid="{5EFBB992-89C0-4A27-87AC-E2F427612A52}"/>
    <cellStyle name="40% - Énfasis6 15 3 2 4" xfId="48678" xr:uid="{88BB334C-1E05-4C4F-8C18-BF54AB1C7063}"/>
    <cellStyle name="40% - Énfasis6 15 3 3" xfId="9903" xr:uid="{B9B1D9C8-11B5-4E92-B5DE-7BAE11179D84}"/>
    <cellStyle name="40% - Énfasis6 15 3 3 2" xfId="25316" xr:uid="{A5C4A618-30D6-442B-BDBC-E3CF22E14B69}"/>
    <cellStyle name="40% - Énfasis6 15 3 3 2 2" xfId="48683" xr:uid="{938D2210-93C4-4222-8FC7-8D04DBCAFBC4}"/>
    <cellStyle name="40% - Énfasis6 15 3 3 3" xfId="48682" xr:uid="{913D6029-9BD4-48C8-AEE6-B13102CF4218}"/>
    <cellStyle name="40% - Énfasis6 15 3 4" xfId="17611" xr:uid="{FCE8A401-2D07-4AA1-B049-145D8836E7BC}"/>
    <cellStyle name="40% - Énfasis6 15 3 4 2" xfId="48684" xr:uid="{BC0B6711-25D2-44E8-9AB4-8653EE0A8858}"/>
    <cellStyle name="40% - Énfasis6 15 3 5" xfId="48677" xr:uid="{546FCC86-8B8D-458B-9B00-03074138F283}"/>
    <cellStyle name="40% - Énfasis6 15 4" xfId="4447" xr:uid="{7EC974A8-9F9C-41B3-8786-0837BBC65B07}"/>
    <cellStyle name="40% - Énfasis6 15 4 2" xfId="12155" xr:uid="{9ED8F8AC-920D-4BA2-A830-2BD234384B8F}"/>
    <cellStyle name="40% - Énfasis6 15 4 2 2" xfId="27567" xr:uid="{31F44C64-E07E-4571-AD7A-71F1F36D6580}"/>
    <cellStyle name="40% - Énfasis6 15 4 2 2 2" xfId="48687" xr:uid="{770EB923-9F57-47EF-ABE0-00EBAEE29B79}"/>
    <cellStyle name="40% - Énfasis6 15 4 2 3" xfId="48686" xr:uid="{FB6116CA-ECBD-46D8-B13E-F0C6EEE8CD15}"/>
    <cellStyle name="40% - Énfasis6 15 4 3" xfId="19862" xr:uid="{4F4451DD-FA82-4CE1-975B-4E3517E29098}"/>
    <cellStyle name="40% - Énfasis6 15 4 3 2" xfId="48688" xr:uid="{269B459C-26E1-4B16-880B-C5AF41B90244}"/>
    <cellStyle name="40% - Énfasis6 15 4 4" xfId="48685" xr:uid="{1B7FB380-2C4C-4642-ACE9-4C0A8DCEB834}"/>
    <cellStyle name="40% - Énfasis6 15 5" xfId="8444" xr:uid="{34CAF718-6AF9-4A51-AE3A-903016961D1F}"/>
    <cellStyle name="40% - Énfasis6 15 5 2" xfId="23857" xr:uid="{7EA7A577-6ED0-4980-ADBA-4EB338952978}"/>
    <cellStyle name="40% - Énfasis6 15 5 2 2" xfId="48690" xr:uid="{96052D43-BE35-41D8-91B6-41CBE903DF79}"/>
    <cellStyle name="40% - Énfasis6 15 5 3" xfId="48689" xr:uid="{CAEA8A88-71C5-449B-B08C-187613EB7CCB}"/>
    <cellStyle name="40% - Énfasis6 15 6" xfId="16152" xr:uid="{57246FA8-5A9C-45C3-84E1-BA1495061BC3}"/>
    <cellStyle name="40% - Énfasis6 15 6 2" xfId="48691" xr:uid="{188380B3-65D1-4634-9643-0F4D5B9EE76D}"/>
    <cellStyle name="40% - Énfasis6 15 7" xfId="48660" xr:uid="{890EAAE2-4F36-49A8-A4E3-9212600D34A4}"/>
    <cellStyle name="40% - Énfasis6 16" xfId="723" xr:uid="{BB37563A-3281-4E77-B698-AF91597E5DFD}"/>
    <cellStyle name="40% - Énfasis6 16 2" xfId="1384" xr:uid="{627CB97A-B4E6-42F0-B102-9E9BC8C39B9D}"/>
    <cellStyle name="40% - Énfasis6 16 2 2" xfId="2851" xr:uid="{1EAAB9E9-FD9D-49D1-97B7-4F336C1AF79E}"/>
    <cellStyle name="40% - Énfasis6 16 2 2 2" xfId="6583" xr:uid="{E803947B-CBE5-40ED-BC42-C0BE63A4B5DA}"/>
    <cellStyle name="40% - Énfasis6 16 2 2 2 2" xfId="14291" xr:uid="{C68EB870-5CAC-401F-A69D-6EC722A4CE9B}"/>
    <cellStyle name="40% - Énfasis6 16 2 2 2 2 2" xfId="29703" xr:uid="{574BE263-A164-49C9-B837-A86B526BBE49}"/>
    <cellStyle name="40% - Énfasis6 16 2 2 2 2 2 2" xfId="48697" xr:uid="{E020D534-5E93-4713-8745-D3024019F5A6}"/>
    <cellStyle name="40% - Énfasis6 16 2 2 2 2 3" xfId="48696" xr:uid="{AC5E8D67-F333-414B-B8DA-84AD4D6C97DF}"/>
    <cellStyle name="40% - Énfasis6 16 2 2 2 3" xfId="21998" xr:uid="{B664D438-1E0C-4613-BEAC-5F6217B8F8FE}"/>
    <cellStyle name="40% - Énfasis6 16 2 2 2 3 2" xfId="48698" xr:uid="{325113A4-0313-4A75-816D-AF575389377B}"/>
    <cellStyle name="40% - Énfasis6 16 2 2 2 4" xfId="48695" xr:uid="{3701062F-2C88-4DD6-B0E9-040A84E829E0}"/>
    <cellStyle name="40% - Énfasis6 16 2 2 3" xfId="10562" xr:uid="{CF227962-2B53-444D-822B-C53D576D54DE}"/>
    <cellStyle name="40% - Énfasis6 16 2 2 3 2" xfId="25975" xr:uid="{BDD0E3D1-E0BB-4263-909F-E42FCD65165B}"/>
    <cellStyle name="40% - Énfasis6 16 2 2 3 2 2" xfId="48700" xr:uid="{01AB396C-FCDB-4CFC-9B70-AE0986DF8B53}"/>
    <cellStyle name="40% - Énfasis6 16 2 2 3 3" xfId="48699" xr:uid="{BFC0D2FB-7865-40FB-B1D5-864151C7C450}"/>
    <cellStyle name="40% - Énfasis6 16 2 2 4" xfId="18270" xr:uid="{849BB478-9ED8-4971-A064-01FF16BC137B}"/>
    <cellStyle name="40% - Énfasis6 16 2 2 4 2" xfId="48701" xr:uid="{129CFA76-DF8F-42C0-B848-42559DFCC417}"/>
    <cellStyle name="40% - Énfasis6 16 2 2 5" xfId="48694" xr:uid="{B978B1FA-DAB4-4C8B-96E3-ED9407EB4550}"/>
    <cellStyle name="40% - Énfasis6 16 2 3" xfId="5120" xr:uid="{2509C3AF-FF8B-4BC1-BEBD-0902BEDB6129}"/>
    <cellStyle name="40% - Énfasis6 16 2 3 2" xfId="12828" xr:uid="{60986A01-410A-4D74-8211-AAF55467B5C4}"/>
    <cellStyle name="40% - Énfasis6 16 2 3 2 2" xfId="28240" xr:uid="{4A8910A5-6C2A-4A7F-92BC-00E21693534C}"/>
    <cellStyle name="40% - Énfasis6 16 2 3 2 2 2" xfId="48704" xr:uid="{270647F4-751C-4FB6-91DA-EF1EB2483AB1}"/>
    <cellStyle name="40% - Énfasis6 16 2 3 2 3" xfId="48703" xr:uid="{18932F0E-4239-4CF8-8407-11E6932ADF91}"/>
    <cellStyle name="40% - Énfasis6 16 2 3 3" xfId="20535" xr:uid="{1D60323A-4689-4804-8847-804E372F9A0A}"/>
    <cellStyle name="40% - Énfasis6 16 2 3 3 2" xfId="48705" xr:uid="{6A44053C-0694-4E75-86F0-CFB560E7690B}"/>
    <cellStyle name="40% - Énfasis6 16 2 3 4" xfId="48702" xr:uid="{A7D0C851-229E-4F7A-90F3-3203E542D4A6}"/>
    <cellStyle name="40% - Énfasis6 16 2 4" xfId="9103" xr:uid="{6C5114BC-B586-4ABD-BE24-30E3A25A3E17}"/>
    <cellStyle name="40% - Énfasis6 16 2 4 2" xfId="24516" xr:uid="{D579BA9A-7EE8-46C0-B6E3-AE391025C173}"/>
    <cellStyle name="40% - Énfasis6 16 2 4 2 2" xfId="48707" xr:uid="{03038507-42F6-46F7-AB99-6CB21843613B}"/>
    <cellStyle name="40% - Énfasis6 16 2 4 3" xfId="48706" xr:uid="{A22555F9-3E66-464C-AF1C-B78A6CFE8796}"/>
    <cellStyle name="40% - Énfasis6 16 2 5" xfId="16811" xr:uid="{1A79A9C1-E983-44EB-A73C-2384A752A54D}"/>
    <cellStyle name="40% - Énfasis6 16 2 5 2" xfId="48708" xr:uid="{28D9F41C-AD80-473E-85C7-1A6EC9BF800D}"/>
    <cellStyle name="40% - Énfasis6 16 2 6" xfId="48693" xr:uid="{7AD0E299-46A3-4D1F-9EE7-2422FE31EC88}"/>
    <cellStyle name="40% - Énfasis6 16 3" xfId="2213" xr:uid="{B5393DF6-478F-47ED-818C-A3E8A7615E93}"/>
    <cellStyle name="40% - Énfasis6 16 3 2" xfId="5945" xr:uid="{D97436F3-BB02-42A7-BC65-4C037534AB23}"/>
    <cellStyle name="40% - Énfasis6 16 3 2 2" xfId="13653" xr:uid="{C06FCD89-ED1A-4916-8E99-5991D5D95784}"/>
    <cellStyle name="40% - Énfasis6 16 3 2 2 2" xfId="29065" xr:uid="{83149814-113A-4F44-A580-ABA47EDEC6AD}"/>
    <cellStyle name="40% - Énfasis6 16 3 2 2 2 2" xfId="48712" xr:uid="{D32DDDFD-C50B-4671-9015-9AE03BB12B1B}"/>
    <cellStyle name="40% - Énfasis6 16 3 2 2 3" xfId="48711" xr:uid="{239E6E99-A1FE-4A57-A150-2C42E16BDD88}"/>
    <cellStyle name="40% - Énfasis6 16 3 2 3" xfId="21360" xr:uid="{143E356B-445D-4999-9B82-100707BC3134}"/>
    <cellStyle name="40% - Énfasis6 16 3 2 3 2" xfId="48713" xr:uid="{576F92C5-A36E-4146-BF91-60AB0B5CC97A}"/>
    <cellStyle name="40% - Énfasis6 16 3 2 4" xfId="48710" xr:uid="{1AE0446D-44E3-4FB5-88FB-B77BD030DE6E}"/>
    <cellStyle name="40% - Énfasis6 16 3 3" xfId="9924" xr:uid="{DCF3F768-68E3-4CDA-B04A-EE2D61C7DBBF}"/>
    <cellStyle name="40% - Énfasis6 16 3 3 2" xfId="25337" xr:uid="{FDA09B0A-EA40-40D7-B9EE-9D8827653F79}"/>
    <cellStyle name="40% - Énfasis6 16 3 3 2 2" xfId="48715" xr:uid="{02BD73D1-F8D9-465D-905F-0F92049663D4}"/>
    <cellStyle name="40% - Énfasis6 16 3 3 3" xfId="48714" xr:uid="{10767069-2386-4632-84FE-15562485C2AD}"/>
    <cellStyle name="40% - Énfasis6 16 3 4" xfId="17632" xr:uid="{937E8A23-0A05-4096-84BA-FDF5015C8F2C}"/>
    <cellStyle name="40% - Énfasis6 16 3 4 2" xfId="48716" xr:uid="{4A9BBE8F-BC99-4500-8804-4F18CA837F18}"/>
    <cellStyle name="40% - Énfasis6 16 3 5" xfId="48709" xr:uid="{839434E7-E0DB-4278-9C0E-5067CFE2551B}"/>
    <cellStyle name="40% - Énfasis6 16 4" xfId="4468" xr:uid="{BE330069-F6B5-40CE-970F-91E583AF403C}"/>
    <cellStyle name="40% - Énfasis6 16 4 2" xfId="12176" xr:uid="{F93404E5-CFC1-4410-A663-5E8C84FDD358}"/>
    <cellStyle name="40% - Énfasis6 16 4 2 2" xfId="27588" xr:uid="{6FE6EBEC-D95F-4613-A766-B8A9B3EDB895}"/>
    <cellStyle name="40% - Énfasis6 16 4 2 2 2" xfId="48719" xr:uid="{8A01512A-0456-4EAD-9E99-E836CF49C3C0}"/>
    <cellStyle name="40% - Énfasis6 16 4 2 3" xfId="48718" xr:uid="{10BEFBAF-77DF-4F1C-A75A-715544D981F7}"/>
    <cellStyle name="40% - Énfasis6 16 4 3" xfId="19883" xr:uid="{4C20F00B-E1C8-4A1C-95A0-F01DF3D02E94}"/>
    <cellStyle name="40% - Énfasis6 16 4 3 2" xfId="48720" xr:uid="{42432807-5E1C-445D-8E5D-DBFB60354385}"/>
    <cellStyle name="40% - Énfasis6 16 4 4" xfId="48717" xr:uid="{FBA8C3E4-77FD-4005-94BC-8CCE45BD400C}"/>
    <cellStyle name="40% - Énfasis6 16 5" xfId="8465" xr:uid="{0B4BE5B4-FEE5-46A7-AE89-656BC2549688}"/>
    <cellStyle name="40% - Énfasis6 16 5 2" xfId="23878" xr:uid="{58CA7FB8-DAE9-4DEE-8736-EC008C5D11CE}"/>
    <cellStyle name="40% - Énfasis6 16 5 2 2" xfId="48722" xr:uid="{1EF8755B-6FA2-466C-BCF3-72CB603073AA}"/>
    <cellStyle name="40% - Énfasis6 16 5 3" xfId="48721" xr:uid="{29B57891-ADF6-4FAA-9138-03D3829358AD}"/>
    <cellStyle name="40% - Énfasis6 16 6" xfId="16173" xr:uid="{C77A2E57-463A-408C-A3D6-F8B69C7C5AC9}"/>
    <cellStyle name="40% - Énfasis6 16 6 2" xfId="48723" xr:uid="{0283391B-E8F9-4BA0-8FC4-9713DDBF3B23}"/>
    <cellStyle name="40% - Énfasis6 16 7" xfId="48692" xr:uid="{34692239-63AC-4ADA-AD49-F35CEC6D5AEB}"/>
    <cellStyle name="40% - Énfasis6 17" xfId="743" xr:uid="{F0505476-1B3F-4637-A80D-1E2F0F6B4381}"/>
    <cellStyle name="40% - Énfasis6 17 2" xfId="1404" xr:uid="{901EB468-EC20-434A-85E8-48B8D3935B2F}"/>
    <cellStyle name="40% - Énfasis6 17 2 2" xfId="2871" xr:uid="{0CC18F11-0EB5-4BED-9615-0F1629315623}"/>
    <cellStyle name="40% - Énfasis6 17 2 2 2" xfId="6603" xr:uid="{BD6E66FD-53EC-4703-BB91-46D800C9724F}"/>
    <cellStyle name="40% - Énfasis6 17 2 2 2 2" xfId="14311" xr:uid="{8491ADCE-37CC-49CF-9064-DD4E3CE04336}"/>
    <cellStyle name="40% - Énfasis6 17 2 2 2 2 2" xfId="29723" xr:uid="{1345D0BF-BB50-483C-BF68-0847F77D97E4}"/>
    <cellStyle name="40% - Énfasis6 17 2 2 2 2 2 2" xfId="48729" xr:uid="{76FB6F1F-232D-4537-AACB-593496D18286}"/>
    <cellStyle name="40% - Énfasis6 17 2 2 2 2 3" xfId="48728" xr:uid="{29BE8B22-12B3-4CD4-955D-A486FC3D1920}"/>
    <cellStyle name="40% - Énfasis6 17 2 2 2 3" xfId="22018" xr:uid="{EFF61617-155A-476C-A148-D5B379FDEF8F}"/>
    <cellStyle name="40% - Énfasis6 17 2 2 2 3 2" xfId="48730" xr:uid="{3DE934F1-6A01-48CE-870B-879F3F5DB639}"/>
    <cellStyle name="40% - Énfasis6 17 2 2 2 4" xfId="48727" xr:uid="{77373F34-6299-4593-BE3A-E3A8C075ABAD}"/>
    <cellStyle name="40% - Énfasis6 17 2 2 3" xfId="10582" xr:uid="{860A9F06-D6CE-4A8A-A38A-2E9F7842A89C}"/>
    <cellStyle name="40% - Énfasis6 17 2 2 3 2" xfId="25995" xr:uid="{37FD4F5A-0621-4C35-B67C-E3DDA6C0A87E}"/>
    <cellStyle name="40% - Énfasis6 17 2 2 3 2 2" xfId="48732" xr:uid="{23CED127-A429-4CC7-A053-7098F243F87A}"/>
    <cellStyle name="40% - Énfasis6 17 2 2 3 3" xfId="48731" xr:uid="{3269260A-1267-4EAC-8CC9-974D386843C1}"/>
    <cellStyle name="40% - Énfasis6 17 2 2 4" xfId="18290" xr:uid="{A40D6CC2-807F-4B59-AFF7-8D9C09364551}"/>
    <cellStyle name="40% - Énfasis6 17 2 2 4 2" xfId="48733" xr:uid="{E57C8956-501C-4EBB-8FB1-A474B13FF470}"/>
    <cellStyle name="40% - Énfasis6 17 2 2 5" xfId="48726" xr:uid="{9BB508AA-4B61-49CE-9AC8-091E7091D128}"/>
    <cellStyle name="40% - Énfasis6 17 2 3" xfId="5140" xr:uid="{55207DE9-E174-47C2-A19C-AE281637D3D4}"/>
    <cellStyle name="40% - Énfasis6 17 2 3 2" xfId="12848" xr:uid="{30F33CDF-6C88-4A3C-B794-96525BA6EC36}"/>
    <cellStyle name="40% - Énfasis6 17 2 3 2 2" xfId="28260" xr:uid="{46833295-622A-4F82-9C13-A8233710A78B}"/>
    <cellStyle name="40% - Énfasis6 17 2 3 2 2 2" xfId="48736" xr:uid="{E9A3ACDD-52C8-4E3D-98B4-6EAE01B4AE50}"/>
    <cellStyle name="40% - Énfasis6 17 2 3 2 3" xfId="48735" xr:uid="{B35B98A9-11C3-415B-80E9-D4061A5F23F4}"/>
    <cellStyle name="40% - Énfasis6 17 2 3 3" xfId="20555" xr:uid="{CDC274A5-7DD5-4D2A-ADF3-31672B1F2061}"/>
    <cellStyle name="40% - Énfasis6 17 2 3 3 2" xfId="48737" xr:uid="{E1336DA0-DFCE-47D1-A598-7EBC59798BCF}"/>
    <cellStyle name="40% - Énfasis6 17 2 3 4" xfId="48734" xr:uid="{DC99CF09-CB2D-42A2-9E25-0ADCCB2808B3}"/>
    <cellStyle name="40% - Énfasis6 17 2 4" xfId="9123" xr:uid="{2A89D1A5-E628-43E0-9DE3-B37A0EA92E5A}"/>
    <cellStyle name="40% - Énfasis6 17 2 4 2" xfId="24536" xr:uid="{61FF353E-BDD0-4ECA-A58E-692A6614DA91}"/>
    <cellStyle name="40% - Énfasis6 17 2 4 2 2" xfId="48739" xr:uid="{AA08C5C6-578F-4EE3-BB9D-63EA28879E29}"/>
    <cellStyle name="40% - Énfasis6 17 2 4 3" xfId="48738" xr:uid="{717211D6-491B-4A17-ABD4-B437160F47E3}"/>
    <cellStyle name="40% - Énfasis6 17 2 5" xfId="16831" xr:uid="{217FDB00-DE2F-421B-9073-EBD2C34B5999}"/>
    <cellStyle name="40% - Énfasis6 17 2 5 2" xfId="48740" xr:uid="{A791200F-885E-4E5E-AA78-E0985C07926A}"/>
    <cellStyle name="40% - Énfasis6 17 2 6" xfId="48725" xr:uid="{2F92F18B-AD31-4211-91BE-230799E093C2}"/>
    <cellStyle name="40% - Énfasis6 17 3" xfId="2233" xr:uid="{06A82870-D255-4EB9-8128-DA857ECD591B}"/>
    <cellStyle name="40% - Énfasis6 17 3 2" xfId="5965" xr:uid="{67732EA6-A8B0-4AD5-9085-BBC61E3CB779}"/>
    <cellStyle name="40% - Énfasis6 17 3 2 2" xfId="13673" xr:uid="{EC9B3CBF-ABC4-4B54-A9F2-68C2121D5AF6}"/>
    <cellStyle name="40% - Énfasis6 17 3 2 2 2" xfId="29085" xr:uid="{CBCAB21F-688B-485B-A23F-DDA4D717C1C9}"/>
    <cellStyle name="40% - Énfasis6 17 3 2 2 2 2" xfId="48744" xr:uid="{ED1FFA45-A830-4B80-A8BF-408995149D54}"/>
    <cellStyle name="40% - Énfasis6 17 3 2 2 3" xfId="48743" xr:uid="{BBAED8FA-D399-4F11-B74D-75264F4FA07B}"/>
    <cellStyle name="40% - Énfasis6 17 3 2 3" xfId="21380" xr:uid="{151113B7-89B1-422C-850F-F8EF52FAF6F0}"/>
    <cellStyle name="40% - Énfasis6 17 3 2 3 2" xfId="48745" xr:uid="{87FA1056-020A-4EE6-9A7C-9EA388E9B69A}"/>
    <cellStyle name="40% - Énfasis6 17 3 2 4" xfId="48742" xr:uid="{484CBB16-4CE0-403B-AC14-02C591EB6BBD}"/>
    <cellStyle name="40% - Énfasis6 17 3 3" xfId="9944" xr:uid="{2BD72AC0-4E4D-46F5-9A63-232AEA37ACB5}"/>
    <cellStyle name="40% - Énfasis6 17 3 3 2" xfId="25357" xr:uid="{211C00D2-0578-4338-9E3F-A61641478D59}"/>
    <cellStyle name="40% - Énfasis6 17 3 3 2 2" xfId="48747" xr:uid="{8757067D-C1C3-4846-85F3-5D57027C03F7}"/>
    <cellStyle name="40% - Énfasis6 17 3 3 3" xfId="48746" xr:uid="{DB84A8F4-3FC9-4B80-8D43-9C3B900E6A4D}"/>
    <cellStyle name="40% - Énfasis6 17 3 4" xfId="17652" xr:uid="{B577A88F-0311-498B-9C71-13047E34ED0B}"/>
    <cellStyle name="40% - Énfasis6 17 3 4 2" xfId="48748" xr:uid="{0832AF6F-F36C-441A-B0A5-77D1054148D9}"/>
    <cellStyle name="40% - Énfasis6 17 3 5" xfId="48741" xr:uid="{E8EDEF03-B1E2-4570-9930-114F3FACBDFF}"/>
    <cellStyle name="40% - Énfasis6 17 4" xfId="4488" xr:uid="{FCB9F141-4638-4C8E-8344-C6C32EA98F72}"/>
    <cellStyle name="40% - Énfasis6 17 4 2" xfId="12196" xr:uid="{E45E7A59-3C7B-4AB1-8B4D-54E9F67DC106}"/>
    <cellStyle name="40% - Énfasis6 17 4 2 2" xfId="27608" xr:uid="{FF3FE6F0-40AD-45C6-B002-D4C548BE93CB}"/>
    <cellStyle name="40% - Énfasis6 17 4 2 2 2" xfId="48751" xr:uid="{C054881A-2CF1-4068-A40A-BCB62B44E52A}"/>
    <cellStyle name="40% - Énfasis6 17 4 2 3" xfId="48750" xr:uid="{B94DD0AB-40A2-4BD1-B259-60621AF84BAE}"/>
    <cellStyle name="40% - Énfasis6 17 4 3" xfId="19903" xr:uid="{B7A3F8FF-B553-4B2C-9863-E8FAD3B25F23}"/>
    <cellStyle name="40% - Énfasis6 17 4 3 2" xfId="48752" xr:uid="{F0C5CA01-0927-4C2A-8A8C-124EBB817D66}"/>
    <cellStyle name="40% - Énfasis6 17 4 4" xfId="48749" xr:uid="{5049D2DE-F370-46E8-9F63-7B3BF4EAECDD}"/>
    <cellStyle name="40% - Énfasis6 17 5" xfId="8485" xr:uid="{8B0B90C3-CF0C-43AB-87D6-1AE3D19F0C64}"/>
    <cellStyle name="40% - Énfasis6 17 5 2" xfId="23898" xr:uid="{320DD208-F714-4030-8C7C-E4BBDCB641B7}"/>
    <cellStyle name="40% - Énfasis6 17 5 2 2" xfId="48754" xr:uid="{E6BFF538-1F4A-43AA-A7BE-69E118859C29}"/>
    <cellStyle name="40% - Énfasis6 17 5 3" xfId="48753" xr:uid="{7198BBA4-A927-4CC0-B6F7-D4D3FCCCF4EA}"/>
    <cellStyle name="40% - Énfasis6 17 6" xfId="16193" xr:uid="{A3CBA7A9-2445-45F5-90AC-3AAD8C5CE7E3}"/>
    <cellStyle name="40% - Énfasis6 17 6 2" xfId="48755" xr:uid="{E7FD628A-0A94-4D13-9A77-C926F00A04E8}"/>
    <cellStyle name="40% - Énfasis6 17 7" xfId="48724" xr:uid="{9495D452-C236-496C-B7CA-620F348E2A2A}"/>
    <cellStyle name="40% - Énfasis6 18" xfId="763" xr:uid="{63ECD386-B90F-48D2-9C91-0E5E2962CDD0}"/>
    <cellStyle name="40% - Énfasis6 18 2" xfId="1424" xr:uid="{6C817788-5DDB-4FCE-8616-B0BA63201DB2}"/>
    <cellStyle name="40% - Énfasis6 18 2 2" xfId="2891" xr:uid="{0DD3DB55-DF48-4888-8921-B01D729668A2}"/>
    <cellStyle name="40% - Énfasis6 18 2 2 2" xfId="6623" xr:uid="{4837D3D8-6DC7-45F3-A8D6-6A691276BBFC}"/>
    <cellStyle name="40% - Énfasis6 18 2 2 2 2" xfId="14331" xr:uid="{0D590F34-A1F3-424D-89D4-0175C17E5CBC}"/>
    <cellStyle name="40% - Énfasis6 18 2 2 2 2 2" xfId="29743" xr:uid="{BCE24313-84D8-4CC2-948E-A81CF6F5EC51}"/>
    <cellStyle name="40% - Énfasis6 18 2 2 2 2 2 2" xfId="48761" xr:uid="{0817E84F-627E-46AB-B526-6EE5945592C2}"/>
    <cellStyle name="40% - Énfasis6 18 2 2 2 2 3" xfId="48760" xr:uid="{D247C80C-E319-4CF2-89BE-9A34CFD47EA3}"/>
    <cellStyle name="40% - Énfasis6 18 2 2 2 3" xfId="22038" xr:uid="{F8A67F99-3A9B-4148-A945-8F26A17570C0}"/>
    <cellStyle name="40% - Énfasis6 18 2 2 2 3 2" xfId="48762" xr:uid="{9F7BAD8D-CC12-40CC-91FB-38AEFF963CA5}"/>
    <cellStyle name="40% - Énfasis6 18 2 2 2 4" xfId="48759" xr:uid="{D1947210-BE43-4DA1-8D23-51C3650D948B}"/>
    <cellStyle name="40% - Énfasis6 18 2 2 3" xfId="10602" xr:uid="{2BB6B2EA-A190-44A2-A242-8DEFFAE1CC80}"/>
    <cellStyle name="40% - Énfasis6 18 2 2 3 2" xfId="26015" xr:uid="{A2FF9D7A-E4A4-4D69-A3C7-1200D4760444}"/>
    <cellStyle name="40% - Énfasis6 18 2 2 3 2 2" xfId="48764" xr:uid="{286ECDEE-31CD-45B1-BD6A-3713573B5792}"/>
    <cellStyle name="40% - Énfasis6 18 2 2 3 3" xfId="48763" xr:uid="{0B29ADF5-63C7-4CB8-B70B-8DB1C0BD7F19}"/>
    <cellStyle name="40% - Énfasis6 18 2 2 4" xfId="18310" xr:uid="{6C955B8D-8854-43ED-BD4A-20ECA3225649}"/>
    <cellStyle name="40% - Énfasis6 18 2 2 4 2" xfId="48765" xr:uid="{FE76FB04-35B6-4217-8B91-7F603706A1DF}"/>
    <cellStyle name="40% - Énfasis6 18 2 2 5" xfId="48758" xr:uid="{CFA77AA1-E5F5-49EE-BE00-7345BEA15D74}"/>
    <cellStyle name="40% - Énfasis6 18 2 3" xfId="5160" xr:uid="{8081E3EA-CBCE-40F7-9FFE-3A9B2C3E251D}"/>
    <cellStyle name="40% - Énfasis6 18 2 3 2" xfId="12868" xr:uid="{6EAF7AF2-7C48-4A9A-AFEB-7DB74AD3CEC5}"/>
    <cellStyle name="40% - Énfasis6 18 2 3 2 2" xfId="28280" xr:uid="{694D167E-9CB5-41B5-9613-01595061CC00}"/>
    <cellStyle name="40% - Énfasis6 18 2 3 2 2 2" xfId="48768" xr:uid="{153187B0-F724-4758-8B40-89630D361053}"/>
    <cellStyle name="40% - Énfasis6 18 2 3 2 3" xfId="48767" xr:uid="{20BA32DD-E8DE-4071-A138-5667F0F3E636}"/>
    <cellStyle name="40% - Énfasis6 18 2 3 3" xfId="20575" xr:uid="{E9473A10-6228-4A58-90AB-BB902934EE36}"/>
    <cellStyle name="40% - Énfasis6 18 2 3 3 2" xfId="48769" xr:uid="{A4622754-BC43-4F86-9BD5-28F316332D5D}"/>
    <cellStyle name="40% - Énfasis6 18 2 3 4" xfId="48766" xr:uid="{9D04239B-1A2E-43F7-BAF1-2F1A929E166A}"/>
    <cellStyle name="40% - Énfasis6 18 2 4" xfId="9143" xr:uid="{DBBFF031-D22C-4424-8696-D815CEDDD8A7}"/>
    <cellStyle name="40% - Énfasis6 18 2 4 2" xfId="24556" xr:uid="{68F0795E-ED1F-40F8-BFDE-E9B98B52C2F7}"/>
    <cellStyle name="40% - Énfasis6 18 2 4 2 2" xfId="48771" xr:uid="{FE856A5D-C106-4446-ADFC-A4A25D77E334}"/>
    <cellStyle name="40% - Énfasis6 18 2 4 3" xfId="48770" xr:uid="{79B89D50-F008-45BB-9E48-82D2DDAB34CC}"/>
    <cellStyle name="40% - Énfasis6 18 2 5" xfId="16851" xr:uid="{0FA7BBE2-6F4C-46AF-AE9A-9D04450C3B4A}"/>
    <cellStyle name="40% - Énfasis6 18 2 5 2" xfId="48772" xr:uid="{CC52E07A-1553-4618-A7EF-F414C2A0D7B0}"/>
    <cellStyle name="40% - Énfasis6 18 2 6" xfId="48757" xr:uid="{37A49D38-CFCE-4055-9C5F-E49E8630CD3C}"/>
    <cellStyle name="40% - Énfasis6 18 3" xfId="2253" xr:uid="{ACE357BB-409E-4AC4-8B4D-662FA9C32A48}"/>
    <cellStyle name="40% - Énfasis6 18 3 2" xfId="5985" xr:uid="{06DE2363-87A0-4746-965F-621670CF6777}"/>
    <cellStyle name="40% - Énfasis6 18 3 2 2" xfId="13693" xr:uid="{552504A6-CC8E-43C9-B193-9BEBFF944288}"/>
    <cellStyle name="40% - Énfasis6 18 3 2 2 2" xfId="29105" xr:uid="{ADDCFC90-7DA4-463E-A872-6C56CC95AB7E}"/>
    <cellStyle name="40% - Énfasis6 18 3 2 2 2 2" xfId="48776" xr:uid="{3CEB5546-7D8F-4F58-B048-7A7CBCBA8319}"/>
    <cellStyle name="40% - Énfasis6 18 3 2 2 3" xfId="48775" xr:uid="{2689DF12-DFFD-4131-AC39-729C1F4D7ABF}"/>
    <cellStyle name="40% - Énfasis6 18 3 2 3" xfId="21400" xr:uid="{EDE361AA-FEA8-433D-9807-AFED84AD2B94}"/>
    <cellStyle name="40% - Énfasis6 18 3 2 3 2" xfId="48777" xr:uid="{B6413D4B-D641-460C-8FF8-5BB11A454A7D}"/>
    <cellStyle name="40% - Énfasis6 18 3 2 4" xfId="48774" xr:uid="{2A2DA508-7338-4D86-9EFA-6492A6D5AA74}"/>
    <cellStyle name="40% - Énfasis6 18 3 3" xfId="9964" xr:uid="{B238101C-1348-4F54-B6B1-C0F6F0C8E3CB}"/>
    <cellStyle name="40% - Énfasis6 18 3 3 2" xfId="25377" xr:uid="{519F398C-C271-4279-9FCC-033910B2AB0F}"/>
    <cellStyle name="40% - Énfasis6 18 3 3 2 2" xfId="48779" xr:uid="{061524C0-67AE-4771-A7A8-7A2F25364995}"/>
    <cellStyle name="40% - Énfasis6 18 3 3 3" xfId="48778" xr:uid="{55A0ABFC-DC7E-4BC3-AA2B-20528F571F5B}"/>
    <cellStyle name="40% - Énfasis6 18 3 4" xfId="17672" xr:uid="{2C4CC204-DFC8-4090-889A-F56A39F7F6F4}"/>
    <cellStyle name="40% - Énfasis6 18 3 4 2" xfId="48780" xr:uid="{1AF91C97-B0BB-4005-A4C1-46F0A8D92070}"/>
    <cellStyle name="40% - Énfasis6 18 3 5" xfId="48773" xr:uid="{FFD42D58-6CFA-402E-99AD-EF55DC3C6344}"/>
    <cellStyle name="40% - Énfasis6 18 4" xfId="4508" xr:uid="{445A3F4B-E7C0-4D31-BAB3-56DF3C9368C9}"/>
    <cellStyle name="40% - Énfasis6 18 4 2" xfId="12216" xr:uid="{A5F9C8B4-00B3-4203-9C2E-DECDA53F36E1}"/>
    <cellStyle name="40% - Énfasis6 18 4 2 2" xfId="27628" xr:uid="{2404C323-2B12-4BC0-93B9-BF7114E91EDE}"/>
    <cellStyle name="40% - Énfasis6 18 4 2 2 2" xfId="48783" xr:uid="{7C0E02E0-0ECA-4F87-A7A3-45DECF1AB960}"/>
    <cellStyle name="40% - Énfasis6 18 4 2 3" xfId="48782" xr:uid="{0EB9EF07-0DDD-490E-92AB-ACE4CC40DE62}"/>
    <cellStyle name="40% - Énfasis6 18 4 3" xfId="19923" xr:uid="{05876BA8-F760-4620-A4B5-8C916A3D80BD}"/>
    <cellStyle name="40% - Énfasis6 18 4 3 2" xfId="48784" xr:uid="{C78B77D1-D93E-4263-8086-A28EEF4CF289}"/>
    <cellStyle name="40% - Énfasis6 18 4 4" xfId="48781" xr:uid="{C65B9FF9-A177-439F-A3F3-A84E65ECBE30}"/>
    <cellStyle name="40% - Énfasis6 18 5" xfId="8505" xr:uid="{8B3D1423-4BC7-47B5-A180-ABE6FD40B092}"/>
    <cellStyle name="40% - Énfasis6 18 5 2" xfId="23918" xr:uid="{D5208825-E7DC-486D-8582-4BACF4DC4577}"/>
    <cellStyle name="40% - Énfasis6 18 5 2 2" xfId="48786" xr:uid="{BC5CA987-1745-4D8B-84C0-D61D30DF318C}"/>
    <cellStyle name="40% - Énfasis6 18 5 3" xfId="48785" xr:uid="{A50D8E6A-955C-455A-9F94-6F45BA729522}"/>
    <cellStyle name="40% - Énfasis6 18 6" xfId="16213" xr:uid="{DFE8E933-4525-4EC9-90C4-EA4ACA06F2D6}"/>
    <cellStyle name="40% - Énfasis6 18 6 2" xfId="48787" xr:uid="{010C87D8-6075-45B5-9B13-14FA603092A2}"/>
    <cellStyle name="40% - Énfasis6 18 7" xfId="48756" xr:uid="{F0457442-04BD-4D61-B648-CE4B7F1E10BF}"/>
    <cellStyle name="40% - Énfasis6 19" xfId="782" xr:uid="{D7F9D3BC-2BD7-4038-A6F9-9C20A3311A39}"/>
    <cellStyle name="40% - Énfasis6 19 2" xfId="2272" xr:uid="{BA152733-D1A4-49FA-9421-6C859A77554C}"/>
    <cellStyle name="40% - Énfasis6 19 2 2" xfId="6004" xr:uid="{E6630AFC-3855-4D72-964C-D0E36FB304EC}"/>
    <cellStyle name="40% - Énfasis6 19 2 2 2" xfId="13712" xr:uid="{F5C58AEF-3A7E-4E3E-9F79-E858F2364338}"/>
    <cellStyle name="40% - Énfasis6 19 2 2 2 2" xfId="29124" xr:uid="{B4529FDB-55A2-471B-8335-DD0A1CE8C09A}"/>
    <cellStyle name="40% - Énfasis6 19 2 2 2 2 2" xfId="48792" xr:uid="{8E526434-92AE-4AFE-8A7D-2E3F481EE3A1}"/>
    <cellStyle name="40% - Énfasis6 19 2 2 2 3" xfId="48791" xr:uid="{BCE4C842-649A-4189-B144-BA2FAF3829A3}"/>
    <cellStyle name="40% - Énfasis6 19 2 2 3" xfId="21419" xr:uid="{1C1B61EC-61C1-419A-AC37-B26BDFDC3F05}"/>
    <cellStyle name="40% - Énfasis6 19 2 2 3 2" xfId="48793" xr:uid="{91017069-5A12-4385-8CAC-6BB851CB8D13}"/>
    <cellStyle name="40% - Énfasis6 19 2 2 4" xfId="48790" xr:uid="{020C5742-9C8A-4416-94DC-7FCE9E6A28CD}"/>
    <cellStyle name="40% - Énfasis6 19 2 3" xfId="9983" xr:uid="{5A300ADA-BB18-4896-B026-4A0B347B5F7E}"/>
    <cellStyle name="40% - Énfasis6 19 2 3 2" xfId="25396" xr:uid="{C6CE3C36-5E85-4A98-89AF-65C076B88901}"/>
    <cellStyle name="40% - Énfasis6 19 2 3 2 2" xfId="48795" xr:uid="{99A74D2E-14AE-4975-AD35-88A4993BC0A0}"/>
    <cellStyle name="40% - Énfasis6 19 2 3 3" xfId="48794" xr:uid="{836666DC-39C2-4D8E-8763-13226B49AF57}"/>
    <cellStyle name="40% - Énfasis6 19 2 4" xfId="17691" xr:uid="{03F852AE-1247-491F-A10E-EF7819D3E48F}"/>
    <cellStyle name="40% - Énfasis6 19 2 4 2" xfId="48796" xr:uid="{512F901B-2CDB-4026-A321-E51B461F86E2}"/>
    <cellStyle name="40% - Énfasis6 19 2 5" xfId="48789" xr:uid="{3185D877-77F6-4296-97DC-EB43AD2F9CEB}"/>
    <cellStyle name="40% - Énfasis6 19 3" xfId="4527" xr:uid="{9D067B61-E2CC-4CD0-A167-93E0C25A1F7E}"/>
    <cellStyle name="40% - Énfasis6 19 3 2" xfId="12235" xr:uid="{7DCDAAC5-BEF5-4E56-9AA6-2B0605516D2F}"/>
    <cellStyle name="40% - Énfasis6 19 3 2 2" xfId="27647" xr:uid="{73C7A5FC-433A-4AB6-BF4E-2C43C437D14B}"/>
    <cellStyle name="40% - Énfasis6 19 3 2 2 2" xfId="48799" xr:uid="{46173D6F-AA2B-4755-BD51-A86683B98224}"/>
    <cellStyle name="40% - Énfasis6 19 3 2 3" xfId="48798" xr:uid="{56DFFD0D-277F-4044-A5F7-4D487CB13C62}"/>
    <cellStyle name="40% - Énfasis6 19 3 3" xfId="19942" xr:uid="{40A27BCE-0273-468A-ABA1-A713C259FD95}"/>
    <cellStyle name="40% - Énfasis6 19 3 3 2" xfId="48800" xr:uid="{AACAC424-829F-48A0-B8A7-43E1415C36EB}"/>
    <cellStyle name="40% - Énfasis6 19 3 4" xfId="48797" xr:uid="{3E9241EF-C4A3-4E50-BB1A-64B062F49349}"/>
    <cellStyle name="40% - Énfasis6 19 4" xfId="8524" xr:uid="{95534F88-D137-4854-BD9E-D8D39F16A696}"/>
    <cellStyle name="40% - Énfasis6 19 4 2" xfId="23937" xr:uid="{08B5DFEE-E25A-40BE-B696-C732FED1047D}"/>
    <cellStyle name="40% - Énfasis6 19 4 2 2" xfId="48802" xr:uid="{F046E7D6-66BD-49BB-BFE7-588EA08D18A7}"/>
    <cellStyle name="40% - Énfasis6 19 4 3" xfId="48801" xr:uid="{4BDEFD3C-7CE5-40A8-896A-B23310D3A6E1}"/>
    <cellStyle name="40% - Énfasis6 19 5" xfId="16232" xr:uid="{A86F43A4-D1D6-45EB-A9B5-D8D139C8A400}"/>
    <cellStyle name="40% - Énfasis6 19 5 2" xfId="48803" xr:uid="{C893227B-901C-44F9-BE06-94427281794C}"/>
    <cellStyle name="40% - Énfasis6 19 6" xfId="48788" xr:uid="{FCD497AD-4F2C-479F-BE7A-22BB713E8F60}"/>
    <cellStyle name="40% - Énfasis6 2" xfId="181" xr:uid="{6145D017-4CAF-442E-8154-771DB2273DAA}"/>
    <cellStyle name="40% - Énfasis6 2 2" xfId="391" xr:uid="{D1479B00-E2FC-4D52-B447-720257F0F340}"/>
    <cellStyle name="40% - Énfasis6 2 2 2" xfId="1053" xr:uid="{23FC28EF-893F-4C72-8F2F-070D28133BFB}"/>
    <cellStyle name="40% - Énfasis6 2 2 2 2" xfId="2521" xr:uid="{985FFBF2-B7F5-4DA9-9BB9-EE9540417F87}"/>
    <cellStyle name="40% - Énfasis6 2 2 2 2 2" xfId="6253" xr:uid="{692818FC-8F12-4B96-A3DC-D20EB09A734C}"/>
    <cellStyle name="40% - Énfasis6 2 2 2 2 2 2" xfId="13961" xr:uid="{29EAE2EC-F719-4177-AB89-33BAA077FADC}"/>
    <cellStyle name="40% - Énfasis6 2 2 2 2 2 2 2" xfId="29373" xr:uid="{087834B5-0DFC-452F-82B5-D9E2A24F2006}"/>
    <cellStyle name="40% - Énfasis6 2 2 2 2 2 2 2 2" xfId="48810" xr:uid="{506AF67A-CF36-4127-A0D9-34A5ACB0CE83}"/>
    <cellStyle name="40% - Énfasis6 2 2 2 2 2 2 3" xfId="48809" xr:uid="{B569C1A3-79A3-4C21-AB30-326DC7876BAC}"/>
    <cellStyle name="40% - Énfasis6 2 2 2 2 2 3" xfId="21668" xr:uid="{91952D7C-0D11-49A4-96D9-537B59A24CE0}"/>
    <cellStyle name="40% - Énfasis6 2 2 2 2 2 3 2" xfId="48811" xr:uid="{FED80506-BFFF-4923-B202-123154ABA421}"/>
    <cellStyle name="40% - Énfasis6 2 2 2 2 2 4" xfId="48808" xr:uid="{643B54EF-5402-4DCE-9A66-409A060FC8F6}"/>
    <cellStyle name="40% - Énfasis6 2 2 2 2 3" xfId="10232" xr:uid="{A3BC15C8-E91C-4093-9DEC-DD48E9B149C6}"/>
    <cellStyle name="40% - Énfasis6 2 2 2 2 3 2" xfId="25645" xr:uid="{6ACF3A85-3B54-402F-96AC-C932EE99E2A5}"/>
    <cellStyle name="40% - Énfasis6 2 2 2 2 3 2 2" xfId="48813" xr:uid="{7DC96FAF-4659-40A0-8C3B-055962070CAB}"/>
    <cellStyle name="40% - Énfasis6 2 2 2 2 3 3" xfId="48812" xr:uid="{5C869F04-1C16-40F9-9D6F-0A795839F143}"/>
    <cellStyle name="40% - Énfasis6 2 2 2 2 4" xfId="17940" xr:uid="{0A57970B-A9B0-4DB5-AAE7-1CF38F94C6DB}"/>
    <cellStyle name="40% - Énfasis6 2 2 2 2 4 2" xfId="48814" xr:uid="{0C28F649-E600-430C-8084-D17AA8435E5D}"/>
    <cellStyle name="40% - Énfasis6 2 2 2 2 5" xfId="48807" xr:uid="{C25C668A-78AE-47A3-B2C0-4578295F1096}"/>
    <cellStyle name="40% - Énfasis6 2 2 2 3" xfId="4790" xr:uid="{917D707B-1675-4338-BB26-059CF9CF9CCD}"/>
    <cellStyle name="40% - Énfasis6 2 2 2 3 2" xfId="12498" xr:uid="{BE3144BC-DFCD-455E-90F8-8FDDA9198BC0}"/>
    <cellStyle name="40% - Énfasis6 2 2 2 3 2 2" xfId="27910" xr:uid="{0CD74A36-21E0-4056-8501-7CEBCE629979}"/>
    <cellStyle name="40% - Énfasis6 2 2 2 3 2 2 2" xfId="48817" xr:uid="{3994FF82-475B-4716-BA20-A0B78F930A75}"/>
    <cellStyle name="40% - Énfasis6 2 2 2 3 2 3" xfId="48816" xr:uid="{D824803E-16C6-4BD9-B8E1-A4EACDA5CDA4}"/>
    <cellStyle name="40% - Énfasis6 2 2 2 3 3" xfId="20205" xr:uid="{C536DE5A-3299-4D88-AF79-92A2502AAE91}"/>
    <cellStyle name="40% - Énfasis6 2 2 2 3 3 2" xfId="48818" xr:uid="{5AFEC086-7271-428A-98A8-463118B616A9}"/>
    <cellStyle name="40% - Énfasis6 2 2 2 3 4" xfId="48815" xr:uid="{217C6149-6783-4828-AAB1-E5CC032D7216}"/>
    <cellStyle name="40% - Énfasis6 2 2 2 4" xfId="8773" xr:uid="{8A5F40E2-33A1-4C35-B69E-EA7917B6D112}"/>
    <cellStyle name="40% - Énfasis6 2 2 2 4 2" xfId="24186" xr:uid="{30D94740-EA5A-43D8-B386-D3279A4896B6}"/>
    <cellStyle name="40% - Énfasis6 2 2 2 4 2 2" xfId="48820" xr:uid="{40780E06-57AE-436C-8032-5734306F9A54}"/>
    <cellStyle name="40% - Énfasis6 2 2 2 4 3" xfId="48819" xr:uid="{E301383F-65EB-4964-84CB-7FDA578BB56E}"/>
    <cellStyle name="40% - Énfasis6 2 2 2 5" xfId="16481" xr:uid="{F0643E41-E701-48BA-8EE7-DBA9C8426059}"/>
    <cellStyle name="40% - Énfasis6 2 2 2 5 2" xfId="48821" xr:uid="{1662FE5D-FE3B-4589-8C88-89AD414DBBD5}"/>
    <cellStyle name="40% - Énfasis6 2 2 2 6" xfId="48806" xr:uid="{FC3E1D12-75C8-4989-B7C3-18809BCFA653}"/>
    <cellStyle name="40% - Énfasis6 2 2 3" xfId="1883" xr:uid="{E52DD49F-716D-43E9-A06A-81FF50548709}"/>
    <cellStyle name="40% - Énfasis6 2 2 3 2" xfId="5615" xr:uid="{BED28CBE-19A3-40F5-99F1-2B04AE7F966A}"/>
    <cellStyle name="40% - Énfasis6 2 2 3 2 2" xfId="13323" xr:uid="{7257E954-02F1-43EF-82A7-4F7637BA8B13}"/>
    <cellStyle name="40% - Énfasis6 2 2 3 2 2 2" xfId="28735" xr:uid="{3FA9DF6C-CB18-4FE4-A737-8F3C21EE384A}"/>
    <cellStyle name="40% - Énfasis6 2 2 3 2 2 2 2" xfId="48825" xr:uid="{79C5438F-99FF-415C-BD9F-0B5A65760208}"/>
    <cellStyle name="40% - Énfasis6 2 2 3 2 2 3" xfId="48824" xr:uid="{02A7DF06-697F-4AA7-81C9-E6C5732DF483}"/>
    <cellStyle name="40% - Énfasis6 2 2 3 2 3" xfId="21030" xr:uid="{CFAC5083-0610-464D-AA76-1CE9278593F0}"/>
    <cellStyle name="40% - Énfasis6 2 2 3 2 3 2" xfId="48826" xr:uid="{7D3DA4F9-8906-4BB8-833C-09588FBD7BE2}"/>
    <cellStyle name="40% - Énfasis6 2 2 3 2 4" xfId="48823" xr:uid="{1B1B9E55-B3F5-425B-8B3B-348E254DAB93}"/>
    <cellStyle name="40% - Énfasis6 2 2 3 3" xfId="9594" xr:uid="{94625FE5-F0BB-465A-87CB-13451B2957BA}"/>
    <cellStyle name="40% - Énfasis6 2 2 3 3 2" xfId="25007" xr:uid="{B6682320-9FD0-49E4-8656-59BD36CDDD8A}"/>
    <cellStyle name="40% - Énfasis6 2 2 3 3 2 2" xfId="48828" xr:uid="{EFB32EFD-152E-42D5-AC52-B57EE5362BDE}"/>
    <cellStyle name="40% - Énfasis6 2 2 3 3 3" xfId="48827" xr:uid="{6796D92C-69D3-4A1E-B4C4-AA4167BA2B3D}"/>
    <cellStyle name="40% - Énfasis6 2 2 3 4" xfId="17302" xr:uid="{0DBDA136-4CB2-4250-B1D8-C0FA80CD5DA1}"/>
    <cellStyle name="40% - Énfasis6 2 2 3 4 2" xfId="48829" xr:uid="{C47BD7D6-94C6-4107-A44B-D2F2E67C5155}"/>
    <cellStyle name="40% - Énfasis6 2 2 3 5" xfId="48822" xr:uid="{56810A13-2571-4B22-B7AF-140B1103E1FA}"/>
    <cellStyle name="40% - Énfasis6 2 2 4" xfId="4138" xr:uid="{E7DCD0A3-CF4D-43BA-99C9-C149C2FC04E7}"/>
    <cellStyle name="40% - Énfasis6 2 2 4 2" xfId="11846" xr:uid="{B2B5F28D-92A4-480A-B26B-63C5FBF6F255}"/>
    <cellStyle name="40% - Énfasis6 2 2 4 2 2" xfId="27258" xr:uid="{8C587836-DCB9-4BDA-A41E-E19206E0D51C}"/>
    <cellStyle name="40% - Énfasis6 2 2 4 2 2 2" xfId="48832" xr:uid="{E2FC5C0A-13D4-4A59-8F1C-BE8F2A1CB37D}"/>
    <cellStyle name="40% - Énfasis6 2 2 4 2 3" xfId="48831" xr:uid="{47464417-3975-4676-833D-888D3C2E189A}"/>
    <cellStyle name="40% - Énfasis6 2 2 4 3" xfId="19553" xr:uid="{60CB8193-3EAC-4F03-9B75-38756D3774A8}"/>
    <cellStyle name="40% - Énfasis6 2 2 4 3 2" xfId="48833" xr:uid="{1C1F9C1D-DFE8-434F-A095-36E9EFCA44CF}"/>
    <cellStyle name="40% - Énfasis6 2 2 4 4" xfId="48830" xr:uid="{C7F88FFE-E8D2-4580-9261-FC6BC776DB8E}"/>
    <cellStyle name="40% - Énfasis6 2 2 5" xfId="8135" xr:uid="{B95E7125-CBB1-4B9C-981E-3712F044C4E1}"/>
    <cellStyle name="40% - Énfasis6 2 2 5 2" xfId="23548" xr:uid="{2E2CA9BE-567F-42C4-907E-5B3AB52A5A89}"/>
    <cellStyle name="40% - Énfasis6 2 2 5 2 2" xfId="48835" xr:uid="{BA556B12-BDA6-4376-875A-4D7A1662C7E8}"/>
    <cellStyle name="40% - Énfasis6 2 2 5 3" xfId="48834" xr:uid="{ECE829D6-31BA-43CD-A683-966B7786293B}"/>
    <cellStyle name="40% - Énfasis6 2 2 6" xfId="15843" xr:uid="{DC9436F8-D66B-436D-AF96-C96C475EF227}"/>
    <cellStyle name="40% - Énfasis6 2 2 6 2" xfId="48836" xr:uid="{2D4105A6-C4DE-4BC1-9D0A-7FEC76564631}"/>
    <cellStyle name="40% - Énfasis6 2 2 7" xfId="48805" xr:uid="{7679B50D-B77F-4C59-A848-F51E2F95E1A7}"/>
    <cellStyle name="40% - Énfasis6 2 3" xfId="848" xr:uid="{E1113D33-38BC-405B-B16D-C74A718E6BC0}"/>
    <cellStyle name="40% - Énfasis6 2 3 2" xfId="2323" xr:uid="{2FAE8A90-CBC7-46E3-9A3B-F6FF1933FEF7}"/>
    <cellStyle name="40% - Énfasis6 2 3 2 2" xfId="6055" xr:uid="{0C7D316D-F6F4-4C2D-969A-3E250DAB490A}"/>
    <cellStyle name="40% - Énfasis6 2 3 2 2 2" xfId="13763" xr:uid="{43041BCD-6BCA-4697-915B-90709AAEDFB0}"/>
    <cellStyle name="40% - Énfasis6 2 3 2 2 2 2" xfId="29175" xr:uid="{F8A01D27-6749-4B5A-B60D-1FB4C0CA90E0}"/>
    <cellStyle name="40% - Énfasis6 2 3 2 2 2 2 2" xfId="48841" xr:uid="{90D3B0E1-25FC-4F5E-AA7B-A4FB7B86198A}"/>
    <cellStyle name="40% - Énfasis6 2 3 2 2 2 3" xfId="48840" xr:uid="{AE1DC38F-41E9-4217-9F58-0DA899E1721E}"/>
    <cellStyle name="40% - Énfasis6 2 3 2 2 3" xfId="21470" xr:uid="{3473E991-784B-407A-8213-1EFEC6A8588E}"/>
    <cellStyle name="40% - Énfasis6 2 3 2 2 3 2" xfId="48842" xr:uid="{1B8458C0-BD08-4FA2-834B-AC33AECFC129}"/>
    <cellStyle name="40% - Énfasis6 2 3 2 2 4" xfId="48839" xr:uid="{723B52D4-D233-41E1-B06A-DCF235B8E333}"/>
    <cellStyle name="40% - Énfasis6 2 3 2 3" xfId="10034" xr:uid="{47CB1203-EF47-40BD-8AF7-B17602A60387}"/>
    <cellStyle name="40% - Énfasis6 2 3 2 3 2" xfId="25447" xr:uid="{3AD3396B-B16D-4179-9DFE-ACB6ACEE030C}"/>
    <cellStyle name="40% - Énfasis6 2 3 2 3 2 2" xfId="48844" xr:uid="{9BAB9607-C2E8-448D-B9CD-1E3D62E5947A}"/>
    <cellStyle name="40% - Énfasis6 2 3 2 3 3" xfId="48843" xr:uid="{1624F5DA-F6D0-4C0D-B962-CB6C690BC8E5}"/>
    <cellStyle name="40% - Énfasis6 2 3 2 4" xfId="17742" xr:uid="{C23FFD34-18BD-4D85-BA0A-50373CB39591}"/>
    <cellStyle name="40% - Énfasis6 2 3 2 4 2" xfId="48845" xr:uid="{50179FBA-8270-4BAE-8AFD-1F3F0A1261F7}"/>
    <cellStyle name="40% - Énfasis6 2 3 2 5" xfId="48838" xr:uid="{A1B6EE92-35D2-4DE8-81AE-207715501D40}"/>
    <cellStyle name="40% - Énfasis6 2 3 3" xfId="4585" xr:uid="{83837778-0F4F-4F1B-B553-218D3AE119CC}"/>
    <cellStyle name="40% - Énfasis6 2 3 3 2" xfId="12293" xr:uid="{D601DDF6-1DA9-48A5-B207-A24AA0482510}"/>
    <cellStyle name="40% - Énfasis6 2 3 3 2 2" xfId="27705" xr:uid="{03FE5BB2-E98B-4F71-8DD5-960E626469D4}"/>
    <cellStyle name="40% - Énfasis6 2 3 3 2 2 2" xfId="48848" xr:uid="{B15F5E76-D380-40ED-B372-E53F67695A25}"/>
    <cellStyle name="40% - Énfasis6 2 3 3 2 3" xfId="48847" xr:uid="{518BDC4B-8960-45C0-A994-8599966D2041}"/>
    <cellStyle name="40% - Énfasis6 2 3 3 3" xfId="20000" xr:uid="{28D492E8-2F5E-4851-BC1F-E18448CD0565}"/>
    <cellStyle name="40% - Énfasis6 2 3 3 3 2" xfId="48849" xr:uid="{3A77A58A-5834-451A-98F6-D16A079B26AA}"/>
    <cellStyle name="40% - Énfasis6 2 3 3 4" xfId="48846" xr:uid="{65970F48-C869-45B3-8124-9FD02E97CBF0}"/>
    <cellStyle name="40% - Énfasis6 2 3 4" xfId="8575" xr:uid="{A91DAB87-21BA-4136-8F17-7F5703161978}"/>
    <cellStyle name="40% - Énfasis6 2 3 4 2" xfId="23988" xr:uid="{21A5BF6F-099A-480F-96C6-29E3B692A333}"/>
    <cellStyle name="40% - Énfasis6 2 3 4 2 2" xfId="48851" xr:uid="{85EE219F-BD0E-4BA2-927E-008B76B6B3E9}"/>
    <cellStyle name="40% - Énfasis6 2 3 4 3" xfId="48850" xr:uid="{FE309288-FDED-4B65-B12B-5210A27EA2A9}"/>
    <cellStyle name="40% - Énfasis6 2 3 5" xfId="16283" xr:uid="{1085FF5A-5BF5-4AE1-A3AF-1D1B015C3965}"/>
    <cellStyle name="40% - Énfasis6 2 3 5 2" xfId="48852" xr:uid="{282D50AA-C9C8-4BC6-A643-47DC4E8B7E73}"/>
    <cellStyle name="40% - Énfasis6 2 3 6" xfId="48837" xr:uid="{2654579C-72E2-4279-A4AA-F2B788F368DA}"/>
    <cellStyle name="40% - Énfasis6 2 4" xfId="1685" xr:uid="{95154962-33C8-4EDC-B3EA-291735EA43DB}"/>
    <cellStyle name="40% - Énfasis6 2 4 2" xfId="5417" xr:uid="{CABEE43A-534E-462C-B87F-AC5F61C96E31}"/>
    <cellStyle name="40% - Énfasis6 2 4 2 2" xfId="13125" xr:uid="{8A32614A-7CEF-4F28-B569-F3AE757329BE}"/>
    <cellStyle name="40% - Énfasis6 2 4 2 2 2" xfId="28537" xr:uid="{1FB4ADF3-1D2B-462C-962F-DF4C0B65AFF5}"/>
    <cellStyle name="40% - Énfasis6 2 4 2 2 2 2" xfId="48856" xr:uid="{FDF16856-960A-4864-9B30-6DB5B80C2AFD}"/>
    <cellStyle name="40% - Énfasis6 2 4 2 2 3" xfId="48855" xr:uid="{C25D6A61-339D-44C5-8F22-6E2ADBA2BA5C}"/>
    <cellStyle name="40% - Énfasis6 2 4 2 3" xfId="20832" xr:uid="{3E7F8D34-C5C2-4EA6-9006-8A5184D35FAF}"/>
    <cellStyle name="40% - Énfasis6 2 4 2 3 2" xfId="48857" xr:uid="{6E759332-621D-4FF3-B6C2-23432E2EC065}"/>
    <cellStyle name="40% - Énfasis6 2 4 2 4" xfId="48854" xr:uid="{ECE8F2A2-609C-4F72-8EF7-39BD0D6153B0}"/>
    <cellStyle name="40% - Énfasis6 2 4 3" xfId="9396" xr:uid="{2A629F12-1BFB-4728-8863-5028887D79BE}"/>
    <cellStyle name="40% - Énfasis6 2 4 3 2" xfId="24809" xr:uid="{ED5AFD16-6246-4EB6-9528-60D1DC590B2B}"/>
    <cellStyle name="40% - Énfasis6 2 4 3 2 2" xfId="48859" xr:uid="{1679A398-CB9B-4C47-8DB7-108C3F4E8E07}"/>
    <cellStyle name="40% - Énfasis6 2 4 3 3" xfId="48858" xr:uid="{1870ED1F-97AA-483F-9B5F-01EA28B21D5A}"/>
    <cellStyle name="40% - Énfasis6 2 4 4" xfId="17104" xr:uid="{680DD8A6-66C7-4988-B286-24DC377226A4}"/>
    <cellStyle name="40% - Énfasis6 2 4 4 2" xfId="48860" xr:uid="{1DF80BF6-30BA-4BD3-B45D-C892DEDD4A78}"/>
    <cellStyle name="40% - Énfasis6 2 4 5" xfId="48853" xr:uid="{9E0EEA86-30D7-4DF4-8902-BB66041C7E3C}"/>
    <cellStyle name="40% - Énfasis6 2 5" xfId="3933" xr:uid="{0289C456-CE78-466D-9691-9EDF573C8342}"/>
    <cellStyle name="40% - Énfasis6 2 5 2" xfId="11641" xr:uid="{2F7C3C5F-2136-4FEB-A84B-1889866A411C}"/>
    <cellStyle name="40% - Énfasis6 2 5 2 2" xfId="27053" xr:uid="{DF39DF84-2474-4E0C-BD23-8BD2D794ABD6}"/>
    <cellStyle name="40% - Énfasis6 2 5 2 2 2" xfId="48863" xr:uid="{867E25EE-3A66-4C43-A536-B76EB9BA77D3}"/>
    <cellStyle name="40% - Énfasis6 2 5 2 3" xfId="48862" xr:uid="{24985613-D14E-4384-A24C-D78668E8C422}"/>
    <cellStyle name="40% - Énfasis6 2 5 3" xfId="19348" xr:uid="{DD3FBB93-306F-4849-9598-895D3B5024CD}"/>
    <cellStyle name="40% - Énfasis6 2 5 3 2" xfId="48864" xr:uid="{5F4902C3-1704-4F20-9A4A-B6E8A50A491E}"/>
    <cellStyle name="40% - Énfasis6 2 5 4" xfId="48861" xr:uid="{5BFC3A90-3C4F-4B7B-877D-FE75B6681B30}"/>
    <cellStyle name="40% - Énfasis6 2 6" xfId="7937" xr:uid="{1083AD42-FF10-4D32-BD2B-41EDD0B73668}"/>
    <cellStyle name="40% - Énfasis6 2 6 2" xfId="23350" xr:uid="{6837BE3B-54F6-47C9-9FC6-8812600D82A5}"/>
    <cellStyle name="40% - Énfasis6 2 6 2 2" xfId="48866" xr:uid="{AD73B138-1F2E-454B-ABAF-917F7EEE0B24}"/>
    <cellStyle name="40% - Énfasis6 2 6 3" xfId="48865" xr:uid="{379552D1-5EB9-49D8-A88C-7095CE4FB657}"/>
    <cellStyle name="40% - Énfasis6 2 7" xfId="15645" xr:uid="{89A57E9E-3F39-4FB3-85CF-4F48FA7FAE6F}"/>
    <cellStyle name="40% - Énfasis6 2 7 2" xfId="48867" xr:uid="{1E5F450C-4012-44D5-9D9D-995D7ED00C18}"/>
    <cellStyle name="40% - Énfasis6 2 8" xfId="48804" xr:uid="{736607D2-8F9A-49B1-A509-917D7FE4BEF9}"/>
    <cellStyle name="40% - Énfasis6 20" xfId="1446" xr:uid="{F0A12ED7-297D-4D8B-BAA5-D3C19BC8A4AE}"/>
    <cellStyle name="40% - Énfasis6 20 2" xfId="2911" xr:uid="{E881798C-BC99-4F95-9B83-083F10F2B7CC}"/>
    <cellStyle name="40% - Énfasis6 20 2 2" xfId="6643" xr:uid="{B8636C7C-84F1-4B15-B450-3E557E048782}"/>
    <cellStyle name="40% - Énfasis6 20 2 2 2" xfId="14351" xr:uid="{3A7DBDE5-8F4F-4BC5-B565-CDAD2D2BA007}"/>
    <cellStyle name="40% - Énfasis6 20 2 2 2 2" xfId="29763" xr:uid="{C6B17D07-8714-4B9B-86AC-BEDF55C4860A}"/>
    <cellStyle name="40% - Énfasis6 20 2 2 2 2 2" xfId="48872" xr:uid="{BEBED957-E344-4CFF-AC3C-EEC87AD72980}"/>
    <cellStyle name="40% - Énfasis6 20 2 2 2 3" xfId="48871" xr:uid="{93E1DA76-2E4C-4B75-B885-237DBE26D76F}"/>
    <cellStyle name="40% - Énfasis6 20 2 2 3" xfId="22058" xr:uid="{A33BA822-D407-4C75-AD6E-8741FD8AD768}"/>
    <cellStyle name="40% - Énfasis6 20 2 2 3 2" xfId="48873" xr:uid="{446B1621-E204-48EE-A84E-B15AF1C9E4A6}"/>
    <cellStyle name="40% - Énfasis6 20 2 2 4" xfId="48870" xr:uid="{69749A72-68AC-4446-AD9A-AABCF1342BE5}"/>
    <cellStyle name="40% - Énfasis6 20 2 3" xfId="10622" xr:uid="{33A1D5D5-55C7-433D-93E2-D30CD264C032}"/>
    <cellStyle name="40% - Énfasis6 20 2 3 2" xfId="26035" xr:uid="{36CDED02-4138-4128-BC00-A39159770BBE}"/>
    <cellStyle name="40% - Énfasis6 20 2 3 2 2" xfId="48875" xr:uid="{BF09A2BE-5091-4BAE-9268-6F0E585DB54E}"/>
    <cellStyle name="40% - Énfasis6 20 2 3 3" xfId="48874" xr:uid="{06778CE9-A985-47B9-ACD2-13CD2C5CA8C1}"/>
    <cellStyle name="40% - Énfasis6 20 2 4" xfId="18330" xr:uid="{4999F6AA-D347-4C3C-8A08-142F274CFB2C}"/>
    <cellStyle name="40% - Énfasis6 20 2 4 2" xfId="48876" xr:uid="{009796EE-A4D8-4F08-8D2C-AAF12EBC6AA2}"/>
    <cellStyle name="40% - Énfasis6 20 2 5" xfId="48869" xr:uid="{A9AA141E-C6A5-4074-A32B-D34460E808D4}"/>
    <cellStyle name="40% - Énfasis6 20 3" xfId="5182" xr:uid="{832CC7D2-0409-4C3C-A6AA-0254D07414B8}"/>
    <cellStyle name="40% - Énfasis6 20 3 2" xfId="12890" xr:uid="{4A481B0E-A4B4-490A-AC25-B5159A588859}"/>
    <cellStyle name="40% - Énfasis6 20 3 2 2" xfId="28302" xr:uid="{08FF1AAD-A26F-4B37-83AD-70291211C5AC}"/>
    <cellStyle name="40% - Énfasis6 20 3 2 2 2" xfId="48879" xr:uid="{AE4C72F9-FA7B-4F61-B00D-9126D8E9FA24}"/>
    <cellStyle name="40% - Énfasis6 20 3 2 3" xfId="48878" xr:uid="{4CBDB5F4-FF11-4C52-8556-8476BC0E9A49}"/>
    <cellStyle name="40% - Énfasis6 20 3 3" xfId="20597" xr:uid="{3697AAAE-5B02-40CF-8EDA-BF0DA606D1B5}"/>
    <cellStyle name="40% - Énfasis6 20 3 3 2" xfId="48880" xr:uid="{008EC57A-F61B-43E0-BA8D-8FAA2A7607DC}"/>
    <cellStyle name="40% - Énfasis6 20 3 4" xfId="48877" xr:uid="{066B4EDB-B973-4833-A871-9F6E95600999}"/>
    <cellStyle name="40% - Énfasis6 20 4" xfId="9163" xr:uid="{6729BA95-07D7-41E2-93CB-B74F847CAE54}"/>
    <cellStyle name="40% - Énfasis6 20 4 2" xfId="24576" xr:uid="{3C05076B-6A8F-4098-AFE1-FEF499F76D0C}"/>
    <cellStyle name="40% - Énfasis6 20 4 2 2" xfId="48882" xr:uid="{C150F815-0F96-4ACE-A918-B0F5362398E3}"/>
    <cellStyle name="40% - Énfasis6 20 4 3" xfId="48881" xr:uid="{441756D8-92C2-459A-88B8-CDB5EC8F5C53}"/>
    <cellStyle name="40% - Énfasis6 20 5" xfId="16871" xr:uid="{DF704D1D-9E23-4067-8360-60320EFA56B9}"/>
    <cellStyle name="40% - Énfasis6 20 5 2" xfId="48883" xr:uid="{DA462C55-F559-4154-9625-41C4DC54ADFF}"/>
    <cellStyle name="40% - Énfasis6 20 6" xfId="48868" xr:uid="{94244D4B-BBC4-4C81-8001-92EEB28A0702}"/>
    <cellStyle name="40% - Énfasis6 21" xfId="1466" xr:uid="{9BB8F525-E180-4E99-A749-1D53B3F68C47}"/>
    <cellStyle name="40% - Énfasis6 21 2" xfId="2931" xr:uid="{78914803-0E84-45BE-841D-39694C8304B3}"/>
    <cellStyle name="40% - Énfasis6 21 2 2" xfId="6663" xr:uid="{A78BFCD0-427C-4D58-82A1-BF397BA436DA}"/>
    <cellStyle name="40% - Énfasis6 21 2 2 2" xfId="14371" xr:uid="{80039D5E-4D75-4E32-9131-8743FC11E21F}"/>
    <cellStyle name="40% - Énfasis6 21 2 2 2 2" xfId="29783" xr:uid="{16060BDE-B5E5-4572-9DE2-975B3B6B4BD0}"/>
    <cellStyle name="40% - Énfasis6 21 2 2 2 2 2" xfId="48888" xr:uid="{830CA98E-E6F9-4D41-94E0-40BFA14DD68D}"/>
    <cellStyle name="40% - Énfasis6 21 2 2 2 3" xfId="48887" xr:uid="{18F5CB1C-61F4-4D82-93E1-3040BD479A63}"/>
    <cellStyle name="40% - Énfasis6 21 2 2 3" xfId="22078" xr:uid="{8295E45E-5F26-4821-A76C-A29FDF2279EF}"/>
    <cellStyle name="40% - Énfasis6 21 2 2 3 2" xfId="48889" xr:uid="{9FE92ABB-113A-458E-95A8-C21FC4B9D711}"/>
    <cellStyle name="40% - Énfasis6 21 2 2 4" xfId="48886" xr:uid="{809E66E9-26D6-4015-9C68-2FC0503355B1}"/>
    <cellStyle name="40% - Énfasis6 21 2 3" xfId="10642" xr:uid="{0C6DCCAE-626B-47A7-A855-7B07D1B0199F}"/>
    <cellStyle name="40% - Énfasis6 21 2 3 2" xfId="26055" xr:uid="{47708AF2-FCB2-4DE7-B685-2941628F7861}"/>
    <cellStyle name="40% - Énfasis6 21 2 3 2 2" xfId="48891" xr:uid="{6A0237E1-42AF-48EB-BB36-01F4605175FB}"/>
    <cellStyle name="40% - Énfasis6 21 2 3 3" xfId="48890" xr:uid="{D36FD499-69E7-46D8-99FA-BCF3F9DEE7EE}"/>
    <cellStyle name="40% - Énfasis6 21 2 4" xfId="18350" xr:uid="{5074606A-9999-4B3E-B309-453C7CBFB8FE}"/>
    <cellStyle name="40% - Énfasis6 21 2 4 2" xfId="48892" xr:uid="{038E368E-BCB6-49C2-A2E5-9BE6F4ACD036}"/>
    <cellStyle name="40% - Énfasis6 21 2 5" xfId="48885" xr:uid="{FE098E91-28C4-44E4-986D-7BC45D994B1E}"/>
    <cellStyle name="40% - Énfasis6 21 3" xfId="5202" xr:uid="{3F2EE06E-C2EC-4922-AAAF-11598EF86202}"/>
    <cellStyle name="40% - Énfasis6 21 3 2" xfId="12910" xr:uid="{AC6BCDAF-2E84-4535-B418-76EF864B73B3}"/>
    <cellStyle name="40% - Énfasis6 21 3 2 2" xfId="28322" xr:uid="{1CCCB613-C2F2-43A8-B4FC-E849BA3F503E}"/>
    <cellStyle name="40% - Énfasis6 21 3 2 2 2" xfId="48895" xr:uid="{5EDE7ACE-8A1B-40F8-B430-C4A1C51FE23C}"/>
    <cellStyle name="40% - Énfasis6 21 3 2 3" xfId="48894" xr:uid="{F6A6FB7C-06EA-46CA-BBA9-D5FEF564F80F}"/>
    <cellStyle name="40% - Énfasis6 21 3 3" xfId="20617" xr:uid="{E2C48C8C-7C1E-4123-B76F-979840AFB8BD}"/>
    <cellStyle name="40% - Énfasis6 21 3 3 2" xfId="48896" xr:uid="{1B9910F4-1B09-4999-AD56-52EFAC9E8FC7}"/>
    <cellStyle name="40% - Énfasis6 21 3 4" xfId="48893" xr:uid="{3D2174FC-6206-4184-8AB0-CB70C0AB217F}"/>
    <cellStyle name="40% - Énfasis6 21 4" xfId="9183" xr:uid="{1A627C74-A903-4FD4-B884-4D7DA862644D}"/>
    <cellStyle name="40% - Énfasis6 21 4 2" xfId="24596" xr:uid="{A6C028AE-3950-423E-BA08-BFD27BE06E1E}"/>
    <cellStyle name="40% - Énfasis6 21 4 2 2" xfId="48898" xr:uid="{18021361-D8CB-4E2B-BDCE-B98F23F81602}"/>
    <cellStyle name="40% - Énfasis6 21 4 3" xfId="48897" xr:uid="{79342547-BBA2-4916-BC67-14BF3CFA67FB}"/>
    <cellStyle name="40% - Énfasis6 21 5" xfId="16891" xr:uid="{07A0A5B7-ABAB-48BE-8021-6D4B86889656}"/>
    <cellStyle name="40% - Énfasis6 21 5 2" xfId="48899" xr:uid="{DEFA711D-51AA-454C-9583-C1301E1188C4}"/>
    <cellStyle name="40% - Énfasis6 21 6" xfId="48884" xr:uid="{2C9C6D7A-F162-4592-9A22-D51B9F54C104}"/>
    <cellStyle name="40% - Énfasis6 22" xfId="1486" xr:uid="{CAFA2803-BB32-48AF-8ECE-DC339A109A34}"/>
    <cellStyle name="40% - Énfasis6 22 2" xfId="2951" xr:uid="{81AD3A92-2B75-41C5-ABDE-D9C05BE85924}"/>
    <cellStyle name="40% - Énfasis6 22 2 2" xfId="6683" xr:uid="{5174522B-7C9A-47AA-9522-CE65100585D6}"/>
    <cellStyle name="40% - Énfasis6 22 2 2 2" xfId="14391" xr:uid="{B75EC711-7A7E-496C-8EBC-9DEBC8FB057E}"/>
    <cellStyle name="40% - Énfasis6 22 2 2 2 2" xfId="29803" xr:uid="{75D975D2-55FD-429E-9CF1-BA3E91A71D64}"/>
    <cellStyle name="40% - Énfasis6 22 2 2 2 2 2" xfId="48904" xr:uid="{91E13116-F329-4A70-A811-846E81FD2B3C}"/>
    <cellStyle name="40% - Énfasis6 22 2 2 2 3" xfId="48903" xr:uid="{79C3DE8E-9051-4FD2-9D04-1D891C479DC4}"/>
    <cellStyle name="40% - Énfasis6 22 2 2 3" xfId="22098" xr:uid="{469D09B5-A763-4F13-B579-C9A2988BDC50}"/>
    <cellStyle name="40% - Énfasis6 22 2 2 3 2" xfId="48905" xr:uid="{2674D470-8407-439B-A767-60F89D027EF2}"/>
    <cellStyle name="40% - Énfasis6 22 2 2 4" xfId="48902" xr:uid="{DCBA0DF7-AB88-4192-B21B-F79CCE504FE5}"/>
    <cellStyle name="40% - Énfasis6 22 2 3" xfId="10662" xr:uid="{193A673D-B7EB-42BA-9B30-5D9A71791499}"/>
    <cellStyle name="40% - Énfasis6 22 2 3 2" xfId="26075" xr:uid="{BBE2785A-2ADD-42CF-837D-E799F58AA074}"/>
    <cellStyle name="40% - Énfasis6 22 2 3 2 2" xfId="48907" xr:uid="{D02B4334-69CF-43E0-96A8-8D9B6EF5E7B2}"/>
    <cellStyle name="40% - Énfasis6 22 2 3 3" xfId="48906" xr:uid="{742E42C7-5B36-4350-B57C-20B5B8796F0A}"/>
    <cellStyle name="40% - Énfasis6 22 2 4" xfId="18370" xr:uid="{4DBD3707-27BD-427F-BF68-1BEF946C27C7}"/>
    <cellStyle name="40% - Énfasis6 22 2 4 2" xfId="48908" xr:uid="{96AE2C99-DD87-4C2B-A9BC-A7D00CC87BE9}"/>
    <cellStyle name="40% - Énfasis6 22 2 5" xfId="48901" xr:uid="{3680C7B7-4FA9-4B2E-BC86-BBC9A2CF59D7}"/>
    <cellStyle name="40% - Énfasis6 22 3" xfId="5222" xr:uid="{263213B7-4575-4E87-AF67-BD091B0EA3FB}"/>
    <cellStyle name="40% - Énfasis6 22 3 2" xfId="12930" xr:uid="{B4370E8B-F1B2-4C58-9222-7ED98BFBB55A}"/>
    <cellStyle name="40% - Énfasis6 22 3 2 2" xfId="28342" xr:uid="{BC42C439-3FBA-4237-88FD-ECAAFF80F00A}"/>
    <cellStyle name="40% - Énfasis6 22 3 2 2 2" xfId="48911" xr:uid="{9AD5E1AB-6C4D-4825-9EFB-4184EC481FB1}"/>
    <cellStyle name="40% - Énfasis6 22 3 2 3" xfId="48910" xr:uid="{8CB98240-0AF5-4C68-9953-968BCB4E1FF2}"/>
    <cellStyle name="40% - Énfasis6 22 3 3" xfId="20637" xr:uid="{4C58FB0C-0D6B-4A1A-BE27-1F52DEF21ABC}"/>
    <cellStyle name="40% - Énfasis6 22 3 3 2" xfId="48912" xr:uid="{9311287F-5805-49D5-BE38-2592EF90C576}"/>
    <cellStyle name="40% - Énfasis6 22 3 4" xfId="48909" xr:uid="{FCFE6A19-643E-4B02-859F-169155630DC2}"/>
    <cellStyle name="40% - Énfasis6 22 4" xfId="9203" xr:uid="{F5AF5440-C58C-48C6-9D92-0998C82FC6D0}"/>
    <cellStyle name="40% - Énfasis6 22 4 2" xfId="24616" xr:uid="{617073ED-1688-465B-8BC8-85071632E61E}"/>
    <cellStyle name="40% - Énfasis6 22 4 2 2" xfId="48914" xr:uid="{1B4322DA-B0C0-4E4C-B127-DCAA87F9D930}"/>
    <cellStyle name="40% - Énfasis6 22 4 3" xfId="48913" xr:uid="{9E71C8D8-B85D-4644-9273-3191D8655C31}"/>
    <cellStyle name="40% - Énfasis6 22 5" xfId="16911" xr:uid="{E0FC7103-ECF9-4404-9324-285D891C6015}"/>
    <cellStyle name="40% - Énfasis6 22 5 2" xfId="48915" xr:uid="{D599F264-0A01-434C-82C2-3865559ACDBB}"/>
    <cellStyle name="40% - Énfasis6 22 6" xfId="48900" xr:uid="{48866ABE-BDFD-481D-933C-A0B8FD45052C}"/>
    <cellStyle name="40% - Énfasis6 23" xfId="1506" xr:uid="{BEB63E4D-8C7D-444E-B955-D628212953F8}"/>
    <cellStyle name="40% - Énfasis6 23 2" xfId="2971" xr:uid="{0BFBCD44-0368-40DF-A195-BC8EC276BE84}"/>
    <cellStyle name="40% - Énfasis6 23 2 2" xfId="6703" xr:uid="{F8D7B8A7-BBC9-49B4-8A5B-57E9037467A5}"/>
    <cellStyle name="40% - Énfasis6 23 2 2 2" xfId="14411" xr:uid="{E5503A13-5D1F-4797-925A-9E8846995B91}"/>
    <cellStyle name="40% - Énfasis6 23 2 2 2 2" xfId="29823" xr:uid="{275CA6CE-DB84-4C44-8EE2-B3DE7253800F}"/>
    <cellStyle name="40% - Énfasis6 23 2 2 2 2 2" xfId="48920" xr:uid="{FA24921E-D06D-46F6-AD51-EE5B14E00291}"/>
    <cellStyle name="40% - Énfasis6 23 2 2 2 3" xfId="48919" xr:uid="{795A0187-8C3A-4812-9982-D9891012FDB4}"/>
    <cellStyle name="40% - Énfasis6 23 2 2 3" xfId="22118" xr:uid="{D2CEF5A6-BEAF-470C-B242-007BFA706A7A}"/>
    <cellStyle name="40% - Énfasis6 23 2 2 3 2" xfId="48921" xr:uid="{F014B9F9-739C-4CD1-8228-EE1AAFF748BC}"/>
    <cellStyle name="40% - Énfasis6 23 2 2 4" xfId="48918" xr:uid="{FA462C6B-9AC4-44C0-847C-250018351B0B}"/>
    <cellStyle name="40% - Énfasis6 23 2 3" xfId="10682" xr:uid="{03A59FD7-0B8D-40F5-A458-61A73E8192A7}"/>
    <cellStyle name="40% - Énfasis6 23 2 3 2" xfId="26095" xr:uid="{56215D7D-F37A-47EE-81F7-9F543CC46370}"/>
    <cellStyle name="40% - Énfasis6 23 2 3 2 2" xfId="48923" xr:uid="{D5EEB8EC-3AA4-4707-A3FE-8D38244E4A3A}"/>
    <cellStyle name="40% - Énfasis6 23 2 3 3" xfId="48922" xr:uid="{7BF57631-A311-473A-9FFA-BE38EC8ED7C4}"/>
    <cellStyle name="40% - Énfasis6 23 2 4" xfId="18390" xr:uid="{6028B773-8C02-4465-9669-85D34C960BB6}"/>
    <cellStyle name="40% - Énfasis6 23 2 4 2" xfId="48924" xr:uid="{0DFF843C-BD7C-4452-8709-44A488415B3B}"/>
    <cellStyle name="40% - Énfasis6 23 2 5" xfId="48917" xr:uid="{2FE9925F-BAD4-47D8-A089-F3AD701F536F}"/>
    <cellStyle name="40% - Énfasis6 23 3" xfId="5242" xr:uid="{F56CB234-8200-4216-974B-5FC42F8E348C}"/>
    <cellStyle name="40% - Énfasis6 23 3 2" xfId="12950" xr:uid="{D78645B3-1786-40E5-AFC4-4A1731C6EF1D}"/>
    <cellStyle name="40% - Énfasis6 23 3 2 2" xfId="28362" xr:uid="{EA15E874-EEF7-4820-ADD2-EA9F727E857A}"/>
    <cellStyle name="40% - Énfasis6 23 3 2 2 2" xfId="48927" xr:uid="{B9ACA688-F25F-4288-83C7-DC78A2D674BE}"/>
    <cellStyle name="40% - Énfasis6 23 3 2 3" xfId="48926" xr:uid="{A4DD2320-5A6A-464F-AFB9-21234B0B67AB}"/>
    <cellStyle name="40% - Énfasis6 23 3 3" xfId="20657" xr:uid="{BF7443D5-69E2-49E0-87BC-8B3DF268CF7E}"/>
    <cellStyle name="40% - Énfasis6 23 3 3 2" xfId="48928" xr:uid="{8F4B6AE8-9599-4E6B-8AFC-EAF8C7A3ABF8}"/>
    <cellStyle name="40% - Énfasis6 23 3 4" xfId="48925" xr:uid="{4F1BCF50-016A-4ED9-A455-CB1ABAE0777D}"/>
    <cellStyle name="40% - Énfasis6 23 4" xfId="9223" xr:uid="{4716E244-D81E-4CED-923C-D76D3C257B9C}"/>
    <cellStyle name="40% - Énfasis6 23 4 2" xfId="24636" xr:uid="{E5E55F27-4A54-494A-9368-6CAA3DF86D02}"/>
    <cellStyle name="40% - Énfasis6 23 4 2 2" xfId="48930" xr:uid="{2D6324BA-B068-4055-A1FD-1C50C08A269F}"/>
    <cellStyle name="40% - Énfasis6 23 4 3" xfId="48929" xr:uid="{1C06488F-22F2-42F3-8703-13263787C2BB}"/>
    <cellStyle name="40% - Énfasis6 23 5" xfId="16931" xr:uid="{E73F6959-DA01-4523-BAF4-929B289ABD5C}"/>
    <cellStyle name="40% - Énfasis6 23 5 2" xfId="48931" xr:uid="{F478C519-6231-4D40-9DBB-F9D2D8D1C7F2}"/>
    <cellStyle name="40% - Énfasis6 23 6" xfId="48916" xr:uid="{72309BA2-9F65-439E-BCC4-8CC99A5837E6}"/>
    <cellStyle name="40% - Énfasis6 24" xfId="1526" xr:uid="{7D9CF3C7-5D9D-4996-9E05-3B7CB8BC31AF}"/>
    <cellStyle name="40% - Énfasis6 24 2" xfId="2991" xr:uid="{F0ED70C9-7676-41D9-976E-5E930DE3A965}"/>
    <cellStyle name="40% - Énfasis6 24 2 2" xfId="6723" xr:uid="{3AE1075A-1420-4048-80E7-37BB1A4D921E}"/>
    <cellStyle name="40% - Énfasis6 24 2 2 2" xfId="14431" xr:uid="{5C0A6305-7710-4BF3-9A6B-F69B455856FC}"/>
    <cellStyle name="40% - Énfasis6 24 2 2 2 2" xfId="29843" xr:uid="{64B2599F-BEC1-4B39-9A32-9FF2688F46D1}"/>
    <cellStyle name="40% - Énfasis6 24 2 2 2 2 2" xfId="48936" xr:uid="{078B3F3B-8435-406E-BF86-C42F93381690}"/>
    <cellStyle name="40% - Énfasis6 24 2 2 2 3" xfId="48935" xr:uid="{8802EAA6-5CEF-465D-97B5-31E30AA72229}"/>
    <cellStyle name="40% - Énfasis6 24 2 2 3" xfId="22138" xr:uid="{852AE0B6-622F-4DD6-9A77-BCF17EAD0689}"/>
    <cellStyle name="40% - Énfasis6 24 2 2 3 2" xfId="48937" xr:uid="{61F5B0E4-6B1A-4C99-BB7A-5B86C3C57FEF}"/>
    <cellStyle name="40% - Énfasis6 24 2 2 4" xfId="48934" xr:uid="{A3E1C466-4E30-4285-BC86-1EBB3F1D2CDF}"/>
    <cellStyle name="40% - Énfasis6 24 2 3" xfId="10702" xr:uid="{8415BC9E-E879-4141-8073-C627A9B0EFB9}"/>
    <cellStyle name="40% - Énfasis6 24 2 3 2" xfId="26115" xr:uid="{B6363B11-328C-4D10-A735-3423871DC016}"/>
    <cellStyle name="40% - Énfasis6 24 2 3 2 2" xfId="48939" xr:uid="{36240C27-9235-4D7E-9908-FD1525E1F1F0}"/>
    <cellStyle name="40% - Énfasis6 24 2 3 3" xfId="48938" xr:uid="{95A55E89-4EC9-480F-B29F-4F269A59A258}"/>
    <cellStyle name="40% - Énfasis6 24 2 4" xfId="18410" xr:uid="{7CC9F165-D6E5-43BA-9648-C9604000FC8E}"/>
    <cellStyle name="40% - Énfasis6 24 2 4 2" xfId="48940" xr:uid="{12BE1F7B-A788-40D1-A237-5E0664FC6041}"/>
    <cellStyle name="40% - Énfasis6 24 2 5" xfId="48933" xr:uid="{0A90E274-62A2-4DCB-B347-901045DCC975}"/>
    <cellStyle name="40% - Énfasis6 24 3" xfId="5262" xr:uid="{E370A82A-9E05-46A7-AC04-EC959D77680F}"/>
    <cellStyle name="40% - Énfasis6 24 3 2" xfId="12970" xr:uid="{C1FE9603-CABA-45D5-B8D2-B5059E4C1114}"/>
    <cellStyle name="40% - Énfasis6 24 3 2 2" xfId="28382" xr:uid="{11DA9580-C94D-4D19-9AFB-70E3018EB1C3}"/>
    <cellStyle name="40% - Énfasis6 24 3 2 2 2" xfId="48943" xr:uid="{5A3E750F-5D45-4678-95CF-363FBF180DD2}"/>
    <cellStyle name="40% - Énfasis6 24 3 2 3" xfId="48942" xr:uid="{9331CA1A-A011-4AAD-A664-4B9D549B9297}"/>
    <cellStyle name="40% - Énfasis6 24 3 3" xfId="20677" xr:uid="{C7D0CEF5-5361-42C3-9392-8F9F067206B9}"/>
    <cellStyle name="40% - Énfasis6 24 3 3 2" xfId="48944" xr:uid="{F3561751-6973-4B05-AAD0-81F0F4D8C575}"/>
    <cellStyle name="40% - Énfasis6 24 3 4" xfId="48941" xr:uid="{A8220965-0433-4036-8D30-FD41935C1926}"/>
    <cellStyle name="40% - Énfasis6 24 4" xfId="9243" xr:uid="{21E3DA53-21EA-4BEE-A387-74A7DC3BDC8B}"/>
    <cellStyle name="40% - Énfasis6 24 4 2" xfId="24656" xr:uid="{2C522C13-DB29-4A8F-BBB0-6B7F01033480}"/>
    <cellStyle name="40% - Énfasis6 24 4 2 2" xfId="48946" xr:uid="{FBD3AC12-9DC9-4B0B-BA57-EF3A37A1F49C}"/>
    <cellStyle name="40% - Énfasis6 24 4 3" xfId="48945" xr:uid="{5F0E7918-1573-4DED-A8F6-05A6A1ADA464}"/>
    <cellStyle name="40% - Énfasis6 24 5" xfId="16951" xr:uid="{8D655052-3543-4272-B22E-5A4AA5398B41}"/>
    <cellStyle name="40% - Énfasis6 24 5 2" xfId="48947" xr:uid="{CB38E01C-03D9-48CC-A264-E18F378CA633}"/>
    <cellStyle name="40% - Énfasis6 24 6" xfId="48932" xr:uid="{8FD4957D-4961-4ABF-AE03-3D4668AE35A1}"/>
    <cellStyle name="40% - Énfasis6 25" xfId="1546" xr:uid="{7C2F5A84-3509-4708-996A-AC3B7B34438E}"/>
    <cellStyle name="40% - Énfasis6 25 2" xfId="3011" xr:uid="{37599C6E-BFD5-432C-B140-2C4712DED63A}"/>
    <cellStyle name="40% - Énfasis6 25 2 2" xfId="6743" xr:uid="{9E6201AA-A4FF-4E6B-97D4-B8B96DFC56ED}"/>
    <cellStyle name="40% - Énfasis6 25 2 2 2" xfId="14451" xr:uid="{96E36888-4171-4165-8185-21C3F3344F79}"/>
    <cellStyle name="40% - Énfasis6 25 2 2 2 2" xfId="29863" xr:uid="{C41FA47A-5FBD-48A9-99B9-82558EE6B46D}"/>
    <cellStyle name="40% - Énfasis6 25 2 2 2 2 2" xfId="48952" xr:uid="{C99C8914-DAF8-4E16-973C-27AC3E985F2D}"/>
    <cellStyle name="40% - Énfasis6 25 2 2 2 3" xfId="48951" xr:uid="{3D64FC4E-5C99-449E-B35B-AEAED368982B}"/>
    <cellStyle name="40% - Énfasis6 25 2 2 3" xfId="22158" xr:uid="{3A614807-6685-407F-97FD-931697F0B0B1}"/>
    <cellStyle name="40% - Énfasis6 25 2 2 3 2" xfId="48953" xr:uid="{D621B5AE-3C8A-4E6E-80EE-1FAE82EFC814}"/>
    <cellStyle name="40% - Énfasis6 25 2 2 4" xfId="48950" xr:uid="{AD1F3F4F-1E3A-4982-A0A3-E5F31852CDC5}"/>
    <cellStyle name="40% - Énfasis6 25 2 3" xfId="10722" xr:uid="{B00CBD42-893E-4039-92F4-BB6CF11C669E}"/>
    <cellStyle name="40% - Énfasis6 25 2 3 2" xfId="26135" xr:uid="{2982492F-8806-4955-B2D4-EB5C923A9A2A}"/>
    <cellStyle name="40% - Énfasis6 25 2 3 2 2" xfId="48955" xr:uid="{792EA768-EF4A-48CC-81D5-6079037398E2}"/>
    <cellStyle name="40% - Énfasis6 25 2 3 3" xfId="48954" xr:uid="{B6F709EB-4970-4F62-A1B4-0169BECFBE3E}"/>
    <cellStyle name="40% - Énfasis6 25 2 4" xfId="18430" xr:uid="{DBEBA064-CDCD-4BF5-958E-C6C08720847E}"/>
    <cellStyle name="40% - Énfasis6 25 2 4 2" xfId="48956" xr:uid="{3AB994A5-4454-41B6-9021-591399B8B1A6}"/>
    <cellStyle name="40% - Énfasis6 25 2 5" xfId="48949" xr:uid="{40130EE0-FC70-4921-B17F-617140A0ED26}"/>
    <cellStyle name="40% - Énfasis6 25 3" xfId="5282" xr:uid="{729B7F42-D8DD-469B-A7EC-0B1A892FF240}"/>
    <cellStyle name="40% - Énfasis6 25 3 2" xfId="12990" xr:uid="{2210E369-1003-4779-B9AE-2372B8B082A4}"/>
    <cellStyle name="40% - Énfasis6 25 3 2 2" xfId="28402" xr:uid="{4294060F-9D62-46D5-BF65-CEFF59418BC3}"/>
    <cellStyle name="40% - Énfasis6 25 3 2 2 2" xfId="48959" xr:uid="{398CC3FE-ADDF-45D3-A114-78C8CF8D5A54}"/>
    <cellStyle name="40% - Énfasis6 25 3 2 3" xfId="48958" xr:uid="{E45BC166-5AB0-4951-89BD-B022016DC81E}"/>
    <cellStyle name="40% - Énfasis6 25 3 3" xfId="20697" xr:uid="{AD256E94-1796-4DC4-A903-5083D191E6DD}"/>
    <cellStyle name="40% - Énfasis6 25 3 3 2" xfId="48960" xr:uid="{4D65C733-C170-41FA-A4C1-6AFB7D2BA64C}"/>
    <cellStyle name="40% - Énfasis6 25 3 4" xfId="48957" xr:uid="{E7662610-B95E-44E0-95FA-EAF43B064130}"/>
    <cellStyle name="40% - Énfasis6 25 4" xfId="9263" xr:uid="{6F6EDA5B-4E64-4EE6-9D26-B43AAA4384A0}"/>
    <cellStyle name="40% - Énfasis6 25 4 2" xfId="24676" xr:uid="{825E5FC2-CA93-495E-9499-521340816C5B}"/>
    <cellStyle name="40% - Énfasis6 25 4 2 2" xfId="48962" xr:uid="{60C1D624-FA11-4FA8-A155-9D36BAE54B5A}"/>
    <cellStyle name="40% - Énfasis6 25 4 3" xfId="48961" xr:uid="{42D857D6-99E0-4074-9411-D825684A387D}"/>
    <cellStyle name="40% - Énfasis6 25 5" xfId="16971" xr:uid="{036CC1D5-44C2-4A56-A709-7281A18955B1}"/>
    <cellStyle name="40% - Énfasis6 25 5 2" xfId="48963" xr:uid="{D8A78A15-C44D-431A-905E-12B0775D1019}"/>
    <cellStyle name="40% - Énfasis6 25 6" xfId="48948" xr:uid="{E74808C8-756A-4A10-BDFF-671DC7852EF2}"/>
    <cellStyle name="40% - Énfasis6 26" xfId="1566" xr:uid="{6400FC1D-4B9A-4283-9E13-3535357D1C4A}"/>
    <cellStyle name="40% - Énfasis6 26 2" xfId="3031" xr:uid="{970A36DC-DFAD-486F-B3D0-A9EA3159F33C}"/>
    <cellStyle name="40% - Énfasis6 26 2 2" xfId="6763" xr:uid="{C0AA5B12-865F-40DB-AF26-D0C30400DD16}"/>
    <cellStyle name="40% - Énfasis6 26 2 2 2" xfId="14471" xr:uid="{5636748B-4BCA-4E08-8DF3-665032634AA1}"/>
    <cellStyle name="40% - Énfasis6 26 2 2 2 2" xfId="29883" xr:uid="{C7F8E16F-A255-4EE3-9665-2AC0BAB2B2CE}"/>
    <cellStyle name="40% - Énfasis6 26 2 2 2 2 2" xfId="48968" xr:uid="{4A3327F6-E767-42FE-8D00-FB31688D8783}"/>
    <cellStyle name="40% - Énfasis6 26 2 2 2 3" xfId="48967" xr:uid="{ECB5DC5D-6431-49F3-B5CC-AAAF3F1B8F96}"/>
    <cellStyle name="40% - Énfasis6 26 2 2 3" xfId="22178" xr:uid="{5A7CD7C2-07F2-45B7-A701-C86DDF6458A1}"/>
    <cellStyle name="40% - Énfasis6 26 2 2 3 2" xfId="48969" xr:uid="{2A571234-98D3-4F72-B89B-388390C8E55F}"/>
    <cellStyle name="40% - Énfasis6 26 2 2 4" xfId="48966" xr:uid="{41C0B1F7-EBA2-43EC-87B9-9ECDAFC5E8AB}"/>
    <cellStyle name="40% - Énfasis6 26 2 3" xfId="10742" xr:uid="{E2B40966-C421-4D67-912D-988D82FB5F75}"/>
    <cellStyle name="40% - Énfasis6 26 2 3 2" xfId="26155" xr:uid="{6F9DD49C-8A79-4149-806D-ED95B9537C58}"/>
    <cellStyle name="40% - Énfasis6 26 2 3 2 2" xfId="48971" xr:uid="{B6C7EF7C-C410-40C7-BD8B-8AFFF4076957}"/>
    <cellStyle name="40% - Énfasis6 26 2 3 3" xfId="48970" xr:uid="{F07F58D2-28FA-4EBF-8FC1-3671884E61C0}"/>
    <cellStyle name="40% - Énfasis6 26 2 4" xfId="18450" xr:uid="{14E10A8F-2B5C-44D8-BD8A-B41B29D005C6}"/>
    <cellStyle name="40% - Énfasis6 26 2 4 2" xfId="48972" xr:uid="{E0F09C78-9902-4AD5-8BBF-12B44451C0E1}"/>
    <cellStyle name="40% - Énfasis6 26 2 5" xfId="48965" xr:uid="{E786CF17-63AE-4408-B01F-113DF5DAC7AA}"/>
    <cellStyle name="40% - Énfasis6 26 3" xfId="5302" xr:uid="{4E239D84-49B0-4F7B-9A85-5D297326DB81}"/>
    <cellStyle name="40% - Énfasis6 26 3 2" xfId="13010" xr:uid="{4D94014B-F5B4-449E-B557-A0F7B28DBD8A}"/>
    <cellStyle name="40% - Énfasis6 26 3 2 2" xfId="28422" xr:uid="{041D2242-F21E-426E-BAA1-77C754E870B0}"/>
    <cellStyle name="40% - Énfasis6 26 3 2 2 2" xfId="48975" xr:uid="{F2212567-7CD3-41E5-975E-A1A33B8F3913}"/>
    <cellStyle name="40% - Énfasis6 26 3 2 3" xfId="48974" xr:uid="{33CB751A-76C8-4306-B856-C374CECA8203}"/>
    <cellStyle name="40% - Énfasis6 26 3 3" xfId="20717" xr:uid="{837346A9-C7A6-43F8-9F8A-AFF66A27CDC6}"/>
    <cellStyle name="40% - Énfasis6 26 3 3 2" xfId="48976" xr:uid="{23A91DB6-35B1-4B91-ABBA-8D0261865F02}"/>
    <cellStyle name="40% - Énfasis6 26 3 4" xfId="48973" xr:uid="{C83D5F71-C913-41B1-946D-66D739D79C97}"/>
    <cellStyle name="40% - Énfasis6 26 4" xfId="9283" xr:uid="{6C054F69-0EC3-4259-9D0E-5E9E43DB1C66}"/>
    <cellStyle name="40% - Énfasis6 26 4 2" xfId="24696" xr:uid="{9CEF9874-0208-4B3E-B8E1-ED9EE2C4D909}"/>
    <cellStyle name="40% - Énfasis6 26 4 2 2" xfId="48978" xr:uid="{1F7D75DA-B555-4C77-94DF-A1DCF643DC64}"/>
    <cellStyle name="40% - Énfasis6 26 4 3" xfId="48977" xr:uid="{6AF97964-F8CB-4E97-82E8-817BAD84AEB7}"/>
    <cellStyle name="40% - Énfasis6 26 5" xfId="16991" xr:uid="{B2BDB201-CFB6-4823-9B26-56FD89D6E79C}"/>
    <cellStyle name="40% - Énfasis6 26 5 2" xfId="48979" xr:uid="{27EED1CD-5C5E-4E91-A22A-DE3A14AA3F25}"/>
    <cellStyle name="40% - Énfasis6 26 6" xfId="48964" xr:uid="{7216987F-F9D9-4D3B-A998-DE2B3F202D2E}"/>
    <cellStyle name="40% - Énfasis6 27" xfId="1586" xr:uid="{AF744C9B-A80F-4BE3-A18F-9978D421ADDD}"/>
    <cellStyle name="40% - Énfasis6 27 2" xfId="3051" xr:uid="{D0B9D7E1-6449-4365-AA7C-6E29B03B20DD}"/>
    <cellStyle name="40% - Énfasis6 27 2 2" xfId="6783" xr:uid="{0EE56D62-01BC-4B47-A477-05F8CA8EA533}"/>
    <cellStyle name="40% - Énfasis6 27 2 2 2" xfId="14491" xr:uid="{17E20774-7088-4C0A-AEF6-A63F4AC8921B}"/>
    <cellStyle name="40% - Énfasis6 27 2 2 2 2" xfId="29903" xr:uid="{E87DBD5E-30BB-4FE2-BC9F-49040031CCAD}"/>
    <cellStyle name="40% - Énfasis6 27 2 2 2 2 2" xfId="48984" xr:uid="{3213AABF-23B7-4B76-B1E2-BC638579811F}"/>
    <cellStyle name="40% - Énfasis6 27 2 2 2 3" xfId="48983" xr:uid="{DAAADA69-7FD1-4E44-944D-E1FC94E1B571}"/>
    <cellStyle name="40% - Énfasis6 27 2 2 3" xfId="22198" xr:uid="{1E6F7050-7366-4EC9-85E8-50FF790CE766}"/>
    <cellStyle name="40% - Énfasis6 27 2 2 3 2" xfId="48985" xr:uid="{5C8E44C6-051F-496C-AD3D-8EFA93247A8C}"/>
    <cellStyle name="40% - Énfasis6 27 2 2 4" xfId="48982" xr:uid="{7AEA999A-0C8F-4E52-809F-14B8F17709DA}"/>
    <cellStyle name="40% - Énfasis6 27 2 3" xfId="10762" xr:uid="{A5BF7ED8-574A-49D7-8D42-D8D35DCCB42F}"/>
    <cellStyle name="40% - Énfasis6 27 2 3 2" xfId="26175" xr:uid="{4CAAAD4D-F7CC-4A34-A490-5E3ED60F85AD}"/>
    <cellStyle name="40% - Énfasis6 27 2 3 2 2" xfId="48987" xr:uid="{8E4C948F-CF2F-42A9-896C-5C0FAE54F9DB}"/>
    <cellStyle name="40% - Énfasis6 27 2 3 3" xfId="48986" xr:uid="{8D0D6023-B866-4011-8AC4-5092C841E497}"/>
    <cellStyle name="40% - Énfasis6 27 2 4" xfId="18470" xr:uid="{AAA896DA-2D56-4B93-BC2E-348222C4D72D}"/>
    <cellStyle name="40% - Énfasis6 27 2 4 2" xfId="48988" xr:uid="{76BF707F-BBF7-4EA0-BE86-39F917265E63}"/>
    <cellStyle name="40% - Énfasis6 27 2 5" xfId="48981" xr:uid="{164650EB-8008-4230-A422-6B22A9ADBCC2}"/>
    <cellStyle name="40% - Énfasis6 27 3" xfId="5322" xr:uid="{EE643A98-B1FB-4C24-BF57-C53330A226D3}"/>
    <cellStyle name="40% - Énfasis6 27 3 2" xfId="13030" xr:uid="{FFFB8000-262B-4B53-AAE5-E321A8E2455C}"/>
    <cellStyle name="40% - Énfasis6 27 3 2 2" xfId="28442" xr:uid="{AD35852D-26DD-44C8-906F-067215A313EA}"/>
    <cellStyle name="40% - Énfasis6 27 3 2 2 2" xfId="48991" xr:uid="{58562A49-58C8-4FBD-9400-ABE8B7413CC2}"/>
    <cellStyle name="40% - Énfasis6 27 3 2 3" xfId="48990" xr:uid="{265E5752-88DF-4C9B-A25A-F20779D28EE0}"/>
    <cellStyle name="40% - Énfasis6 27 3 3" xfId="20737" xr:uid="{0A60530A-0A25-4EEB-A75F-481BF5407DCE}"/>
    <cellStyle name="40% - Énfasis6 27 3 3 2" xfId="48992" xr:uid="{65AC3230-CFA1-4F4F-B7CC-08DFADDB2875}"/>
    <cellStyle name="40% - Énfasis6 27 3 4" xfId="48989" xr:uid="{AC447AFC-C00D-46C6-AA7B-0AD2BBDD7B54}"/>
    <cellStyle name="40% - Énfasis6 27 4" xfId="9303" xr:uid="{8CD8598E-D202-4CFF-B057-A897A1938126}"/>
    <cellStyle name="40% - Énfasis6 27 4 2" xfId="24716" xr:uid="{047AF8A7-EE83-4AEE-B68D-941BA82119F5}"/>
    <cellStyle name="40% - Énfasis6 27 4 2 2" xfId="48994" xr:uid="{18420172-D684-46BC-BEAA-FE7A082F824B}"/>
    <cellStyle name="40% - Énfasis6 27 4 3" xfId="48993" xr:uid="{C2CE46BD-A78C-4AFA-A858-69F587D5B468}"/>
    <cellStyle name="40% - Énfasis6 27 5" xfId="17011" xr:uid="{CC9202B0-8C60-435A-924A-B42B11030CEE}"/>
    <cellStyle name="40% - Énfasis6 27 5 2" xfId="48995" xr:uid="{A9BA2A1D-D2F3-4EAF-A441-61FE9C9C4DAC}"/>
    <cellStyle name="40% - Énfasis6 27 6" xfId="48980" xr:uid="{DBFB1445-8CF2-4136-B7CA-839F68686560}"/>
    <cellStyle name="40% - Énfasis6 28" xfId="1607" xr:uid="{60C53CA4-A65A-4BC8-8A11-D60489CEDE55}"/>
    <cellStyle name="40% - Énfasis6 28 2" xfId="3072" xr:uid="{CAF0E5CF-DE23-4D3F-9E38-27E3FD1B42AE}"/>
    <cellStyle name="40% - Énfasis6 28 2 2" xfId="6804" xr:uid="{8A8E40CA-3963-4CF8-9EAA-5EC2F61AC489}"/>
    <cellStyle name="40% - Énfasis6 28 2 2 2" xfId="14512" xr:uid="{4486CAFF-5BED-4793-B0A0-A256966CA324}"/>
    <cellStyle name="40% - Énfasis6 28 2 2 2 2" xfId="29924" xr:uid="{0CF5D81D-957E-4A52-B471-A78B2E3CA2E9}"/>
    <cellStyle name="40% - Énfasis6 28 2 2 2 2 2" xfId="49000" xr:uid="{204C40FF-ED81-4BAA-88FA-BD1F50F58F10}"/>
    <cellStyle name="40% - Énfasis6 28 2 2 2 3" xfId="48999" xr:uid="{EF72F0B2-615B-4122-B698-28E11E5DC582}"/>
    <cellStyle name="40% - Énfasis6 28 2 2 3" xfId="22219" xr:uid="{52D082C8-B052-4959-8F0E-908E79EB0532}"/>
    <cellStyle name="40% - Énfasis6 28 2 2 3 2" xfId="49001" xr:uid="{1B7B6CD5-3702-45EF-94A6-5D70438877C0}"/>
    <cellStyle name="40% - Énfasis6 28 2 2 4" xfId="48998" xr:uid="{65CED8CB-6C68-49DD-9C48-74F55E3C42AF}"/>
    <cellStyle name="40% - Énfasis6 28 2 3" xfId="10783" xr:uid="{1B8EE1CE-B80C-4CDD-89C0-95C692B77CF3}"/>
    <cellStyle name="40% - Énfasis6 28 2 3 2" xfId="26196" xr:uid="{FBEB4C99-4D60-4E81-AAC4-34BE1A5683A1}"/>
    <cellStyle name="40% - Énfasis6 28 2 3 2 2" xfId="49003" xr:uid="{AAF7EC43-2686-46AC-A0D4-D9B3B85AACBB}"/>
    <cellStyle name="40% - Énfasis6 28 2 3 3" xfId="49002" xr:uid="{C95CE231-78C9-4BDE-9EEE-E80AE9FB1E62}"/>
    <cellStyle name="40% - Énfasis6 28 2 4" xfId="18491" xr:uid="{ADD4BEF4-5EF7-4F71-954D-48F522BCD246}"/>
    <cellStyle name="40% - Énfasis6 28 2 4 2" xfId="49004" xr:uid="{CB90EF8D-636E-4D1B-86E1-256F6CF46E74}"/>
    <cellStyle name="40% - Énfasis6 28 2 5" xfId="48997" xr:uid="{1BC624F4-5F0E-4668-B00B-1D8B16C09E21}"/>
    <cellStyle name="40% - Énfasis6 28 3" xfId="5343" xr:uid="{E56CB42C-5290-4A0E-B9B5-A826F8BD4DB0}"/>
    <cellStyle name="40% - Énfasis6 28 3 2" xfId="13051" xr:uid="{EBDE555F-C243-477A-B359-8E3B0045EC28}"/>
    <cellStyle name="40% - Énfasis6 28 3 2 2" xfId="28463" xr:uid="{9E5B98E4-4880-40AC-90A6-63CB229D3444}"/>
    <cellStyle name="40% - Énfasis6 28 3 2 2 2" xfId="49007" xr:uid="{9D4CCBBB-79F0-4D50-8918-BFD690ACACFF}"/>
    <cellStyle name="40% - Énfasis6 28 3 2 3" xfId="49006" xr:uid="{A5204E1E-B02F-4211-A16F-C82D8B58D38E}"/>
    <cellStyle name="40% - Énfasis6 28 3 3" xfId="20758" xr:uid="{490E4E82-080A-4CA1-94B6-AC016B2F3720}"/>
    <cellStyle name="40% - Énfasis6 28 3 3 2" xfId="49008" xr:uid="{0AF76FA2-B2F2-4D59-A20A-FA04C01C14B7}"/>
    <cellStyle name="40% - Énfasis6 28 3 4" xfId="49005" xr:uid="{E72B51A8-4B3C-4E27-A479-B47F5A9FB763}"/>
    <cellStyle name="40% - Énfasis6 28 4" xfId="9324" xr:uid="{A775C283-4269-4BE8-9ACE-22F963A6FD58}"/>
    <cellStyle name="40% - Énfasis6 28 4 2" xfId="24737" xr:uid="{1DE4202A-B863-42C3-B780-ED7E134E60F1}"/>
    <cellStyle name="40% - Énfasis6 28 4 2 2" xfId="49010" xr:uid="{885132AE-32C3-45A5-87DE-FD1DB2AA1C74}"/>
    <cellStyle name="40% - Énfasis6 28 4 3" xfId="49009" xr:uid="{E3016A67-1187-44F6-8F94-5D4A22BB2C8C}"/>
    <cellStyle name="40% - Énfasis6 28 5" xfId="17032" xr:uid="{FDF23B9F-7B0B-4A6A-8BC7-9B1795E84E37}"/>
    <cellStyle name="40% - Énfasis6 28 5 2" xfId="49011" xr:uid="{16431725-0F0C-47C9-AE19-1106CD2F607C}"/>
    <cellStyle name="40% - Énfasis6 28 6" xfId="48996" xr:uid="{C3B0736A-5059-4BF6-91C6-33A9C73D1A6D}"/>
    <cellStyle name="40% - Énfasis6 29" xfId="3092" xr:uid="{DC32F921-9771-42D8-9491-353464D83D7A}"/>
    <cellStyle name="40% - Énfasis6 29 2" xfId="6824" xr:uid="{3B6CA772-8281-4F83-955E-5CEC852C65A9}"/>
    <cellStyle name="40% - Énfasis6 29 2 2" xfId="14532" xr:uid="{2CBDF940-86DF-4BD1-97C6-0F204283A07D}"/>
    <cellStyle name="40% - Énfasis6 29 2 2 2" xfId="29944" xr:uid="{823B7015-1FED-434D-A3A4-13B653126C55}"/>
    <cellStyle name="40% - Énfasis6 29 2 2 2 2" xfId="49015" xr:uid="{17311503-1A08-45D4-AA29-30AD61063EC1}"/>
    <cellStyle name="40% - Énfasis6 29 2 2 3" xfId="49014" xr:uid="{1CBABA3E-66CE-4CBA-AB13-D14D6315AFBB}"/>
    <cellStyle name="40% - Énfasis6 29 2 3" xfId="22239" xr:uid="{B0D9C157-1B61-4819-A084-709619AEE1FE}"/>
    <cellStyle name="40% - Énfasis6 29 2 3 2" xfId="49016" xr:uid="{AEB4D489-4485-4805-AF6C-A980146946A6}"/>
    <cellStyle name="40% - Énfasis6 29 2 4" xfId="49013" xr:uid="{87AAFE4F-B338-40D0-ACCD-9038D2C8C49C}"/>
    <cellStyle name="40% - Énfasis6 29 3" xfId="10803" xr:uid="{BCFB00AF-29CD-4C4D-BB62-F5124E7ECA43}"/>
    <cellStyle name="40% - Énfasis6 29 3 2" xfId="26216" xr:uid="{204ECBAA-009F-41CA-9016-5DBFC45C8433}"/>
    <cellStyle name="40% - Énfasis6 29 3 2 2" xfId="49018" xr:uid="{F6C6BAC9-E2C8-4EC2-996E-661C4358DA09}"/>
    <cellStyle name="40% - Énfasis6 29 3 3" xfId="49017" xr:uid="{409356E0-5579-4A4F-BE15-305DE686EAD6}"/>
    <cellStyle name="40% - Énfasis6 29 4" xfId="18511" xr:uid="{AE57BE79-5D73-4B1F-BD3B-473121AFFCB5}"/>
    <cellStyle name="40% - Énfasis6 29 4 2" xfId="49019" xr:uid="{F3C8136C-5489-47BE-B6F5-9DD6ADF434CB}"/>
    <cellStyle name="40% - Énfasis6 29 5" xfId="49012" xr:uid="{788DF8B0-1C88-4EDA-A1CA-EF74F8919C87}"/>
    <cellStyle name="40% - Énfasis6 3" xfId="254" xr:uid="{4A9552E3-AFD0-4A08-BDFA-21853A973026}"/>
    <cellStyle name="40% - Énfasis6 3 2" xfId="456" xr:uid="{4AB84B64-8B2E-4F8A-B029-2CA753D9A3EB}"/>
    <cellStyle name="40% - Énfasis6 3 2 2" xfId="1117" xr:uid="{E96495B7-A419-4D9D-A691-4922930DC0DB}"/>
    <cellStyle name="40% - Énfasis6 3 2 2 2" xfId="2585" xr:uid="{4730956F-3C96-4FFB-982A-2BB06CD8B848}"/>
    <cellStyle name="40% - Énfasis6 3 2 2 2 2" xfId="6317" xr:uid="{736E6956-2C50-4028-9B54-227C68B3F470}"/>
    <cellStyle name="40% - Énfasis6 3 2 2 2 2 2" xfId="14025" xr:uid="{1949FDFD-8446-4810-9680-C8C709F72069}"/>
    <cellStyle name="40% - Énfasis6 3 2 2 2 2 2 2" xfId="29437" xr:uid="{453FCFFF-8B3D-45A7-9BD3-99230EAAC557}"/>
    <cellStyle name="40% - Énfasis6 3 2 2 2 2 2 2 2" xfId="49026" xr:uid="{91927B64-0DA9-4BB1-A651-31E85B5FD2CD}"/>
    <cellStyle name="40% - Énfasis6 3 2 2 2 2 2 3" xfId="49025" xr:uid="{F80FA706-988A-4B02-A321-F47D5C98848B}"/>
    <cellStyle name="40% - Énfasis6 3 2 2 2 2 3" xfId="21732" xr:uid="{51E1E3F2-D5D3-4BBA-B5AA-6128C1A7F98A}"/>
    <cellStyle name="40% - Énfasis6 3 2 2 2 2 3 2" xfId="49027" xr:uid="{325FE471-9899-4230-B13C-4E62EC43EB8F}"/>
    <cellStyle name="40% - Énfasis6 3 2 2 2 2 4" xfId="49024" xr:uid="{97C55CEA-861C-4535-8475-384330454357}"/>
    <cellStyle name="40% - Énfasis6 3 2 2 2 3" xfId="10296" xr:uid="{37DEAF9C-CE66-4D72-A558-F8983B650B62}"/>
    <cellStyle name="40% - Énfasis6 3 2 2 2 3 2" xfId="25709" xr:uid="{147608DA-6C75-474F-9383-DCCF46573E96}"/>
    <cellStyle name="40% - Énfasis6 3 2 2 2 3 2 2" xfId="49029" xr:uid="{50791029-680C-49B4-8CB1-F93485705675}"/>
    <cellStyle name="40% - Énfasis6 3 2 2 2 3 3" xfId="49028" xr:uid="{53C0BB7E-AF7B-4409-B344-C45F979F97C5}"/>
    <cellStyle name="40% - Énfasis6 3 2 2 2 4" xfId="18004" xr:uid="{31E45C75-FD59-4750-BADA-0A106AAED20E}"/>
    <cellStyle name="40% - Énfasis6 3 2 2 2 4 2" xfId="49030" xr:uid="{4B4B23A5-6571-4361-A5BE-1E3158E39C01}"/>
    <cellStyle name="40% - Énfasis6 3 2 2 2 5" xfId="49023" xr:uid="{1FC1F26D-7E59-4A42-9E66-350533A56262}"/>
    <cellStyle name="40% - Énfasis6 3 2 2 3" xfId="4854" xr:uid="{7ED4B5D7-4C69-4EB1-9110-C7825A1B5D44}"/>
    <cellStyle name="40% - Énfasis6 3 2 2 3 2" xfId="12562" xr:uid="{5E8D4921-BD9A-40D4-B6E4-22DC34ED7F0B}"/>
    <cellStyle name="40% - Énfasis6 3 2 2 3 2 2" xfId="27974" xr:uid="{BB1B8942-0D27-472D-90C0-CD9AAC237786}"/>
    <cellStyle name="40% - Énfasis6 3 2 2 3 2 2 2" xfId="49033" xr:uid="{87B7B02F-F8F4-4933-9134-1869A7E4EA1E}"/>
    <cellStyle name="40% - Énfasis6 3 2 2 3 2 3" xfId="49032" xr:uid="{48D3EF1F-347C-4450-B1D3-B808FB16BC27}"/>
    <cellStyle name="40% - Énfasis6 3 2 2 3 3" xfId="20269" xr:uid="{33C5B258-DA17-4E10-91B7-3C1B19A2FCA3}"/>
    <cellStyle name="40% - Énfasis6 3 2 2 3 3 2" xfId="49034" xr:uid="{DABE7747-D553-4EAE-B09F-467465899CA6}"/>
    <cellStyle name="40% - Énfasis6 3 2 2 3 4" xfId="49031" xr:uid="{E3B95D5D-96BD-4ECE-9FEE-0FE96BF1F60E}"/>
    <cellStyle name="40% - Énfasis6 3 2 2 4" xfId="8837" xr:uid="{408DC9DB-CFA5-45A6-86FF-080CB633D3C5}"/>
    <cellStyle name="40% - Énfasis6 3 2 2 4 2" xfId="24250" xr:uid="{39384122-DF6B-4E79-B3BD-D1A48785977A}"/>
    <cellStyle name="40% - Énfasis6 3 2 2 4 2 2" xfId="49036" xr:uid="{15E5F5E7-50DB-4F8F-98F5-B22BF211CEBE}"/>
    <cellStyle name="40% - Énfasis6 3 2 2 4 3" xfId="49035" xr:uid="{3B194542-9475-4F8B-9F91-62CF57CDC84A}"/>
    <cellStyle name="40% - Énfasis6 3 2 2 5" xfId="16545" xr:uid="{9FC2D93D-FBAD-4C3D-8FBF-6548F4201FB0}"/>
    <cellStyle name="40% - Énfasis6 3 2 2 5 2" xfId="49037" xr:uid="{F90CDEA3-24F4-4AE9-BE9E-051B0A10F410}"/>
    <cellStyle name="40% - Énfasis6 3 2 2 6" xfId="49022" xr:uid="{F95D4FE8-9AAC-461D-A972-F2C703CE2938}"/>
    <cellStyle name="40% - Énfasis6 3 2 3" xfId="1947" xr:uid="{766ED2B9-3203-475A-A46D-5044AAC9731D}"/>
    <cellStyle name="40% - Énfasis6 3 2 3 2" xfId="5679" xr:uid="{12F0DD00-E8CE-4BE9-90E8-6317D9091E18}"/>
    <cellStyle name="40% - Énfasis6 3 2 3 2 2" xfId="13387" xr:uid="{7E6484CE-81AF-4181-A7C7-7A01282BCE5C}"/>
    <cellStyle name="40% - Énfasis6 3 2 3 2 2 2" xfId="28799" xr:uid="{8A2F2BCB-8864-4A4F-9E88-E889843641A1}"/>
    <cellStyle name="40% - Énfasis6 3 2 3 2 2 2 2" xfId="49041" xr:uid="{5B8DD7A4-579D-46A5-AD14-4DD9815063FE}"/>
    <cellStyle name="40% - Énfasis6 3 2 3 2 2 3" xfId="49040" xr:uid="{5D61A603-129E-4C85-8168-DC9F1186499D}"/>
    <cellStyle name="40% - Énfasis6 3 2 3 2 3" xfId="21094" xr:uid="{2292F27B-CECD-4397-BEFB-75B4945AFA4A}"/>
    <cellStyle name="40% - Énfasis6 3 2 3 2 3 2" xfId="49042" xr:uid="{CBF84080-C5C8-46CC-BBE7-02B9554100BE}"/>
    <cellStyle name="40% - Énfasis6 3 2 3 2 4" xfId="49039" xr:uid="{773F3865-77B4-4126-BC5A-45F7EF18AAFD}"/>
    <cellStyle name="40% - Énfasis6 3 2 3 3" xfId="9658" xr:uid="{E20ED8C2-FE1F-44AE-93F8-9E7F74415EFB}"/>
    <cellStyle name="40% - Énfasis6 3 2 3 3 2" xfId="25071" xr:uid="{30481AB4-6804-471E-AF8B-FFDE8AC20D12}"/>
    <cellStyle name="40% - Énfasis6 3 2 3 3 2 2" xfId="49044" xr:uid="{4EA105CE-BAEC-42D3-97AE-6D7A20DAB54E}"/>
    <cellStyle name="40% - Énfasis6 3 2 3 3 3" xfId="49043" xr:uid="{328F34A9-4A5A-46AB-838A-9CB5E1353C76}"/>
    <cellStyle name="40% - Énfasis6 3 2 3 4" xfId="17366" xr:uid="{983BB24A-D93D-4AA0-AA03-CB2CC6395CE4}"/>
    <cellStyle name="40% - Énfasis6 3 2 3 4 2" xfId="49045" xr:uid="{3CFA179F-23C3-4530-9634-8219EF3AAA99}"/>
    <cellStyle name="40% - Énfasis6 3 2 3 5" xfId="49038" xr:uid="{C86FD77D-1877-4584-AE4A-6397247C730E}"/>
    <cellStyle name="40% - Énfasis6 3 2 4" xfId="4202" xr:uid="{062E2AAE-F736-450D-959B-3A3AC8C1FC00}"/>
    <cellStyle name="40% - Énfasis6 3 2 4 2" xfId="11910" xr:uid="{D8177A0B-173D-4187-A318-2700AA94FFC8}"/>
    <cellStyle name="40% - Énfasis6 3 2 4 2 2" xfId="27322" xr:uid="{7684F9DD-3EAF-46B7-B2D3-8DA6B11BE6F3}"/>
    <cellStyle name="40% - Énfasis6 3 2 4 2 2 2" xfId="49048" xr:uid="{AEDA0358-382C-469B-8160-16BFBC3EFBE2}"/>
    <cellStyle name="40% - Énfasis6 3 2 4 2 3" xfId="49047" xr:uid="{1642230B-EBAC-4B57-B218-B07148B83C01}"/>
    <cellStyle name="40% - Énfasis6 3 2 4 3" xfId="19617" xr:uid="{74E4DC86-00F3-4F9F-BB72-1CF5B6CC519D}"/>
    <cellStyle name="40% - Énfasis6 3 2 4 3 2" xfId="49049" xr:uid="{3B37C9CE-119F-4360-9780-83DD3A517A21}"/>
    <cellStyle name="40% - Énfasis6 3 2 4 4" xfId="49046" xr:uid="{8165CC64-1BD8-4BA4-BB1E-BF254D45BA7F}"/>
    <cellStyle name="40% - Énfasis6 3 2 5" xfId="8199" xr:uid="{3E9BF371-5B44-4E60-9D4E-E725C705E4A8}"/>
    <cellStyle name="40% - Énfasis6 3 2 5 2" xfId="23612" xr:uid="{C3AC514F-0FE3-4D9D-BAD3-944CF357B440}"/>
    <cellStyle name="40% - Énfasis6 3 2 5 2 2" xfId="49051" xr:uid="{A0A1CEDD-979F-4CBC-8F73-ACFB65BC5FA0}"/>
    <cellStyle name="40% - Énfasis6 3 2 5 3" xfId="49050" xr:uid="{794EF3B8-81A4-458E-9688-ECC8EC2455A0}"/>
    <cellStyle name="40% - Énfasis6 3 2 6" xfId="15907" xr:uid="{0BCFB876-B982-447E-A3E5-F6089EFBA177}"/>
    <cellStyle name="40% - Énfasis6 3 2 6 2" xfId="49052" xr:uid="{F29286DA-BE4F-4B81-AD69-C1EBEED6C349}"/>
    <cellStyle name="40% - Énfasis6 3 2 7" xfId="49021" xr:uid="{4245F2AE-46B3-4711-8D0A-3A049655E969}"/>
    <cellStyle name="40% - Énfasis6 3 3" xfId="917" xr:uid="{17F03942-1C60-48C6-96A2-D613B943DF58}"/>
    <cellStyle name="40% - Énfasis6 3 3 2" xfId="2387" xr:uid="{85E1EB2F-905F-4CE0-B2B5-F6B658B50628}"/>
    <cellStyle name="40% - Énfasis6 3 3 2 2" xfId="6119" xr:uid="{FA32BFA1-2712-47E0-871D-7FBD645B1430}"/>
    <cellStyle name="40% - Énfasis6 3 3 2 2 2" xfId="13827" xr:uid="{7A042CD0-0CDF-4DAE-B17F-13EE1ABA9A60}"/>
    <cellStyle name="40% - Énfasis6 3 3 2 2 2 2" xfId="29239" xr:uid="{E914583C-5CA2-4708-9893-89D8AFCC7A1C}"/>
    <cellStyle name="40% - Énfasis6 3 3 2 2 2 2 2" xfId="49057" xr:uid="{07DBEAF5-2918-4DC2-A3D6-D1E89D1315C1}"/>
    <cellStyle name="40% - Énfasis6 3 3 2 2 2 3" xfId="49056" xr:uid="{002E31D2-546B-45F7-AAA3-A6578B2DB9CC}"/>
    <cellStyle name="40% - Énfasis6 3 3 2 2 3" xfId="21534" xr:uid="{393694A9-87CA-4EE0-889A-FE5D78D2DBE1}"/>
    <cellStyle name="40% - Énfasis6 3 3 2 2 3 2" xfId="49058" xr:uid="{321DF8D6-3D80-46B4-8A3D-1D0A308C0E72}"/>
    <cellStyle name="40% - Énfasis6 3 3 2 2 4" xfId="49055" xr:uid="{CEEF9172-26B2-4051-A8AA-46BE4186A2BE}"/>
    <cellStyle name="40% - Énfasis6 3 3 2 3" xfId="10098" xr:uid="{209F7CB4-78C3-4626-B03F-0B846D0015B8}"/>
    <cellStyle name="40% - Énfasis6 3 3 2 3 2" xfId="25511" xr:uid="{CD1B248B-847D-4214-B54B-99991D5F0B23}"/>
    <cellStyle name="40% - Énfasis6 3 3 2 3 2 2" xfId="49060" xr:uid="{40F12434-4F57-4BD4-A434-E3CB7ABFFB14}"/>
    <cellStyle name="40% - Énfasis6 3 3 2 3 3" xfId="49059" xr:uid="{1387FF30-8650-43A7-AB01-F142D185354D}"/>
    <cellStyle name="40% - Énfasis6 3 3 2 4" xfId="17806" xr:uid="{5E997801-DCC1-4E7B-B295-2286322292D1}"/>
    <cellStyle name="40% - Énfasis6 3 3 2 4 2" xfId="49061" xr:uid="{DA8603B7-93C9-4AAA-8889-73CE1FF8B52A}"/>
    <cellStyle name="40% - Énfasis6 3 3 2 5" xfId="49054" xr:uid="{D270FC2B-56DA-411B-9E8B-9B9403CD9E57}"/>
    <cellStyle name="40% - Énfasis6 3 3 3" xfId="4654" xr:uid="{150E2AB4-BB31-447C-A1BC-7A3B8C678091}"/>
    <cellStyle name="40% - Énfasis6 3 3 3 2" xfId="12362" xr:uid="{DCC82B3D-A0B6-46ED-B0C9-FB0338447D2D}"/>
    <cellStyle name="40% - Énfasis6 3 3 3 2 2" xfId="27774" xr:uid="{AB6C6543-39F4-4C8A-BCA1-C170645F19BB}"/>
    <cellStyle name="40% - Énfasis6 3 3 3 2 2 2" xfId="49064" xr:uid="{E84ABAC8-F650-4098-AAA7-4B8101131B48}"/>
    <cellStyle name="40% - Énfasis6 3 3 3 2 3" xfId="49063" xr:uid="{67B7BBDA-6046-4199-9BCB-79A59F95D551}"/>
    <cellStyle name="40% - Énfasis6 3 3 3 3" xfId="20069" xr:uid="{EC61FAE6-3625-4EEA-B5CB-BE7EFBEA4186}"/>
    <cellStyle name="40% - Énfasis6 3 3 3 3 2" xfId="49065" xr:uid="{AE4A935E-8E3D-438D-8BF4-146F1696B0A6}"/>
    <cellStyle name="40% - Énfasis6 3 3 3 4" xfId="49062" xr:uid="{99739EF9-16DA-431A-8A2C-FDDA32006460}"/>
    <cellStyle name="40% - Énfasis6 3 3 4" xfId="8639" xr:uid="{766483AA-EBB8-4F95-A1F7-E01B364FA77A}"/>
    <cellStyle name="40% - Énfasis6 3 3 4 2" xfId="24052" xr:uid="{5A25E31C-50F5-407B-BC67-E5DEEA572A13}"/>
    <cellStyle name="40% - Énfasis6 3 3 4 2 2" xfId="49067" xr:uid="{474E33FF-CCA2-411B-ABEC-E54DC148E01E}"/>
    <cellStyle name="40% - Énfasis6 3 3 4 3" xfId="49066" xr:uid="{20504ED3-FFE8-45CC-8053-6C11BCB249D7}"/>
    <cellStyle name="40% - Énfasis6 3 3 5" xfId="16347" xr:uid="{3AE5ABF9-4FDB-435B-95D2-F09AEB77296C}"/>
    <cellStyle name="40% - Énfasis6 3 3 5 2" xfId="49068" xr:uid="{8AC75565-A187-4A88-AA9C-26704C815A1C}"/>
    <cellStyle name="40% - Énfasis6 3 3 6" xfId="49053" xr:uid="{E86E841E-1D6D-4C47-BB25-0C35C72BA5A8}"/>
    <cellStyle name="40% - Énfasis6 3 4" xfId="1749" xr:uid="{5C27BEAF-732C-415C-9FC9-CD68241162F9}"/>
    <cellStyle name="40% - Énfasis6 3 4 2" xfId="5481" xr:uid="{B844A57B-BDA1-45E3-97DC-505289082D6A}"/>
    <cellStyle name="40% - Énfasis6 3 4 2 2" xfId="13189" xr:uid="{BE8D2206-E009-4FCC-A6C3-E248D7F3FDD2}"/>
    <cellStyle name="40% - Énfasis6 3 4 2 2 2" xfId="28601" xr:uid="{6259C9AA-8303-4CC4-B29C-76D138F29104}"/>
    <cellStyle name="40% - Énfasis6 3 4 2 2 2 2" xfId="49072" xr:uid="{4980EEE3-3FA3-4B97-9BF1-AAB98942D3EB}"/>
    <cellStyle name="40% - Énfasis6 3 4 2 2 3" xfId="49071" xr:uid="{80CE8218-0701-4A8B-A0F3-BDCD6788CCEF}"/>
    <cellStyle name="40% - Énfasis6 3 4 2 3" xfId="20896" xr:uid="{10C38093-3B51-4AF0-8BFA-E9E90A4B0BBA}"/>
    <cellStyle name="40% - Énfasis6 3 4 2 3 2" xfId="49073" xr:uid="{59F8F26B-7E6B-463B-ACC4-92AEC1798A36}"/>
    <cellStyle name="40% - Énfasis6 3 4 2 4" xfId="49070" xr:uid="{0580F3ED-9803-46AB-A216-1B38BA4ADDC3}"/>
    <cellStyle name="40% - Énfasis6 3 4 3" xfId="9460" xr:uid="{29E4F600-FD60-4619-B812-C743751FC4F3}"/>
    <cellStyle name="40% - Énfasis6 3 4 3 2" xfId="24873" xr:uid="{8CEBA1FB-F163-46DF-9C83-25C3A09FE8E9}"/>
    <cellStyle name="40% - Énfasis6 3 4 3 2 2" xfId="49075" xr:uid="{6665C182-D8E7-4476-84C6-AFF3515A7DF5}"/>
    <cellStyle name="40% - Énfasis6 3 4 3 3" xfId="49074" xr:uid="{03A32375-3A39-4311-9E1F-3F701D2C3920}"/>
    <cellStyle name="40% - Énfasis6 3 4 4" xfId="17168" xr:uid="{01C0120A-D893-47A7-A416-60470E778585}"/>
    <cellStyle name="40% - Énfasis6 3 4 4 2" xfId="49076" xr:uid="{B823D897-DDE4-4D89-A832-50EA540901BE}"/>
    <cellStyle name="40% - Énfasis6 3 4 5" xfId="49069" xr:uid="{3843B392-5ACD-4101-9253-7944081886BD}"/>
    <cellStyle name="40% - Énfasis6 3 5" xfId="4002" xr:uid="{03CC0116-E88E-4749-B883-C3547AA283F5}"/>
    <cellStyle name="40% - Énfasis6 3 5 2" xfId="11710" xr:uid="{5944E737-733B-4B42-A18D-DF03BE2AE329}"/>
    <cellStyle name="40% - Énfasis6 3 5 2 2" xfId="27122" xr:uid="{E683BB1D-6E55-40EB-82DD-989725D0499C}"/>
    <cellStyle name="40% - Énfasis6 3 5 2 2 2" xfId="49079" xr:uid="{163BAEA2-E1DA-45D2-AAAB-4FB7EF300BBA}"/>
    <cellStyle name="40% - Énfasis6 3 5 2 3" xfId="49078" xr:uid="{00297F21-D718-450E-BF85-5447E74FE15D}"/>
    <cellStyle name="40% - Énfasis6 3 5 3" xfId="19417" xr:uid="{61F0A379-B737-46A6-9DD6-D1DB8FDEAA00}"/>
    <cellStyle name="40% - Énfasis6 3 5 3 2" xfId="49080" xr:uid="{882FEE35-2C4A-4024-92F2-64D4BF0DF333}"/>
    <cellStyle name="40% - Énfasis6 3 5 4" xfId="49077" xr:uid="{C97154FE-A113-49A9-BC42-FDAEA65DD17A}"/>
    <cellStyle name="40% - Énfasis6 3 6" xfId="8001" xr:uid="{9DCEB4CA-CD71-4363-BDCA-8998C175757F}"/>
    <cellStyle name="40% - Énfasis6 3 6 2" xfId="23414" xr:uid="{726B70EB-CACC-420B-A193-2B7DAD527A11}"/>
    <cellStyle name="40% - Énfasis6 3 6 2 2" xfId="49082" xr:uid="{15343C66-39C6-41FD-BF9F-4304D1876C12}"/>
    <cellStyle name="40% - Énfasis6 3 6 3" xfId="49081" xr:uid="{B4B649CC-5AAB-465B-A042-37A96BFB1CBD}"/>
    <cellStyle name="40% - Énfasis6 3 7" xfId="15709" xr:uid="{0B27AC40-2CD9-41B1-88D5-8A89F0F0F60D}"/>
    <cellStyle name="40% - Énfasis6 3 7 2" xfId="49083" xr:uid="{19CE19FC-DF7F-409D-A383-2F6DF5FF8515}"/>
    <cellStyle name="40% - Énfasis6 3 8" xfId="49020" xr:uid="{B4AA00CB-C6C0-4E40-9932-57FD3529D87A}"/>
    <cellStyle name="40% - Énfasis6 30" xfId="3112" xr:uid="{F5719196-7D50-47F8-837E-AA2DB21FCBF2}"/>
    <cellStyle name="40% - Énfasis6 30 2" xfId="6844" xr:uid="{0FEE9456-1A50-4B2D-A3FA-47359EB227B5}"/>
    <cellStyle name="40% - Énfasis6 30 2 2" xfId="14552" xr:uid="{EEA571A0-2108-49E4-81C3-D32940545AA5}"/>
    <cellStyle name="40% - Énfasis6 30 2 2 2" xfId="29964" xr:uid="{CDB78C0A-EB67-4CEC-989C-634CB17BAB20}"/>
    <cellStyle name="40% - Énfasis6 30 2 2 2 2" xfId="49087" xr:uid="{3806BC12-D32D-472B-A76A-D9E2D72C65A6}"/>
    <cellStyle name="40% - Énfasis6 30 2 2 3" xfId="49086" xr:uid="{5A9629BE-34F5-458F-8E35-BF9278C6361C}"/>
    <cellStyle name="40% - Énfasis6 30 2 3" xfId="22259" xr:uid="{B7CE927A-0B69-4889-A7F4-800B211EFF57}"/>
    <cellStyle name="40% - Énfasis6 30 2 3 2" xfId="49088" xr:uid="{105E2F64-7DDF-44C9-8748-5AF58E9409F1}"/>
    <cellStyle name="40% - Énfasis6 30 2 4" xfId="49085" xr:uid="{269B4DEF-C61A-4BD6-BFA6-70F6EE8D33A5}"/>
    <cellStyle name="40% - Énfasis6 30 3" xfId="10823" xr:uid="{C022002A-AC9A-44F2-9418-D532A5BD05B4}"/>
    <cellStyle name="40% - Énfasis6 30 3 2" xfId="26236" xr:uid="{115FD3DD-9414-4F37-9803-DC7F44251260}"/>
    <cellStyle name="40% - Énfasis6 30 3 2 2" xfId="49090" xr:uid="{87F7218D-7581-4E3C-AA0E-014522B1BCD0}"/>
    <cellStyle name="40% - Énfasis6 30 3 3" xfId="49089" xr:uid="{2E10E104-F879-4AA3-8DBD-7DB7D644055D}"/>
    <cellStyle name="40% - Énfasis6 30 4" xfId="18531" xr:uid="{1B092038-96BF-40D1-9C26-936E126A02F2}"/>
    <cellStyle name="40% - Énfasis6 30 4 2" xfId="49091" xr:uid="{509F5A04-4C3B-4019-9967-B8372E4CDED4}"/>
    <cellStyle name="40% - Énfasis6 30 5" xfId="49084" xr:uid="{F731E3D5-27AD-43B0-8D65-964CDE61DCB6}"/>
    <cellStyle name="40% - Énfasis6 31" xfId="3132" xr:uid="{6591641F-75D4-4719-839D-144EE00FD70C}"/>
    <cellStyle name="40% - Énfasis6 31 2" xfId="6864" xr:uid="{03F0A1DA-B9F8-446D-B5C0-F317BCCA3307}"/>
    <cellStyle name="40% - Énfasis6 31 2 2" xfId="14572" xr:uid="{0826A4DD-9BC5-437A-9222-AB584CECBD49}"/>
    <cellStyle name="40% - Énfasis6 31 2 2 2" xfId="29984" xr:uid="{130D6A34-8492-42D5-BBB8-16B416C8BEF8}"/>
    <cellStyle name="40% - Énfasis6 31 2 2 2 2" xfId="49095" xr:uid="{842D1FB3-9BBF-45C2-A40F-40CF50CAD475}"/>
    <cellStyle name="40% - Énfasis6 31 2 2 3" xfId="49094" xr:uid="{80CC1C45-051B-4A35-8424-18A6BE316BE3}"/>
    <cellStyle name="40% - Énfasis6 31 2 3" xfId="22279" xr:uid="{12652D16-4CA0-42AC-B662-759249FBD537}"/>
    <cellStyle name="40% - Énfasis6 31 2 3 2" xfId="49096" xr:uid="{0899D386-F7AE-469C-BF87-EE54BF5CA58F}"/>
    <cellStyle name="40% - Énfasis6 31 2 4" xfId="49093" xr:uid="{1D358001-A69F-4C0A-AB43-52FB272E5D83}"/>
    <cellStyle name="40% - Énfasis6 31 3" xfId="10843" xr:uid="{7AA85F64-061B-4448-933C-5DD7CA9B793C}"/>
    <cellStyle name="40% - Énfasis6 31 3 2" xfId="26256" xr:uid="{DD536296-439A-4543-9C1B-C2880D573C13}"/>
    <cellStyle name="40% - Énfasis6 31 3 2 2" xfId="49098" xr:uid="{6CFF502C-3D22-4A78-9367-6D4D155C6E31}"/>
    <cellStyle name="40% - Énfasis6 31 3 3" xfId="49097" xr:uid="{55045CCC-AE16-4DDB-BF4D-88C164073ECD}"/>
    <cellStyle name="40% - Énfasis6 31 4" xfId="18551" xr:uid="{966BBCF5-7C0E-4502-9669-15D15AB83EAA}"/>
    <cellStyle name="40% - Énfasis6 31 4 2" xfId="49099" xr:uid="{83341E4A-19F3-455B-8F27-8E1DBE5D13FF}"/>
    <cellStyle name="40% - Énfasis6 31 5" xfId="49092" xr:uid="{AF3EF3E5-CB07-421A-B079-EB8B931670A7}"/>
    <cellStyle name="40% - Énfasis6 32" xfId="3152" xr:uid="{B272FE11-9FDD-4E4E-A5D3-C664795FDC13}"/>
    <cellStyle name="40% - Énfasis6 32 2" xfId="6884" xr:uid="{AD35A324-89B8-42EB-B492-DE3C3B2EB5D5}"/>
    <cellStyle name="40% - Énfasis6 32 2 2" xfId="14592" xr:uid="{E3AE9109-E799-407D-88DD-655BC3DE0F1B}"/>
    <cellStyle name="40% - Énfasis6 32 2 2 2" xfId="30004" xr:uid="{D53538BB-CFE6-4C1D-85A3-1773FED0F251}"/>
    <cellStyle name="40% - Énfasis6 32 2 2 2 2" xfId="49103" xr:uid="{1EBBE2B0-09D9-4EB1-81C3-2EB2B719C8FB}"/>
    <cellStyle name="40% - Énfasis6 32 2 2 3" xfId="49102" xr:uid="{AEE607EB-D6D5-4642-98E5-77CA9886FA5D}"/>
    <cellStyle name="40% - Énfasis6 32 2 3" xfId="22299" xr:uid="{5D705307-B1DE-40D2-828D-BE906BC818B5}"/>
    <cellStyle name="40% - Énfasis6 32 2 3 2" xfId="49104" xr:uid="{9F55994E-DDA3-452C-BDC4-1938AD0BABDE}"/>
    <cellStyle name="40% - Énfasis6 32 2 4" xfId="49101" xr:uid="{B128F9C5-9867-48DD-822A-3CD56C84CB0F}"/>
    <cellStyle name="40% - Énfasis6 32 3" xfId="10863" xr:uid="{912A8583-585D-4120-8188-2E0DB187BCBD}"/>
    <cellStyle name="40% - Énfasis6 32 3 2" xfId="26276" xr:uid="{435C796E-B8E5-46AF-A700-BEB79268F39F}"/>
    <cellStyle name="40% - Énfasis6 32 3 2 2" xfId="49106" xr:uid="{F4A0676A-6CA1-4033-98DE-D78FDD84FB6D}"/>
    <cellStyle name="40% - Énfasis6 32 3 3" xfId="49105" xr:uid="{B396C744-F0B9-4F22-A736-FFF8AB02F18D}"/>
    <cellStyle name="40% - Énfasis6 32 4" xfId="18571" xr:uid="{5CB1B63B-650D-47A7-B2AD-5E1B24297476}"/>
    <cellStyle name="40% - Énfasis6 32 4 2" xfId="49107" xr:uid="{B67CB3DF-C180-4551-B3FF-E0A924BBD643}"/>
    <cellStyle name="40% - Énfasis6 32 5" xfId="49100" xr:uid="{B2F09058-8212-4BF5-8CC5-DC7A77B7B41F}"/>
    <cellStyle name="40% - Énfasis6 33" xfId="3172" xr:uid="{076F9CB2-0A24-4FC3-A689-1C26C337F03D}"/>
    <cellStyle name="40% - Énfasis6 33 2" xfId="6904" xr:uid="{0251AA8C-E450-4A16-92F1-0765E31C1AA6}"/>
    <cellStyle name="40% - Énfasis6 33 2 2" xfId="14612" xr:uid="{B9309E9B-D6FF-498F-9C5E-3DB214AF730F}"/>
    <cellStyle name="40% - Énfasis6 33 2 2 2" xfId="30024" xr:uid="{8D28AF84-5AE8-446F-906E-83E5123D76D6}"/>
    <cellStyle name="40% - Énfasis6 33 2 2 2 2" xfId="49111" xr:uid="{EA5D88EF-0031-452C-AE62-B1B74DC27FDE}"/>
    <cellStyle name="40% - Énfasis6 33 2 2 3" xfId="49110" xr:uid="{3F8C520D-FA1B-4621-8A93-908A6A796AA4}"/>
    <cellStyle name="40% - Énfasis6 33 2 3" xfId="22319" xr:uid="{9A87FCAB-0E46-4C09-A8C6-124C5BCE08C4}"/>
    <cellStyle name="40% - Énfasis6 33 2 3 2" xfId="49112" xr:uid="{BB00CABE-9441-4328-AD02-677719F992AC}"/>
    <cellStyle name="40% - Énfasis6 33 2 4" xfId="49109" xr:uid="{0F09028E-EDFA-4ADB-9896-393233AB67ED}"/>
    <cellStyle name="40% - Énfasis6 33 3" xfId="10883" xr:uid="{892C73E1-E67B-44A8-9298-DF6659AAE412}"/>
    <cellStyle name="40% - Énfasis6 33 3 2" xfId="26296" xr:uid="{D054700C-F754-414F-A10C-085C3BF5FA62}"/>
    <cellStyle name="40% - Énfasis6 33 3 2 2" xfId="49114" xr:uid="{528C2794-C81D-43C9-A53D-B5824395AAC6}"/>
    <cellStyle name="40% - Énfasis6 33 3 3" xfId="49113" xr:uid="{2EA74DE4-FD44-4A37-A1F9-396FB79F0E53}"/>
    <cellStyle name="40% - Énfasis6 33 4" xfId="18591" xr:uid="{36F29E19-1578-4BA6-9C15-1F05FC87E263}"/>
    <cellStyle name="40% - Énfasis6 33 4 2" xfId="49115" xr:uid="{3E1BFC29-1BF1-4F81-B722-F57A44F078A6}"/>
    <cellStyle name="40% - Énfasis6 33 5" xfId="49108" xr:uid="{CDBBCC3B-48F4-480B-94D8-45F3FA996CA5}"/>
    <cellStyle name="40% - Énfasis6 34" xfId="3192" xr:uid="{D1DC0A9D-44E8-4635-A2F8-0CD85F4092B8}"/>
    <cellStyle name="40% - Énfasis6 34 2" xfId="6924" xr:uid="{A797FE0A-E16F-490B-A349-2B1D6BE186F5}"/>
    <cellStyle name="40% - Énfasis6 34 2 2" xfId="14632" xr:uid="{633CB5FD-69E8-44D7-88FB-A72D44AA41E0}"/>
    <cellStyle name="40% - Énfasis6 34 2 2 2" xfId="30044" xr:uid="{5BFC2D46-F4A4-428B-BF4B-4CA1E6A14424}"/>
    <cellStyle name="40% - Énfasis6 34 2 2 2 2" xfId="49119" xr:uid="{E34175BF-DAC6-4C3A-B554-FF605EA2D4E7}"/>
    <cellStyle name="40% - Énfasis6 34 2 2 3" xfId="49118" xr:uid="{C515E596-51F6-4161-8AFF-4F567A063434}"/>
    <cellStyle name="40% - Énfasis6 34 2 3" xfId="22339" xr:uid="{67D8EF65-5B21-45A2-83D3-1CD49BA20A93}"/>
    <cellStyle name="40% - Énfasis6 34 2 3 2" xfId="49120" xr:uid="{C74FB4B2-2400-48A3-A3EB-7D5F5C4C7733}"/>
    <cellStyle name="40% - Énfasis6 34 2 4" xfId="49117" xr:uid="{4C830E0C-738A-4FFA-A8BD-7564DF556982}"/>
    <cellStyle name="40% - Énfasis6 34 3" xfId="10903" xr:uid="{7964AE2F-ECAF-40AE-85E8-1696B6D34504}"/>
    <cellStyle name="40% - Énfasis6 34 3 2" xfId="26316" xr:uid="{BF88BA83-FAB4-466F-A993-0C9FCF961FCE}"/>
    <cellStyle name="40% - Énfasis6 34 3 2 2" xfId="49122" xr:uid="{96C1A6F4-FE45-4A95-8A31-7D0F043C8433}"/>
    <cellStyle name="40% - Énfasis6 34 3 3" xfId="49121" xr:uid="{30B53E90-E69E-4DF1-B533-278BA8FE4F73}"/>
    <cellStyle name="40% - Énfasis6 34 4" xfId="18611" xr:uid="{AC174EB4-652A-4C68-B586-5007DA365523}"/>
    <cellStyle name="40% - Énfasis6 34 4 2" xfId="49123" xr:uid="{C831B1E4-5C4F-48E6-9ADA-7B930CC67494}"/>
    <cellStyle name="40% - Énfasis6 34 5" xfId="49116" xr:uid="{127D5DC9-EFC2-4028-8CCD-D96CD217C43E}"/>
    <cellStyle name="40% - Énfasis6 35" xfId="3212" xr:uid="{C6DC2547-E643-4A79-A2F8-C1D8757A0481}"/>
    <cellStyle name="40% - Énfasis6 35 2" xfId="6944" xr:uid="{2AF756BF-FCCB-407A-9798-3805D3D63344}"/>
    <cellStyle name="40% - Énfasis6 35 2 2" xfId="14652" xr:uid="{79BDA022-C39A-4021-BCD7-1BE333821755}"/>
    <cellStyle name="40% - Énfasis6 35 2 2 2" xfId="30064" xr:uid="{0E93A03C-BC1A-424A-A71B-969A4E886BAB}"/>
    <cellStyle name="40% - Énfasis6 35 2 2 2 2" xfId="49127" xr:uid="{425BD200-B26D-429C-A5FE-0B9E6D79384E}"/>
    <cellStyle name="40% - Énfasis6 35 2 2 3" xfId="49126" xr:uid="{E30AF0DF-72BB-4C8F-A9C4-628C652C7C96}"/>
    <cellStyle name="40% - Énfasis6 35 2 3" xfId="22359" xr:uid="{DA0BA4B3-4E0A-4CCE-BEEC-BA4345796567}"/>
    <cellStyle name="40% - Énfasis6 35 2 3 2" xfId="49128" xr:uid="{790683A1-0F46-4F71-9E22-CC9D5D0CB46B}"/>
    <cellStyle name="40% - Énfasis6 35 2 4" xfId="49125" xr:uid="{55D28D19-2AED-4E14-9858-C75545FB3BF9}"/>
    <cellStyle name="40% - Énfasis6 35 3" xfId="10923" xr:uid="{22C4E9A8-687B-4089-850F-53CEDF1CC1AE}"/>
    <cellStyle name="40% - Énfasis6 35 3 2" xfId="26336" xr:uid="{5AF998BB-4AA0-43EC-9F60-05BC024C34BE}"/>
    <cellStyle name="40% - Énfasis6 35 3 2 2" xfId="49130" xr:uid="{817E8EB3-93E7-42DC-99A5-515953472B4D}"/>
    <cellStyle name="40% - Énfasis6 35 3 3" xfId="49129" xr:uid="{1F645F42-BC77-4CCD-93FD-53E86119C4CE}"/>
    <cellStyle name="40% - Énfasis6 35 4" xfId="18631" xr:uid="{B8C87EA7-3D56-435D-B1D0-256210BB01BD}"/>
    <cellStyle name="40% - Énfasis6 35 4 2" xfId="49131" xr:uid="{C63DDBDE-2FBE-4E40-8441-8F476B79556F}"/>
    <cellStyle name="40% - Énfasis6 35 5" xfId="49124" xr:uid="{C929B7E6-3363-4B4E-BF0D-61BA7E47B631}"/>
    <cellStyle name="40% - Énfasis6 36" xfId="3232" xr:uid="{5CC5B8D7-F0D0-4E83-B038-5022395A1ECB}"/>
    <cellStyle name="40% - Énfasis6 36 2" xfId="6964" xr:uid="{8094126B-E41E-498E-BB23-8868A5061024}"/>
    <cellStyle name="40% - Énfasis6 36 2 2" xfId="14672" xr:uid="{99B26347-BDCF-4308-919A-D9DD0800746B}"/>
    <cellStyle name="40% - Énfasis6 36 2 2 2" xfId="30084" xr:uid="{BBA492E7-FA6F-4731-8612-0FB191DA3845}"/>
    <cellStyle name="40% - Énfasis6 36 2 2 2 2" xfId="49135" xr:uid="{49B1CEEB-E1AF-49FF-B7B5-1B62B19EEB01}"/>
    <cellStyle name="40% - Énfasis6 36 2 2 3" xfId="49134" xr:uid="{562CB4A7-9BD4-4977-96F9-1802E0C7EF6E}"/>
    <cellStyle name="40% - Énfasis6 36 2 3" xfId="22379" xr:uid="{CC63DFC9-54FE-4543-AD23-87D2329B99C4}"/>
    <cellStyle name="40% - Énfasis6 36 2 3 2" xfId="49136" xr:uid="{4E6E766E-08D5-4612-82F4-85E4F1AFFA1A}"/>
    <cellStyle name="40% - Énfasis6 36 2 4" xfId="49133" xr:uid="{BD7D4FC4-0C36-494A-9EC5-3FBE8B3B9C38}"/>
    <cellStyle name="40% - Énfasis6 36 3" xfId="10943" xr:uid="{D36C57B1-3D67-4A1A-B876-09B0B8143145}"/>
    <cellStyle name="40% - Énfasis6 36 3 2" xfId="26356" xr:uid="{73C399FB-9864-4A28-9BF3-B5C36B77C021}"/>
    <cellStyle name="40% - Énfasis6 36 3 2 2" xfId="49138" xr:uid="{2D178F4E-B255-416D-B569-D02775B7CE08}"/>
    <cellStyle name="40% - Énfasis6 36 3 3" xfId="49137" xr:uid="{EB184E87-081E-413B-9A8C-3E5804F65FEA}"/>
    <cellStyle name="40% - Énfasis6 36 4" xfId="18651" xr:uid="{ABE9C519-93C4-400B-8728-1D4DF913D598}"/>
    <cellStyle name="40% - Énfasis6 36 4 2" xfId="49139" xr:uid="{3FB77810-0E61-4908-B552-0BAC47BC27E8}"/>
    <cellStyle name="40% - Énfasis6 36 5" xfId="49132" xr:uid="{4CD03FE6-5235-4268-B5A9-3E930F16EE18}"/>
    <cellStyle name="40% - Énfasis6 37" xfId="3252" xr:uid="{76097AB6-2DD8-4C91-B9F3-0B5BF8513794}"/>
    <cellStyle name="40% - Énfasis6 37 2" xfId="6984" xr:uid="{FE56180C-3E04-4008-A241-50D3BA39DCFC}"/>
    <cellStyle name="40% - Énfasis6 37 2 2" xfId="14692" xr:uid="{1DDA2F52-509A-4861-B602-48EC7DD08B58}"/>
    <cellStyle name="40% - Énfasis6 37 2 2 2" xfId="30104" xr:uid="{950B5885-03C5-462A-8139-8ED8F66712A9}"/>
    <cellStyle name="40% - Énfasis6 37 2 2 2 2" xfId="49143" xr:uid="{EA8AD8EF-2242-46F0-A005-E7521D03E4E9}"/>
    <cellStyle name="40% - Énfasis6 37 2 2 3" xfId="49142" xr:uid="{924BE19A-C000-4E91-92CC-91CDFAC60695}"/>
    <cellStyle name="40% - Énfasis6 37 2 3" xfId="22399" xr:uid="{7ED2D350-0B0F-4E5E-BEBA-AD51CDFF9E79}"/>
    <cellStyle name="40% - Énfasis6 37 2 3 2" xfId="49144" xr:uid="{F8597063-4EAD-48B6-9950-FCC55A200DF9}"/>
    <cellStyle name="40% - Énfasis6 37 2 4" xfId="49141" xr:uid="{CA78DFAA-1BD6-4CD5-BA02-0C9C83D4ABDB}"/>
    <cellStyle name="40% - Énfasis6 37 3" xfId="10963" xr:uid="{6BB6D82E-DA9E-4682-AEBB-24A981223DAF}"/>
    <cellStyle name="40% - Énfasis6 37 3 2" xfId="26376" xr:uid="{131A4C74-F04D-4BC9-98A7-A2170E602FEB}"/>
    <cellStyle name="40% - Énfasis6 37 3 2 2" xfId="49146" xr:uid="{C5F7F262-1C71-431D-AA9C-A9CF6A5A48F4}"/>
    <cellStyle name="40% - Énfasis6 37 3 3" xfId="49145" xr:uid="{C8D38647-414E-486A-AE3D-3C5F921BD48F}"/>
    <cellStyle name="40% - Énfasis6 37 4" xfId="18671" xr:uid="{B8FA13F0-C502-4550-B852-91667493C5CF}"/>
    <cellStyle name="40% - Énfasis6 37 4 2" xfId="49147" xr:uid="{11595ECE-9E74-4424-AB8D-6312434E2298}"/>
    <cellStyle name="40% - Énfasis6 37 5" xfId="49140" xr:uid="{333AFEBA-ACB8-48CB-9546-5D2BD08B7382}"/>
    <cellStyle name="40% - Énfasis6 38" xfId="3272" xr:uid="{FEDE8ACF-168F-46E8-8464-6A9F7B015DB4}"/>
    <cellStyle name="40% - Énfasis6 38 2" xfId="7004" xr:uid="{ADE0A64A-4E7C-472A-9FB9-89173EBF9964}"/>
    <cellStyle name="40% - Énfasis6 38 2 2" xfId="14712" xr:uid="{FF90F957-E44F-49BF-B516-74F34830792A}"/>
    <cellStyle name="40% - Énfasis6 38 2 2 2" xfId="30124" xr:uid="{89BB5C3B-D820-4220-BC85-74A115269AC8}"/>
    <cellStyle name="40% - Énfasis6 38 2 2 2 2" xfId="49151" xr:uid="{D843FCFE-C041-46B1-8FFE-146729C39AA4}"/>
    <cellStyle name="40% - Énfasis6 38 2 2 3" xfId="49150" xr:uid="{FC3BCCA0-83C4-4571-9922-8A50859490CE}"/>
    <cellStyle name="40% - Énfasis6 38 2 3" xfId="22419" xr:uid="{2F6A1DCC-2435-4173-98EF-1F5C0CA77CBF}"/>
    <cellStyle name="40% - Énfasis6 38 2 3 2" xfId="49152" xr:uid="{3C10D07F-32DE-41AC-8F70-A5F787419813}"/>
    <cellStyle name="40% - Énfasis6 38 2 4" xfId="49149" xr:uid="{36BD5183-6734-4F00-B290-42BBE3AEE499}"/>
    <cellStyle name="40% - Énfasis6 38 3" xfId="10983" xr:uid="{5D822BFD-6B55-43CC-818F-3821758329D7}"/>
    <cellStyle name="40% - Énfasis6 38 3 2" xfId="26396" xr:uid="{74A0405C-32C8-4BB2-AFA7-A6B84165F4AE}"/>
    <cellStyle name="40% - Énfasis6 38 3 2 2" xfId="49154" xr:uid="{66F37347-B044-433B-80A7-E73C6DA5B578}"/>
    <cellStyle name="40% - Énfasis6 38 3 3" xfId="49153" xr:uid="{EEADD225-2445-44D3-9EA1-C4A1F66EC223}"/>
    <cellStyle name="40% - Énfasis6 38 4" xfId="18691" xr:uid="{B34FAABB-A65B-4BCF-9E9F-885F5DED4D8E}"/>
    <cellStyle name="40% - Énfasis6 38 4 2" xfId="49155" xr:uid="{CC7C8B02-A1A7-4E58-A452-5CBD6219831D}"/>
    <cellStyle name="40% - Énfasis6 38 5" xfId="49148" xr:uid="{62E5992F-67BC-4412-9B75-17D5C48B6C81}"/>
    <cellStyle name="40% - Énfasis6 39" xfId="3292" xr:uid="{2878A45A-4C6A-4E2A-A51F-5488E7A20178}"/>
    <cellStyle name="40% - Énfasis6 39 2" xfId="7024" xr:uid="{95AE9FB1-2251-40A2-B5ED-0B44A204111F}"/>
    <cellStyle name="40% - Énfasis6 39 2 2" xfId="14732" xr:uid="{504C0635-09D2-4947-AECD-A150BF9BAE72}"/>
    <cellStyle name="40% - Énfasis6 39 2 2 2" xfId="30144" xr:uid="{D8F7FD50-233F-45C3-8858-53138F9E88E5}"/>
    <cellStyle name="40% - Énfasis6 39 2 2 2 2" xfId="49159" xr:uid="{CDD42FA0-C70A-4D86-A0A1-7CD9FDE4ACE4}"/>
    <cellStyle name="40% - Énfasis6 39 2 2 3" xfId="49158" xr:uid="{4B636560-D846-4598-B74F-51B1E6DB198B}"/>
    <cellStyle name="40% - Énfasis6 39 2 3" xfId="22439" xr:uid="{4CC64097-8E02-4746-9E6E-DB2D94EC1CAF}"/>
    <cellStyle name="40% - Énfasis6 39 2 3 2" xfId="49160" xr:uid="{A5292E06-D29F-463A-9AD4-D774A8200337}"/>
    <cellStyle name="40% - Énfasis6 39 2 4" xfId="49157" xr:uid="{E1EBFBB2-B29C-4BFC-8AE1-44B7CD18617A}"/>
    <cellStyle name="40% - Énfasis6 39 3" xfId="11003" xr:uid="{7F9B7601-DDD4-456B-831B-27FFDD14BB4D}"/>
    <cellStyle name="40% - Énfasis6 39 3 2" xfId="26416" xr:uid="{56C1D799-8426-4FA1-8AF9-4DD03D1CD263}"/>
    <cellStyle name="40% - Énfasis6 39 3 2 2" xfId="49162" xr:uid="{1AA6CC01-3D8B-4421-B0FC-AF46DA3A8546}"/>
    <cellStyle name="40% - Énfasis6 39 3 3" xfId="49161" xr:uid="{CCF478AF-506C-42FC-B84C-B8A3C086FABA}"/>
    <cellStyle name="40% - Énfasis6 39 4" xfId="18711" xr:uid="{692FAC03-59D2-4B21-8F0D-1D34D4B56EB3}"/>
    <cellStyle name="40% - Énfasis6 39 4 2" xfId="49163" xr:uid="{D9A70F64-4999-4B0E-A26F-CF40F78C61C1}"/>
    <cellStyle name="40% - Énfasis6 39 5" xfId="49156" xr:uid="{52FC093B-F1FA-429A-B9C3-B35B638DC7C1}"/>
    <cellStyle name="40% - Énfasis6 4" xfId="277" xr:uid="{E68A2AE9-05D6-4F4A-B8A7-CF5AAA2CDF66}"/>
    <cellStyle name="40% - Énfasis6 4 2" xfId="480" xr:uid="{A9DCA7DE-42E2-4C12-9E21-4A53B353C32D}"/>
    <cellStyle name="40% - Énfasis6 4 2 2" xfId="1141" xr:uid="{A002985B-9CBD-441B-9979-C6BDF26D4782}"/>
    <cellStyle name="40% - Énfasis6 4 2 2 2" xfId="2609" xr:uid="{1100D0C2-10FF-404E-895C-D8ED54F066E9}"/>
    <cellStyle name="40% - Énfasis6 4 2 2 2 2" xfId="6341" xr:uid="{3E062F49-321B-4F19-A7A5-1FE44A5B1E8F}"/>
    <cellStyle name="40% - Énfasis6 4 2 2 2 2 2" xfId="14049" xr:uid="{5285DA64-2DF2-42B5-9BE0-15B1320862F7}"/>
    <cellStyle name="40% - Énfasis6 4 2 2 2 2 2 2" xfId="29461" xr:uid="{CAC7C8D0-6A1C-4683-BC70-3700ED430935}"/>
    <cellStyle name="40% - Énfasis6 4 2 2 2 2 2 2 2" xfId="49170" xr:uid="{4FBF07D4-1EB4-44CC-A9E2-B436A82B8068}"/>
    <cellStyle name="40% - Énfasis6 4 2 2 2 2 2 3" xfId="49169" xr:uid="{44A28C46-482B-48CF-9FE8-B0C0A5A4D764}"/>
    <cellStyle name="40% - Énfasis6 4 2 2 2 2 3" xfId="21756" xr:uid="{6C580717-2FEE-4B55-9030-EF3579A963E5}"/>
    <cellStyle name="40% - Énfasis6 4 2 2 2 2 3 2" xfId="49171" xr:uid="{AE1BCB70-AA61-458A-AC7B-B139965F4523}"/>
    <cellStyle name="40% - Énfasis6 4 2 2 2 2 4" xfId="49168" xr:uid="{B345DA69-D272-4232-B57B-A6FBD527566F}"/>
    <cellStyle name="40% - Énfasis6 4 2 2 2 3" xfId="10320" xr:uid="{C509D5F9-A6F1-4BB0-B7DE-B2E35FD3F377}"/>
    <cellStyle name="40% - Énfasis6 4 2 2 2 3 2" xfId="25733" xr:uid="{3A18A7EE-4994-47CC-9A02-910A9B025B87}"/>
    <cellStyle name="40% - Énfasis6 4 2 2 2 3 2 2" xfId="49173" xr:uid="{3F729850-104B-4746-8CDA-32D109D131CC}"/>
    <cellStyle name="40% - Énfasis6 4 2 2 2 3 3" xfId="49172" xr:uid="{79BB7C6B-1BF7-4F2B-9BD2-B64D99E5AB46}"/>
    <cellStyle name="40% - Énfasis6 4 2 2 2 4" xfId="18028" xr:uid="{32336448-5566-48F9-9A6E-B0DD0B414FCD}"/>
    <cellStyle name="40% - Énfasis6 4 2 2 2 4 2" xfId="49174" xr:uid="{D964A399-AC81-4DC9-9476-8E858F4A2755}"/>
    <cellStyle name="40% - Énfasis6 4 2 2 2 5" xfId="49167" xr:uid="{E054DEED-12C0-4908-A475-9FDA8E37378E}"/>
    <cellStyle name="40% - Énfasis6 4 2 2 3" xfId="4878" xr:uid="{2FD6E459-25E2-4569-A482-2B3B7879B0DC}"/>
    <cellStyle name="40% - Énfasis6 4 2 2 3 2" xfId="12586" xr:uid="{603A11A2-34A6-4E04-B9C0-E256843A2BA7}"/>
    <cellStyle name="40% - Énfasis6 4 2 2 3 2 2" xfId="27998" xr:uid="{81120223-9A00-4F22-8255-42194AF31369}"/>
    <cellStyle name="40% - Énfasis6 4 2 2 3 2 2 2" xfId="49177" xr:uid="{BDA170AB-61E3-4AB6-95D3-6BB4B00CEB20}"/>
    <cellStyle name="40% - Énfasis6 4 2 2 3 2 3" xfId="49176" xr:uid="{57587066-A522-44E8-B7AA-47D11B6F161A}"/>
    <cellStyle name="40% - Énfasis6 4 2 2 3 3" xfId="20293" xr:uid="{B0EAB238-F894-49B0-B2AA-A4BE19FC1D35}"/>
    <cellStyle name="40% - Énfasis6 4 2 2 3 3 2" xfId="49178" xr:uid="{3160186A-D623-4BDC-BEB2-2668023434A5}"/>
    <cellStyle name="40% - Énfasis6 4 2 2 3 4" xfId="49175" xr:uid="{7462616C-4D1C-441F-AC34-DD2422CEE011}"/>
    <cellStyle name="40% - Énfasis6 4 2 2 4" xfId="8861" xr:uid="{5B19EC92-1CC4-40E4-8C40-B9448B2492A7}"/>
    <cellStyle name="40% - Énfasis6 4 2 2 4 2" xfId="24274" xr:uid="{80427253-F66F-4394-A219-5EB8F315CD93}"/>
    <cellStyle name="40% - Énfasis6 4 2 2 4 2 2" xfId="49180" xr:uid="{211FC454-96CD-447D-AA03-53C47F7A14F9}"/>
    <cellStyle name="40% - Énfasis6 4 2 2 4 3" xfId="49179" xr:uid="{ADAED9F9-F36E-4785-8B9A-E19BA6CD1DEE}"/>
    <cellStyle name="40% - Énfasis6 4 2 2 5" xfId="16569" xr:uid="{3AC83A3A-D35D-4534-85AF-267774618A48}"/>
    <cellStyle name="40% - Énfasis6 4 2 2 5 2" xfId="49181" xr:uid="{C87EBA89-3523-47EE-AD8A-5F3176AFD0D9}"/>
    <cellStyle name="40% - Énfasis6 4 2 2 6" xfId="49166" xr:uid="{B9657B7E-6E2E-4643-A6E4-CFCD2757B47B}"/>
    <cellStyle name="40% - Énfasis6 4 2 3" xfId="1971" xr:uid="{739F8E4A-0FFA-4B46-81D0-CF4BE28F6E64}"/>
    <cellStyle name="40% - Énfasis6 4 2 3 2" xfId="5703" xr:uid="{A36A9E11-1587-4DC1-99F7-9E3FDC2813CC}"/>
    <cellStyle name="40% - Énfasis6 4 2 3 2 2" xfId="13411" xr:uid="{3D1A9EEA-F922-4671-B894-BA8DAFD671E2}"/>
    <cellStyle name="40% - Énfasis6 4 2 3 2 2 2" xfId="28823" xr:uid="{9F13E25B-9ACC-4BF8-B24A-A1D23CB73F10}"/>
    <cellStyle name="40% - Énfasis6 4 2 3 2 2 2 2" xfId="49185" xr:uid="{B2974E07-8367-438A-A482-6C0FEAB30D8D}"/>
    <cellStyle name="40% - Énfasis6 4 2 3 2 2 3" xfId="49184" xr:uid="{5D9901EC-4536-48FA-B8AF-32CB5F6DB925}"/>
    <cellStyle name="40% - Énfasis6 4 2 3 2 3" xfId="21118" xr:uid="{4C2C3BF0-77D7-4F8C-84A0-24975F6A8CD8}"/>
    <cellStyle name="40% - Énfasis6 4 2 3 2 3 2" xfId="49186" xr:uid="{6704072A-22A9-4E2B-B7A5-91A963A5441A}"/>
    <cellStyle name="40% - Énfasis6 4 2 3 2 4" xfId="49183" xr:uid="{3D4A4D3F-3492-4618-83D7-21CBF5CD1839}"/>
    <cellStyle name="40% - Énfasis6 4 2 3 3" xfId="9682" xr:uid="{C4681A7E-C808-4505-9DFB-9E3493390B41}"/>
    <cellStyle name="40% - Énfasis6 4 2 3 3 2" xfId="25095" xr:uid="{C54F35D1-209C-40F9-B0B9-19D9B55E19A4}"/>
    <cellStyle name="40% - Énfasis6 4 2 3 3 2 2" xfId="49188" xr:uid="{F1C265EE-D33D-4164-8995-BCE429CB9BA4}"/>
    <cellStyle name="40% - Énfasis6 4 2 3 3 3" xfId="49187" xr:uid="{D5DCD459-F016-4C91-97E4-51DE36B3EC35}"/>
    <cellStyle name="40% - Énfasis6 4 2 3 4" xfId="17390" xr:uid="{5689641D-3636-4CCB-8E11-D7222532C6DE}"/>
    <cellStyle name="40% - Énfasis6 4 2 3 4 2" xfId="49189" xr:uid="{149EF4C9-D1D1-4F0E-9029-AB68102D0874}"/>
    <cellStyle name="40% - Énfasis6 4 2 3 5" xfId="49182" xr:uid="{75EABB9B-647D-4658-9640-31D28FEC55C4}"/>
    <cellStyle name="40% - Énfasis6 4 2 4" xfId="4226" xr:uid="{A7F63C53-4042-47F6-818F-206CFB19550D}"/>
    <cellStyle name="40% - Énfasis6 4 2 4 2" xfId="11934" xr:uid="{85AA33AB-3F7E-42D4-9077-5169DD3EBCAB}"/>
    <cellStyle name="40% - Énfasis6 4 2 4 2 2" xfId="27346" xr:uid="{4E4F9E63-B349-45A3-89F8-FB66B3D7BA13}"/>
    <cellStyle name="40% - Énfasis6 4 2 4 2 2 2" xfId="49192" xr:uid="{7D1D4C9A-25B6-49D1-957B-02E5A68C97E1}"/>
    <cellStyle name="40% - Énfasis6 4 2 4 2 3" xfId="49191" xr:uid="{A62DD508-6693-4E00-9755-D848F3C55217}"/>
    <cellStyle name="40% - Énfasis6 4 2 4 3" xfId="19641" xr:uid="{D3B393A4-B96E-46D3-B217-D74B27B4F3B9}"/>
    <cellStyle name="40% - Énfasis6 4 2 4 3 2" xfId="49193" xr:uid="{378799CF-E0D2-4FAF-841C-0FFDB827FF47}"/>
    <cellStyle name="40% - Énfasis6 4 2 4 4" xfId="49190" xr:uid="{52747937-131D-4D0E-A1CC-7F36D5658E61}"/>
    <cellStyle name="40% - Énfasis6 4 2 5" xfId="8223" xr:uid="{4B02CF86-80B7-4342-88EA-F91A092006F3}"/>
    <cellStyle name="40% - Énfasis6 4 2 5 2" xfId="23636" xr:uid="{D0005C60-063B-4EC1-915C-94579B7C45F7}"/>
    <cellStyle name="40% - Énfasis6 4 2 5 2 2" xfId="49195" xr:uid="{7C772754-8569-4408-A109-D6796ECDFFA6}"/>
    <cellStyle name="40% - Énfasis6 4 2 5 3" xfId="49194" xr:uid="{66881499-07D2-4CC5-AC59-3CF9F3DF7443}"/>
    <cellStyle name="40% - Énfasis6 4 2 6" xfId="15931" xr:uid="{5BF77560-6F89-4204-BC4F-D5FEF0831B98}"/>
    <cellStyle name="40% - Énfasis6 4 2 6 2" xfId="49196" xr:uid="{0110C970-A419-43A2-85D7-293BE28834BC}"/>
    <cellStyle name="40% - Énfasis6 4 2 7" xfId="49165" xr:uid="{93D0EDA2-DEF1-41EB-97EC-F0A5AE2F87AC}"/>
    <cellStyle name="40% - Énfasis6 4 3" xfId="941" xr:uid="{22DAC5DB-5F75-48CE-B7B7-AA5CCA499556}"/>
    <cellStyle name="40% - Énfasis6 4 3 2" xfId="2411" xr:uid="{ECAC1DA9-55D1-4E1A-B5DB-AFBBF10C16DE}"/>
    <cellStyle name="40% - Énfasis6 4 3 2 2" xfId="6143" xr:uid="{18D460FE-74A5-4276-884B-506E5DA600F5}"/>
    <cellStyle name="40% - Énfasis6 4 3 2 2 2" xfId="13851" xr:uid="{5FBB4D8B-1EB4-4C46-BAB8-0F860E934CE6}"/>
    <cellStyle name="40% - Énfasis6 4 3 2 2 2 2" xfId="29263" xr:uid="{DC8B8BC8-FAE8-4DBA-B59B-9970D8FB2F77}"/>
    <cellStyle name="40% - Énfasis6 4 3 2 2 2 2 2" xfId="49201" xr:uid="{20441E93-770C-4BDD-94D3-2CF57D1D4757}"/>
    <cellStyle name="40% - Énfasis6 4 3 2 2 2 3" xfId="49200" xr:uid="{D528DFEC-C68F-4525-B87A-91204BCFA8BD}"/>
    <cellStyle name="40% - Énfasis6 4 3 2 2 3" xfId="21558" xr:uid="{2546D979-CA09-4F22-B618-1B35E66F7AEC}"/>
    <cellStyle name="40% - Énfasis6 4 3 2 2 3 2" xfId="49202" xr:uid="{1183276E-D41F-4044-8ADE-29F1025D9EF1}"/>
    <cellStyle name="40% - Énfasis6 4 3 2 2 4" xfId="49199" xr:uid="{E9481D4E-9955-493D-9D44-0E78EDA88727}"/>
    <cellStyle name="40% - Énfasis6 4 3 2 3" xfId="10122" xr:uid="{C0F1F920-F625-4068-830B-F8112CB33BD8}"/>
    <cellStyle name="40% - Énfasis6 4 3 2 3 2" xfId="25535" xr:uid="{C3A84AA0-BEA7-423C-BD2D-27BAE36290E0}"/>
    <cellStyle name="40% - Énfasis6 4 3 2 3 2 2" xfId="49204" xr:uid="{9604B9E9-8565-400F-B7D1-70D373B4F204}"/>
    <cellStyle name="40% - Énfasis6 4 3 2 3 3" xfId="49203" xr:uid="{97FBF9E3-71DE-443B-B521-8E5A0A646254}"/>
    <cellStyle name="40% - Énfasis6 4 3 2 4" xfId="17830" xr:uid="{66D7D45B-C63E-4790-BB00-231D7BADA763}"/>
    <cellStyle name="40% - Énfasis6 4 3 2 4 2" xfId="49205" xr:uid="{53C39E9D-C685-4ADC-ADEE-0E4B1E6DAB1A}"/>
    <cellStyle name="40% - Énfasis6 4 3 2 5" xfId="49198" xr:uid="{9A98AF0B-AA47-4526-AFF2-C22193894BC3}"/>
    <cellStyle name="40% - Énfasis6 4 3 3" xfId="4678" xr:uid="{84BD1320-E48E-4135-AFAC-E2CB213F16B9}"/>
    <cellStyle name="40% - Énfasis6 4 3 3 2" xfId="12386" xr:uid="{4A0310E8-257F-4D2C-B4A5-94B73E3D2A14}"/>
    <cellStyle name="40% - Énfasis6 4 3 3 2 2" xfId="27798" xr:uid="{4B463DBF-D021-455E-99EF-5765FA750EDC}"/>
    <cellStyle name="40% - Énfasis6 4 3 3 2 2 2" xfId="49208" xr:uid="{D9FACF05-3693-4C34-8218-7349019C2E7A}"/>
    <cellStyle name="40% - Énfasis6 4 3 3 2 3" xfId="49207" xr:uid="{FB8D3A42-AC50-4793-AAF7-8846E3AAFBBD}"/>
    <cellStyle name="40% - Énfasis6 4 3 3 3" xfId="20093" xr:uid="{BD2ADAFC-F2D4-48A4-A2BA-05B499BA1B9C}"/>
    <cellStyle name="40% - Énfasis6 4 3 3 3 2" xfId="49209" xr:uid="{D2FBBB8A-B482-4987-BBE6-FA3A7E308C75}"/>
    <cellStyle name="40% - Énfasis6 4 3 3 4" xfId="49206" xr:uid="{BC2C509D-6516-4D18-B572-C66F1AD0717C}"/>
    <cellStyle name="40% - Énfasis6 4 3 4" xfId="8663" xr:uid="{A258AB89-CDEB-4ACB-B56B-CB44E3407498}"/>
    <cellStyle name="40% - Énfasis6 4 3 4 2" xfId="24076" xr:uid="{2DE0602D-99FF-4A7D-9B7E-F9896592D117}"/>
    <cellStyle name="40% - Énfasis6 4 3 4 2 2" xfId="49211" xr:uid="{4BE7BFE9-8356-4034-AA8A-FC01B31A2B08}"/>
    <cellStyle name="40% - Énfasis6 4 3 4 3" xfId="49210" xr:uid="{4A2D98F0-4E0E-4980-AD3F-202F15A05FE1}"/>
    <cellStyle name="40% - Énfasis6 4 3 5" xfId="16371" xr:uid="{435585C8-5D11-4752-9D53-8B1FB2572352}"/>
    <cellStyle name="40% - Énfasis6 4 3 5 2" xfId="49212" xr:uid="{564D904C-EEC5-4873-9946-213427B33A63}"/>
    <cellStyle name="40% - Énfasis6 4 3 6" xfId="49197" xr:uid="{8AAEAE0F-B221-438A-9B08-2FBB63A1BF27}"/>
    <cellStyle name="40% - Énfasis6 4 4" xfId="1773" xr:uid="{1C603EDF-1F77-4119-8B4B-10DD24D8E180}"/>
    <cellStyle name="40% - Énfasis6 4 4 2" xfId="5505" xr:uid="{792FD315-6ACB-470B-8677-4799B4E427F0}"/>
    <cellStyle name="40% - Énfasis6 4 4 2 2" xfId="13213" xr:uid="{DBC5872B-D820-411E-9F6D-A13FFBFF4675}"/>
    <cellStyle name="40% - Énfasis6 4 4 2 2 2" xfId="28625" xr:uid="{D7C45867-FBF7-4FA8-BB60-86B478DA349D}"/>
    <cellStyle name="40% - Énfasis6 4 4 2 2 2 2" xfId="49216" xr:uid="{61E1FAB8-264C-401D-9264-BACFCE423036}"/>
    <cellStyle name="40% - Énfasis6 4 4 2 2 3" xfId="49215" xr:uid="{0753BD0C-69BB-460C-8987-7B306D082F94}"/>
    <cellStyle name="40% - Énfasis6 4 4 2 3" xfId="20920" xr:uid="{11F77A7B-2E61-4228-ACDA-07192A0363AD}"/>
    <cellStyle name="40% - Énfasis6 4 4 2 3 2" xfId="49217" xr:uid="{DD61D573-C140-454A-BD3E-F8AE3993B475}"/>
    <cellStyle name="40% - Énfasis6 4 4 2 4" xfId="49214" xr:uid="{B4C2D735-C1CD-4B05-9423-DE0190004080}"/>
    <cellStyle name="40% - Énfasis6 4 4 3" xfId="9484" xr:uid="{233C8A53-DEE3-49FB-A1E4-14D85E007447}"/>
    <cellStyle name="40% - Énfasis6 4 4 3 2" xfId="24897" xr:uid="{5A232C02-86EF-4E66-A1CD-2991A3ACD9EF}"/>
    <cellStyle name="40% - Énfasis6 4 4 3 2 2" xfId="49219" xr:uid="{223F5B1F-74B3-4749-BA01-24FA31A4C839}"/>
    <cellStyle name="40% - Énfasis6 4 4 3 3" xfId="49218" xr:uid="{E5F09C68-7BBF-413F-97FF-69E93D3614A3}"/>
    <cellStyle name="40% - Énfasis6 4 4 4" xfId="17192" xr:uid="{80B8213C-0E47-4067-919E-5889493BDA84}"/>
    <cellStyle name="40% - Énfasis6 4 4 4 2" xfId="49220" xr:uid="{DD4E4F59-524A-428F-A7B7-27C85501763C}"/>
    <cellStyle name="40% - Énfasis6 4 4 5" xfId="49213" xr:uid="{C42F7265-F977-4916-8DBD-A0A5073E43B4}"/>
    <cellStyle name="40% - Énfasis6 4 5" xfId="4026" xr:uid="{56CC9038-DFAB-469E-A0B2-EFAFDAB39083}"/>
    <cellStyle name="40% - Énfasis6 4 5 2" xfId="11734" xr:uid="{C83AC8AB-3B01-49AF-B80E-C666DB876968}"/>
    <cellStyle name="40% - Énfasis6 4 5 2 2" xfId="27146" xr:uid="{5C178DD3-614C-496A-9964-DD2591B97001}"/>
    <cellStyle name="40% - Énfasis6 4 5 2 2 2" xfId="49223" xr:uid="{080A454E-8EBC-44CF-975C-78E116F281AF}"/>
    <cellStyle name="40% - Énfasis6 4 5 2 3" xfId="49222" xr:uid="{7E6704E9-DDE8-4BD0-A428-BC1668FFD09B}"/>
    <cellStyle name="40% - Énfasis6 4 5 3" xfId="19441" xr:uid="{AC5B6CE3-50AB-45FF-9EA2-5B4ED1298DA6}"/>
    <cellStyle name="40% - Énfasis6 4 5 3 2" xfId="49224" xr:uid="{DE6DBB7E-CFB3-4CF6-A9E8-0B8DED4A73ED}"/>
    <cellStyle name="40% - Énfasis6 4 5 4" xfId="49221" xr:uid="{8E077068-77D8-4F66-9594-EC420C4012A3}"/>
    <cellStyle name="40% - Énfasis6 4 6" xfId="8025" xr:uid="{B42079B0-84E6-4D7F-8D0E-C30267083949}"/>
    <cellStyle name="40% - Énfasis6 4 6 2" xfId="23438" xr:uid="{C36DEF30-8E52-4A4A-9A8E-E8288B403B01}"/>
    <cellStyle name="40% - Énfasis6 4 6 2 2" xfId="49226" xr:uid="{BA39DF2B-8C66-4EBF-B6F6-D4C5D318B2E0}"/>
    <cellStyle name="40% - Énfasis6 4 6 3" xfId="49225" xr:uid="{97DF637F-7C34-47EA-B0D5-0F834AA8576F}"/>
    <cellStyle name="40% - Énfasis6 4 7" xfId="15733" xr:uid="{B815EC9B-429E-4783-AC07-AC492924A6FF}"/>
    <cellStyle name="40% - Énfasis6 4 7 2" xfId="49227" xr:uid="{11E571C7-552A-4B0C-9574-7174677A27AE}"/>
    <cellStyle name="40% - Énfasis6 4 8" xfId="49164" xr:uid="{C1F8AA41-C2A9-425F-92C4-C03ACDAF41AB}"/>
    <cellStyle name="40% - Énfasis6 5" xfId="297" xr:uid="{40E5C518-5406-4B8B-85D9-656878F2B934}"/>
    <cellStyle name="40% - Énfasis6 5 2" xfId="500" xr:uid="{8EB766A4-B0F3-4E4D-8B20-602CB650C596}"/>
    <cellStyle name="40% - Énfasis6 5 2 2" xfId="1161" xr:uid="{5BC1AB79-B4D9-480F-A624-03155A4A3C4B}"/>
    <cellStyle name="40% - Énfasis6 5 2 2 2" xfId="2629" xr:uid="{3F4EA218-C028-45E5-9E40-B6E5B9C2BBC0}"/>
    <cellStyle name="40% - Énfasis6 5 2 2 2 2" xfId="6361" xr:uid="{81262647-2C10-4750-94F6-22524AA28FBC}"/>
    <cellStyle name="40% - Énfasis6 5 2 2 2 2 2" xfId="14069" xr:uid="{88B39B1B-23FC-486B-95EE-4FEF8A68C68A}"/>
    <cellStyle name="40% - Énfasis6 5 2 2 2 2 2 2" xfId="29481" xr:uid="{A31E92EA-25CB-42A5-A64C-17D79A494322}"/>
    <cellStyle name="40% - Énfasis6 5 2 2 2 2 2 2 2" xfId="49234" xr:uid="{25FA3301-BC84-49F2-8FCF-1B120234C8E4}"/>
    <cellStyle name="40% - Énfasis6 5 2 2 2 2 2 3" xfId="49233" xr:uid="{EBF1F698-D96D-4411-9204-1F6D21DCA299}"/>
    <cellStyle name="40% - Énfasis6 5 2 2 2 2 3" xfId="21776" xr:uid="{FAC97830-9F63-481D-A478-F6D0E912D75D}"/>
    <cellStyle name="40% - Énfasis6 5 2 2 2 2 3 2" xfId="49235" xr:uid="{7C211A6A-10D8-47A5-8091-C6E13F37A106}"/>
    <cellStyle name="40% - Énfasis6 5 2 2 2 2 4" xfId="49232" xr:uid="{154F279B-55F8-418D-988F-07B4DD5879A8}"/>
    <cellStyle name="40% - Énfasis6 5 2 2 2 3" xfId="10340" xr:uid="{A42F1DAD-08C7-4162-96B4-2F9EF0E1FB3D}"/>
    <cellStyle name="40% - Énfasis6 5 2 2 2 3 2" xfId="25753" xr:uid="{807782D3-6CF2-4F78-A0AB-F9E4F7BA6685}"/>
    <cellStyle name="40% - Énfasis6 5 2 2 2 3 2 2" xfId="49237" xr:uid="{001DFA88-7D8A-4FAD-9778-CF650F020AB7}"/>
    <cellStyle name="40% - Énfasis6 5 2 2 2 3 3" xfId="49236" xr:uid="{EFCE5DA5-640A-4A05-A16A-4BA502F44F37}"/>
    <cellStyle name="40% - Énfasis6 5 2 2 2 4" xfId="18048" xr:uid="{19436AE8-507C-4B88-A8BB-869238880A8E}"/>
    <cellStyle name="40% - Énfasis6 5 2 2 2 4 2" xfId="49238" xr:uid="{18661081-1070-4A45-B0D1-29B32F2AFAF0}"/>
    <cellStyle name="40% - Énfasis6 5 2 2 2 5" xfId="49231" xr:uid="{8B4210AA-AE56-42B7-876D-430AF16ECCCF}"/>
    <cellStyle name="40% - Énfasis6 5 2 2 3" xfId="4898" xr:uid="{9ADB6313-5734-4712-92F7-45B77727FAF0}"/>
    <cellStyle name="40% - Énfasis6 5 2 2 3 2" xfId="12606" xr:uid="{1D57ADB9-BB88-41C3-8847-B2BBC1F67761}"/>
    <cellStyle name="40% - Énfasis6 5 2 2 3 2 2" xfId="28018" xr:uid="{25103BD8-0760-4089-826E-6FB4857B917B}"/>
    <cellStyle name="40% - Énfasis6 5 2 2 3 2 2 2" xfId="49241" xr:uid="{1C622CDE-9324-4113-8446-CEBB8AD604E9}"/>
    <cellStyle name="40% - Énfasis6 5 2 2 3 2 3" xfId="49240" xr:uid="{62704BA3-ADDF-4B05-BDE1-F60555759113}"/>
    <cellStyle name="40% - Énfasis6 5 2 2 3 3" xfId="20313" xr:uid="{BCBA7B83-6480-4EBD-ACE4-20444CCCCDA9}"/>
    <cellStyle name="40% - Énfasis6 5 2 2 3 3 2" xfId="49242" xr:uid="{75BFA516-5322-45A1-AD35-BC8848BA4124}"/>
    <cellStyle name="40% - Énfasis6 5 2 2 3 4" xfId="49239" xr:uid="{2CA060F7-73E6-4F12-8BCE-D5A80BAC407A}"/>
    <cellStyle name="40% - Énfasis6 5 2 2 4" xfId="8881" xr:uid="{D3C0028C-8B23-43A2-81D2-CCC711732BE6}"/>
    <cellStyle name="40% - Énfasis6 5 2 2 4 2" xfId="24294" xr:uid="{93850E17-209B-4DE7-9842-D4E1BD05F4BC}"/>
    <cellStyle name="40% - Énfasis6 5 2 2 4 2 2" xfId="49244" xr:uid="{19C3050D-63E4-4D15-B7BD-F7DDF4F80703}"/>
    <cellStyle name="40% - Énfasis6 5 2 2 4 3" xfId="49243" xr:uid="{57807E65-D5A6-4478-89FE-6F5B1C8F1200}"/>
    <cellStyle name="40% - Énfasis6 5 2 2 5" xfId="16589" xr:uid="{07CEF397-948E-4C70-BF6B-7D47CA298DB9}"/>
    <cellStyle name="40% - Énfasis6 5 2 2 5 2" xfId="49245" xr:uid="{ADDEF00C-E1E1-4C3D-9786-161D73E6D0CF}"/>
    <cellStyle name="40% - Énfasis6 5 2 2 6" xfId="49230" xr:uid="{65E2B94C-83E4-4D82-8577-AFAE6AED5210}"/>
    <cellStyle name="40% - Énfasis6 5 2 3" xfId="1991" xr:uid="{A259CA3B-70D9-4A27-AED7-0AE8AB189189}"/>
    <cellStyle name="40% - Énfasis6 5 2 3 2" xfId="5723" xr:uid="{34013B63-3C40-4698-AA2B-0536C71007BC}"/>
    <cellStyle name="40% - Énfasis6 5 2 3 2 2" xfId="13431" xr:uid="{687660AC-AAC4-425A-B693-229F054E407A}"/>
    <cellStyle name="40% - Énfasis6 5 2 3 2 2 2" xfId="28843" xr:uid="{CBA702F5-F5DC-43B3-82AE-6151FDAB1753}"/>
    <cellStyle name="40% - Énfasis6 5 2 3 2 2 2 2" xfId="49249" xr:uid="{334A1F74-20C0-4F34-B3BD-7304F1684BC6}"/>
    <cellStyle name="40% - Énfasis6 5 2 3 2 2 3" xfId="49248" xr:uid="{863AD2D8-352D-455A-AB25-F43DD98BAA7B}"/>
    <cellStyle name="40% - Énfasis6 5 2 3 2 3" xfId="21138" xr:uid="{10905AF1-9593-4A51-9E8B-4DF79FBF630C}"/>
    <cellStyle name="40% - Énfasis6 5 2 3 2 3 2" xfId="49250" xr:uid="{2F242413-912A-4C30-898F-5F09450878DC}"/>
    <cellStyle name="40% - Énfasis6 5 2 3 2 4" xfId="49247" xr:uid="{15CA43AF-656A-40E7-A1FA-3ADF870C3898}"/>
    <cellStyle name="40% - Énfasis6 5 2 3 3" xfId="9702" xr:uid="{083B36BE-AC74-42C5-A6BB-354BF620E8D5}"/>
    <cellStyle name="40% - Énfasis6 5 2 3 3 2" xfId="25115" xr:uid="{7E41FE17-5F9C-41F6-8888-C0682DEEA64D}"/>
    <cellStyle name="40% - Énfasis6 5 2 3 3 2 2" xfId="49252" xr:uid="{060B0AD6-1572-4735-952F-F9B43673CF5D}"/>
    <cellStyle name="40% - Énfasis6 5 2 3 3 3" xfId="49251" xr:uid="{C903BDFA-BA5F-422B-9622-0850FD8C484C}"/>
    <cellStyle name="40% - Énfasis6 5 2 3 4" xfId="17410" xr:uid="{BC1B590B-DD03-4F96-9305-F67B4930099E}"/>
    <cellStyle name="40% - Énfasis6 5 2 3 4 2" xfId="49253" xr:uid="{ED27F63A-54BB-4C2B-ACB3-ADCCCEAA74A9}"/>
    <cellStyle name="40% - Énfasis6 5 2 3 5" xfId="49246" xr:uid="{32BB08E8-1AB8-4E19-83CB-B5D9C29D90A3}"/>
    <cellStyle name="40% - Énfasis6 5 2 4" xfId="4246" xr:uid="{9F5CF7F9-A35F-4FC6-9EB1-0BA99258722B}"/>
    <cellStyle name="40% - Énfasis6 5 2 4 2" xfId="11954" xr:uid="{1C3AE53F-FF4A-4AD8-98F4-DD86DFDDEDEB}"/>
    <cellStyle name="40% - Énfasis6 5 2 4 2 2" xfId="27366" xr:uid="{762BD501-73BF-4A1E-8671-EFA52BC19716}"/>
    <cellStyle name="40% - Énfasis6 5 2 4 2 2 2" xfId="49256" xr:uid="{C6ED3DC4-0134-4420-8611-8E5FE5244F6E}"/>
    <cellStyle name="40% - Énfasis6 5 2 4 2 3" xfId="49255" xr:uid="{7A4A1D3E-5C8A-4D51-A8C2-5C5853A82346}"/>
    <cellStyle name="40% - Énfasis6 5 2 4 3" xfId="19661" xr:uid="{C73A080D-6A35-4ECD-9416-5383FB26E997}"/>
    <cellStyle name="40% - Énfasis6 5 2 4 3 2" xfId="49257" xr:uid="{3B6271D0-A082-4AFB-85B0-79522A5E2614}"/>
    <cellStyle name="40% - Énfasis6 5 2 4 4" xfId="49254" xr:uid="{18960228-E5B9-41C9-A634-CA61E92F2509}"/>
    <cellStyle name="40% - Énfasis6 5 2 5" xfId="8243" xr:uid="{EB83402B-3108-4196-90CE-CA7FC18205DD}"/>
    <cellStyle name="40% - Énfasis6 5 2 5 2" xfId="23656" xr:uid="{C1B0F8C4-54E4-4A6D-94FA-2069015BEA7D}"/>
    <cellStyle name="40% - Énfasis6 5 2 5 2 2" xfId="49259" xr:uid="{BC6DA613-FE36-42D0-A7A1-B3132AFFC7E8}"/>
    <cellStyle name="40% - Énfasis6 5 2 5 3" xfId="49258" xr:uid="{CF44667F-4B06-4FD5-9BEC-EE0722E228D6}"/>
    <cellStyle name="40% - Énfasis6 5 2 6" xfId="15951" xr:uid="{B6CAF82D-2EE6-4DE7-95DF-0D3DF104EC87}"/>
    <cellStyle name="40% - Énfasis6 5 2 6 2" xfId="49260" xr:uid="{C7D055D1-BCBA-4DF4-914C-070881724294}"/>
    <cellStyle name="40% - Énfasis6 5 2 7" xfId="49229" xr:uid="{511E5790-ADAB-42BE-AE97-92380DE3CF88}"/>
    <cellStyle name="40% - Énfasis6 5 3" xfId="961" xr:uid="{F5F00072-22B9-494F-A277-DCB414E2BD5A}"/>
    <cellStyle name="40% - Énfasis6 5 3 2" xfId="2431" xr:uid="{3830B661-6015-4419-A4DD-8538A6AD15C0}"/>
    <cellStyle name="40% - Énfasis6 5 3 2 2" xfId="6163" xr:uid="{254328DF-1BC5-4B85-8684-6A88DE1E1296}"/>
    <cellStyle name="40% - Énfasis6 5 3 2 2 2" xfId="13871" xr:uid="{F4E14C2F-FC0F-4AD2-A8CE-B9DAC96C2A93}"/>
    <cellStyle name="40% - Énfasis6 5 3 2 2 2 2" xfId="29283" xr:uid="{838918FA-FACC-4C31-A9B0-D903AD8502B5}"/>
    <cellStyle name="40% - Énfasis6 5 3 2 2 2 2 2" xfId="49265" xr:uid="{BECDB0DB-E2FE-4C17-8A4A-421B1D55ADB5}"/>
    <cellStyle name="40% - Énfasis6 5 3 2 2 2 3" xfId="49264" xr:uid="{3BCD2250-6630-44C2-B48C-CBBF0245451C}"/>
    <cellStyle name="40% - Énfasis6 5 3 2 2 3" xfId="21578" xr:uid="{BF79B01C-3745-44F8-A119-B15659B609FE}"/>
    <cellStyle name="40% - Énfasis6 5 3 2 2 3 2" xfId="49266" xr:uid="{779B34DF-28AF-43D6-867F-5AAECB9449B8}"/>
    <cellStyle name="40% - Énfasis6 5 3 2 2 4" xfId="49263" xr:uid="{59573D36-FD75-4885-965C-FB16BF3ECD29}"/>
    <cellStyle name="40% - Énfasis6 5 3 2 3" xfId="10142" xr:uid="{B168397B-843A-441F-97A2-B942177CBD80}"/>
    <cellStyle name="40% - Énfasis6 5 3 2 3 2" xfId="25555" xr:uid="{072664A3-BFED-4A9B-B6E7-1E049764EEC3}"/>
    <cellStyle name="40% - Énfasis6 5 3 2 3 2 2" xfId="49268" xr:uid="{8A9241A2-9F35-4A28-B1CA-FF934B45DB11}"/>
    <cellStyle name="40% - Énfasis6 5 3 2 3 3" xfId="49267" xr:uid="{666D1900-5B64-4AA1-9DC5-4EE8C0CFEE5B}"/>
    <cellStyle name="40% - Énfasis6 5 3 2 4" xfId="17850" xr:uid="{79E42EC8-F085-41BC-96F0-9AC05FFC7760}"/>
    <cellStyle name="40% - Énfasis6 5 3 2 4 2" xfId="49269" xr:uid="{B1D74DFE-0C01-45F6-AD6C-64145D7B79DE}"/>
    <cellStyle name="40% - Énfasis6 5 3 2 5" xfId="49262" xr:uid="{07300FA7-8060-49A6-A8FA-E4AB8F75139E}"/>
    <cellStyle name="40% - Énfasis6 5 3 3" xfId="4698" xr:uid="{0B305D99-B87D-42C9-8762-74F2F2EC110D}"/>
    <cellStyle name="40% - Énfasis6 5 3 3 2" xfId="12406" xr:uid="{93F7A5D3-10A8-4674-937F-9DBF0CA8A0E0}"/>
    <cellStyle name="40% - Énfasis6 5 3 3 2 2" xfId="27818" xr:uid="{27387600-89B9-4671-8A58-C3E4F5EDE4CB}"/>
    <cellStyle name="40% - Énfasis6 5 3 3 2 2 2" xfId="49272" xr:uid="{28D4017E-EC99-47AB-874B-8BAAE95C67FF}"/>
    <cellStyle name="40% - Énfasis6 5 3 3 2 3" xfId="49271" xr:uid="{95AC15E2-BA6F-4D5F-A67B-BC2979A4B3D1}"/>
    <cellStyle name="40% - Énfasis6 5 3 3 3" xfId="20113" xr:uid="{5E180669-39AE-40B1-AA4B-78D98798AF60}"/>
    <cellStyle name="40% - Énfasis6 5 3 3 3 2" xfId="49273" xr:uid="{B43A8466-A5E7-4DD2-B53C-F9C35C85E2B8}"/>
    <cellStyle name="40% - Énfasis6 5 3 3 4" xfId="49270" xr:uid="{04E26E1B-4951-4DEB-9B9B-989125920163}"/>
    <cellStyle name="40% - Énfasis6 5 3 4" xfId="8683" xr:uid="{197D2E97-E67E-4EC4-A004-7EBFA3BE4F72}"/>
    <cellStyle name="40% - Énfasis6 5 3 4 2" xfId="24096" xr:uid="{9E65EDA6-A0B4-400F-AEA7-2693AA5985DD}"/>
    <cellStyle name="40% - Énfasis6 5 3 4 2 2" xfId="49275" xr:uid="{1308A898-88F7-4DAC-A16C-AB64938FF692}"/>
    <cellStyle name="40% - Énfasis6 5 3 4 3" xfId="49274" xr:uid="{0278EAE1-BE8D-4038-96C3-8A2913332B1A}"/>
    <cellStyle name="40% - Énfasis6 5 3 5" xfId="16391" xr:uid="{F4035AE1-6D2A-4FAC-8B7C-E38B0D076707}"/>
    <cellStyle name="40% - Énfasis6 5 3 5 2" xfId="49276" xr:uid="{FB8F37D7-139F-425A-96B2-1A4FDB35E7E6}"/>
    <cellStyle name="40% - Énfasis6 5 3 6" xfId="49261" xr:uid="{B660EA50-BE72-41E3-BD99-B4ECA937A8ED}"/>
    <cellStyle name="40% - Énfasis6 5 4" xfId="1793" xr:uid="{E6D0DD8F-2EAF-4CEB-9C89-C8615C40E0FC}"/>
    <cellStyle name="40% - Énfasis6 5 4 2" xfId="5525" xr:uid="{7BBD7722-1548-439C-8DE1-A667227E9EDF}"/>
    <cellStyle name="40% - Énfasis6 5 4 2 2" xfId="13233" xr:uid="{04A29509-510B-42A7-8CA3-538BCE09E741}"/>
    <cellStyle name="40% - Énfasis6 5 4 2 2 2" xfId="28645" xr:uid="{36401B28-1CA2-4135-B090-E87241128A52}"/>
    <cellStyle name="40% - Énfasis6 5 4 2 2 2 2" xfId="49280" xr:uid="{000EF178-06E5-49BD-9AF9-E4C985F559CB}"/>
    <cellStyle name="40% - Énfasis6 5 4 2 2 3" xfId="49279" xr:uid="{B0B2454C-4A37-459E-A3B2-B2A036042E6D}"/>
    <cellStyle name="40% - Énfasis6 5 4 2 3" xfId="20940" xr:uid="{60AC4CE7-A409-4DD7-B118-D7967567FA54}"/>
    <cellStyle name="40% - Énfasis6 5 4 2 3 2" xfId="49281" xr:uid="{4336F176-3841-4683-97CD-8981D5AAFA52}"/>
    <cellStyle name="40% - Énfasis6 5 4 2 4" xfId="49278" xr:uid="{61FF6B6D-BB4F-4C03-94E4-46A53126968B}"/>
    <cellStyle name="40% - Énfasis6 5 4 3" xfId="9504" xr:uid="{2ADFF243-B0E7-4DAA-B0FA-3C43590D232B}"/>
    <cellStyle name="40% - Énfasis6 5 4 3 2" xfId="24917" xr:uid="{BAEFD846-818E-44A7-90D6-5040C22A64AD}"/>
    <cellStyle name="40% - Énfasis6 5 4 3 2 2" xfId="49283" xr:uid="{53BC03DE-A1CC-4959-A26C-2CEED2EB8BEA}"/>
    <cellStyle name="40% - Énfasis6 5 4 3 3" xfId="49282" xr:uid="{E9CE531A-9A86-4FE1-A3C8-04DDDBFE0853}"/>
    <cellStyle name="40% - Énfasis6 5 4 4" xfId="17212" xr:uid="{1C5316BB-B59E-4E48-848E-916E36C4AA51}"/>
    <cellStyle name="40% - Énfasis6 5 4 4 2" xfId="49284" xr:uid="{07BA3849-193A-4EEF-8489-AD181818559C}"/>
    <cellStyle name="40% - Énfasis6 5 4 5" xfId="49277" xr:uid="{C63DEDE9-4ADC-4F47-8E1C-1FF423980373}"/>
    <cellStyle name="40% - Énfasis6 5 5" xfId="4046" xr:uid="{29840142-341E-424D-9FDF-C2F0FF79F551}"/>
    <cellStyle name="40% - Énfasis6 5 5 2" xfId="11754" xr:uid="{2105F97D-D438-488A-9E05-933F4AF02B9C}"/>
    <cellStyle name="40% - Énfasis6 5 5 2 2" xfId="27166" xr:uid="{1D780FFC-2D81-4CA5-AF22-0D1A544F85F3}"/>
    <cellStyle name="40% - Énfasis6 5 5 2 2 2" xfId="49287" xr:uid="{1D3266A2-6381-406F-845B-21D026C061B8}"/>
    <cellStyle name="40% - Énfasis6 5 5 2 3" xfId="49286" xr:uid="{D6A9FA22-80F1-45CE-8530-526C22A614EA}"/>
    <cellStyle name="40% - Énfasis6 5 5 3" xfId="19461" xr:uid="{94D9E26D-0B09-4256-BF25-CE7113B476F3}"/>
    <cellStyle name="40% - Énfasis6 5 5 3 2" xfId="49288" xr:uid="{269C78BD-833B-4702-9BD0-60431AE3EB3E}"/>
    <cellStyle name="40% - Énfasis6 5 5 4" xfId="49285" xr:uid="{51F852D2-0EBA-439A-B132-6178EC253EFE}"/>
    <cellStyle name="40% - Énfasis6 5 6" xfId="8045" xr:uid="{A5746EA4-CBE5-4896-8CFF-F1CD166FF255}"/>
    <cellStyle name="40% - Énfasis6 5 6 2" xfId="23458" xr:uid="{E7E16FA9-E3D1-4D8F-BD95-CD74203BCEC3}"/>
    <cellStyle name="40% - Énfasis6 5 6 2 2" xfId="49290" xr:uid="{FECAF326-2262-46CD-B968-7B5AF7A00B47}"/>
    <cellStyle name="40% - Énfasis6 5 6 3" xfId="49289" xr:uid="{8D56DE8F-8B1F-45F6-A90C-70055054FC14}"/>
    <cellStyle name="40% - Énfasis6 5 7" xfId="15753" xr:uid="{CFD1E74F-60D0-42D8-91F9-3168A66DC81A}"/>
    <cellStyle name="40% - Énfasis6 5 7 2" xfId="49291" xr:uid="{833CBDF9-1094-4DAE-A145-1202DF54AE64}"/>
    <cellStyle name="40% - Énfasis6 5 8" xfId="49228" xr:uid="{517C21ED-862A-46F4-A5C9-74BBDB9C6C77}"/>
    <cellStyle name="40% - Énfasis6 6" xfId="317" xr:uid="{C00D482A-DB07-488F-8932-30BE656150C2}"/>
    <cellStyle name="40% - Énfasis6 6 2" xfId="520" xr:uid="{6D6E6860-AD07-4D15-9034-5E2B1F86C2AD}"/>
    <cellStyle name="40% - Énfasis6 6 2 2" xfId="1181" xr:uid="{EAEB379D-FC91-49CD-8FD3-5A9396D167A6}"/>
    <cellStyle name="40% - Énfasis6 6 2 2 2" xfId="2649" xr:uid="{3D278B07-558F-479A-9249-F2CECC141F06}"/>
    <cellStyle name="40% - Énfasis6 6 2 2 2 2" xfId="6381" xr:uid="{E4DD6F10-19EA-4746-AC7D-1BE92F1F6E27}"/>
    <cellStyle name="40% - Énfasis6 6 2 2 2 2 2" xfId="14089" xr:uid="{DB688B88-932D-4490-9923-33DA9B39BD0C}"/>
    <cellStyle name="40% - Énfasis6 6 2 2 2 2 2 2" xfId="29501" xr:uid="{6B9C8629-6C90-49F5-A02C-B666CA2C5E6F}"/>
    <cellStyle name="40% - Énfasis6 6 2 2 2 2 2 2 2" xfId="49298" xr:uid="{115D51FB-E480-4259-B0C0-1B156E1C5022}"/>
    <cellStyle name="40% - Énfasis6 6 2 2 2 2 2 3" xfId="49297" xr:uid="{DD23A0B2-8450-43CE-88C3-9A4A9BDFF816}"/>
    <cellStyle name="40% - Énfasis6 6 2 2 2 2 3" xfId="21796" xr:uid="{32E338AF-38B6-4818-A24B-8B05B0621281}"/>
    <cellStyle name="40% - Énfasis6 6 2 2 2 2 3 2" xfId="49299" xr:uid="{B402F977-0591-4657-BB54-6464FB84E26C}"/>
    <cellStyle name="40% - Énfasis6 6 2 2 2 2 4" xfId="49296" xr:uid="{CC754C21-D2C3-49C6-AE5C-C560062BFC94}"/>
    <cellStyle name="40% - Énfasis6 6 2 2 2 3" xfId="10360" xr:uid="{E63F9648-F23E-464D-AABC-E26FEE65FF00}"/>
    <cellStyle name="40% - Énfasis6 6 2 2 2 3 2" xfId="25773" xr:uid="{E519E2B4-14E7-4F68-8F66-AD234ED04EC1}"/>
    <cellStyle name="40% - Énfasis6 6 2 2 2 3 2 2" xfId="49301" xr:uid="{72DA038A-E8F6-4B9D-92A8-6195AF6956D0}"/>
    <cellStyle name="40% - Énfasis6 6 2 2 2 3 3" xfId="49300" xr:uid="{589BDEF4-9100-4245-9BB5-2C12C80E6D78}"/>
    <cellStyle name="40% - Énfasis6 6 2 2 2 4" xfId="18068" xr:uid="{FE431BAD-2624-4D64-BF39-684405F7B674}"/>
    <cellStyle name="40% - Énfasis6 6 2 2 2 4 2" xfId="49302" xr:uid="{3B0FC4F2-F87D-4523-8333-A482FABAE0B1}"/>
    <cellStyle name="40% - Énfasis6 6 2 2 2 5" xfId="49295" xr:uid="{8B85D6AB-2908-46AF-92ED-82DC558DB013}"/>
    <cellStyle name="40% - Énfasis6 6 2 2 3" xfId="4918" xr:uid="{3CF0EE3A-53E1-492B-A0FF-2FF72A0ACFD2}"/>
    <cellStyle name="40% - Énfasis6 6 2 2 3 2" xfId="12626" xr:uid="{0FB800D2-BCAB-489D-B70A-8F64BA2BE419}"/>
    <cellStyle name="40% - Énfasis6 6 2 2 3 2 2" xfId="28038" xr:uid="{3F24E20F-0E13-4667-AC07-845A80748330}"/>
    <cellStyle name="40% - Énfasis6 6 2 2 3 2 2 2" xfId="49305" xr:uid="{0FDA4E69-CA5A-4617-94F2-3C249F654C00}"/>
    <cellStyle name="40% - Énfasis6 6 2 2 3 2 3" xfId="49304" xr:uid="{BA09E65B-CA4C-488A-B0E9-89A1ECD2658A}"/>
    <cellStyle name="40% - Énfasis6 6 2 2 3 3" xfId="20333" xr:uid="{904407B0-2304-4C4E-8675-E058B600313E}"/>
    <cellStyle name="40% - Énfasis6 6 2 2 3 3 2" xfId="49306" xr:uid="{5F100F6E-F485-492C-8548-26B973C66F09}"/>
    <cellStyle name="40% - Énfasis6 6 2 2 3 4" xfId="49303" xr:uid="{7CC886AB-2177-4C40-9DEE-4A03E52C69E4}"/>
    <cellStyle name="40% - Énfasis6 6 2 2 4" xfId="8901" xr:uid="{8BB0EF15-4354-4BDF-8349-D340C8CC0E33}"/>
    <cellStyle name="40% - Énfasis6 6 2 2 4 2" xfId="24314" xr:uid="{0593D2D4-1F9A-480C-941E-4713A8736BE1}"/>
    <cellStyle name="40% - Énfasis6 6 2 2 4 2 2" xfId="49308" xr:uid="{BE7463DE-162E-482F-9FB5-BB2BA0627FD8}"/>
    <cellStyle name="40% - Énfasis6 6 2 2 4 3" xfId="49307" xr:uid="{68F3FC5C-C7C0-4C2C-AC15-867467DE7290}"/>
    <cellStyle name="40% - Énfasis6 6 2 2 5" xfId="16609" xr:uid="{934D430E-251E-47CD-8F6D-69095B5E1ADD}"/>
    <cellStyle name="40% - Énfasis6 6 2 2 5 2" xfId="49309" xr:uid="{A1446CEA-9265-4302-B7E5-B62D38124A6D}"/>
    <cellStyle name="40% - Énfasis6 6 2 2 6" xfId="49294" xr:uid="{780F19EC-D4BF-4B9C-BD38-A4634D89E58B}"/>
    <cellStyle name="40% - Énfasis6 6 2 3" xfId="2011" xr:uid="{25907894-E709-4293-B922-D533A4D30232}"/>
    <cellStyle name="40% - Énfasis6 6 2 3 2" xfId="5743" xr:uid="{D804AE83-84C8-4C93-B5BE-09688B9AA222}"/>
    <cellStyle name="40% - Énfasis6 6 2 3 2 2" xfId="13451" xr:uid="{B3187901-2459-4FD9-80F7-CA34FDCA49B6}"/>
    <cellStyle name="40% - Énfasis6 6 2 3 2 2 2" xfId="28863" xr:uid="{74B80328-95E0-49EA-BF8B-E0A4D30B2CA9}"/>
    <cellStyle name="40% - Énfasis6 6 2 3 2 2 2 2" xfId="49313" xr:uid="{3014B137-9886-4FDA-9561-9BC91766D107}"/>
    <cellStyle name="40% - Énfasis6 6 2 3 2 2 3" xfId="49312" xr:uid="{9C93AAA1-0A49-489C-84B7-7F286B04A795}"/>
    <cellStyle name="40% - Énfasis6 6 2 3 2 3" xfId="21158" xr:uid="{16F11975-EC93-44C3-B12F-148F16BE4383}"/>
    <cellStyle name="40% - Énfasis6 6 2 3 2 3 2" xfId="49314" xr:uid="{C6851FFA-B99F-4C4C-923F-FB38E5347E85}"/>
    <cellStyle name="40% - Énfasis6 6 2 3 2 4" xfId="49311" xr:uid="{D3E9BCA2-6BD6-4D9D-A351-8DA3CBAE16A9}"/>
    <cellStyle name="40% - Énfasis6 6 2 3 3" xfId="9722" xr:uid="{7318591C-808C-4B1E-B64E-5605DAD33994}"/>
    <cellStyle name="40% - Énfasis6 6 2 3 3 2" xfId="25135" xr:uid="{CCB8AECF-4DBD-49F6-A201-AAB85B73527C}"/>
    <cellStyle name="40% - Énfasis6 6 2 3 3 2 2" xfId="49316" xr:uid="{41FDBEB1-6465-4D7B-AEC6-A2F488B44AF9}"/>
    <cellStyle name="40% - Énfasis6 6 2 3 3 3" xfId="49315" xr:uid="{BC5A430B-03EC-4EC7-9176-4BE786E453F1}"/>
    <cellStyle name="40% - Énfasis6 6 2 3 4" xfId="17430" xr:uid="{2AB87558-C5E6-4944-BD49-41D843170A2E}"/>
    <cellStyle name="40% - Énfasis6 6 2 3 4 2" xfId="49317" xr:uid="{2B4BD0E2-2FFD-45B6-BAE8-D3B5A495AE8D}"/>
    <cellStyle name="40% - Énfasis6 6 2 3 5" xfId="49310" xr:uid="{D38B5D40-C0AF-420B-863F-F458E0FEBF9C}"/>
    <cellStyle name="40% - Énfasis6 6 2 4" xfId="4266" xr:uid="{8C4DA485-A1B2-463E-A7EE-D40AB79F951F}"/>
    <cellStyle name="40% - Énfasis6 6 2 4 2" xfId="11974" xr:uid="{8B92CDC6-C8F8-4834-BBFA-E4A376D60D63}"/>
    <cellStyle name="40% - Énfasis6 6 2 4 2 2" xfId="27386" xr:uid="{CF3EDAD4-9DD1-4A27-AA1B-7C45D03BD340}"/>
    <cellStyle name="40% - Énfasis6 6 2 4 2 2 2" xfId="49320" xr:uid="{2A38150E-9CF8-4C71-B468-BA0969D33D10}"/>
    <cellStyle name="40% - Énfasis6 6 2 4 2 3" xfId="49319" xr:uid="{36E263F1-FFE0-43DD-876B-E15D954DDAF0}"/>
    <cellStyle name="40% - Énfasis6 6 2 4 3" xfId="19681" xr:uid="{89121180-3A42-4907-94DB-4B6380B27E48}"/>
    <cellStyle name="40% - Énfasis6 6 2 4 3 2" xfId="49321" xr:uid="{F56FDD44-2578-4DF1-B58F-C45C6A50503E}"/>
    <cellStyle name="40% - Énfasis6 6 2 4 4" xfId="49318" xr:uid="{7C6D8606-52CD-42E8-9114-2876086A75D4}"/>
    <cellStyle name="40% - Énfasis6 6 2 5" xfId="8263" xr:uid="{C5566A39-76B2-4C58-AB00-AD47482409D4}"/>
    <cellStyle name="40% - Énfasis6 6 2 5 2" xfId="23676" xr:uid="{5F0BA46A-5BE0-49E4-BE8E-A9F218DA1329}"/>
    <cellStyle name="40% - Énfasis6 6 2 5 2 2" xfId="49323" xr:uid="{7B72419F-3A54-4F73-866C-F9454DF0C027}"/>
    <cellStyle name="40% - Énfasis6 6 2 5 3" xfId="49322" xr:uid="{D8624095-14B1-462F-9305-54273FB77399}"/>
    <cellStyle name="40% - Énfasis6 6 2 6" xfId="15971" xr:uid="{BFD82656-201C-46A2-B789-3CEE43A5CEF1}"/>
    <cellStyle name="40% - Énfasis6 6 2 6 2" xfId="49324" xr:uid="{6A2DEAC8-BC8F-4CCF-9055-FA32616E5F30}"/>
    <cellStyle name="40% - Énfasis6 6 2 7" xfId="49293" xr:uid="{716DF8A7-B623-4E53-B389-F65E16A6A8A7}"/>
    <cellStyle name="40% - Énfasis6 6 3" xfId="981" xr:uid="{87345DA9-BFD9-45D0-A2AE-EFDDBBA5783C}"/>
    <cellStyle name="40% - Énfasis6 6 3 2" xfId="2451" xr:uid="{23A53AF9-C14B-4CE4-8ABA-6D65BB9375E2}"/>
    <cellStyle name="40% - Énfasis6 6 3 2 2" xfId="6183" xr:uid="{5B71BF23-36D9-4B31-8F79-876017BD4D4C}"/>
    <cellStyle name="40% - Énfasis6 6 3 2 2 2" xfId="13891" xr:uid="{8114C4DF-9AD2-4CF7-9286-3B52C08F3B29}"/>
    <cellStyle name="40% - Énfasis6 6 3 2 2 2 2" xfId="29303" xr:uid="{D845E791-4157-4B08-8CAD-B28B214DECDE}"/>
    <cellStyle name="40% - Énfasis6 6 3 2 2 2 2 2" xfId="49329" xr:uid="{2ADCF43C-4C20-43DE-94A1-B1C0F9753FD7}"/>
    <cellStyle name="40% - Énfasis6 6 3 2 2 2 3" xfId="49328" xr:uid="{FC2A38ED-041E-485F-9279-D494F5B298A5}"/>
    <cellStyle name="40% - Énfasis6 6 3 2 2 3" xfId="21598" xr:uid="{B185D723-EC34-49F5-99C8-E3167748F82E}"/>
    <cellStyle name="40% - Énfasis6 6 3 2 2 3 2" xfId="49330" xr:uid="{C467EF43-0016-4407-B4CA-4E28C349A09B}"/>
    <cellStyle name="40% - Énfasis6 6 3 2 2 4" xfId="49327" xr:uid="{ECB132C5-B00E-45F1-9B78-098D19E7456B}"/>
    <cellStyle name="40% - Énfasis6 6 3 2 3" xfId="10162" xr:uid="{64B50384-38AF-4A55-8598-2A41A7C6BAEA}"/>
    <cellStyle name="40% - Énfasis6 6 3 2 3 2" xfId="25575" xr:uid="{E93D6B45-3455-4EB3-95C7-F4EB2CA5316C}"/>
    <cellStyle name="40% - Énfasis6 6 3 2 3 2 2" xfId="49332" xr:uid="{D6E41D3D-4F39-4515-9587-FCCC6D905F25}"/>
    <cellStyle name="40% - Énfasis6 6 3 2 3 3" xfId="49331" xr:uid="{107698F9-7295-49AE-B7A7-7087451EDCB1}"/>
    <cellStyle name="40% - Énfasis6 6 3 2 4" xfId="17870" xr:uid="{84EA04F5-54EC-430D-8026-E471A9E2DB28}"/>
    <cellStyle name="40% - Énfasis6 6 3 2 4 2" xfId="49333" xr:uid="{B5B267BE-F676-4695-A18E-6B5E2EF8D634}"/>
    <cellStyle name="40% - Énfasis6 6 3 2 5" xfId="49326" xr:uid="{EE1203E4-C839-497E-B756-96E0CD9CD8F8}"/>
    <cellStyle name="40% - Énfasis6 6 3 3" xfId="4718" xr:uid="{3DDADCDD-3762-4852-A1B6-273C3452AED1}"/>
    <cellStyle name="40% - Énfasis6 6 3 3 2" xfId="12426" xr:uid="{0F35CF4D-56CF-4EE7-A088-ADB9FAB4B00A}"/>
    <cellStyle name="40% - Énfasis6 6 3 3 2 2" xfId="27838" xr:uid="{63EFF6B0-599C-4C92-BCE9-A2C63BE3FED2}"/>
    <cellStyle name="40% - Énfasis6 6 3 3 2 2 2" xfId="49336" xr:uid="{557C4C36-068F-44D0-B7D7-DFFF38C8E321}"/>
    <cellStyle name="40% - Énfasis6 6 3 3 2 3" xfId="49335" xr:uid="{8DF70ECC-23C0-4B3D-9C7E-76B12B97AEEF}"/>
    <cellStyle name="40% - Énfasis6 6 3 3 3" xfId="20133" xr:uid="{89C17643-6895-45B9-BF64-BCA6342D1192}"/>
    <cellStyle name="40% - Énfasis6 6 3 3 3 2" xfId="49337" xr:uid="{F6C92841-EA6A-45ED-8DCB-58163DA8C858}"/>
    <cellStyle name="40% - Énfasis6 6 3 3 4" xfId="49334" xr:uid="{2DD93771-68A8-4A58-89B8-D85006AE1B19}"/>
    <cellStyle name="40% - Énfasis6 6 3 4" xfId="8703" xr:uid="{7574A4B4-9166-4CCA-84EB-766254EC0687}"/>
    <cellStyle name="40% - Énfasis6 6 3 4 2" xfId="24116" xr:uid="{76D22358-C2EE-451B-B5E2-48BDEB359117}"/>
    <cellStyle name="40% - Énfasis6 6 3 4 2 2" xfId="49339" xr:uid="{E16E14C9-325C-47F5-8C02-83C83BD72ECB}"/>
    <cellStyle name="40% - Énfasis6 6 3 4 3" xfId="49338" xr:uid="{380096E2-4CBA-4AA8-8914-EB86099CF8B8}"/>
    <cellStyle name="40% - Énfasis6 6 3 5" xfId="16411" xr:uid="{54265FCB-95C8-4EAF-99A6-039E9C200C35}"/>
    <cellStyle name="40% - Énfasis6 6 3 5 2" xfId="49340" xr:uid="{0F6A3E1A-98CE-4F69-B436-EF14843D7DD0}"/>
    <cellStyle name="40% - Énfasis6 6 3 6" xfId="49325" xr:uid="{D485028D-871A-4F5B-949C-CBCD7A4A7DF6}"/>
    <cellStyle name="40% - Énfasis6 6 4" xfId="1813" xr:uid="{444F86D3-7C37-4BCD-8CE9-D923960F5865}"/>
    <cellStyle name="40% - Énfasis6 6 4 2" xfId="5545" xr:uid="{C9B5AFD3-567E-4173-8D6C-8C7F509209F2}"/>
    <cellStyle name="40% - Énfasis6 6 4 2 2" xfId="13253" xr:uid="{1D6C28D1-0B98-435A-9A1A-6894FE862F8A}"/>
    <cellStyle name="40% - Énfasis6 6 4 2 2 2" xfId="28665" xr:uid="{7C675E6F-2826-49A8-9467-EC819263FDA9}"/>
    <cellStyle name="40% - Énfasis6 6 4 2 2 2 2" xfId="49344" xr:uid="{1292DBC6-7536-4E73-8FB6-CB727817C321}"/>
    <cellStyle name="40% - Énfasis6 6 4 2 2 3" xfId="49343" xr:uid="{97243A2E-3089-4192-BDF5-6C5F8852179D}"/>
    <cellStyle name="40% - Énfasis6 6 4 2 3" xfId="20960" xr:uid="{3DC459A7-65AF-47F5-A5C2-B1FF3B37E948}"/>
    <cellStyle name="40% - Énfasis6 6 4 2 3 2" xfId="49345" xr:uid="{CA351F90-12B8-420F-9AE9-28F26F8BFBCA}"/>
    <cellStyle name="40% - Énfasis6 6 4 2 4" xfId="49342" xr:uid="{B1673BBB-639B-4BF8-B312-7125AD11F4FD}"/>
    <cellStyle name="40% - Énfasis6 6 4 3" xfId="9524" xr:uid="{53F9718B-2EB5-4ADA-A5DB-76247C80F491}"/>
    <cellStyle name="40% - Énfasis6 6 4 3 2" xfId="24937" xr:uid="{4EDD12F0-0D17-47BE-B4E0-6EA084239F17}"/>
    <cellStyle name="40% - Énfasis6 6 4 3 2 2" xfId="49347" xr:uid="{F5A4DC67-18AB-4CA8-A998-BA60D170EAD9}"/>
    <cellStyle name="40% - Énfasis6 6 4 3 3" xfId="49346" xr:uid="{FCF099C4-AF13-4A76-836C-45D5F58C4DBA}"/>
    <cellStyle name="40% - Énfasis6 6 4 4" xfId="17232" xr:uid="{65D30467-6382-4778-A4FB-585F62689E34}"/>
    <cellStyle name="40% - Énfasis6 6 4 4 2" xfId="49348" xr:uid="{CB637AA3-DDE3-400D-A3A3-7070C4A143A7}"/>
    <cellStyle name="40% - Énfasis6 6 4 5" xfId="49341" xr:uid="{B7AC4DB7-CEC6-4684-85D8-8AA49993FC61}"/>
    <cellStyle name="40% - Énfasis6 6 5" xfId="4066" xr:uid="{D02D2553-71CD-4F50-B66F-27BA930BC956}"/>
    <cellStyle name="40% - Énfasis6 6 5 2" xfId="11774" xr:uid="{0B690A12-1DC2-4BA2-98DE-2B400ECEF8B5}"/>
    <cellStyle name="40% - Énfasis6 6 5 2 2" xfId="27186" xr:uid="{AB797E3A-B4E7-4A42-8473-C502E304B03C}"/>
    <cellStyle name="40% - Énfasis6 6 5 2 2 2" xfId="49351" xr:uid="{75BD57B5-6EBF-4B78-BD2F-6F570D317BF8}"/>
    <cellStyle name="40% - Énfasis6 6 5 2 3" xfId="49350" xr:uid="{725CA922-526A-4E13-9949-24BED0555079}"/>
    <cellStyle name="40% - Énfasis6 6 5 3" xfId="19481" xr:uid="{A862D11B-05A1-4C9F-924A-E32F06ADE276}"/>
    <cellStyle name="40% - Énfasis6 6 5 3 2" xfId="49352" xr:uid="{D81F7051-F0F9-435B-A2F5-1D9DA2A82602}"/>
    <cellStyle name="40% - Énfasis6 6 5 4" xfId="49349" xr:uid="{EBFF3535-8FA1-46CD-B5D6-F23268DD94C9}"/>
    <cellStyle name="40% - Énfasis6 6 6" xfId="8065" xr:uid="{DE0D7575-0B5A-4141-AF8F-41988C7010C3}"/>
    <cellStyle name="40% - Énfasis6 6 6 2" xfId="23478" xr:uid="{DD04AC48-6616-44AC-A02F-EA4D1BC1FB4A}"/>
    <cellStyle name="40% - Énfasis6 6 6 2 2" xfId="49354" xr:uid="{63E049BE-2C27-4A4D-99CB-F062019E6F5A}"/>
    <cellStyle name="40% - Énfasis6 6 6 3" xfId="49353" xr:uid="{414B333C-F58C-403D-B083-5031DDC2382C}"/>
    <cellStyle name="40% - Énfasis6 6 7" xfId="15773" xr:uid="{811A1A27-E193-4FA2-A4AC-AB8E01EEC779}"/>
    <cellStyle name="40% - Énfasis6 6 7 2" xfId="49355" xr:uid="{B880D753-64FC-48EC-83AB-D30C54F8321E}"/>
    <cellStyle name="40% - Énfasis6 6 8" xfId="49292" xr:uid="{F07D545C-3A61-4323-A097-681A4D6B962C}"/>
    <cellStyle name="40% - Énfasis6 7" xfId="540" xr:uid="{0898C802-AB21-48D4-AEFF-95E14CD0160A}"/>
    <cellStyle name="40% - Énfasis6 7 2" xfId="1201" xr:uid="{246F91EC-B695-470D-A197-17CEFA3AE254}"/>
    <cellStyle name="40% - Énfasis6 7 2 2" xfId="2669" xr:uid="{10D173A5-6C27-4947-907D-5103D629CF9F}"/>
    <cellStyle name="40% - Énfasis6 7 2 2 2" xfId="6401" xr:uid="{A09C00A9-5203-4540-A82B-FF09A0D4275B}"/>
    <cellStyle name="40% - Énfasis6 7 2 2 2 2" xfId="14109" xr:uid="{815F6E80-08C3-4DFE-9447-FA451B99D266}"/>
    <cellStyle name="40% - Énfasis6 7 2 2 2 2 2" xfId="29521" xr:uid="{A6264657-8E67-410C-AE3A-38E600CF7321}"/>
    <cellStyle name="40% - Énfasis6 7 2 2 2 2 2 2" xfId="49361" xr:uid="{85BDD291-0C35-448E-9EA1-0EDFFAACF158}"/>
    <cellStyle name="40% - Énfasis6 7 2 2 2 2 3" xfId="49360" xr:uid="{8144128F-6DD0-420C-BC14-70DD6551EF51}"/>
    <cellStyle name="40% - Énfasis6 7 2 2 2 3" xfId="21816" xr:uid="{EFB682BF-582C-468A-93C2-09FBD2FE8A75}"/>
    <cellStyle name="40% - Énfasis6 7 2 2 2 3 2" xfId="49362" xr:uid="{45F5D865-056B-4FA2-8681-BD73BBBC05C0}"/>
    <cellStyle name="40% - Énfasis6 7 2 2 2 4" xfId="49359" xr:uid="{6C0AEE42-2D13-435A-AC54-16B977F2986F}"/>
    <cellStyle name="40% - Énfasis6 7 2 2 3" xfId="10380" xr:uid="{66926B29-FF7B-4EEC-926B-0FC0549BE3AB}"/>
    <cellStyle name="40% - Énfasis6 7 2 2 3 2" xfId="25793" xr:uid="{8DE379B2-CF12-4CA6-BE85-DC231860871E}"/>
    <cellStyle name="40% - Énfasis6 7 2 2 3 2 2" xfId="49364" xr:uid="{82F7541B-67EB-41BF-9F9F-C076089D297B}"/>
    <cellStyle name="40% - Énfasis6 7 2 2 3 3" xfId="49363" xr:uid="{AC2AFACC-8FF9-4681-A26D-02559B14D060}"/>
    <cellStyle name="40% - Énfasis6 7 2 2 4" xfId="18088" xr:uid="{773783E3-48BF-41D3-AE73-A8FA22FC6370}"/>
    <cellStyle name="40% - Énfasis6 7 2 2 4 2" xfId="49365" xr:uid="{02A7A7EA-D442-4F88-9412-5700DE8A3C45}"/>
    <cellStyle name="40% - Énfasis6 7 2 2 5" xfId="49358" xr:uid="{C852EDBA-5365-47E5-985B-C798720FB710}"/>
    <cellStyle name="40% - Énfasis6 7 2 3" xfId="4938" xr:uid="{6D303E24-EBDB-4665-AF51-8C730D21E659}"/>
    <cellStyle name="40% - Énfasis6 7 2 3 2" xfId="12646" xr:uid="{F1D78B4C-1CB9-4812-9A06-03D9AC41FE0D}"/>
    <cellStyle name="40% - Énfasis6 7 2 3 2 2" xfId="28058" xr:uid="{C6961F4E-C42F-4F1C-BAFA-579AF43084AA}"/>
    <cellStyle name="40% - Énfasis6 7 2 3 2 2 2" xfId="49368" xr:uid="{4950699E-DA17-4320-84C9-DF64B589D46F}"/>
    <cellStyle name="40% - Énfasis6 7 2 3 2 3" xfId="49367" xr:uid="{AEAAF4C5-DC25-4676-A193-4FE01662ED26}"/>
    <cellStyle name="40% - Énfasis6 7 2 3 3" xfId="20353" xr:uid="{A7736EF4-DF8A-499B-882B-40EEBE824834}"/>
    <cellStyle name="40% - Énfasis6 7 2 3 3 2" xfId="49369" xr:uid="{F575A978-76D6-43AA-9D0C-873BF1B2B17F}"/>
    <cellStyle name="40% - Énfasis6 7 2 3 4" xfId="49366" xr:uid="{D451DEB4-A00F-42C7-90FC-90D50383F869}"/>
    <cellStyle name="40% - Énfasis6 7 2 4" xfId="8921" xr:uid="{8CFCDDF3-38C7-47F1-AAA9-E1AE25ED298F}"/>
    <cellStyle name="40% - Énfasis6 7 2 4 2" xfId="24334" xr:uid="{2FAEFE40-F913-4754-BD95-799FBFFD23C0}"/>
    <cellStyle name="40% - Énfasis6 7 2 4 2 2" xfId="49371" xr:uid="{DC2B082C-7B24-47A5-B2E1-728CC4222B32}"/>
    <cellStyle name="40% - Énfasis6 7 2 4 3" xfId="49370" xr:uid="{773559ED-3D0F-476B-BFE6-81D5F2307335}"/>
    <cellStyle name="40% - Énfasis6 7 2 5" xfId="16629" xr:uid="{895032C8-7B0E-401E-B131-3C971BBD3F5F}"/>
    <cellStyle name="40% - Énfasis6 7 2 5 2" xfId="49372" xr:uid="{12571C04-DA6E-4C5A-B1D0-E8977CA944E6}"/>
    <cellStyle name="40% - Énfasis6 7 2 6" xfId="49357" xr:uid="{59BCA26A-1DFC-4667-B674-DAC77B8F7A66}"/>
    <cellStyle name="40% - Énfasis6 7 3" xfId="2031" xr:uid="{92164728-D3B4-42FA-98F8-DA98594B3696}"/>
    <cellStyle name="40% - Énfasis6 7 3 2" xfId="5763" xr:uid="{B017B2AA-0622-4E9D-8450-ADCFFC76DA8D}"/>
    <cellStyle name="40% - Énfasis6 7 3 2 2" xfId="13471" xr:uid="{96E42680-03EC-49AB-8AF4-D900B0C86A1B}"/>
    <cellStyle name="40% - Énfasis6 7 3 2 2 2" xfId="28883" xr:uid="{FA46C562-D12D-47B7-B8EF-FDE7EC820F77}"/>
    <cellStyle name="40% - Énfasis6 7 3 2 2 2 2" xfId="49376" xr:uid="{411F5F3F-BC8B-408E-9C1D-C17EB1444285}"/>
    <cellStyle name="40% - Énfasis6 7 3 2 2 3" xfId="49375" xr:uid="{27D42456-537E-4C01-A32F-1F6AE90A1405}"/>
    <cellStyle name="40% - Énfasis6 7 3 2 3" xfId="21178" xr:uid="{3C830663-FFB2-43C9-B563-7DBC2CDBC753}"/>
    <cellStyle name="40% - Énfasis6 7 3 2 3 2" xfId="49377" xr:uid="{AB4013A2-A58A-480D-A7DB-5D86138ED817}"/>
    <cellStyle name="40% - Énfasis6 7 3 2 4" xfId="49374" xr:uid="{48EB4F95-9F8D-4BAC-9785-045DE23B2979}"/>
    <cellStyle name="40% - Énfasis6 7 3 3" xfId="9742" xr:uid="{6F803701-F2F2-4D19-B67B-A0AB4873785F}"/>
    <cellStyle name="40% - Énfasis6 7 3 3 2" xfId="25155" xr:uid="{2061B019-619D-49EF-9055-25678353170D}"/>
    <cellStyle name="40% - Énfasis6 7 3 3 2 2" xfId="49379" xr:uid="{B6337D7B-D776-4E89-BF82-9A7E1F494F4D}"/>
    <cellStyle name="40% - Énfasis6 7 3 3 3" xfId="49378" xr:uid="{A0721D8D-0650-48C5-873A-CE7B71EF1A15}"/>
    <cellStyle name="40% - Énfasis6 7 3 4" xfId="17450" xr:uid="{D5A0E120-54EF-4C7F-817D-140DF5A15EDC}"/>
    <cellStyle name="40% - Énfasis6 7 3 4 2" xfId="49380" xr:uid="{6689724D-A50C-471A-9FFF-E584248661E1}"/>
    <cellStyle name="40% - Énfasis6 7 3 5" xfId="49373" xr:uid="{B312A286-E843-47A6-9949-C9AE20221A6E}"/>
    <cellStyle name="40% - Énfasis6 7 4" xfId="4286" xr:uid="{4A3D7BDF-90AC-4DA9-ADF4-3001145BAF8F}"/>
    <cellStyle name="40% - Énfasis6 7 4 2" xfId="11994" xr:uid="{C2A5439C-E025-4F0B-B6B5-540675EB57DB}"/>
    <cellStyle name="40% - Énfasis6 7 4 2 2" xfId="27406" xr:uid="{62E9FA47-E85B-4E92-81EF-907AD49546C3}"/>
    <cellStyle name="40% - Énfasis6 7 4 2 2 2" xfId="49383" xr:uid="{7BDFAEB3-C6E6-4FD2-988E-BCB71CC6D7BD}"/>
    <cellStyle name="40% - Énfasis6 7 4 2 3" xfId="49382" xr:uid="{927893D3-0E89-41B4-95A8-4ACCF60CCADC}"/>
    <cellStyle name="40% - Énfasis6 7 4 3" xfId="19701" xr:uid="{E7E9EBFE-132C-4F17-80EE-63C7DCC0FD67}"/>
    <cellStyle name="40% - Énfasis6 7 4 3 2" xfId="49384" xr:uid="{3E54FBDD-3F42-4F9F-8A97-7367079801CA}"/>
    <cellStyle name="40% - Énfasis6 7 4 4" xfId="49381" xr:uid="{D51AD1E8-B4FD-4D94-95F4-B5ED63F3A657}"/>
    <cellStyle name="40% - Énfasis6 7 5" xfId="8283" xr:uid="{DC5A6498-23E3-4042-9E1F-6F07009DE42B}"/>
    <cellStyle name="40% - Énfasis6 7 5 2" xfId="23696" xr:uid="{4C7BEFE5-1139-4488-AF36-B2377B1D9991}"/>
    <cellStyle name="40% - Énfasis6 7 5 2 2" xfId="49386" xr:uid="{0906B39A-F945-4931-BBAC-D10829D9210A}"/>
    <cellStyle name="40% - Énfasis6 7 5 3" xfId="49385" xr:uid="{1BBBBB6F-19F5-461B-A250-078158FDD3BA}"/>
    <cellStyle name="40% - Énfasis6 7 6" xfId="15991" xr:uid="{4FC47297-1B49-49C5-A464-C0C694B00CB3}"/>
    <cellStyle name="40% - Énfasis6 7 6 2" xfId="49387" xr:uid="{A876DEF4-5AFA-41D8-8DC7-8483E65E1BB3}"/>
    <cellStyle name="40% - Énfasis6 7 7" xfId="49356" xr:uid="{35F42835-89B3-45B8-887B-ACE74D150C0A}"/>
    <cellStyle name="40% - Énfasis6 8" xfId="560" xr:uid="{D5F57CC2-8840-4AD1-A8A5-CA2067C5EA89}"/>
    <cellStyle name="40% - Énfasis6 8 2" xfId="1221" xr:uid="{95AC71B4-AB79-4613-8672-BADC2169D18C}"/>
    <cellStyle name="40% - Énfasis6 8 2 2" xfId="2689" xr:uid="{E14B65D4-5776-4DD2-8812-BDCDC1F87196}"/>
    <cellStyle name="40% - Énfasis6 8 2 2 2" xfId="6421" xr:uid="{DD10FDC5-6D48-4A18-A165-CE98944DD45B}"/>
    <cellStyle name="40% - Énfasis6 8 2 2 2 2" xfId="14129" xr:uid="{9C6E871C-EDB4-4176-96D3-57F23764028C}"/>
    <cellStyle name="40% - Énfasis6 8 2 2 2 2 2" xfId="29541" xr:uid="{7D65E230-9434-400F-88AB-B013A0C445B8}"/>
    <cellStyle name="40% - Énfasis6 8 2 2 2 2 2 2" xfId="49393" xr:uid="{7E802474-372C-476C-AF61-2E6907E8C53B}"/>
    <cellStyle name="40% - Énfasis6 8 2 2 2 2 3" xfId="49392" xr:uid="{F14A6398-CD24-4563-BB14-2C03C8D77A26}"/>
    <cellStyle name="40% - Énfasis6 8 2 2 2 3" xfId="21836" xr:uid="{059DB6DB-DD9D-4418-A3AC-1246FECAB864}"/>
    <cellStyle name="40% - Énfasis6 8 2 2 2 3 2" xfId="49394" xr:uid="{8EDDD348-B212-4F76-B75B-2ECCF176347F}"/>
    <cellStyle name="40% - Énfasis6 8 2 2 2 4" xfId="49391" xr:uid="{24A87B0C-3E0D-40E5-82D3-8AC585356FBF}"/>
    <cellStyle name="40% - Énfasis6 8 2 2 3" xfId="10400" xr:uid="{B14EB768-DA4C-4112-B319-703A284B70D9}"/>
    <cellStyle name="40% - Énfasis6 8 2 2 3 2" xfId="25813" xr:uid="{D2EAB469-D77F-4315-B8B5-4B50E2A8DDDF}"/>
    <cellStyle name="40% - Énfasis6 8 2 2 3 2 2" xfId="49396" xr:uid="{22830ABE-CF4D-4D26-9FDE-B50213D1BA21}"/>
    <cellStyle name="40% - Énfasis6 8 2 2 3 3" xfId="49395" xr:uid="{C954A8E5-32B1-4307-B112-BAA27AEF6745}"/>
    <cellStyle name="40% - Énfasis6 8 2 2 4" xfId="18108" xr:uid="{0D68D06F-2813-442F-B648-4A4E0AF2D3B7}"/>
    <cellStyle name="40% - Énfasis6 8 2 2 4 2" xfId="49397" xr:uid="{E5E3F611-B729-4132-92FF-E76972540B26}"/>
    <cellStyle name="40% - Énfasis6 8 2 2 5" xfId="49390" xr:uid="{DB818C7D-9820-428E-9BCD-3F0405918ADD}"/>
    <cellStyle name="40% - Énfasis6 8 2 3" xfId="4958" xr:uid="{BDD214DB-B984-44BB-A22F-3E8B7459EC8E}"/>
    <cellStyle name="40% - Énfasis6 8 2 3 2" xfId="12666" xr:uid="{6E3E5EA0-0BAD-4AB5-866A-5D53636B7D51}"/>
    <cellStyle name="40% - Énfasis6 8 2 3 2 2" xfId="28078" xr:uid="{27D57AA9-344F-4470-BA87-FF0C2C2ADDB0}"/>
    <cellStyle name="40% - Énfasis6 8 2 3 2 2 2" xfId="49400" xr:uid="{DEC5FEC8-3EAD-41A0-8F4B-03A6B2134691}"/>
    <cellStyle name="40% - Énfasis6 8 2 3 2 3" xfId="49399" xr:uid="{C2A14F30-451B-4A31-A054-B5A7B4D5CEC7}"/>
    <cellStyle name="40% - Énfasis6 8 2 3 3" xfId="20373" xr:uid="{0CDCE627-D39A-46AD-8296-C68D1FC22842}"/>
    <cellStyle name="40% - Énfasis6 8 2 3 3 2" xfId="49401" xr:uid="{43FC3241-92E6-4563-8437-731E4A73513D}"/>
    <cellStyle name="40% - Énfasis6 8 2 3 4" xfId="49398" xr:uid="{1B2DAA42-260B-476C-9D9C-8CFED9E3F50C}"/>
    <cellStyle name="40% - Énfasis6 8 2 4" xfId="8941" xr:uid="{525FADFB-5C18-44DB-8CB8-B42113F03637}"/>
    <cellStyle name="40% - Énfasis6 8 2 4 2" xfId="24354" xr:uid="{48E7C684-6B18-49F3-B9FC-DCD061B99976}"/>
    <cellStyle name="40% - Énfasis6 8 2 4 2 2" xfId="49403" xr:uid="{C77537F6-F04D-4AC0-9037-E1CF95658C5C}"/>
    <cellStyle name="40% - Énfasis6 8 2 4 3" xfId="49402" xr:uid="{102B12F3-FBF1-4CC7-855E-7F2EB0C46020}"/>
    <cellStyle name="40% - Énfasis6 8 2 5" xfId="16649" xr:uid="{5EAD3EAD-520A-44CB-BA5A-697A0F24ACE8}"/>
    <cellStyle name="40% - Énfasis6 8 2 5 2" xfId="49404" xr:uid="{3C547FE0-BFE2-4572-9FD3-A41145ABBE26}"/>
    <cellStyle name="40% - Énfasis6 8 2 6" xfId="49389" xr:uid="{A4AE6F78-394F-47DA-BC23-4BE70CF21A3E}"/>
    <cellStyle name="40% - Énfasis6 8 3" xfId="2051" xr:uid="{FD635FB8-FC20-4FFF-9BC4-F9E595D98917}"/>
    <cellStyle name="40% - Énfasis6 8 3 2" xfId="5783" xr:uid="{D9385688-5935-463D-AF62-75028112D50D}"/>
    <cellStyle name="40% - Énfasis6 8 3 2 2" xfId="13491" xr:uid="{C967513B-2436-46F8-8C14-204FF69DDF25}"/>
    <cellStyle name="40% - Énfasis6 8 3 2 2 2" xfId="28903" xr:uid="{1ED51CB5-3E80-4076-852D-DDD25F88724D}"/>
    <cellStyle name="40% - Énfasis6 8 3 2 2 2 2" xfId="49408" xr:uid="{14BEA0C0-C42D-48EE-9A01-A7C673F8268F}"/>
    <cellStyle name="40% - Énfasis6 8 3 2 2 3" xfId="49407" xr:uid="{DBD8704B-D057-40C5-885A-2848A2CFB04A}"/>
    <cellStyle name="40% - Énfasis6 8 3 2 3" xfId="21198" xr:uid="{043ED26B-B45A-41F1-8714-7E2D74587F3A}"/>
    <cellStyle name="40% - Énfasis6 8 3 2 3 2" xfId="49409" xr:uid="{01A3DEE3-75B6-4D6C-BD49-9FDF2CC2ABAA}"/>
    <cellStyle name="40% - Énfasis6 8 3 2 4" xfId="49406" xr:uid="{1A6BD4E2-2988-45E0-B2BC-4352E1B66773}"/>
    <cellStyle name="40% - Énfasis6 8 3 3" xfId="9762" xr:uid="{360B9DCC-28E2-4AB1-A8A4-FA4B44667D7B}"/>
    <cellStyle name="40% - Énfasis6 8 3 3 2" xfId="25175" xr:uid="{13BC2D8B-0051-4E8B-9C07-4F55CAD16F65}"/>
    <cellStyle name="40% - Énfasis6 8 3 3 2 2" xfId="49411" xr:uid="{5EB02EC4-75F0-4D62-97D8-17374ADC41E1}"/>
    <cellStyle name="40% - Énfasis6 8 3 3 3" xfId="49410" xr:uid="{BD87A369-59CF-42FD-879D-6D1FD8146D2B}"/>
    <cellStyle name="40% - Énfasis6 8 3 4" xfId="17470" xr:uid="{47AE7DD5-DD7E-43C2-B625-1C53E258F39B}"/>
    <cellStyle name="40% - Énfasis6 8 3 4 2" xfId="49412" xr:uid="{E904FCCC-D79B-4142-A0A1-540FEF1C4C07}"/>
    <cellStyle name="40% - Énfasis6 8 3 5" xfId="49405" xr:uid="{B087697B-3328-49A4-85E0-911F10DFE108}"/>
    <cellStyle name="40% - Énfasis6 8 4" xfId="4306" xr:uid="{063F0537-F181-40A7-924E-70D370F91FB6}"/>
    <cellStyle name="40% - Énfasis6 8 4 2" xfId="12014" xr:uid="{2A1F59C2-3D2E-4398-943F-73452D464B63}"/>
    <cellStyle name="40% - Énfasis6 8 4 2 2" xfId="27426" xr:uid="{D48EB5F1-1B7A-4FDD-AEC6-9D64F4D542A3}"/>
    <cellStyle name="40% - Énfasis6 8 4 2 2 2" xfId="49415" xr:uid="{F3526074-CC04-4934-A5CA-F49274D4E3F4}"/>
    <cellStyle name="40% - Énfasis6 8 4 2 3" xfId="49414" xr:uid="{3C1F2A27-0AAF-48CC-B2ED-80F37F860CD3}"/>
    <cellStyle name="40% - Énfasis6 8 4 3" xfId="19721" xr:uid="{64400485-6D43-4B83-80C5-17228FD735DA}"/>
    <cellStyle name="40% - Énfasis6 8 4 3 2" xfId="49416" xr:uid="{4CC560C2-29C4-40DC-AB30-895299DF7B77}"/>
    <cellStyle name="40% - Énfasis6 8 4 4" xfId="49413" xr:uid="{3A220F83-CC77-46AF-AF56-89E0394431DD}"/>
    <cellStyle name="40% - Énfasis6 8 5" xfId="8303" xr:uid="{616C7882-15A8-4B94-86A9-E31F739EF7CE}"/>
    <cellStyle name="40% - Énfasis6 8 5 2" xfId="23716" xr:uid="{FF3F2C10-BAF1-4C42-9CCF-1E19DDB38063}"/>
    <cellStyle name="40% - Énfasis6 8 5 2 2" xfId="49418" xr:uid="{77642F31-D05F-4B56-80CB-9E4D55B86EF4}"/>
    <cellStyle name="40% - Énfasis6 8 5 3" xfId="49417" xr:uid="{EAC0B0C3-492D-4031-9671-2D98C76D39A0}"/>
    <cellStyle name="40% - Énfasis6 8 6" xfId="16011" xr:uid="{B6C2EA6E-277E-477C-A0F4-6EA7D7BBCDFD}"/>
    <cellStyle name="40% - Énfasis6 8 6 2" xfId="49419" xr:uid="{C9A842C2-F31F-4C7D-BD99-1ABB6C6A06EF}"/>
    <cellStyle name="40% - Énfasis6 8 7" xfId="49388" xr:uid="{D72F8465-9580-4343-B9C2-F70BB951451B}"/>
    <cellStyle name="40% - Énfasis6 9" xfId="580" xr:uid="{00E50642-AEFD-49FE-8569-468DB7F90BC4}"/>
    <cellStyle name="40% - Énfasis6 9 2" xfId="1241" xr:uid="{2D906AE2-CBB4-436C-86B1-FB58A2567027}"/>
    <cellStyle name="40% - Énfasis6 9 2 2" xfId="2709" xr:uid="{7B557D13-1332-488B-988C-BA02F3A9C3D4}"/>
    <cellStyle name="40% - Énfasis6 9 2 2 2" xfId="6441" xr:uid="{7003A279-21DE-4F61-B9C0-E7DB93EFDB1E}"/>
    <cellStyle name="40% - Énfasis6 9 2 2 2 2" xfId="14149" xr:uid="{C5061EDE-FECD-47B6-9A0A-C77E45E389BE}"/>
    <cellStyle name="40% - Énfasis6 9 2 2 2 2 2" xfId="29561" xr:uid="{6732A1BA-6329-41D9-A7FD-C89ED06EBE52}"/>
    <cellStyle name="40% - Énfasis6 9 2 2 2 2 2 2" xfId="49425" xr:uid="{FD1515BE-3127-4346-AF42-4378F5C9C1C1}"/>
    <cellStyle name="40% - Énfasis6 9 2 2 2 2 3" xfId="49424" xr:uid="{7F54D361-2DF8-4928-A343-2B327D4F6A93}"/>
    <cellStyle name="40% - Énfasis6 9 2 2 2 3" xfId="21856" xr:uid="{4677F25D-311F-44CE-8CB8-48BFCD2BB085}"/>
    <cellStyle name="40% - Énfasis6 9 2 2 2 3 2" xfId="49426" xr:uid="{09150117-4DE3-4B48-A9DC-956EC92BFAF3}"/>
    <cellStyle name="40% - Énfasis6 9 2 2 2 4" xfId="49423" xr:uid="{9E644B38-8DD4-4440-91FD-62B49D22D574}"/>
    <cellStyle name="40% - Énfasis6 9 2 2 3" xfId="10420" xr:uid="{DF1B0484-FC0B-4A0F-ABBD-354E842886DA}"/>
    <cellStyle name="40% - Énfasis6 9 2 2 3 2" xfId="25833" xr:uid="{13C49701-93E5-4A73-BD6B-50B2CD7D203D}"/>
    <cellStyle name="40% - Énfasis6 9 2 2 3 2 2" xfId="49428" xr:uid="{668B8AD5-EA14-4958-A0EE-0C16B3A236EF}"/>
    <cellStyle name="40% - Énfasis6 9 2 2 3 3" xfId="49427" xr:uid="{41FA78A8-97EB-4619-A585-BD34AA3652DD}"/>
    <cellStyle name="40% - Énfasis6 9 2 2 4" xfId="18128" xr:uid="{F4059E07-D984-4DCD-AD7E-049753FB118F}"/>
    <cellStyle name="40% - Énfasis6 9 2 2 4 2" xfId="49429" xr:uid="{497F0290-A028-487A-B77D-28870A7AC9BD}"/>
    <cellStyle name="40% - Énfasis6 9 2 2 5" xfId="49422" xr:uid="{483438F1-A156-45D0-892A-7E116D4C139B}"/>
    <cellStyle name="40% - Énfasis6 9 2 3" xfId="4978" xr:uid="{61958954-F899-49F6-A1ED-3862434A547C}"/>
    <cellStyle name="40% - Énfasis6 9 2 3 2" xfId="12686" xr:uid="{8BB26122-D03A-431B-ACC1-834742C3CDFD}"/>
    <cellStyle name="40% - Énfasis6 9 2 3 2 2" xfId="28098" xr:uid="{FF6E1492-D263-48FC-A5FE-F914BB708EAC}"/>
    <cellStyle name="40% - Énfasis6 9 2 3 2 2 2" xfId="49432" xr:uid="{9798B83D-A36E-444E-A34C-A3A56549BA1F}"/>
    <cellStyle name="40% - Énfasis6 9 2 3 2 3" xfId="49431" xr:uid="{4B13D3F8-E770-49D6-B075-4D9C6C1FB995}"/>
    <cellStyle name="40% - Énfasis6 9 2 3 3" xfId="20393" xr:uid="{C0494240-6EC8-47D1-97E5-40CBDC66E7EF}"/>
    <cellStyle name="40% - Énfasis6 9 2 3 3 2" xfId="49433" xr:uid="{E9FCBA93-95D6-4B80-8916-D2A9BF233DED}"/>
    <cellStyle name="40% - Énfasis6 9 2 3 4" xfId="49430" xr:uid="{A42495F1-518B-4E6C-84F2-3F082BE45F70}"/>
    <cellStyle name="40% - Énfasis6 9 2 4" xfId="8961" xr:uid="{ED176030-CC41-4C2C-A600-093C5E692DC7}"/>
    <cellStyle name="40% - Énfasis6 9 2 4 2" xfId="24374" xr:uid="{F9AF9066-2185-4C75-801C-63B707AE89B4}"/>
    <cellStyle name="40% - Énfasis6 9 2 4 2 2" xfId="49435" xr:uid="{A99E607A-1001-4D98-A3EA-C74177513851}"/>
    <cellStyle name="40% - Énfasis6 9 2 4 3" xfId="49434" xr:uid="{406A2A3B-6032-4A13-9359-7B55F14951F1}"/>
    <cellStyle name="40% - Énfasis6 9 2 5" xfId="16669" xr:uid="{D372F0FD-F361-4769-B13A-AEF0F9B9C2B4}"/>
    <cellStyle name="40% - Énfasis6 9 2 5 2" xfId="49436" xr:uid="{5925AD4A-6164-4486-9745-A05EE0EE219D}"/>
    <cellStyle name="40% - Énfasis6 9 2 6" xfId="49421" xr:uid="{DABBA95A-B1E6-4AF9-BD2F-A7971F9D37DF}"/>
    <cellStyle name="40% - Énfasis6 9 3" xfId="2071" xr:uid="{D946ADE0-16E5-4834-8B75-792CCF94833C}"/>
    <cellStyle name="40% - Énfasis6 9 3 2" xfId="5803" xr:uid="{6F87F107-5E96-483B-BE8E-4C394051868B}"/>
    <cellStyle name="40% - Énfasis6 9 3 2 2" xfId="13511" xr:uid="{9ABFF04C-7B18-450E-94E2-37E54F4F3866}"/>
    <cellStyle name="40% - Énfasis6 9 3 2 2 2" xfId="28923" xr:uid="{EBAF0297-4AEA-48DE-BAC0-9F00979E939D}"/>
    <cellStyle name="40% - Énfasis6 9 3 2 2 2 2" xfId="49440" xr:uid="{4328A13F-76DB-468E-B95E-C67962F4528A}"/>
    <cellStyle name="40% - Énfasis6 9 3 2 2 3" xfId="49439" xr:uid="{4CD9C3C7-51EC-468E-9996-81F6F4FD352F}"/>
    <cellStyle name="40% - Énfasis6 9 3 2 3" xfId="21218" xr:uid="{A3856B56-7B9C-4B60-BBB3-F50DA3B72139}"/>
    <cellStyle name="40% - Énfasis6 9 3 2 3 2" xfId="49441" xr:uid="{3367BD54-5A92-4986-9B10-E14F8EB58AAD}"/>
    <cellStyle name="40% - Énfasis6 9 3 2 4" xfId="49438" xr:uid="{BB2D39ED-BDAA-4CDA-BD66-2073441BE1BF}"/>
    <cellStyle name="40% - Énfasis6 9 3 3" xfId="9782" xr:uid="{E06D97C5-39B9-4183-BDC6-413F97A66D27}"/>
    <cellStyle name="40% - Énfasis6 9 3 3 2" xfId="25195" xr:uid="{F9A0C838-FBF6-4B60-929B-21D41342C13C}"/>
    <cellStyle name="40% - Énfasis6 9 3 3 2 2" xfId="49443" xr:uid="{71F26E5E-06A9-41BD-9748-BE84170CC2E9}"/>
    <cellStyle name="40% - Énfasis6 9 3 3 3" xfId="49442" xr:uid="{0B54A443-C8CA-4DC0-8D22-E78A478E8168}"/>
    <cellStyle name="40% - Énfasis6 9 3 4" xfId="17490" xr:uid="{52F9CD4F-E1D5-46CA-8341-14158FF49987}"/>
    <cellStyle name="40% - Énfasis6 9 3 4 2" xfId="49444" xr:uid="{CBB81BA1-CF8D-498D-B8DA-8CCC30EB2B46}"/>
    <cellStyle name="40% - Énfasis6 9 3 5" xfId="49437" xr:uid="{0A77D789-3B1C-4A50-AF6D-464455378A4F}"/>
    <cellStyle name="40% - Énfasis6 9 4" xfId="4326" xr:uid="{FFC9EEA5-1EB3-476E-A40A-8B3789F0E5ED}"/>
    <cellStyle name="40% - Énfasis6 9 4 2" xfId="12034" xr:uid="{D154243B-BCAE-4BB0-9B53-E241E370F060}"/>
    <cellStyle name="40% - Énfasis6 9 4 2 2" xfId="27446" xr:uid="{1801EDAD-102E-4B9E-A903-8E836F28EC68}"/>
    <cellStyle name="40% - Énfasis6 9 4 2 2 2" xfId="49447" xr:uid="{5BF3F1A4-4B03-4C0A-9F7B-39A409FEAACD}"/>
    <cellStyle name="40% - Énfasis6 9 4 2 3" xfId="49446" xr:uid="{F4B4B86A-03C0-468B-8D5B-990005C76492}"/>
    <cellStyle name="40% - Énfasis6 9 4 3" xfId="19741" xr:uid="{D4F16F36-747D-4F9A-BE5A-D4D83CD872A7}"/>
    <cellStyle name="40% - Énfasis6 9 4 3 2" xfId="49448" xr:uid="{497D205D-27D9-4599-BC6D-B52ED6E51A4F}"/>
    <cellStyle name="40% - Énfasis6 9 4 4" xfId="49445" xr:uid="{47B35D4B-BF56-41A2-B297-BDCC7B62AD34}"/>
    <cellStyle name="40% - Énfasis6 9 5" xfId="8323" xr:uid="{F4AC69DA-A2B9-40C6-BF75-EAE487929D4F}"/>
    <cellStyle name="40% - Énfasis6 9 5 2" xfId="23736" xr:uid="{FE49147C-ECFD-4FA0-88A0-242844E435D4}"/>
    <cellStyle name="40% - Énfasis6 9 5 2 2" xfId="49450" xr:uid="{76E995B8-1E97-4903-B486-F099A504509F}"/>
    <cellStyle name="40% - Énfasis6 9 5 3" xfId="49449" xr:uid="{7282028A-D7ED-4E9D-8142-20FD8CBF65BB}"/>
    <cellStyle name="40% - Énfasis6 9 6" xfId="16031" xr:uid="{06C47BD4-D12E-4D01-9B37-EE6A3BA28E4A}"/>
    <cellStyle name="40% - Énfasis6 9 6 2" xfId="49451" xr:uid="{8E525372-4071-4E14-869D-E3AB10ABD8E3}"/>
    <cellStyle name="40% - Énfasis6 9 7" xfId="49420" xr:uid="{ECE746CA-AA5D-4839-A2FB-F67BC76AB0DB}"/>
    <cellStyle name="60% - Accent1 10" xfId="3378" xr:uid="{A9989626-6617-448D-9E59-76CE767F8C62}"/>
    <cellStyle name="60% - Accent1 10 2" xfId="7110" xr:uid="{310300B2-5826-41DA-9412-021977C375EA}"/>
    <cellStyle name="60% - Accent1 10 2 2" xfId="14818" xr:uid="{4044F82D-D0BA-4B59-A499-85E0EEC6B473}"/>
    <cellStyle name="60% - Accent1 10 2 2 2" xfId="30230" xr:uid="{1311F740-3A8A-4835-91D2-1CAA94BA5A38}"/>
    <cellStyle name="60% - Accent1 10 2 2 2 2" xfId="49456" xr:uid="{BCB682E1-C59B-43B7-B263-5DD9AFE60DAA}"/>
    <cellStyle name="60% - Accent1 10 2 2 3" xfId="49455" xr:uid="{B128E5E6-2A5F-48E1-886C-6DBBA80E92E5}"/>
    <cellStyle name="60% - Accent1 10 2 3" xfId="22525" xr:uid="{EFAA5698-6214-40D9-9CCF-25A5FA619EBD}"/>
    <cellStyle name="60% - Accent1 10 2 3 2" xfId="49457" xr:uid="{00F85180-6B0D-43D2-82BF-3B73752A4A53}"/>
    <cellStyle name="60% - Accent1 10 2 4" xfId="49454" xr:uid="{38A06155-3F1C-477F-8C8B-DF418140E714}"/>
    <cellStyle name="60% - Accent1 10 3" xfId="11089" xr:uid="{8757C3D9-718B-40EA-8AB6-A8EFD524D048}"/>
    <cellStyle name="60% - Accent1 10 3 2" xfId="26502" xr:uid="{518A9EDB-1969-425C-9492-993F583A386B}"/>
    <cellStyle name="60% - Accent1 10 3 2 2" xfId="49459" xr:uid="{523EC1EA-C0B3-41DC-B627-D8357FE60C83}"/>
    <cellStyle name="60% - Accent1 10 3 3" xfId="49458" xr:uid="{C92CA109-4379-48AD-8A32-0EFEE547FABF}"/>
    <cellStyle name="60% - Accent1 10 4" xfId="18797" xr:uid="{344A8BAF-F541-414C-82C9-90B5DAAC0E09}"/>
    <cellStyle name="60% - Accent1 10 4 2" xfId="49460" xr:uid="{F52E0CC9-A68A-43A0-89B9-9231499B7E77}"/>
    <cellStyle name="60% - Accent1 10 5" xfId="49453" xr:uid="{BB59BABD-592A-4E3A-A0DE-2F3E370F88AF}"/>
    <cellStyle name="60% - Accent1 11" xfId="3398" xr:uid="{A14A69F8-BF70-4DAD-8FA9-666C0D02B9CE}"/>
    <cellStyle name="60% - Accent1 11 2" xfId="7130" xr:uid="{B2016A86-C93A-4107-A248-2F9DC5949CE0}"/>
    <cellStyle name="60% - Accent1 11 2 2" xfId="14838" xr:uid="{27F90434-6E56-40C7-8E34-D830C6F5ED78}"/>
    <cellStyle name="60% - Accent1 11 2 2 2" xfId="30250" xr:uid="{5226CB4C-307C-4B4F-A070-FDB878521ABE}"/>
    <cellStyle name="60% - Accent1 11 2 2 2 2" xfId="49464" xr:uid="{FC68F760-1071-4ECA-95D0-FF939499329B}"/>
    <cellStyle name="60% - Accent1 11 2 2 3" xfId="49463" xr:uid="{F0BC0AD7-FE69-49D4-89D7-7B90E8371F8E}"/>
    <cellStyle name="60% - Accent1 11 2 3" xfId="22545" xr:uid="{6EC35378-E1AA-417A-9D6A-555597C097D5}"/>
    <cellStyle name="60% - Accent1 11 2 3 2" xfId="49465" xr:uid="{50504989-2220-4EE3-83A9-80D81936901D}"/>
    <cellStyle name="60% - Accent1 11 2 4" xfId="49462" xr:uid="{B88A8E48-04DE-4BF1-92E9-54EC02C032D7}"/>
    <cellStyle name="60% - Accent1 11 3" xfId="11109" xr:uid="{631BAF26-D5CA-4CD5-822D-5A35CBD0DB2A}"/>
    <cellStyle name="60% - Accent1 11 3 2" xfId="26522" xr:uid="{67D2B42C-BF7B-4B27-A3AC-385D49744BBE}"/>
    <cellStyle name="60% - Accent1 11 3 2 2" xfId="49467" xr:uid="{F4933B59-07F2-4087-BD09-269F0462269C}"/>
    <cellStyle name="60% - Accent1 11 3 3" xfId="49466" xr:uid="{730E6F31-AB04-411B-8B79-56E6B666C6FC}"/>
    <cellStyle name="60% - Accent1 11 4" xfId="18817" xr:uid="{FC2FBD32-8099-4066-9620-20BB16F392FB}"/>
    <cellStyle name="60% - Accent1 11 4 2" xfId="49468" xr:uid="{264A234A-6566-4446-B823-B3E94E91EDEF}"/>
    <cellStyle name="60% - Accent1 11 5" xfId="49461" xr:uid="{13472661-4B6C-435A-B540-C5A7E5F9661E}"/>
    <cellStyle name="60% - Accent1 12" xfId="3418" xr:uid="{FFEF1D79-13C8-4F76-B205-63919F25E3A6}"/>
    <cellStyle name="60% - Accent1 12 2" xfId="7150" xr:uid="{42A0C1D3-B366-4254-A8B3-B8350B73E97D}"/>
    <cellStyle name="60% - Accent1 12 2 2" xfId="14858" xr:uid="{773C6B50-F570-47E8-B602-CBDEBABC932C}"/>
    <cellStyle name="60% - Accent1 12 2 2 2" xfId="30270" xr:uid="{E8CCD003-B96E-442F-ABDC-BE3211BF734E}"/>
    <cellStyle name="60% - Accent1 12 2 2 2 2" xfId="49472" xr:uid="{6DCAB3C2-7F77-4AEA-9904-78E5438F0E15}"/>
    <cellStyle name="60% - Accent1 12 2 2 3" xfId="49471" xr:uid="{8A351754-BC39-4FE9-A49D-EB58773AED7C}"/>
    <cellStyle name="60% - Accent1 12 2 3" xfId="22565" xr:uid="{5459A26D-4035-43ED-9548-6F725F4750EE}"/>
    <cellStyle name="60% - Accent1 12 2 3 2" xfId="49473" xr:uid="{B51E6AE9-169F-4498-9536-14E51597E81D}"/>
    <cellStyle name="60% - Accent1 12 2 4" xfId="49470" xr:uid="{B8C91C0F-66D7-4BA1-BFB8-BC6D83386FAC}"/>
    <cellStyle name="60% - Accent1 12 3" xfId="11129" xr:uid="{5D69B465-83BC-4F0F-A425-FB9042A8F6B4}"/>
    <cellStyle name="60% - Accent1 12 3 2" xfId="26542" xr:uid="{295E3724-E3DC-4824-9AD1-2A11C06D953D}"/>
    <cellStyle name="60% - Accent1 12 3 2 2" xfId="49475" xr:uid="{E3143AE5-41C9-431E-90C1-990B04E49CAE}"/>
    <cellStyle name="60% - Accent1 12 3 3" xfId="49474" xr:uid="{75C14DD2-1BDE-4827-A246-E0525D9A3DED}"/>
    <cellStyle name="60% - Accent1 12 4" xfId="18837" xr:uid="{62060C9C-517F-40D9-BF49-589F43E9C417}"/>
    <cellStyle name="60% - Accent1 12 4 2" xfId="49476" xr:uid="{4CA19F96-34EF-4CB2-9E25-69D9A2C2A3F2}"/>
    <cellStyle name="60% - Accent1 12 5" xfId="49469" xr:uid="{66268CE0-7E45-49A5-8424-E5E6E3459C5F}"/>
    <cellStyle name="60% - Accent1 13" xfId="3438" xr:uid="{2161F5EF-444A-46A3-A141-C01A5FCC888D}"/>
    <cellStyle name="60% - Accent1 13 2" xfId="7170" xr:uid="{CD8CAB1D-7735-4038-894F-7223E876DF52}"/>
    <cellStyle name="60% - Accent1 13 2 2" xfId="14878" xr:uid="{39812346-714F-44E0-9122-C423E60F8844}"/>
    <cellStyle name="60% - Accent1 13 2 2 2" xfId="30290" xr:uid="{88A9FBD1-E8F2-4F5D-A4B9-DD1EED98641C}"/>
    <cellStyle name="60% - Accent1 13 2 2 2 2" xfId="49480" xr:uid="{5AAD7686-F2CE-42EE-B490-C957188CFBA4}"/>
    <cellStyle name="60% - Accent1 13 2 2 3" xfId="49479" xr:uid="{3FEC32FC-ED16-486F-B578-6290D30EBAF6}"/>
    <cellStyle name="60% - Accent1 13 2 3" xfId="22585" xr:uid="{0F5C61B4-AFCF-413E-8308-E04DBBDF1FC2}"/>
    <cellStyle name="60% - Accent1 13 2 3 2" xfId="49481" xr:uid="{97FF9394-D0C4-40CC-9493-0DF58D0BCFFD}"/>
    <cellStyle name="60% - Accent1 13 2 4" xfId="49478" xr:uid="{8503BD54-C59F-4D7F-9425-2E1C10B0334A}"/>
    <cellStyle name="60% - Accent1 13 3" xfId="11149" xr:uid="{AC7D0CAA-79FC-451E-8427-6E12018A1DB4}"/>
    <cellStyle name="60% - Accent1 13 3 2" xfId="26562" xr:uid="{F1B5BC55-385F-4F99-8B45-2FB912549603}"/>
    <cellStyle name="60% - Accent1 13 3 2 2" xfId="49483" xr:uid="{96CA8CA3-C751-41DE-8847-5D7E73023FF5}"/>
    <cellStyle name="60% - Accent1 13 3 3" xfId="49482" xr:uid="{A96D2BB4-CADC-4BC6-8469-10D2A31ED66E}"/>
    <cellStyle name="60% - Accent1 13 4" xfId="18857" xr:uid="{CF08A86F-E02E-44F4-9F47-2E3CCCC17413}"/>
    <cellStyle name="60% - Accent1 13 4 2" xfId="49484" xr:uid="{A794DF62-874F-4826-BE91-FE3117815528}"/>
    <cellStyle name="60% - Accent1 13 5" xfId="49477" xr:uid="{EC80C863-C94E-4CE5-BADA-83B0378A73EB}"/>
    <cellStyle name="60% - Accent1 14" xfId="3458" xr:uid="{3BCB6D83-C3AD-40F5-BB44-E271298FF49F}"/>
    <cellStyle name="60% - Accent1 14 2" xfId="7190" xr:uid="{55D0EB1C-96E8-4748-9700-79903355162C}"/>
    <cellStyle name="60% - Accent1 14 2 2" xfId="14898" xr:uid="{A4AC3170-8AF0-4B5A-BD2D-9475DE6F15FC}"/>
    <cellStyle name="60% - Accent1 14 2 2 2" xfId="30310" xr:uid="{4D71706B-3C64-4C90-8BBC-00F54FE4286E}"/>
    <cellStyle name="60% - Accent1 14 2 2 2 2" xfId="49488" xr:uid="{030D5611-C166-4F4C-9AB8-90D6C3246F7F}"/>
    <cellStyle name="60% - Accent1 14 2 2 3" xfId="49487" xr:uid="{BA283851-45A3-4613-86CC-8C7A8A761F0E}"/>
    <cellStyle name="60% - Accent1 14 2 3" xfId="22605" xr:uid="{6EDFF404-E181-4A47-BF33-6B2E767B525E}"/>
    <cellStyle name="60% - Accent1 14 2 3 2" xfId="49489" xr:uid="{8788952C-1D5C-45ED-8C1E-A654F755EF04}"/>
    <cellStyle name="60% - Accent1 14 2 4" xfId="49486" xr:uid="{5247CB28-BF1B-4A0D-8D05-5D5671A39F57}"/>
    <cellStyle name="60% - Accent1 14 3" xfId="11169" xr:uid="{17514756-9D5D-43D9-B47C-310873404397}"/>
    <cellStyle name="60% - Accent1 14 3 2" xfId="26582" xr:uid="{065123F0-14E1-4820-8B35-0DA10255E7A0}"/>
    <cellStyle name="60% - Accent1 14 3 2 2" xfId="49491" xr:uid="{0E71D34D-4512-42C3-B45A-F7AC8E6387C7}"/>
    <cellStyle name="60% - Accent1 14 3 3" xfId="49490" xr:uid="{D93A01E6-81B3-4CAD-844B-DEE8EF88C955}"/>
    <cellStyle name="60% - Accent1 14 4" xfId="18877" xr:uid="{145E88A9-31C1-4048-8CAF-EA0A44D26EAE}"/>
    <cellStyle name="60% - Accent1 14 4 2" xfId="49492" xr:uid="{291A097C-F312-4AE1-B462-CE36A01EEEA9}"/>
    <cellStyle name="60% - Accent1 14 5" xfId="49485" xr:uid="{202C1182-D41F-4030-A545-AAE9FF849094}"/>
    <cellStyle name="60% - Accent1 15" xfId="3478" xr:uid="{25BA05D9-51E3-4134-872B-BC68342F5138}"/>
    <cellStyle name="60% - Accent1 15 2" xfId="7210" xr:uid="{CDDA0A96-7732-4FD2-85EB-6FA6E0BE3B09}"/>
    <cellStyle name="60% - Accent1 15 2 2" xfId="14918" xr:uid="{08F904F4-1CC9-4FE1-92FC-6CCC96F5C70E}"/>
    <cellStyle name="60% - Accent1 15 2 2 2" xfId="30330" xr:uid="{DFC8DDDB-7E2E-487E-B685-7C4C46D5A34B}"/>
    <cellStyle name="60% - Accent1 15 2 2 2 2" xfId="49496" xr:uid="{15549C40-E449-4E05-A075-82C3A6E02C09}"/>
    <cellStyle name="60% - Accent1 15 2 2 3" xfId="49495" xr:uid="{B5F19F1A-EE79-4A8E-93BF-9E9F6F788EC6}"/>
    <cellStyle name="60% - Accent1 15 2 3" xfId="22625" xr:uid="{79D165C7-7C6E-4B5C-B967-1F2D9ABC330A}"/>
    <cellStyle name="60% - Accent1 15 2 3 2" xfId="49497" xr:uid="{A4FF427B-F370-4A2D-B5D4-41ABE1209646}"/>
    <cellStyle name="60% - Accent1 15 2 4" xfId="49494" xr:uid="{A08C2F5A-19E2-46C0-9E98-51D3AF6551DD}"/>
    <cellStyle name="60% - Accent1 15 3" xfId="11189" xr:uid="{93B3A9EE-E5A7-4277-9C6E-27640CED50A6}"/>
    <cellStyle name="60% - Accent1 15 3 2" xfId="26602" xr:uid="{3BDB3319-4D61-4595-AE94-90FDFA48B477}"/>
    <cellStyle name="60% - Accent1 15 3 2 2" xfId="49499" xr:uid="{C05335A7-27AB-4ABA-B5AE-D9240F67AFA7}"/>
    <cellStyle name="60% - Accent1 15 3 3" xfId="49498" xr:uid="{CA2452C7-3675-4BF2-9C0C-7541CABE2158}"/>
    <cellStyle name="60% - Accent1 15 4" xfId="18897" xr:uid="{6CC6FD70-6DDD-4112-A932-6ACD12FCE11A}"/>
    <cellStyle name="60% - Accent1 15 4 2" xfId="49500" xr:uid="{AAF61388-AE5E-464E-ABBB-FBE9BE5210CF}"/>
    <cellStyle name="60% - Accent1 15 5" xfId="49493" xr:uid="{46ACACFF-1F32-4962-98C6-3B976308E716}"/>
    <cellStyle name="60% - Accent1 16" xfId="3498" xr:uid="{A90C384B-418E-435E-AEF7-A49DAEB3CE57}"/>
    <cellStyle name="60% - Accent1 16 2" xfId="7230" xr:uid="{26F1D20E-5519-474A-AB5D-6214A98E47B8}"/>
    <cellStyle name="60% - Accent1 16 2 2" xfId="14938" xr:uid="{9696D3E1-4E74-47B5-BEBE-BDB3A1DB7E75}"/>
    <cellStyle name="60% - Accent1 16 2 2 2" xfId="30350" xr:uid="{10665365-9D1F-49B8-B5FF-FD9710677239}"/>
    <cellStyle name="60% - Accent1 16 2 2 2 2" xfId="49504" xr:uid="{C4571021-44E2-4A89-A3B4-9C00FC71D6F8}"/>
    <cellStyle name="60% - Accent1 16 2 2 3" xfId="49503" xr:uid="{B2AA0552-EC89-46B8-9B8E-3ED666FA74A9}"/>
    <cellStyle name="60% - Accent1 16 2 3" xfId="22645" xr:uid="{58B2101C-59E3-4904-964D-033ADEEB2DED}"/>
    <cellStyle name="60% - Accent1 16 2 3 2" xfId="49505" xr:uid="{1A980083-0D0A-494D-B482-D109D74DFAA5}"/>
    <cellStyle name="60% - Accent1 16 2 4" xfId="49502" xr:uid="{E10616E6-5315-4646-98E0-58787CC21418}"/>
    <cellStyle name="60% - Accent1 16 3" xfId="11209" xr:uid="{85BAF189-F2DF-4BB4-910E-16FFA7AB1BF3}"/>
    <cellStyle name="60% - Accent1 16 3 2" xfId="26622" xr:uid="{56E3CF8F-7A5E-43E0-8688-24F3527E470C}"/>
    <cellStyle name="60% - Accent1 16 3 2 2" xfId="49507" xr:uid="{5C7CBA8C-C759-41F8-A281-3EE109011716}"/>
    <cellStyle name="60% - Accent1 16 3 3" xfId="49506" xr:uid="{1BF401DB-8EBB-4C13-B27F-0E0C86571D0A}"/>
    <cellStyle name="60% - Accent1 16 4" xfId="18917" xr:uid="{8582CB3D-B6D9-4FF3-A1AD-AC29AB7E321C}"/>
    <cellStyle name="60% - Accent1 16 4 2" xfId="49508" xr:uid="{8AE639E1-AB43-4934-A9E0-F4FD2AC39C0A}"/>
    <cellStyle name="60% - Accent1 16 5" xfId="49501" xr:uid="{402DBD88-0A05-4E75-A116-A93E710AD832}"/>
    <cellStyle name="60% - Accent1 17" xfId="3518" xr:uid="{7204E7FA-2706-43CD-97E1-2DD060FA17DB}"/>
    <cellStyle name="60% - Accent1 17 2" xfId="7250" xr:uid="{53FAEB62-D9DF-4097-95D5-2BF55DE67785}"/>
    <cellStyle name="60% - Accent1 17 2 2" xfId="14958" xr:uid="{0A61BD22-5B59-441E-8F38-5ABAA49D2B9A}"/>
    <cellStyle name="60% - Accent1 17 2 2 2" xfId="30370" xr:uid="{EA881D84-9B96-4539-971A-4101DD08B9EA}"/>
    <cellStyle name="60% - Accent1 17 2 2 2 2" xfId="49512" xr:uid="{C23126E7-E87C-4243-BFF5-A3865411036D}"/>
    <cellStyle name="60% - Accent1 17 2 2 3" xfId="49511" xr:uid="{39F020E5-5F11-43AF-BAE8-67524C6E6D3F}"/>
    <cellStyle name="60% - Accent1 17 2 3" xfId="22665" xr:uid="{44BAC3FF-306A-4EA6-AE29-069282846C03}"/>
    <cellStyle name="60% - Accent1 17 2 3 2" xfId="49513" xr:uid="{8A6CF4D8-211E-44B2-87A3-AEA88BACAED7}"/>
    <cellStyle name="60% - Accent1 17 2 4" xfId="49510" xr:uid="{F8712376-E962-4C7A-AC08-F9E0C0E3A8B8}"/>
    <cellStyle name="60% - Accent1 17 3" xfId="11229" xr:uid="{7B6D38E4-C214-4C57-94B8-29C6D9079F69}"/>
    <cellStyle name="60% - Accent1 17 3 2" xfId="26642" xr:uid="{1C9F48DC-AE93-4B8D-922B-A72FABC34E54}"/>
    <cellStyle name="60% - Accent1 17 3 2 2" xfId="49515" xr:uid="{0014DD29-7295-490B-980A-C8CD295ECA49}"/>
    <cellStyle name="60% - Accent1 17 3 3" xfId="49514" xr:uid="{A311789C-BE7A-49F4-B599-0EC5D2040E75}"/>
    <cellStyle name="60% - Accent1 17 4" xfId="18937" xr:uid="{9034FA08-7FB2-49C0-938C-4C4E796803D8}"/>
    <cellStyle name="60% - Accent1 17 4 2" xfId="49516" xr:uid="{35753F52-9BBF-4F5C-BC0D-293FE2DCD4A2}"/>
    <cellStyle name="60% - Accent1 17 5" xfId="49509" xr:uid="{9CB0FF69-D6E7-4910-BB10-2C70BE5BD7AB}"/>
    <cellStyle name="60% - Accent1 18" xfId="3538" xr:uid="{18DC1466-2F72-4CA4-AE9A-C2F85F82057D}"/>
    <cellStyle name="60% - Accent1 18 2" xfId="7270" xr:uid="{6E477996-E375-496A-9DF3-9F261FA39FF9}"/>
    <cellStyle name="60% - Accent1 18 2 2" xfId="14978" xr:uid="{5B0DE33A-2612-4627-8F00-10596C2957AD}"/>
    <cellStyle name="60% - Accent1 18 2 2 2" xfId="30390" xr:uid="{B54ECF41-DDFD-445F-90E1-CCA5DFC8B023}"/>
    <cellStyle name="60% - Accent1 18 2 2 2 2" xfId="49520" xr:uid="{B81AC00C-320F-49B7-A8AB-05136266F1FC}"/>
    <cellStyle name="60% - Accent1 18 2 2 3" xfId="49519" xr:uid="{3212CFC2-D8D1-4DE3-88F6-E4948121A642}"/>
    <cellStyle name="60% - Accent1 18 2 3" xfId="22685" xr:uid="{88A88D28-FABB-4732-972D-DBE58DFEBA31}"/>
    <cellStyle name="60% - Accent1 18 2 3 2" xfId="49521" xr:uid="{B546C2CE-6381-479A-AFC1-645129D4D15B}"/>
    <cellStyle name="60% - Accent1 18 2 4" xfId="49518" xr:uid="{40422B8F-9972-40BA-9554-E8D053542E9B}"/>
    <cellStyle name="60% - Accent1 18 3" xfId="11249" xr:uid="{3BD6EB01-2DE9-4DB0-8885-E60AC8B90BBF}"/>
    <cellStyle name="60% - Accent1 18 3 2" xfId="26662" xr:uid="{B55E5B1C-BEF2-4674-A7D6-2A7DF44A63A4}"/>
    <cellStyle name="60% - Accent1 18 3 2 2" xfId="49523" xr:uid="{BB1521E0-3D74-4D54-89C0-3BCEE76C3F0E}"/>
    <cellStyle name="60% - Accent1 18 3 3" xfId="49522" xr:uid="{2B0C1DD8-F4A8-4ED4-9D82-7D1C56E8335D}"/>
    <cellStyle name="60% - Accent1 18 4" xfId="18957" xr:uid="{B33AEA10-0BF8-456F-8D37-645291B8A4F7}"/>
    <cellStyle name="60% - Accent1 18 4 2" xfId="49524" xr:uid="{68B5EBDB-ACCB-4245-9712-B40D2B8C130A}"/>
    <cellStyle name="60% - Accent1 18 5" xfId="49517" xr:uid="{0388B83C-2E08-4BB6-8A17-6C3F2BD490E2}"/>
    <cellStyle name="60% - Accent1 19" xfId="3558" xr:uid="{D6D04842-A2A9-4F20-A557-AA6E5BD49F2D}"/>
    <cellStyle name="60% - Accent1 19 2" xfId="7290" xr:uid="{31273C31-7FE4-48B5-8AE0-52B68BC4F7D6}"/>
    <cellStyle name="60% - Accent1 19 2 2" xfId="14998" xr:uid="{FD2C36F4-1984-4BA9-8D8E-6463A8B5DF66}"/>
    <cellStyle name="60% - Accent1 19 2 2 2" xfId="30410" xr:uid="{0AE69E0C-8D48-47DE-8687-E5C59871433C}"/>
    <cellStyle name="60% - Accent1 19 2 2 2 2" xfId="49528" xr:uid="{2027BF1B-9D29-4F18-B433-AF6C534DA913}"/>
    <cellStyle name="60% - Accent1 19 2 2 3" xfId="49527" xr:uid="{2FBF4337-511A-4690-AD6A-8C7D88BB6007}"/>
    <cellStyle name="60% - Accent1 19 2 3" xfId="22705" xr:uid="{7D022957-4218-46E5-AF0C-67AF67F3FFC7}"/>
    <cellStyle name="60% - Accent1 19 2 3 2" xfId="49529" xr:uid="{F2240D68-1091-4188-88E0-36FD761984A4}"/>
    <cellStyle name="60% - Accent1 19 2 4" xfId="49526" xr:uid="{E9FE1D69-C34F-404F-B48E-00B7BF9CD7BF}"/>
    <cellStyle name="60% - Accent1 19 3" xfId="11269" xr:uid="{0C3F97F5-AED6-4218-8F73-CAD15128DF27}"/>
    <cellStyle name="60% - Accent1 19 3 2" xfId="26682" xr:uid="{0AB7C89B-8CAE-4212-9C79-9A097CFBD25F}"/>
    <cellStyle name="60% - Accent1 19 3 2 2" xfId="49531" xr:uid="{B419A0B7-6E10-48AE-B744-2F166855C1ED}"/>
    <cellStyle name="60% - Accent1 19 3 3" xfId="49530" xr:uid="{29D287CF-1DBA-4C95-91EE-FC1271FA59AE}"/>
    <cellStyle name="60% - Accent1 19 4" xfId="18977" xr:uid="{AFA25116-CD9F-4F0C-A1EC-023CEBBF8F95}"/>
    <cellStyle name="60% - Accent1 19 4 2" xfId="49532" xr:uid="{F4ACAA95-908A-464E-8656-32B0C3877777}"/>
    <cellStyle name="60% - Accent1 19 5" xfId="49525" xr:uid="{83B41329-F432-4D6A-AFED-EDF0171C5602}"/>
    <cellStyle name="60% - Accent1 2" xfId="87" xr:uid="{09887BF8-F3A6-42E4-8FA7-DCE59964F99E}"/>
    <cellStyle name="60% - Accent1 2 2" xfId="49533" xr:uid="{31700063-9D55-438C-9CD2-058DE3AF01D3}"/>
    <cellStyle name="60% - Accent1 20" xfId="3579" xr:uid="{D97130ED-13E2-487E-BDDA-329798654F6E}"/>
    <cellStyle name="60% - Accent1 20 2" xfId="7310" xr:uid="{BC7DEBDA-5E51-4070-8D85-35BD5CC51957}"/>
    <cellStyle name="60% - Accent1 20 2 2" xfId="15018" xr:uid="{E95838D8-8197-4D1D-A5C6-24C168177D80}"/>
    <cellStyle name="60% - Accent1 20 2 2 2" xfId="30430" xr:uid="{F4F37AA7-DB53-4D0B-9376-BF3FA231EBFB}"/>
    <cellStyle name="60% - Accent1 20 2 2 2 2" xfId="49537" xr:uid="{C848161C-BF98-46CE-97A5-56F174D3DAC2}"/>
    <cellStyle name="60% - Accent1 20 2 2 3" xfId="49536" xr:uid="{F5F92ECB-3CBE-4DCE-9137-42A682632EE6}"/>
    <cellStyle name="60% - Accent1 20 2 3" xfId="22725" xr:uid="{34707FE1-AB91-47DA-9ACE-F6BD325BC4AD}"/>
    <cellStyle name="60% - Accent1 20 2 3 2" xfId="49538" xr:uid="{26E12631-B408-49BA-9EA0-1B4AD149E051}"/>
    <cellStyle name="60% - Accent1 20 2 4" xfId="49535" xr:uid="{0707A032-EE44-4A06-B50D-A41FA64A1181}"/>
    <cellStyle name="60% - Accent1 20 3" xfId="11289" xr:uid="{D0EF49DA-04B0-4BBE-BBD8-1BD2F8C1F0E4}"/>
    <cellStyle name="60% - Accent1 20 3 2" xfId="26702" xr:uid="{338DE6B7-B4D9-403A-8BFE-E23F534F2C32}"/>
    <cellStyle name="60% - Accent1 20 3 2 2" xfId="49540" xr:uid="{B931BFB9-9AB4-469A-9814-3B34F98EE6ED}"/>
    <cellStyle name="60% - Accent1 20 3 3" xfId="49539" xr:uid="{D8084AD2-5A56-45EF-B17B-D3F88FA161AC}"/>
    <cellStyle name="60% - Accent1 20 4" xfId="18997" xr:uid="{63BB785D-556E-46AA-811F-793B2E3D8C9D}"/>
    <cellStyle name="60% - Accent1 20 4 2" xfId="49541" xr:uid="{78087963-6818-4D0C-AE6B-ECE401DB3FD8}"/>
    <cellStyle name="60% - Accent1 20 5" xfId="49534" xr:uid="{3FFF3802-B230-4777-A6EE-020B85E8F128}"/>
    <cellStyle name="60% - Accent1 21" xfId="3599" xr:uid="{26E073DE-7EEB-49B1-9F59-ABE11C5D4BAF}"/>
    <cellStyle name="60% - Accent1 21 2" xfId="7330" xr:uid="{D3163D72-E6C7-4FC9-A6D1-5095D346D293}"/>
    <cellStyle name="60% - Accent1 21 2 2" xfId="15038" xr:uid="{ADAD9426-4215-4833-A9B9-E44D16A4DE7D}"/>
    <cellStyle name="60% - Accent1 21 2 2 2" xfId="30450" xr:uid="{D9348714-B41E-4D3F-BE9F-E42B3996FB09}"/>
    <cellStyle name="60% - Accent1 21 2 2 2 2" xfId="49545" xr:uid="{1EB4A39F-D790-4F0C-92D7-5344B8F37746}"/>
    <cellStyle name="60% - Accent1 21 2 2 3" xfId="49544" xr:uid="{3D9FB2A8-7B68-42D2-A71A-9B5C000CB8AA}"/>
    <cellStyle name="60% - Accent1 21 2 3" xfId="22745" xr:uid="{D447C1F5-320C-42DB-B92B-C6C467FBE518}"/>
    <cellStyle name="60% - Accent1 21 2 3 2" xfId="49546" xr:uid="{BDD5EF11-565C-4AAB-905C-06D334A3C968}"/>
    <cellStyle name="60% - Accent1 21 2 4" xfId="49543" xr:uid="{217F7668-84D8-4A9B-887A-15F65DDE5BF3}"/>
    <cellStyle name="60% - Accent1 21 3" xfId="11309" xr:uid="{9D29742C-90CB-486F-A3DF-912731490D33}"/>
    <cellStyle name="60% - Accent1 21 3 2" xfId="26722" xr:uid="{76B31BF2-0B16-4AA7-89AD-02CB303228B8}"/>
    <cellStyle name="60% - Accent1 21 3 2 2" xfId="49548" xr:uid="{2F5B8FC4-1A06-4566-8957-C4EE90917DB6}"/>
    <cellStyle name="60% - Accent1 21 3 3" xfId="49547" xr:uid="{3E4FE6EB-2C62-41A9-8DD3-BDF7053F4111}"/>
    <cellStyle name="60% - Accent1 21 4" xfId="19017" xr:uid="{75E6C1C6-81D6-425D-B6CE-0A8422CB5F18}"/>
    <cellStyle name="60% - Accent1 21 4 2" xfId="49549" xr:uid="{DDE846CD-D1FF-47AA-AF9D-A45DDD787854}"/>
    <cellStyle name="60% - Accent1 21 5" xfId="49542" xr:uid="{19AEE69E-45BA-4B37-8662-E278E942E99A}"/>
    <cellStyle name="60% - Accent1 22" xfId="3619" xr:uid="{744466DC-871C-4135-8912-85CC67E550D8}"/>
    <cellStyle name="60% - Accent1 22 2" xfId="7350" xr:uid="{B52C5358-75FF-44D6-9465-A927B63DE639}"/>
    <cellStyle name="60% - Accent1 22 2 2" xfId="15058" xr:uid="{06172017-B111-4751-B6B1-6F7B03E67D6C}"/>
    <cellStyle name="60% - Accent1 22 2 2 2" xfId="30470" xr:uid="{2B13D861-1758-41CD-A74D-EEF47DB27A75}"/>
    <cellStyle name="60% - Accent1 22 2 2 2 2" xfId="49553" xr:uid="{E95DE29F-6C4B-411D-B16F-3A4882618561}"/>
    <cellStyle name="60% - Accent1 22 2 2 3" xfId="49552" xr:uid="{23C3A16C-0E22-4EF5-98FB-FB8F560A093E}"/>
    <cellStyle name="60% - Accent1 22 2 3" xfId="22765" xr:uid="{2B0E1268-9BC2-4BDF-B950-B4F913200E42}"/>
    <cellStyle name="60% - Accent1 22 2 3 2" xfId="49554" xr:uid="{7D578E6E-4B73-4DB5-8416-835733A5A178}"/>
    <cellStyle name="60% - Accent1 22 2 4" xfId="49551" xr:uid="{36D8776A-6CC4-497C-9E28-CF28648CEBF3}"/>
    <cellStyle name="60% - Accent1 22 3" xfId="11329" xr:uid="{B9B21F17-E114-43C3-974A-EAF87842335A}"/>
    <cellStyle name="60% - Accent1 22 3 2" xfId="26742" xr:uid="{9776BF1F-720D-4413-9F67-BBF1777D55DD}"/>
    <cellStyle name="60% - Accent1 22 3 2 2" xfId="49556" xr:uid="{BEA2B066-04B7-4593-B172-2B9D060ED16B}"/>
    <cellStyle name="60% - Accent1 22 3 3" xfId="49555" xr:uid="{A8EE2C81-67FA-404D-BF2F-7001DBD59667}"/>
    <cellStyle name="60% - Accent1 22 4" xfId="19037" xr:uid="{3206EEB5-46D5-4BE4-9F33-E74A61586171}"/>
    <cellStyle name="60% - Accent1 22 4 2" xfId="49557" xr:uid="{B56EB6E9-F4E3-4C7E-8190-656F631AC6D9}"/>
    <cellStyle name="60% - Accent1 22 5" xfId="49550" xr:uid="{77DB3304-C895-4C78-855B-9CC79EFF4DC5}"/>
    <cellStyle name="60% - Accent1 23" xfId="3639" xr:uid="{00B7A56F-87F0-4F5D-9DAE-B6FAF1B52FB3}"/>
    <cellStyle name="60% - Accent1 23 2" xfId="7370" xr:uid="{E7E8003E-82F5-457D-9E98-835BC81CEB9F}"/>
    <cellStyle name="60% - Accent1 23 2 2" xfId="15078" xr:uid="{46C203A0-51D7-4968-807E-D5481B52ECF8}"/>
    <cellStyle name="60% - Accent1 23 2 2 2" xfId="30490" xr:uid="{8410607F-A657-4C6B-92C7-1876F269F6C7}"/>
    <cellStyle name="60% - Accent1 23 2 2 2 2" xfId="49561" xr:uid="{8B6C6B94-3F4C-4507-BF10-8620166FF15B}"/>
    <cellStyle name="60% - Accent1 23 2 2 3" xfId="49560" xr:uid="{C8C7C233-33E4-4505-9C2D-39E1202E4747}"/>
    <cellStyle name="60% - Accent1 23 2 3" xfId="22785" xr:uid="{23C212F3-A416-4984-9830-DD971E09402C}"/>
    <cellStyle name="60% - Accent1 23 2 3 2" xfId="49562" xr:uid="{752B30D5-C234-49DA-BB0B-9A4C6C506EF3}"/>
    <cellStyle name="60% - Accent1 23 2 4" xfId="49559" xr:uid="{B23FC73C-7C66-4B9E-B551-24369A43CA71}"/>
    <cellStyle name="60% - Accent1 23 3" xfId="11349" xr:uid="{C67F52D8-6022-436C-9527-C264ACD2A998}"/>
    <cellStyle name="60% - Accent1 23 3 2" xfId="26762" xr:uid="{2A1EA85A-6FE3-49DC-8311-2155E55B1F6B}"/>
    <cellStyle name="60% - Accent1 23 3 2 2" xfId="49564" xr:uid="{231C9F8B-1A2F-42FD-9A06-7EA498359F5F}"/>
    <cellStyle name="60% - Accent1 23 3 3" xfId="49563" xr:uid="{9EDBEB5F-26E1-494E-BA18-B3B0A3765376}"/>
    <cellStyle name="60% - Accent1 23 4" xfId="19057" xr:uid="{87D3BF1A-64A3-4BF0-A780-4BDE9D08B927}"/>
    <cellStyle name="60% - Accent1 23 4 2" xfId="49565" xr:uid="{83C52A1F-1CFB-43DA-AAC4-D08FA4098362}"/>
    <cellStyle name="60% - Accent1 23 5" xfId="49558" xr:uid="{BBED9EB7-FE97-47B1-9F81-93CB9AC1EF02}"/>
    <cellStyle name="60% - Accent1 24" xfId="3659" xr:uid="{1F800D96-8547-4282-B970-EB1E4818434B}"/>
    <cellStyle name="60% - Accent1 24 2" xfId="7390" xr:uid="{9694C0CD-93EB-42F3-83A2-825E7B578482}"/>
    <cellStyle name="60% - Accent1 24 2 2" xfId="15098" xr:uid="{30E9DF5D-EBCC-43E5-A2C7-54AD79C736E4}"/>
    <cellStyle name="60% - Accent1 24 2 2 2" xfId="30510" xr:uid="{7F19CA51-2464-41E8-8550-2D34BA96CF25}"/>
    <cellStyle name="60% - Accent1 24 2 2 2 2" xfId="49569" xr:uid="{11068962-6E05-4B4A-BF90-416B7F7AD6CC}"/>
    <cellStyle name="60% - Accent1 24 2 2 3" xfId="49568" xr:uid="{7AAD5836-B75E-4B44-9DA9-6D32314C8B32}"/>
    <cellStyle name="60% - Accent1 24 2 3" xfId="22805" xr:uid="{281FD465-107C-4218-A78D-42C94738B46E}"/>
    <cellStyle name="60% - Accent1 24 2 3 2" xfId="49570" xr:uid="{8FE81EA9-E4EA-40F0-B3CB-8B27016B7DF5}"/>
    <cellStyle name="60% - Accent1 24 2 4" xfId="49567" xr:uid="{CDFCB42E-DF32-430B-B3D2-544DEDBB0993}"/>
    <cellStyle name="60% - Accent1 24 3" xfId="11369" xr:uid="{6500CD93-1027-4D9F-B599-130A32C5CFB3}"/>
    <cellStyle name="60% - Accent1 24 3 2" xfId="26782" xr:uid="{6211E4B5-7A3A-443D-97C6-D8EAB17D8DE4}"/>
    <cellStyle name="60% - Accent1 24 3 2 2" xfId="49572" xr:uid="{E92273FA-BFB7-4F62-BD89-3C7FA75ABC22}"/>
    <cellStyle name="60% - Accent1 24 3 3" xfId="49571" xr:uid="{C89231F7-34E0-4BCD-AA15-F8FF52D6467B}"/>
    <cellStyle name="60% - Accent1 24 4" xfId="19077" xr:uid="{83F7FB61-D6FA-4698-BFF4-EDBC963581CD}"/>
    <cellStyle name="60% - Accent1 24 4 2" xfId="49573" xr:uid="{ECFECACF-3FBE-4CD5-8D0F-05509AB4BAF5}"/>
    <cellStyle name="60% - Accent1 24 5" xfId="49566" xr:uid="{27AB00D4-0245-4A1F-B126-3B8C6DBFCD72}"/>
    <cellStyle name="60% - Accent1 25" xfId="3679" xr:uid="{7606D1E2-95FE-4664-8C09-61AAE24D5711}"/>
    <cellStyle name="60% - Accent1 25 2" xfId="7410" xr:uid="{67375757-C6C4-44C9-9CEA-E69DAC3C8FD9}"/>
    <cellStyle name="60% - Accent1 25 2 2" xfId="15118" xr:uid="{8F40D1E3-E203-41E0-AC58-B4ABDCD9A63E}"/>
    <cellStyle name="60% - Accent1 25 2 2 2" xfId="30530" xr:uid="{8FDE3BAE-1374-441B-9355-26E213E5E9A3}"/>
    <cellStyle name="60% - Accent1 25 2 2 2 2" xfId="49577" xr:uid="{6DFB3378-D0B7-4E1A-89D8-0AA4A8B117ED}"/>
    <cellStyle name="60% - Accent1 25 2 2 3" xfId="49576" xr:uid="{079A043F-679E-442D-B3B0-845F44F9FE71}"/>
    <cellStyle name="60% - Accent1 25 2 3" xfId="22825" xr:uid="{FB967282-701E-48E9-8E89-4DFB714792AB}"/>
    <cellStyle name="60% - Accent1 25 2 3 2" xfId="49578" xr:uid="{A504F7AB-DDAF-4FA9-885B-8F61861795BB}"/>
    <cellStyle name="60% - Accent1 25 2 4" xfId="49575" xr:uid="{55D73044-4C57-4379-B739-93B2E7DE5B2E}"/>
    <cellStyle name="60% - Accent1 25 3" xfId="11389" xr:uid="{C3C69E7A-1E84-452E-BC9E-EFD3E9A89433}"/>
    <cellStyle name="60% - Accent1 25 3 2" xfId="26802" xr:uid="{2161E4A0-8CF8-477C-8435-843C38E9A9A6}"/>
    <cellStyle name="60% - Accent1 25 3 2 2" xfId="49580" xr:uid="{FE632855-4805-44F9-BA39-EEE61CCF9131}"/>
    <cellStyle name="60% - Accent1 25 3 3" xfId="49579" xr:uid="{13B0CEC5-DE18-41C1-85B4-6E3F780C7B39}"/>
    <cellStyle name="60% - Accent1 25 4" xfId="19097" xr:uid="{B38DA55C-D6FB-41AD-A9F7-67ADAD4D4238}"/>
    <cellStyle name="60% - Accent1 25 4 2" xfId="49581" xr:uid="{AA5EEC9D-6D7B-4978-8193-39E29F616CBA}"/>
    <cellStyle name="60% - Accent1 25 5" xfId="49574" xr:uid="{7D60CF16-90AC-4710-BA07-CFD68C290DA3}"/>
    <cellStyle name="60% - Accent1 26" xfId="3699" xr:uid="{B167CF33-BE63-4F5B-B0DD-A4A0A0A11C4B}"/>
    <cellStyle name="60% - Accent1 26 2" xfId="7430" xr:uid="{07461892-2DE2-4E92-82BB-63C7E721B5D1}"/>
    <cellStyle name="60% - Accent1 26 2 2" xfId="15138" xr:uid="{8DB252D8-A5D0-4B21-AFA2-D74D00CC3077}"/>
    <cellStyle name="60% - Accent1 26 2 2 2" xfId="30550" xr:uid="{32320069-8B84-402D-9C39-E8582ED568EB}"/>
    <cellStyle name="60% - Accent1 26 2 2 2 2" xfId="49585" xr:uid="{AFAD7735-ACB6-431D-9874-5797D69C342F}"/>
    <cellStyle name="60% - Accent1 26 2 2 3" xfId="49584" xr:uid="{A308C127-57AE-4853-9CAC-91E4A03767F3}"/>
    <cellStyle name="60% - Accent1 26 2 3" xfId="22845" xr:uid="{F85F6E51-D8AE-4F69-B9F2-E250D296B6D7}"/>
    <cellStyle name="60% - Accent1 26 2 3 2" xfId="49586" xr:uid="{033D87EE-7031-40D6-9B85-478D388CCE0D}"/>
    <cellStyle name="60% - Accent1 26 2 4" xfId="49583" xr:uid="{686881BA-0929-43CF-AB0F-3FC0C1CD009E}"/>
    <cellStyle name="60% - Accent1 26 3" xfId="11409" xr:uid="{389AA933-AB47-4EFA-8542-E95F0BB0149B}"/>
    <cellStyle name="60% - Accent1 26 3 2" xfId="26822" xr:uid="{2B6C9EBA-0389-41E7-9579-1970195F37DB}"/>
    <cellStyle name="60% - Accent1 26 3 2 2" xfId="49588" xr:uid="{2B637270-5AB6-4604-9D08-B7B2E80A1C7B}"/>
    <cellStyle name="60% - Accent1 26 3 3" xfId="49587" xr:uid="{CB8D405A-DAD5-4459-8716-4D167526A14E}"/>
    <cellStyle name="60% - Accent1 26 4" xfId="19117" xr:uid="{1A59B6C6-AE09-4062-A6EE-02520B8121AE}"/>
    <cellStyle name="60% - Accent1 26 4 2" xfId="49589" xr:uid="{B7062D13-BB75-490A-983A-C5E65DEC5C62}"/>
    <cellStyle name="60% - Accent1 26 5" xfId="49582" xr:uid="{66FFA0D1-4BE6-4550-8275-1FA121D2B797}"/>
    <cellStyle name="60% - Accent1 27" xfId="3719" xr:uid="{23861AE6-6584-4259-94C9-1F070596C52F}"/>
    <cellStyle name="60% - Accent1 27 2" xfId="7450" xr:uid="{C5E47681-D865-43EE-9B7B-9D75F7EE6E6C}"/>
    <cellStyle name="60% - Accent1 27 2 2" xfId="15158" xr:uid="{1BA524F7-788F-4049-BD3C-9E19707B830E}"/>
    <cellStyle name="60% - Accent1 27 2 2 2" xfId="30570" xr:uid="{63843157-FD41-4848-9AC1-A3F17FB1FC66}"/>
    <cellStyle name="60% - Accent1 27 2 2 2 2" xfId="49593" xr:uid="{98BD37FD-D372-444F-AE92-66582E8E1B4E}"/>
    <cellStyle name="60% - Accent1 27 2 2 3" xfId="49592" xr:uid="{305DBD84-0DE3-4844-B05F-F91F4E913C46}"/>
    <cellStyle name="60% - Accent1 27 2 3" xfId="22865" xr:uid="{3553982A-B71F-4BA8-81BC-04DC1ED3C4AB}"/>
    <cellStyle name="60% - Accent1 27 2 3 2" xfId="49594" xr:uid="{E2A67529-15B6-4413-93C5-B6458412BAD7}"/>
    <cellStyle name="60% - Accent1 27 2 4" xfId="49591" xr:uid="{50F3F8AA-9EBE-40D9-B14B-9274A44C9F33}"/>
    <cellStyle name="60% - Accent1 27 3" xfId="11429" xr:uid="{F57DCCBD-6BD5-4009-9B49-BAEA6282044B}"/>
    <cellStyle name="60% - Accent1 27 3 2" xfId="26842" xr:uid="{D7AA63B8-30A8-4C67-95AD-5C5EDDD442E3}"/>
    <cellStyle name="60% - Accent1 27 3 2 2" xfId="49596" xr:uid="{0412DA47-5C5C-4DDF-AE38-EFF050DCB0E1}"/>
    <cellStyle name="60% - Accent1 27 3 3" xfId="49595" xr:uid="{F8458B8E-3CE6-4074-836B-E3B2114599C7}"/>
    <cellStyle name="60% - Accent1 27 4" xfId="19137" xr:uid="{07E0DFC0-9DD0-4503-9212-C7165BD97391}"/>
    <cellStyle name="60% - Accent1 27 4 2" xfId="49597" xr:uid="{D0F08299-28D4-46F1-97F7-4685967251D5}"/>
    <cellStyle name="60% - Accent1 27 5" xfId="49590" xr:uid="{336BFB6E-1493-4BE6-99BE-6C3B17E01D5A}"/>
    <cellStyle name="60% - Accent1 28" xfId="3739" xr:uid="{BFB88075-4B68-400B-8500-E43484819152}"/>
    <cellStyle name="60% - Accent1 28 2" xfId="7470" xr:uid="{65330C3D-EEAA-49FB-8849-55C3699FA43C}"/>
    <cellStyle name="60% - Accent1 28 2 2" xfId="15178" xr:uid="{65274986-72CE-433C-B797-D2681671126E}"/>
    <cellStyle name="60% - Accent1 28 2 2 2" xfId="30590" xr:uid="{46CC712A-8271-4B11-9491-271622B28228}"/>
    <cellStyle name="60% - Accent1 28 2 2 2 2" xfId="49601" xr:uid="{CF100B20-D9AE-4727-AA39-5DB48BD9DEA5}"/>
    <cellStyle name="60% - Accent1 28 2 2 3" xfId="49600" xr:uid="{FA2DF711-FB0B-4991-9DB9-4CC84880C04F}"/>
    <cellStyle name="60% - Accent1 28 2 3" xfId="22885" xr:uid="{AACE9EBE-8D11-43C2-8DD2-2355677B0B86}"/>
    <cellStyle name="60% - Accent1 28 2 3 2" xfId="49602" xr:uid="{355F655A-863A-4319-AB06-F77A2AC09559}"/>
    <cellStyle name="60% - Accent1 28 2 4" xfId="49599" xr:uid="{6C821F6E-960C-42C5-8BF1-FA03B26103C3}"/>
    <cellStyle name="60% - Accent1 28 3" xfId="11449" xr:uid="{C56E5066-4645-411B-A018-11AF7F21AFD2}"/>
    <cellStyle name="60% - Accent1 28 3 2" xfId="26862" xr:uid="{797F716B-E06C-478C-A666-86F8DC207B28}"/>
    <cellStyle name="60% - Accent1 28 3 2 2" xfId="49604" xr:uid="{BF11482D-EA86-48C7-A262-2E899AD6F65B}"/>
    <cellStyle name="60% - Accent1 28 3 3" xfId="49603" xr:uid="{BA930E14-B4EA-4A19-9556-F5518ECD1FD9}"/>
    <cellStyle name="60% - Accent1 28 4" xfId="19157" xr:uid="{575E7F35-BDE5-42B7-A475-78223F88C9D3}"/>
    <cellStyle name="60% - Accent1 28 4 2" xfId="49605" xr:uid="{241218F6-AA33-4139-A05F-F495AA48471A}"/>
    <cellStyle name="60% - Accent1 28 5" xfId="49598" xr:uid="{4A1CA7B5-FB00-4F7F-BC01-04FF79D85EF2}"/>
    <cellStyle name="60% - Accent1 29" xfId="3759" xr:uid="{14240A16-F9C8-4D4B-A6AB-8C637340868A}"/>
    <cellStyle name="60% - Accent1 29 2" xfId="7490" xr:uid="{D440D39F-D4BB-4BD9-9D65-DD86770C940C}"/>
    <cellStyle name="60% - Accent1 29 2 2" xfId="15198" xr:uid="{33692941-2387-492C-9653-123292E31BCE}"/>
    <cellStyle name="60% - Accent1 29 2 2 2" xfId="30610" xr:uid="{AD701BA6-6DFB-4D46-A3E7-627AAFEF6BA7}"/>
    <cellStyle name="60% - Accent1 29 2 2 2 2" xfId="49609" xr:uid="{3E69ECC6-70BF-4349-ABA4-B18DFE5F8080}"/>
    <cellStyle name="60% - Accent1 29 2 2 3" xfId="49608" xr:uid="{C2E9EBEE-3575-4818-84E4-F9D437D793B9}"/>
    <cellStyle name="60% - Accent1 29 2 3" xfId="22905" xr:uid="{346BE052-C37A-4416-A2B9-8FD0B40BB563}"/>
    <cellStyle name="60% - Accent1 29 2 3 2" xfId="49610" xr:uid="{8DE1ED83-C8F0-4BFB-8158-7F4F3E63B911}"/>
    <cellStyle name="60% - Accent1 29 2 4" xfId="49607" xr:uid="{56DFF0BC-57BF-4668-BA15-B87093C96320}"/>
    <cellStyle name="60% - Accent1 29 3" xfId="11469" xr:uid="{24BA220E-75A2-4276-965C-084233EC24FB}"/>
    <cellStyle name="60% - Accent1 29 3 2" xfId="26882" xr:uid="{1D48E6F8-55AC-47DB-BB03-C971802142BF}"/>
    <cellStyle name="60% - Accent1 29 3 2 2" xfId="49612" xr:uid="{D3566CBC-2186-49FA-AA50-9B56B8238944}"/>
    <cellStyle name="60% - Accent1 29 3 3" xfId="49611" xr:uid="{9080DBD2-82DA-4C4F-B8C2-72F1A7F9FBE6}"/>
    <cellStyle name="60% - Accent1 29 4" xfId="19177" xr:uid="{FDC0FD93-F449-4F0B-B2B2-75188B0EC2E8}"/>
    <cellStyle name="60% - Accent1 29 4 2" xfId="49613" xr:uid="{2647BCD5-1DF8-4DCB-845F-C2965489AA19}"/>
    <cellStyle name="60% - Accent1 29 5" xfId="49606" xr:uid="{7136E245-F5A9-48CE-BA27-2A3A428F7FA3}"/>
    <cellStyle name="60% - Accent1 3" xfId="223" xr:uid="{C00B754C-6D6B-4BD0-AF47-01AF87FC40B3}"/>
    <cellStyle name="60% - Accent1 3 2" xfId="426" xr:uid="{2336EC6B-D7C6-4F77-B177-5F1E030938B9}"/>
    <cellStyle name="60% - Accent1 3 2 2" xfId="1088" xr:uid="{CA8DD158-3EF4-4A93-8AB8-C0B9A0D0075A}"/>
    <cellStyle name="60% - Accent1 3 2 2 2" xfId="2556" xr:uid="{A477D61C-EEFC-485A-8DC9-B7071E8EF755}"/>
    <cellStyle name="60% - Accent1 3 2 2 2 2" xfId="6288" xr:uid="{0FC230CC-4A49-4C3C-ABA5-E2753A933738}"/>
    <cellStyle name="60% - Accent1 3 2 2 2 2 2" xfId="13996" xr:uid="{73C5FD21-B307-45B3-8B4F-B10F53245F1B}"/>
    <cellStyle name="60% - Accent1 3 2 2 2 2 2 2" xfId="29408" xr:uid="{C27BCED9-BAD2-416C-A6E1-069D647B54CE}"/>
    <cellStyle name="60% - Accent1 3 2 2 2 2 2 2 2" xfId="49620" xr:uid="{D0142A42-2A8C-490C-BEFD-066E3E1CDAD7}"/>
    <cellStyle name="60% - Accent1 3 2 2 2 2 2 3" xfId="49619" xr:uid="{F798A9E4-ECE5-4A0F-BF1F-4A5D4190CA86}"/>
    <cellStyle name="60% - Accent1 3 2 2 2 2 3" xfId="21703" xr:uid="{4D572EA7-1D36-47D3-B7CE-022D8F214FB2}"/>
    <cellStyle name="60% - Accent1 3 2 2 2 2 3 2" xfId="49621" xr:uid="{C25963B3-EA35-4FE1-8966-D4973395BE57}"/>
    <cellStyle name="60% - Accent1 3 2 2 2 2 4" xfId="49618" xr:uid="{63EA3AE9-D048-4FA0-99EA-1AFD56AED181}"/>
    <cellStyle name="60% - Accent1 3 2 2 2 3" xfId="10267" xr:uid="{EFC3ABAC-1CA8-4627-AE19-CECF91A704E2}"/>
    <cellStyle name="60% - Accent1 3 2 2 2 3 2" xfId="25680" xr:uid="{B220CA2B-B61D-44C1-A5A6-9403EBC1E5B3}"/>
    <cellStyle name="60% - Accent1 3 2 2 2 3 2 2" xfId="49623" xr:uid="{F4BFCD56-9A8A-4456-9C6F-EB3463D17F01}"/>
    <cellStyle name="60% - Accent1 3 2 2 2 3 3" xfId="49622" xr:uid="{4FD28C4C-815C-4059-8DAE-D40B927F35E9}"/>
    <cellStyle name="60% - Accent1 3 2 2 2 4" xfId="17975" xr:uid="{04AB9C4E-1EFC-4B65-A0F2-5B152AB35428}"/>
    <cellStyle name="60% - Accent1 3 2 2 2 4 2" xfId="49624" xr:uid="{63F80192-ABCD-4E49-A835-4A811A72640B}"/>
    <cellStyle name="60% - Accent1 3 2 2 2 5" xfId="49617" xr:uid="{AF348A44-8981-4C9A-BEEC-A78D928053FF}"/>
    <cellStyle name="60% - Accent1 3 2 2 3" xfId="4825" xr:uid="{28FA6F5A-1A5C-4180-BD86-7279DC5AE445}"/>
    <cellStyle name="60% - Accent1 3 2 2 3 2" xfId="12533" xr:uid="{6017EF03-A350-4FB2-A4F2-E67E212BC450}"/>
    <cellStyle name="60% - Accent1 3 2 2 3 2 2" xfId="27945" xr:uid="{FA94A18C-FCF3-4DAD-A5DC-9370A569335C}"/>
    <cellStyle name="60% - Accent1 3 2 2 3 2 2 2" xfId="49627" xr:uid="{5E415860-29B9-4770-AC45-EDCAF8D2A0E6}"/>
    <cellStyle name="60% - Accent1 3 2 2 3 2 3" xfId="49626" xr:uid="{27FB7484-4157-4D1E-9FD3-A60261989750}"/>
    <cellStyle name="60% - Accent1 3 2 2 3 3" xfId="20240" xr:uid="{9E4C229F-1D10-4BEF-BE1F-C7CB5541A0EA}"/>
    <cellStyle name="60% - Accent1 3 2 2 3 3 2" xfId="49628" xr:uid="{EC67B45F-9302-4F7F-9D4C-8084B5413EE7}"/>
    <cellStyle name="60% - Accent1 3 2 2 3 4" xfId="49625" xr:uid="{6E82D61C-50FC-41C2-B754-086AD2A77869}"/>
    <cellStyle name="60% - Accent1 3 2 2 4" xfId="8808" xr:uid="{9A50F36A-1CD3-405A-81BA-C52B8B05BAF4}"/>
    <cellStyle name="60% - Accent1 3 2 2 4 2" xfId="24221" xr:uid="{53000E2C-E38A-431C-9A0A-4AAA4131386A}"/>
    <cellStyle name="60% - Accent1 3 2 2 4 2 2" xfId="49630" xr:uid="{7B7C8AC5-4BCB-4395-9486-7FD70CEB1D52}"/>
    <cellStyle name="60% - Accent1 3 2 2 4 3" xfId="49629" xr:uid="{3A75F59B-DBB7-46D8-ABB3-30F610F44F44}"/>
    <cellStyle name="60% - Accent1 3 2 2 5" xfId="16516" xr:uid="{272FAB35-22E2-4DC6-8F4D-5D60447B81ED}"/>
    <cellStyle name="60% - Accent1 3 2 2 5 2" xfId="49631" xr:uid="{2EFFDA92-8488-4B4E-B3FB-81802F3FD1B1}"/>
    <cellStyle name="60% - Accent1 3 2 2 6" xfId="49616" xr:uid="{F1AD35CA-B0B0-4DB2-A7E5-AF928EDDEB93}"/>
    <cellStyle name="60% - Accent1 3 2 3" xfId="1918" xr:uid="{74CFD74E-DE96-47AC-93D9-FCB4EEC68901}"/>
    <cellStyle name="60% - Accent1 3 2 3 2" xfId="5650" xr:uid="{CF8C77B4-7741-4118-B7C5-A430FF85DC38}"/>
    <cellStyle name="60% - Accent1 3 2 3 2 2" xfId="13358" xr:uid="{8C02C29D-6719-4626-8E60-E8AB352883F8}"/>
    <cellStyle name="60% - Accent1 3 2 3 2 2 2" xfId="28770" xr:uid="{286B632F-2BDC-4B97-A37C-708ADC1D3ABD}"/>
    <cellStyle name="60% - Accent1 3 2 3 2 2 2 2" xfId="49635" xr:uid="{E938ECF0-BFAA-4595-81F4-C7D56CF09663}"/>
    <cellStyle name="60% - Accent1 3 2 3 2 2 3" xfId="49634" xr:uid="{69E2D2A8-FEDE-4656-B6A1-E60ED60BC7CE}"/>
    <cellStyle name="60% - Accent1 3 2 3 2 3" xfId="21065" xr:uid="{E1B93096-7031-4A8D-8A62-235968CF45F9}"/>
    <cellStyle name="60% - Accent1 3 2 3 2 3 2" xfId="49636" xr:uid="{B80658D9-9444-4BBD-8444-192A1CA67D71}"/>
    <cellStyle name="60% - Accent1 3 2 3 2 4" xfId="49633" xr:uid="{1C7A3DBF-5AB7-4BAC-96E2-D6CE8F6EE7EA}"/>
    <cellStyle name="60% - Accent1 3 2 3 3" xfId="9629" xr:uid="{78B06845-980C-430A-874F-C0323CFF8AEF}"/>
    <cellStyle name="60% - Accent1 3 2 3 3 2" xfId="25042" xr:uid="{1AB1DF02-B698-440C-8527-E4EC25BADF34}"/>
    <cellStyle name="60% - Accent1 3 2 3 3 2 2" xfId="49638" xr:uid="{6F6CE6DC-4615-447B-8990-89D800ECEB61}"/>
    <cellStyle name="60% - Accent1 3 2 3 3 3" xfId="49637" xr:uid="{A7938FAF-264D-41CF-A32B-EB9BC7332E74}"/>
    <cellStyle name="60% - Accent1 3 2 3 4" xfId="17337" xr:uid="{DA95AAA7-481A-45CC-B8F4-45AEE8C7F56D}"/>
    <cellStyle name="60% - Accent1 3 2 3 4 2" xfId="49639" xr:uid="{E0E9F497-1574-4F40-BABF-0204B488C332}"/>
    <cellStyle name="60% - Accent1 3 2 3 5" xfId="49632" xr:uid="{14D6C34D-AE91-4A3B-91EA-268E3ACEECF7}"/>
    <cellStyle name="60% - Accent1 3 2 4" xfId="4173" xr:uid="{1612B0B5-91A3-423D-A8BD-19EF9AAB3624}"/>
    <cellStyle name="60% - Accent1 3 2 4 2" xfId="11881" xr:uid="{8E92DD7E-EBEA-4295-B193-210B474B2245}"/>
    <cellStyle name="60% - Accent1 3 2 4 2 2" xfId="27293" xr:uid="{4AD47D3A-53B1-4DE6-A7F8-968FE5B06C32}"/>
    <cellStyle name="60% - Accent1 3 2 4 2 2 2" xfId="49642" xr:uid="{D5BDAB82-BE99-4D68-8809-09CD22BFD9D5}"/>
    <cellStyle name="60% - Accent1 3 2 4 2 3" xfId="49641" xr:uid="{982E6311-04AA-4A2B-BD63-367A5740F5DC}"/>
    <cellStyle name="60% - Accent1 3 2 4 3" xfId="19588" xr:uid="{970009BF-B75C-4CC0-BAB3-DF243DF3054F}"/>
    <cellStyle name="60% - Accent1 3 2 4 3 2" xfId="49643" xr:uid="{F733BB54-CED2-4197-BB25-EC51B6C2A03B}"/>
    <cellStyle name="60% - Accent1 3 2 4 4" xfId="49640" xr:uid="{A48770EB-4E14-4E16-837E-41730F266B52}"/>
    <cellStyle name="60% - Accent1 3 2 5" xfId="8170" xr:uid="{B5947D1B-DBA3-4714-AD63-B1D4AEA40CEC}"/>
    <cellStyle name="60% - Accent1 3 2 5 2" xfId="23583" xr:uid="{5ACF94EC-8783-480E-8ED3-2EBE43411BA1}"/>
    <cellStyle name="60% - Accent1 3 2 5 2 2" xfId="49645" xr:uid="{21FA1353-40CF-448A-9448-9875B24AF85F}"/>
    <cellStyle name="60% - Accent1 3 2 5 3" xfId="49644" xr:uid="{AB5854FD-9243-495F-9DB0-EA64D026615C}"/>
    <cellStyle name="60% - Accent1 3 2 6" xfId="15878" xr:uid="{840E177D-ACDF-4317-8BC9-1FB6F8DD0177}"/>
    <cellStyle name="60% - Accent1 3 2 6 2" xfId="49646" xr:uid="{BD9EC6AB-EEE0-429E-BED5-51391CA9612A}"/>
    <cellStyle name="60% - Accent1 3 2 7" xfId="49615" xr:uid="{5390E8E3-9338-430E-88A7-8949E32977CB}"/>
    <cellStyle name="60% - Accent1 3 3" xfId="888" xr:uid="{2BCE48ED-66CE-43CB-912C-B3A373C289BC}"/>
    <cellStyle name="60% - Accent1 3 3 2" xfId="2358" xr:uid="{31C6C081-35DC-49C4-8F3B-26990C599DDF}"/>
    <cellStyle name="60% - Accent1 3 3 2 2" xfId="6090" xr:uid="{5F47FAA6-7559-4381-86FF-E9959051992F}"/>
    <cellStyle name="60% - Accent1 3 3 2 2 2" xfId="13798" xr:uid="{C8CEDBAC-EA8E-478B-97B8-31B645C16693}"/>
    <cellStyle name="60% - Accent1 3 3 2 2 2 2" xfId="29210" xr:uid="{6499E907-F4F6-4C21-9C31-6D9FFF1FB444}"/>
    <cellStyle name="60% - Accent1 3 3 2 2 2 2 2" xfId="49651" xr:uid="{5D73CEC9-0674-4C0F-91F7-F4E22E5297C5}"/>
    <cellStyle name="60% - Accent1 3 3 2 2 2 3" xfId="49650" xr:uid="{77200177-A218-42CE-BD19-EE341CD5A7F4}"/>
    <cellStyle name="60% - Accent1 3 3 2 2 3" xfId="21505" xr:uid="{676EDB0A-6F99-4012-93F0-4C9BAB9FC745}"/>
    <cellStyle name="60% - Accent1 3 3 2 2 3 2" xfId="49652" xr:uid="{0E8DF10D-250D-41B8-8310-92DF4158C098}"/>
    <cellStyle name="60% - Accent1 3 3 2 2 4" xfId="49649" xr:uid="{BD7A1F1D-98AA-4CF7-8F26-7C0A3AAFC12E}"/>
    <cellStyle name="60% - Accent1 3 3 2 3" xfId="10069" xr:uid="{72748235-46A9-4F53-95F1-D023C4BB41E4}"/>
    <cellStyle name="60% - Accent1 3 3 2 3 2" xfId="25482" xr:uid="{09585C96-9EFC-4EF9-9FA0-3D3E1A37A352}"/>
    <cellStyle name="60% - Accent1 3 3 2 3 2 2" xfId="49654" xr:uid="{AFE1EB6B-0832-4EA4-BE96-C46BCCDEE3F2}"/>
    <cellStyle name="60% - Accent1 3 3 2 3 3" xfId="49653" xr:uid="{37951BCA-F69B-4402-B448-8BE132D5348F}"/>
    <cellStyle name="60% - Accent1 3 3 2 4" xfId="17777" xr:uid="{45BE7685-8C1A-490B-9924-DCBA143C6A05}"/>
    <cellStyle name="60% - Accent1 3 3 2 4 2" xfId="49655" xr:uid="{78D0E1AD-D1F2-4192-B48E-0B5D0B97E4D1}"/>
    <cellStyle name="60% - Accent1 3 3 2 5" xfId="49648" xr:uid="{50826BA4-F4FC-4D83-96B4-B05250FED230}"/>
    <cellStyle name="60% - Accent1 3 3 3" xfId="4625" xr:uid="{6BED755E-9F07-4E05-A159-33941181BEA2}"/>
    <cellStyle name="60% - Accent1 3 3 3 2" xfId="12333" xr:uid="{146BD4BF-7B9D-4494-8E48-B90A0481B1AD}"/>
    <cellStyle name="60% - Accent1 3 3 3 2 2" xfId="27745" xr:uid="{F4B6BEFA-07C4-4A77-A32A-0747E292519D}"/>
    <cellStyle name="60% - Accent1 3 3 3 2 2 2" xfId="49658" xr:uid="{4A519D77-AA58-46BA-BCDA-6FF9E010AEAB}"/>
    <cellStyle name="60% - Accent1 3 3 3 2 3" xfId="49657" xr:uid="{98F9E648-F35A-4B0C-8F80-80B217F6CB31}"/>
    <cellStyle name="60% - Accent1 3 3 3 3" xfId="20040" xr:uid="{930B3B5B-36B6-4CDC-BC4E-D60DFC4F8ABD}"/>
    <cellStyle name="60% - Accent1 3 3 3 3 2" xfId="49659" xr:uid="{47EB121B-CC79-4FE9-A19B-1258C9F91894}"/>
    <cellStyle name="60% - Accent1 3 3 3 4" xfId="49656" xr:uid="{0156056D-4FFA-4FA5-A8CF-7D74007E060D}"/>
    <cellStyle name="60% - Accent1 3 3 4" xfId="8610" xr:uid="{269933AC-CF68-4276-97A0-B3A7950F3E30}"/>
    <cellStyle name="60% - Accent1 3 3 4 2" xfId="24023" xr:uid="{0B2639AB-D001-4420-80BD-3D8CEF1E5D49}"/>
    <cellStyle name="60% - Accent1 3 3 4 2 2" xfId="49661" xr:uid="{62B4EF50-6457-4E74-ABE2-2C61921E2596}"/>
    <cellStyle name="60% - Accent1 3 3 4 3" xfId="49660" xr:uid="{54476496-33DC-4027-9278-E40BAE797254}"/>
    <cellStyle name="60% - Accent1 3 3 5" xfId="16318" xr:uid="{D65CAF98-43B4-4A05-B9C8-23FE460551EB}"/>
    <cellStyle name="60% - Accent1 3 3 5 2" xfId="49662" xr:uid="{1360DEF7-E4B2-4B45-87B6-26E9CFEC7DF7}"/>
    <cellStyle name="60% - Accent1 3 3 6" xfId="49647" xr:uid="{37C323E4-B33F-4206-B202-FF8A2EDE937E}"/>
    <cellStyle name="60% - Accent1 3 4" xfId="1720" xr:uid="{A23461E5-9D72-4C2A-8CFB-A906757A54A6}"/>
    <cellStyle name="60% - Accent1 3 4 2" xfId="5452" xr:uid="{5C7F29E4-BDA3-4691-93F1-0AD8D2B988D4}"/>
    <cellStyle name="60% - Accent1 3 4 2 2" xfId="13160" xr:uid="{A78A1823-89E6-4DE6-9CB1-6440F7772089}"/>
    <cellStyle name="60% - Accent1 3 4 2 2 2" xfId="28572" xr:uid="{86B2AE37-29EF-49CD-BCCF-AF46EA492945}"/>
    <cellStyle name="60% - Accent1 3 4 2 2 2 2" xfId="49666" xr:uid="{245309E5-F5D8-4F01-936C-0DF402C4AE29}"/>
    <cellStyle name="60% - Accent1 3 4 2 2 3" xfId="49665" xr:uid="{4B320EC9-70D7-4970-962A-D77FA155E8F1}"/>
    <cellStyle name="60% - Accent1 3 4 2 3" xfId="20867" xr:uid="{1C58D23F-A5DA-47EC-86D0-6B57A2CCCF4B}"/>
    <cellStyle name="60% - Accent1 3 4 2 3 2" xfId="49667" xr:uid="{E2B6C17A-FB29-44A3-8139-3A8B3375D612}"/>
    <cellStyle name="60% - Accent1 3 4 2 4" xfId="49664" xr:uid="{94F0A9F1-FF1D-4276-89A4-580C1BF8D993}"/>
    <cellStyle name="60% - Accent1 3 4 3" xfId="9431" xr:uid="{B17075BE-CB0C-43F2-8FE7-55C2DC41BC94}"/>
    <cellStyle name="60% - Accent1 3 4 3 2" xfId="24844" xr:uid="{6588B86E-4FDE-4C2C-951A-1FF98796F21F}"/>
    <cellStyle name="60% - Accent1 3 4 3 2 2" xfId="49669" xr:uid="{9ADF16AC-6A0E-4AE6-A26A-D3B4122E804A}"/>
    <cellStyle name="60% - Accent1 3 4 3 3" xfId="49668" xr:uid="{68ED3F65-AC7B-49B1-BB9E-CC1862F52CC0}"/>
    <cellStyle name="60% - Accent1 3 4 4" xfId="17139" xr:uid="{3893EFC6-5472-4393-94F3-FB2890427D3E}"/>
    <cellStyle name="60% - Accent1 3 4 4 2" xfId="49670" xr:uid="{E1DE8A1A-9AE3-4914-B34A-4BB76BB2BB7C}"/>
    <cellStyle name="60% - Accent1 3 4 5" xfId="49663" xr:uid="{6C6F28E4-AC91-4247-B318-274CEE380C2D}"/>
    <cellStyle name="60% - Accent1 3 5" xfId="3973" xr:uid="{2831B134-4374-445A-A581-61EB97E9BD22}"/>
    <cellStyle name="60% - Accent1 3 5 2" xfId="11681" xr:uid="{7336927F-F5BD-4EB4-902F-888232520484}"/>
    <cellStyle name="60% - Accent1 3 5 2 2" xfId="27093" xr:uid="{6DA9304D-9E78-4CFD-8B1F-DCBC00E3D658}"/>
    <cellStyle name="60% - Accent1 3 5 2 2 2" xfId="49673" xr:uid="{60287F33-BDD3-4432-82DA-4351EE8719A0}"/>
    <cellStyle name="60% - Accent1 3 5 2 3" xfId="49672" xr:uid="{82CEC4B5-165C-4FC0-B9A6-909D47159C59}"/>
    <cellStyle name="60% - Accent1 3 5 3" xfId="19388" xr:uid="{D83C8653-8DF7-4131-A16A-F9C1E0749A4F}"/>
    <cellStyle name="60% - Accent1 3 5 3 2" xfId="49674" xr:uid="{93AFEFCD-4DFF-4C43-B60E-E5DE8665D8FB}"/>
    <cellStyle name="60% - Accent1 3 5 4" xfId="49671" xr:uid="{DB882CE6-16EE-451A-8B27-2276A97EF9D4}"/>
    <cellStyle name="60% - Accent1 3 6" xfId="7972" xr:uid="{21875771-277E-4C69-8D77-28F26963E959}"/>
    <cellStyle name="60% - Accent1 3 6 2" xfId="23385" xr:uid="{C8EDA67C-7DAC-4C53-918E-788C05197A77}"/>
    <cellStyle name="60% - Accent1 3 6 2 2" xfId="49676" xr:uid="{A728E9F4-AFDA-462A-A8A5-3D7E71D9356B}"/>
    <cellStyle name="60% - Accent1 3 6 3" xfId="49675" xr:uid="{C98221C2-633D-4537-AB02-18B9BAE6027A}"/>
    <cellStyle name="60% - Accent1 3 7" xfId="15680" xr:uid="{2C323270-F5C7-411D-A8A9-D3017739FBBE}"/>
    <cellStyle name="60% - Accent1 3 7 2" xfId="49677" xr:uid="{743BB326-BAA5-4881-B895-0596A2237BF0}"/>
    <cellStyle name="60% - Accent1 3 8" xfId="49614" xr:uid="{150C370F-5A24-4C24-ACD2-F04186DC6C34}"/>
    <cellStyle name="60% - Accent1 30" xfId="3779" xr:uid="{B250DA3D-4366-4BCD-AE01-F97782598137}"/>
    <cellStyle name="60% - Accent1 30 2" xfId="7510" xr:uid="{C712F96D-99A7-4C6D-BCA2-F4EE367548AB}"/>
    <cellStyle name="60% - Accent1 30 2 2" xfId="15218" xr:uid="{E8530558-9A57-4F25-8DD1-EA23D6CAB6BE}"/>
    <cellStyle name="60% - Accent1 30 2 2 2" xfId="30630" xr:uid="{FED2EE40-E4EC-44B9-9C65-198BB2A3726D}"/>
    <cellStyle name="60% - Accent1 30 2 2 2 2" xfId="49681" xr:uid="{CE710633-D444-47DA-8B7D-7ABB3530893B}"/>
    <cellStyle name="60% - Accent1 30 2 2 3" xfId="49680" xr:uid="{B310D866-080E-4BA9-A2B9-78B02B9085AB}"/>
    <cellStyle name="60% - Accent1 30 2 3" xfId="22925" xr:uid="{8375B5FC-EDCB-4153-8D4D-07E539CF8CD5}"/>
    <cellStyle name="60% - Accent1 30 2 3 2" xfId="49682" xr:uid="{428F55EE-C660-439D-89B7-7862A13F14CF}"/>
    <cellStyle name="60% - Accent1 30 2 4" xfId="49679" xr:uid="{E15FCD76-0888-4670-A82F-36DCE08C3BBA}"/>
    <cellStyle name="60% - Accent1 30 3" xfId="11489" xr:uid="{983F7CDD-463B-46DE-99AC-0123B4371F80}"/>
    <cellStyle name="60% - Accent1 30 3 2" xfId="26902" xr:uid="{7AEBCC34-7C65-43E1-953E-6F74E8D98999}"/>
    <cellStyle name="60% - Accent1 30 3 2 2" xfId="49684" xr:uid="{8F60FEF0-9D77-4712-AA02-329AEC078917}"/>
    <cellStyle name="60% - Accent1 30 3 3" xfId="49683" xr:uid="{254A2D30-32ED-4E28-A79E-1E9853C478F8}"/>
    <cellStyle name="60% - Accent1 30 4" xfId="19197" xr:uid="{9731AA6E-5E51-4FB5-8BCF-FB77A4A6EE86}"/>
    <cellStyle name="60% - Accent1 30 4 2" xfId="49685" xr:uid="{C056CE18-D253-49A6-9EC0-2C4C38BB59D1}"/>
    <cellStyle name="60% - Accent1 30 5" xfId="49678" xr:uid="{9FDA2743-1EF7-4EF7-8B8B-19D68378A963}"/>
    <cellStyle name="60% - Accent1 31" xfId="3799" xr:uid="{DB8EA6C3-1836-45ED-8600-B86652DBF688}"/>
    <cellStyle name="60% - Accent1 31 2" xfId="7530" xr:uid="{422988F8-7C0B-47BB-A15A-1C9C344EFF65}"/>
    <cellStyle name="60% - Accent1 31 2 2" xfId="15238" xr:uid="{755C8002-DA2E-40BF-A3D1-888A2E203981}"/>
    <cellStyle name="60% - Accent1 31 2 2 2" xfId="30650" xr:uid="{07978261-7657-4E5E-8FED-FD4FA0431895}"/>
    <cellStyle name="60% - Accent1 31 2 2 2 2" xfId="49689" xr:uid="{4BA80E2C-5E04-47ED-9BCF-9ED9198F5C2E}"/>
    <cellStyle name="60% - Accent1 31 2 2 3" xfId="49688" xr:uid="{200137A9-400C-49C9-BC7F-CF0A8BC60E28}"/>
    <cellStyle name="60% - Accent1 31 2 3" xfId="22945" xr:uid="{C8DECA1A-9412-4ABA-9E57-AFBFFFE4E26A}"/>
    <cellStyle name="60% - Accent1 31 2 3 2" xfId="49690" xr:uid="{96CCE262-EB25-4AE5-8873-770A20C0047B}"/>
    <cellStyle name="60% - Accent1 31 2 4" xfId="49687" xr:uid="{BE0149BE-8828-4D2D-85A4-886FF2400403}"/>
    <cellStyle name="60% - Accent1 31 3" xfId="11509" xr:uid="{C2912B97-CBE8-4020-B550-B2C59E883016}"/>
    <cellStyle name="60% - Accent1 31 3 2" xfId="26922" xr:uid="{A7DE7836-2FDD-47AB-AA57-CCF70EF1888D}"/>
    <cellStyle name="60% - Accent1 31 3 2 2" xfId="49692" xr:uid="{75BF9E5F-9446-4A49-BD86-6176C58A7F1E}"/>
    <cellStyle name="60% - Accent1 31 3 3" xfId="49691" xr:uid="{8640EF1E-2F36-4EEF-AEDF-2271C72B66D6}"/>
    <cellStyle name="60% - Accent1 31 4" xfId="19217" xr:uid="{666333F0-97D3-42B2-AB2D-8741F23E7443}"/>
    <cellStyle name="60% - Accent1 31 4 2" xfId="49693" xr:uid="{44094F6F-FCC3-4432-B028-7E5C4BE13BBC}"/>
    <cellStyle name="60% - Accent1 31 5" xfId="49686" xr:uid="{10BE37C4-AD36-4434-A44B-111F21630E71}"/>
    <cellStyle name="60% - Accent1 32" xfId="3819" xr:uid="{9237F9B4-AB2F-46BB-A4CF-3285DEC57AF6}"/>
    <cellStyle name="60% - Accent1 32 2" xfId="7550" xr:uid="{3D98A3CD-FB49-4769-8964-569A26318A39}"/>
    <cellStyle name="60% - Accent1 32 2 2" xfId="15258" xr:uid="{D1185166-B4AA-4C89-AEE3-54A4DA892876}"/>
    <cellStyle name="60% - Accent1 32 2 2 2" xfId="30670" xr:uid="{7486913F-BBE2-43C5-A739-C3A52DD90E7F}"/>
    <cellStyle name="60% - Accent1 32 2 2 2 2" xfId="49697" xr:uid="{8C9586BB-4F69-4F51-9B1C-643D808F35B3}"/>
    <cellStyle name="60% - Accent1 32 2 2 3" xfId="49696" xr:uid="{AA0A6F57-06AA-479D-9E20-D5EBEDDEBD4B}"/>
    <cellStyle name="60% - Accent1 32 2 3" xfId="22965" xr:uid="{538B2C42-BA55-4CF7-A30B-77729421C63A}"/>
    <cellStyle name="60% - Accent1 32 2 3 2" xfId="49698" xr:uid="{F8727513-5240-4F62-915A-BA19EA37A282}"/>
    <cellStyle name="60% - Accent1 32 2 4" xfId="49695" xr:uid="{77640240-43DE-489D-8487-EC9C14FC038B}"/>
    <cellStyle name="60% - Accent1 32 3" xfId="11529" xr:uid="{602A7B37-E21F-4E91-A084-D29AFDC71B08}"/>
    <cellStyle name="60% - Accent1 32 3 2" xfId="26942" xr:uid="{F8C940B1-1569-43FA-A996-542B974B566A}"/>
    <cellStyle name="60% - Accent1 32 3 2 2" xfId="49700" xr:uid="{0859508C-696C-4237-ABF9-4B6A9F9AD179}"/>
    <cellStyle name="60% - Accent1 32 3 3" xfId="49699" xr:uid="{D61489F9-0804-4F64-9BAB-5A9A38AF8993}"/>
    <cellStyle name="60% - Accent1 32 4" xfId="19237" xr:uid="{CB9DECE0-084A-4010-91A2-192151904132}"/>
    <cellStyle name="60% - Accent1 32 4 2" xfId="49701" xr:uid="{07B6989F-1214-4507-88B0-14CDE7528DC8}"/>
    <cellStyle name="60% - Accent1 32 5" xfId="49694" xr:uid="{8A84E009-C5BA-4FF9-B9D8-E88581E51D2A}"/>
    <cellStyle name="60% - Accent1 33" xfId="3840" xr:uid="{3CE282E0-04AB-4E7A-9704-B5FF8B3B747B}"/>
    <cellStyle name="60% - Accent1 33 2" xfId="7570" xr:uid="{E4630B33-2E26-49EC-8442-A29E6DC77A22}"/>
    <cellStyle name="60% - Accent1 33 2 2" xfId="15278" xr:uid="{2DEE02CC-58F0-414D-824B-F73BC087E677}"/>
    <cellStyle name="60% - Accent1 33 2 2 2" xfId="30690" xr:uid="{723FFC1C-7FAD-45DF-99E6-A240470D0D48}"/>
    <cellStyle name="60% - Accent1 33 2 2 2 2" xfId="49705" xr:uid="{78426C68-41AD-4471-B9C4-74A069C70DA0}"/>
    <cellStyle name="60% - Accent1 33 2 2 3" xfId="49704" xr:uid="{234AC867-A9DB-4CAD-A744-90D986146DEA}"/>
    <cellStyle name="60% - Accent1 33 2 3" xfId="22985" xr:uid="{1602472F-3FAB-409D-8543-324AA52794C2}"/>
    <cellStyle name="60% - Accent1 33 2 3 2" xfId="49706" xr:uid="{129315F7-C326-4B23-AFF7-2CAE47C91B28}"/>
    <cellStyle name="60% - Accent1 33 2 4" xfId="49703" xr:uid="{DD66908C-2194-4F3D-B6D1-0570BB6FE7B4}"/>
    <cellStyle name="60% - Accent1 33 3" xfId="11550" xr:uid="{8A99104E-1922-4357-AF7F-D90A366F9575}"/>
    <cellStyle name="60% - Accent1 33 3 2" xfId="26962" xr:uid="{B8574560-4B59-4A0F-9097-938B562FCFC1}"/>
    <cellStyle name="60% - Accent1 33 3 2 2" xfId="49708" xr:uid="{089B80AD-4493-4D2D-900F-E6DE726513C8}"/>
    <cellStyle name="60% - Accent1 33 3 3" xfId="49707" xr:uid="{0C716835-77A6-46AE-976F-A0C9AF7DA808}"/>
    <cellStyle name="60% - Accent1 33 4" xfId="19257" xr:uid="{34D65CE0-0528-4FE6-9CC0-28BCCC28D421}"/>
    <cellStyle name="60% - Accent1 33 4 2" xfId="49709" xr:uid="{AA58F5EC-0B2B-4747-A6F7-0E9839985908}"/>
    <cellStyle name="60% - Accent1 33 5" xfId="49702" xr:uid="{0E1B1D12-A938-4010-ABD2-EF38DF07D9D2}"/>
    <cellStyle name="60% - Accent1 34" xfId="3859" xr:uid="{289F170D-90CC-45B3-9E7B-3EACC49D9C52}"/>
    <cellStyle name="60% - Accent1 34 2" xfId="11569" xr:uid="{EEBA568A-E83B-4400-B218-578B19F38309}"/>
    <cellStyle name="60% - Accent1 34 2 2" xfId="26981" xr:uid="{4171616F-2D92-4943-B687-4E7973564550}"/>
    <cellStyle name="60% - Accent1 34 2 2 2" xfId="49712" xr:uid="{515D1485-AAB9-4E21-86E2-42F1F546588B}"/>
    <cellStyle name="60% - Accent1 34 2 3" xfId="49711" xr:uid="{034E876E-E5C5-44DD-87BF-040011B9B140}"/>
    <cellStyle name="60% - Accent1 34 3" xfId="19276" xr:uid="{E66A249A-49E6-47D0-87BC-724F12061870}"/>
    <cellStyle name="60% - Accent1 34 3 2" xfId="49713" xr:uid="{F424A58C-EB90-4B72-A4F2-BCEC187CFB2C}"/>
    <cellStyle name="60% - Accent1 34 4" xfId="49710" xr:uid="{85D01F08-B26C-43E1-A767-90F0A8BD4786}"/>
    <cellStyle name="60% - Accent1 35" xfId="7590" xr:uid="{50797D1B-2003-43FC-A22D-F8BA71E88FE0}"/>
    <cellStyle name="60% - Accent1 35 2" xfId="15298" xr:uid="{426D7769-E2AA-48B8-8E49-F5EFC3D94525}"/>
    <cellStyle name="60% - Accent1 35 2 2" xfId="30710" xr:uid="{B5587D08-A3ED-470A-8A61-341F1179CBAA}"/>
    <cellStyle name="60% - Accent1 35 2 2 2" xfId="49716" xr:uid="{7BF67F54-820B-4352-A5F2-5C27B89C7899}"/>
    <cellStyle name="60% - Accent1 35 2 3" xfId="49715" xr:uid="{01CD8E1C-0709-4626-B1BF-FFAC59AF03F1}"/>
    <cellStyle name="60% - Accent1 35 3" xfId="23005" xr:uid="{92F990B7-D770-49F1-9A23-7BB4D8212A1D}"/>
    <cellStyle name="60% - Accent1 35 3 2" xfId="49717" xr:uid="{00F464A7-93B6-4B1D-BE04-6DC4914DDF03}"/>
    <cellStyle name="60% - Accent1 35 4" xfId="49714" xr:uid="{E37EA995-156D-4A44-A42A-8BE5A11ADEA5}"/>
    <cellStyle name="60% - Accent1 36" xfId="7610" xr:uid="{7D564A06-421D-4FE4-931F-D68F62C1EBCB}"/>
    <cellStyle name="60% - Accent1 36 2" xfId="15318" xr:uid="{3EB53F5D-6718-4F75-932A-FCEC7532F6B5}"/>
    <cellStyle name="60% - Accent1 36 2 2" xfId="30730" xr:uid="{C5B4F123-7772-4660-86ED-9FDFCB559F54}"/>
    <cellStyle name="60% - Accent1 36 2 2 2" xfId="49720" xr:uid="{883F5762-8004-43AD-A044-2349656ED80D}"/>
    <cellStyle name="60% - Accent1 36 2 3" xfId="49719" xr:uid="{28EA054C-05D9-4C26-93E3-54E5053DA5CE}"/>
    <cellStyle name="60% - Accent1 36 3" xfId="23025" xr:uid="{32885496-4A76-4A56-B5CB-707952F9E224}"/>
    <cellStyle name="60% - Accent1 36 3 2" xfId="49721" xr:uid="{1B439388-134C-43FE-9E5F-3322C7DC2C56}"/>
    <cellStyle name="60% - Accent1 36 4" xfId="49718" xr:uid="{96331AED-2F5B-45B3-BAA3-5DC28494510B}"/>
    <cellStyle name="60% - Accent1 37" xfId="7630" xr:uid="{9C48991D-79EC-4087-BBB5-DDBFDCFE57FF}"/>
    <cellStyle name="60% - Accent1 37 2" xfId="15338" xr:uid="{4B5136A4-8DA8-4423-B260-84752626A4B6}"/>
    <cellStyle name="60% - Accent1 37 2 2" xfId="30750" xr:uid="{8DF3D219-6108-4F7B-B540-D6852B8C0C69}"/>
    <cellStyle name="60% - Accent1 37 2 2 2" xfId="49724" xr:uid="{52D21808-E856-4590-BD46-3099E04F0582}"/>
    <cellStyle name="60% - Accent1 37 2 3" xfId="49723" xr:uid="{B249B5A5-7CF0-4B7C-9C6E-F3A65935461D}"/>
    <cellStyle name="60% - Accent1 37 3" xfId="23045" xr:uid="{B90A4EC5-8247-4C7C-99EA-2C8B902AE6A0}"/>
    <cellStyle name="60% - Accent1 37 3 2" xfId="49725" xr:uid="{E8125662-225F-417E-8EDD-FEFBD4181AE4}"/>
    <cellStyle name="60% - Accent1 37 4" xfId="49722" xr:uid="{90FECD81-1B56-4F88-9D26-0A6A622D312B}"/>
    <cellStyle name="60% - Accent1 38" xfId="7650" xr:uid="{98756B9E-3F97-4A2A-8D5B-171FBED2AB0D}"/>
    <cellStyle name="60% - Accent1 38 2" xfId="15358" xr:uid="{69F50D12-58EF-462F-ACF5-86FEC26E810E}"/>
    <cellStyle name="60% - Accent1 38 2 2" xfId="30770" xr:uid="{DE17ADD4-855B-4B40-85AD-D4B30131A88F}"/>
    <cellStyle name="60% - Accent1 38 2 2 2" xfId="49728" xr:uid="{85EB3AFE-ABCE-4845-BA05-C0CB99071F66}"/>
    <cellStyle name="60% - Accent1 38 2 3" xfId="49727" xr:uid="{37556B46-359B-4080-8E9B-15CD04D72911}"/>
    <cellStyle name="60% - Accent1 38 3" xfId="23065" xr:uid="{812BCBC5-840D-4224-A8DD-3CB2BDA02570}"/>
    <cellStyle name="60% - Accent1 38 3 2" xfId="49729" xr:uid="{3D0AE7C4-0064-4942-8A5A-8B9CF6B9725D}"/>
    <cellStyle name="60% - Accent1 38 4" xfId="49726" xr:uid="{222E93D9-7D09-46AE-A64E-934F7DA08DA0}"/>
    <cellStyle name="60% - Accent1 39" xfId="7670" xr:uid="{9AFA7146-A62C-4B24-8358-20E25B91017F}"/>
    <cellStyle name="60% - Accent1 39 2" xfId="15378" xr:uid="{F31F652C-D255-4683-B759-5CEBFCE386C6}"/>
    <cellStyle name="60% - Accent1 39 2 2" xfId="30790" xr:uid="{5B0EABA0-AEF6-4918-A580-62946297E689}"/>
    <cellStyle name="60% - Accent1 39 2 2 2" xfId="49732" xr:uid="{9C877E21-C8B7-45A3-97C2-A268523690C3}"/>
    <cellStyle name="60% - Accent1 39 2 3" xfId="49731" xr:uid="{44A9E93D-F381-41FB-AEA5-7AE3CE0324FF}"/>
    <cellStyle name="60% - Accent1 39 3" xfId="23085" xr:uid="{B850846B-4EDE-4865-80C0-8C69A006DD2A}"/>
    <cellStyle name="60% - Accent1 39 3 2" xfId="49733" xr:uid="{25A041AF-05C6-40B2-98CF-F2F2A54BBF73}"/>
    <cellStyle name="60% - Accent1 39 4" xfId="49730" xr:uid="{912E42B2-5A52-4606-AC9E-ABEDE9B0ADDF}"/>
    <cellStyle name="60% - Accent1 4" xfId="322" xr:uid="{A1CC735F-E1B7-4B76-BA90-7469B8600401}"/>
    <cellStyle name="60% - Accent1 4 2" xfId="986" xr:uid="{48A5A3E4-D296-4CF9-B560-CA013B38B15A}"/>
    <cellStyle name="60% - Accent1 4 2 2" xfId="2456" xr:uid="{D424BFB0-4C80-44B5-919D-FF291D934AAC}"/>
    <cellStyle name="60% - Accent1 4 2 2 2" xfId="6188" xr:uid="{63526E54-1039-4EC5-ABF6-2BAB74F21716}"/>
    <cellStyle name="60% - Accent1 4 2 2 2 2" xfId="13896" xr:uid="{B19B75EE-C6E2-46AE-B38B-13BBC4FCB12C}"/>
    <cellStyle name="60% - Accent1 4 2 2 2 2 2" xfId="29308" xr:uid="{38D4D6C6-0585-4EEC-8B5B-D94C99F0E1E8}"/>
    <cellStyle name="60% - Accent1 4 2 2 2 2 2 2" xfId="49739" xr:uid="{B7980948-F3DC-4CB1-801F-F04E0804704A}"/>
    <cellStyle name="60% - Accent1 4 2 2 2 2 3" xfId="49738" xr:uid="{54C4DE71-1A0D-460D-B396-FBC319B69F40}"/>
    <cellStyle name="60% - Accent1 4 2 2 2 3" xfId="21603" xr:uid="{7859EF99-8B9B-4164-B2B6-520596E42705}"/>
    <cellStyle name="60% - Accent1 4 2 2 2 3 2" xfId="49740" xr:uid="{0AFF8655-C641-415E-BD15-C6402484437C}"/>
    <cellStyle name="60% - Accent1 4 2 2 2 4" xfId="49737" xr:uid="{A8438619-398D-41E0-BDFB-E3E76DE9517B}"/>
    <cellStyle name="60% - Accent1 4 2 2 3" xfId="10167" xr:uid="{C63BB5AB-176D-4290-BB73-61C389E719DB}"/>
    <cellStyle name="60% - Accent1 4 2 2 3 2" xfId="25580" xr:uid="{907AD228-D746-44E9-86AB-3E6D5E770C1B}"/>
    <cellStyle name="60% - Accent1 4 2 2 3 2 2" xfId="49742" xr:uid="{25840049-669D-4156-B4CB-D0D90D05BB86}"/>
    <cellStyle name="60% - Accent1 4 2 2 3 3" xfId="49741" xr:uid="{93C535D4-EB73-4CB9-AC87-FF8A54A069AD}"/>
    <cellStyle name="60% - Accent1 4 2 2 4" xfId="17875" xr:uid="{6FB59459-0C66-4DC3-8FDE-137B7B4769FF}"/>
    <cellStyle name="60% - Accent1 4 2 2 4 2" xfId="49743" xr:uid="{4650A799-7C98-4981-B481-83512BF5285C}"/>
    <cellStyle name="60% - Accent1 4 2 2 5" xfId="49736" xr:uid="{B93425E5-BFBC-4BCE-A130-6B8E389F2105}"/>
    <cellStyle name="60% - Accent1 4 2 3" xfId="4723" xr:uid="{D062467B-2793-4A1C-9C2D-C5EB14ED9F1E}"/>
    <cellStyle name="60% - Accent1 4 2 3 2" xfId="12431" xr:uid="{929B94FC-8D91-4283-94A2-491007144108}"/>
    <cellStyle name="60% - Accent1 4 2 3 2 2" xfId="27843" xr:uid="{B144E0C7-116E-4B8E-B1CC-F3EE34E2341C}"/>
    <cellStyle name="60% - Accent1 4 2 3 2 2 2" xfId="49746" xr:uid="{E7F0906B-F8E3-46C7-A77F-470EA995780B}"/>
    <cellStyle name="60% - Accent1 4 2 3 2 3" xfId="49745" xr:uid="{E46C449F-C628-44C9-8877-5CD083A16741}"/>
    <cellStyle name="60% - Accent1 4 2 3 3" xfId="20138" xr:uid="{5D14F260-C120-43F9-B011-967FFFA5B349}"/>
    <cellStyle name="60% - Accent1 4 2 3 3 2" xfId="49747" xr:uid="{5D92CBFF-8892-4A1D-BC59-C657AD6D027C}"/>
    <cellStyle name="60% - Accent1 4 2 3 4" xfId="49744" xr:uid="{E4233BC4-FD6F-4321-84EF-1C9990C0CCD5}"/>
    <cellStyle name="60% - Accent1 4 2 4" xfId="8708" xr:uid="{5C5671DE-8D64-476B-ABEC-7D89E229129E}"/>
    <cellStyle name="60% - Accent1 4 2 4 2" xfId="24121" xr:uid="{8A3243E5-73B7-4A12-B646-AAB04B2EF7F4}"/>
    <cellStyle name="60% - Accent1 4 2 4 2 2" xfId="49749" xr:uid="{5D8D8562-431C-4DCA-B7A1-64EA698A0BD7}"/>
    <cellStyle name="60% - Accent1 4 2 4 3" xfId="49748" xr:uid="{C57B9ABE-7697-42C2-8EDB-4B46AA2AD0D4}"/>
    <cellStyle name="60% - Accent1 4 2 5" xfId="16416" xr:uid="{483AA532-0AB8-4F8F-B0AD-6D512B707F0D}"/>
    <cellStyle name="60% - Accent1 4 2 5 2" xfId="49750" xr:uid="{7723CEF6-7822-4547-A1CB-EE9F3E17CAFC}"/>
    <cellStyle name="60% - Accent1 4 2 6" xfId="49735" xr:uid="{D38CDD3F-1DF1-4D4A-9369-D613016CF67B}"/>
    <cellStyle name="60% - Accent1 4 3" xfId="1818" xr:uid="{CA4F03AF-5635-4485-89C6-697CFF24F8FB}"/>
    <cellStyle name="60% - Accent1 4 3 2" xfId="5550" xr:uid="{265D52D1-27EF-4355-BBB1-3DC35550E60F}"/>
    <cellStyle name="60% - Accent1 4 3 2 2" xfId="13258" xr:uid="{AB184F18-ECC0-4CE3-8270-96097B0B2B1C}"/>
    <cellStyle name="60% - Accent1 4 3 2 2 2" xfId="28670" xr:uid="{E2EE8394-0F95-4556-BA48-DD309048E268}"/>
    <cellStyle name="60% - Accent1 4 3 2 2 2 2" xfId="49754" xr:uid="{4DCF665D-8C16-4A7F-9680-7E42C539DABC}"/>
    <cellStyle name="60% - Accent1 4 3 2 2 3" xfId="49753" xr:uid="{BB31EE0D-BB9A-44AC-9399-0E729F2DB240}"/>
    <cellStyle name="60% - Accent1 4 3 2 3" xfId="20965" xr:uid="{4A561E6B-5F65-4927-B490-51139D512441}"/>
    <cellStyle name="60% - Accent1 4 3 2 3 2" xfId="49755" xr:uid="{EBCD6DCE-220F-4464-B7DA-A1379CC79955}"/>
    <cellStyle name="60% - Accent1 4 3 2 4" xfId="49752" xr:uid="{E660BD33-223F-4BD1-BF18-5721807124DA}"/>
    <cellStyle name="60% - Accent1 4 3 3" xfId="9529" xr:uid="{6D8E215F-1670-45A1-9BB4-9B395B360799}"/>
    <cellStyle name="60% - Accent1 4 3 3 2" xfId="24942" xr:uid="{95463CD5-8866-4B24-A45B-53457ECA9485}"/>
    <cellStyle name="60% - Accent1 4 3 3 2 2" xfId="49757" xr:uid="{81468273-A2F0-42E9-955C-FD2F99C79B46}"/>
    <cellStyle name="60% - Accent1 4 3 3 3" xfId="49756" xr:uid="{0D6D8040-4E8C-481E-9554-10E4B0D1919F}"/>
    <cellStyle name="60% - Accent1 4 3 4" xfId="17237" xr:uid="{2D87FC37-DB4F-4B71-A747-E31EF1B537DE}"/>
    <cellStyle name="60% - Accent1 4 3 4 2" xfId="49758" xr:uid="{5CE5D7B7-BBEF-4D6C-8207-84C2FBF2B5B3}"/>
    <cellStyle name="60% - Accent1 4 3 5" xfId="49751" xr:uid="{CA569576-7B80-4CE6-B764-4D889ADFAB9C}"/>
    <cellStyle name="60% - Accent1 4 4" xfId="4071" xr:uid="{F2347080-E201-45AC-8C13-1F282C59C2E8}"/>
    <cellStyle name="60% - Accent1 4 4 2" xfId="11779" xr:uid="{B542E1C3-2FDC-40C9-BCD5-30A121854359}"/>
    <cellStyle name="60% - Accent1 4 4 2 2" xfId="27191" xr:uid="{0BAFE8CC-5DDD-4BC2-BE96-E96638C01419}"/>
    <cellStyle name="60% - Accent1 4 4 2 2 2" xfId="49761" xr:uid="{7598A398-4491-43D0-ABEA-197A5EDD324B}"/>
    <cellStyle name="60% - Accent1 4 4 2 3" xfId="49760" xr:uid="{66BB405A-1E41-49A6-8A0E-317D2E96178F}"/>
    <cellStyle name="60% - Accent1 4 4 3" xfId="19486" xr:uid="{7DFD7AC6-CFE5-4A3B-A572-F8501797D7D8}"/>
    <cellStyle name="60% - Accent1 4 4 3 2" xfId="49762" xr:uid="{B5CE8324-F7F9-40DE-B4BC-01956AB1ED8C}"/>
    <cellStyle name="60% - Accent1 4 4 4" xfId="49759" xr:uid="{2DFD0F80-F235-46F1-8D92-AE0458F7B68D}"/>
    <cellStyle name="60% - Accent1 4 5" xfId="8070" xr:uid="{D97DEA4A-A9C3-4CB2-A169-30FB53FE4467}"/>
    <cellStyle name="60% - Accent1 4 5 2" xfId="23483" xr:uid="{365C50A3-297E-4EC5-8085-966353CD7D95}"/>
    <cellStyle name="60% - Accent1 4 5 2 2" xfId="49764" xr:uid="{9A9A5352-E6B0-4DE0-ABAB-EBD565AD0FC7}"/>
    <cellStyle name="60% - Accent1 4 5 3" xfId="49763" xr:uid="{9CADB389-1272-48F7-945C-F0DEF8BBAA99}"/>
    <cellStyle name="60% - Accent1 4 6" xfId="15778" xr:uid="{AABCBF9C-8D05-4A3B-A1D2-6D54C201B1D2}"/>
    <cellStyle name="60% - Accent1 4 6 2" xfId="49765" xr:uid="{FF19D464-ECDF-4CCC-AF6E-2CE6C61B68C6}"/>
    <cellStyle name="60% - Accent1 4 7" xfId="49734" xr:uid="{41242207-A80E-4150-81EC-558D2C401539}"/>
    <cellStyle name="60% - Accent1 40" xfId="7690" xr:uid="{EEC2AA5C-13EB-4FAA-AEAB-B8F3D350E118}"/>
    <cellStyle name="60% - Accent1 40 2" xfId="15398" xr:uid="{1C88B916-1FAA-4B2D-9FB0-F06B913455B6}"/>
    <cellStyle name="60% - Accent1 40 2 2" xfId="30810" xr:uid="{A505B707-F455-4B70-9A16-A0AFC68EFE36}"/>
    <cellStyle name="60% - Accent1 40 2 2 2" xfId="49768" xr:uid="{3869F27F-4CD6-4E7C-BB89-7B73E5E7739B}"/>
    <cellStyle name="60% - Accent1 40 2 3" xfId="49767" xr:uid="{CC38EF92-D333-4611-A2A9-36D6EE2DF778}"/>
    <cellStyle name="60% - Accent1 40 3" xfId="23105" xr:uid="{7336009C-A135-49CD-8FDA-47285F6D87BB}"/>
    <cellStyle name="60% - Accent1 40 3 2" xfId="49769" xr:uid="{41702F7E-A948-4669-AFAA-EDFBD7EE3664}"/>
    <cellStyle name="60% - Accent1 40 4" xfId="49766" xr:uid="{63C170EC-7FA7-4FDD-8F88-0497ADCFA93B}"/>
    <cellStyle name="60% - Accent1 41" xfId="7710" xr:uid="{234C3E33-627E-449B-91C2-2A6909CFFE93}"/>
    <cellStyle name="60% - Accent1 41 2" xfId="15418" xr:uid="{5923288A-A484-4949-B053-A582A54C46B2}"/>
    <cellStyle name="60% - Accent1 41 2 2" xfId="30830" xr:uid="{D358D9D5-715B-4E0D-B495-0673636F2975}"/>
    <cellStyle name="60% - Accent1 41 2 2 2" xfId="49772" xr:uid="{9DCFC5BA-5782-4CBA-A837-78BE4E824EB9}"/>
    <cellStyle name="60% - Accent1 41 2 3" xfId="49771" xr:uid="{290543AC-1922-4BCA-9215-F577A173DD52}"/>
    <cellStyle name="60% - Accent1 41 3" xfId="23125" xr:uid="{0B7B3C63-6B0D-47EA-82C8-3D65B3D95F3E}"/>
    <cellStyle name="60% - Accent1 41 3 2" xfId="49773" xr:uid="{05252168-DA87-4D27-AD1F-F4AE7487E991}"/>
    <cellStyle name="60% - Accent1 41 4" xfId="49770" xr:uid="{A2169EEB-A41C-42C9-8CE1-517DF1E6D5BB}"/>
    <cellStyle name="60% - Accent1 42" xfId="7730" xr:uid="{BCDA0535-0634-4D93-B616-B04CAA97A186}"/>
    <cellStyle name="60% - Accent1 42 2" xfId="15438" xr:uid="{A473C9A7-E428-4F78-BCFD-F3CAC725E496}"/>
    <cellStyle name="60% - Accent1 42 2 2" xfId="30850" xr:uid="{A7AAAA0C-F2D8-49F5-9A61-B783F634BC1B}"/>
    <cellStyle name="60% - Accent1 42 2 2 2" xfId="49776" xr:uid="{A5BA4774-F9BC-4A20-8A6A-DC0D5CBDA884}"/>
    <cellStyle name="60% - Accent1 42 2 3" xfId="49775" xr:uid="{5C87F9E9-B551-4BAB-A57A-9F14B933CA80}"/>
    <cellStyle name="60% - Accent1 42 3" xfId="23145" xr:uid="{66003F84-F307-4653-9319-10D578BE8D2D}"/>
    <cellStyle name="60% - Accent1 42 3 2" xfId="49777" xr:uid="{8DA957E9-EDE6-4B4A-96DF-C55256FCD9EB}"/>
    <cellStyle name="60% - Accent1 42 4" xfId="49774" xr:uid="{0E20F6DD-1960-45DB-9C95-EB718733640E}"/>
    <cellStyle name="60% - Accent1 43" xfId="7750" xr:uid="{DB3FC90F-3CF2-4394-996E-78CD6899BDE8}"/>
    <cellStyle name="60% - Accent1 43 2" xfId="15458" xr:uid="{D92F2265-89F4-422C-8005-75AD6818D019}"/>
    <cellStyle name="60% - Accent1 43 2 2" xfId="30870" xr:uid="{D9F0BBF1-1FDC-465C-A2AB-4FC45322A637}"/>
    <cellStyle name="60% - Accent1 43 2 2 2" xfId="49780" xr:uid="{CA77292F-228A-4988-9C0D-BF8B807AD55C}"/>
    <cellStyle name="60% - Accent1 43 2 3" xfId="49779" xr:uid="{A77E30B1-B39E-43A2-BA02-8EAB9897129F}"/>
    <cellStyle name="60% - Accent1 43 3" xfId="23165" xr:uid="{262D33D3-8DFE-4EA5-A965-1AD0738B2D75}"/>
    <cellStyle name="60% - Accent1 43 3 2" xfId="49781" xr:uid="{9376C16B-BD2C-482F-944A-041D7007828A}"/>
    <cellStyle name="60% - Accent1 43 4" xfId="49778" xr:uid="{B43DEAB8-019A-4FA6-B287-9FD2AE4CD98C}"/>
    <cellStyle name="60% - Accent1 44" xfId="7770" xr:uid="{A6037B0D-42DF-41BA-99C5-DD8A4ED878D0}"/>
    <cellStyle name="60% - Accent1 44 2" xfId="15478" xr:uid="{4D5F9053-B794-4D99-9C29-9B47053BF03C}"/>
    <cellStyle name="60% - Accent1 44 2 2" xfId="30890" xr:uid="{8B7BB018-D64A-455D-B8B8-9A4F6A3661C9}"/>
    <cellStyle name="60% - Accent1 44 2 2 2" xfId="49784" xr:uid="{4EEE143C-A3D7-4E31-BC3C-1FEFFAC81B2A}"/>
    <cellStyle name="60% - Accent1 44 2 3" xfId="49783" xr:uid="{A508F78D-3842-477F-A5C1-92D252337D65}"/>
    <cellStyle name="60% - Accent1 44 3" xfId="23185" xr:uid="{E892F070-2AF9-4488-94A4-70B2A3EF1AC7}"/>
    <cellStyle name="60% - Accent1 44 3 2" xfId="49785" xr:uid="{FC9BF835-3A81-47D0-8490-E598BD8BAD5F}"/>
    <cellStyle name="60% - Accent1 44 4" xfId="49782" xr:uid="{5CFB6E25-44AA-4695-875E-B18F2AD3C038}"/>
    <cellStyle name="60% - Accent1 45" xfId="7790" xr:uid="{FC1F94B1-911F-4396-AF31-8B552CA2C4EE}"/>
    <cellStyle name="60% - Accent1 45 2" xfId="15498" xr:uid="{1071B1D7-AEEC-4374-875B-6AE855DD05D2}"/>
    <cellStyle name="60% - Accent1 45 2 2" xfId="30910" xr:uid="{8B153902-418C-44C6-946F-0741C3A2755C}"/>
    <cellStyle name="60% - Accent1 45 2 2 2" xfId="49788" xr:uid="{E6C5A779-57E6-4560-B300-5DD23B0A4CC3}"/>
    <cellStyle name="60% - Accent1 45 2 3" xfId="49787" xr:uid="{0C015934-5248-4017-99B0-86A9E9D7C735}"/>
    <cellStyle name="60% - Accent1 45 3" xfId="23205" xr:uid="{D054C276-E31D-43F6-8BAD-DB244E15D2FB}"/>
    <cellStyle name="60% - Accent1 45 3 2" xfId="49789" xr:uid="{E04FF8CF-956E-4F6B-8C38-FAEA0FCF5E7F}"/>
    <cellStyle name="60% - Accent1 45 4" xfId="49786" xr:uid="{AF701945-0073-440D-B4D3-7130ACB78BF0}"/>
    <cellStyle name="60% - Accent1 46" xfId="7812" xr:uid="{43DE9171-655B-4063-A1AB-84EAFCAC7D50}"/>
    <cellStyle name="60% - Accent1 46 2" xfId="15520" xr:uid="{F3645449-F588-4F95-914A-C2331CDB5E40}"/>
    <cellStyle name="60% - Accent1 46 2 2" xfId="30932" xr:uid="{B299066F-F258-4F3B-80D4-F42DE698AB8F}"/>
    <cellStyle name="60% - Accent1 46 2 2 2" xfId="49792" xr:uid="{9B3906B5-0D7B-4613-B7EB-9D370060855E}"/>
    <cellStyle name="60% - Accent1 46 2 3" xfId="49791" xr:uid="{82E9FE61-020C-466D-BC58-CA85FC793E48}"/>
    <cellStyle name="60% - Accent1 46 3" xfId="23227" xr:uid="{E7D7586F-F26F-4FC8-A301-F44C1B9AF24E}"/>
    <cellStyle name="60% - Accent1 46 3 2" xfId="49793" xr:uid="{69762742-E1CE-446B-B818-1668EE7CF44E}"/>
    <cellStyle name="60% - Accent1 46 4" xfId="49790" xr:uid="{CFC874C4-C21C-467B-8570-62CD3D26B260}"/>
    <cellStyle name="60% - Accent1 47" xfId="7833" xr:uid="{723E21A2-B3D1-43AB-8FD1-104545AD989D}"/>
    <cellStyle name="60% - Accent1 47 2" xfId="15541" xr:uid="{078C7872-D517-4AE9-8170-047C1AA1CAE3}"/>
    <cellStyle name="60% - Accent1 47 2 2" xfId="30952" xr:uid="{542A405D-6633-4565-B805-D4CE5DD8473F}"/>
    <cellStyle name="60% - Accent1 47 2 2 2" xfId="49796" xr:uid="{1A2215C6-3AAE-4232-96AA-40D347ABA889}"/>
    <cellStyle name="60% - Accent1 47 2 3" xfId="49795" xr:uid="{F6884F80-DD3D-4A97-BA3F-A4A26E19C790}"/>
    <cellStyle name="60% - Accent1 47 3" xfId="23247" xr:uid="{CEA01436-A649-41AA-9EC9-1DC57BFAC0A9}"/>
    <cellStyle name="60% - Accent1 47 3 2" xfId="49797" xr:uid="{952A6C43-7277-4772-AFDF-A200CFB6E3CC}"/>
    <cellStyle name="60% - Accent1 47 4" xfId="49794" xr:uid="{C6A4A167-D0C3-4185-B4AC-8CE54BB680BF}"/>
    <cellStyle name="60% - Accent1 48" xfId="7853" xr:uid="{6E6F26E7-A579-47E0-9495-B15174104823}"/>
    <cellStyle name="60% - Accent1 48 2" xfId="15561" xr:uid="{D7B762D8-057F-46FF-B46D-FF61B2AB0DC8}"/>
    <cellStyle name="60% - Accent1 48 2 2" xfId="30972" xr:uid="{9498BBF7-76F1-4741-9908-C6988C46A28B}"/>
    <cellStyle name="60% - Accent1 48 2 2 2" xfId="49800" xr:uid="{22F78469-0491-4BBF-8D70-EE93AD888C56}"/>
    <cellStyle name="60% - Accent1 48 2 3" xfId="49799" xr:uid="{9B8F4578-B003-4AF8-BF47-F324C12F9FDA}"/>
    <cellStyle name="60% - Accent1 48 3" xfId="23267" xr:uid="{1ED83128-F131-41DC-A9AD-BB631536F2F8}"/>
    <cellStyle name="60% - Accent1 48 3 2" xfId="49801" xr:uid="{3A1ED41D-A506-4184-A82E-2BDED73D949B}"/>
    <cellStyle name="60% - Accent1 48 4" xfId="49798" xr:uid="{F05A3212-5C48-4512-BB87-2F8F53E3D1C9}"/>
    <cellStyle name="60% - Accent1 49" xfId="7906" xr:uid="{3A41AB61-08AB-4999-B58C-686F6F69A133}"/>
    <cellStyle name="60% - Accent1 49 2" xfId="23319" xr:uid="{5049EEBD-4D95-48E3-B1B4-B6805F9E4983}"/>
    <cellStyle name="60% - Accent1 49 2 2" xfId="49803" xr:uid="{194C097F-8667-4D0F-89C1-C73BAD8250BC}"/>
    <cellStyle name="60% - Accent1 49 3" xfId="49802" xr:uid="{46BC408D-5E6E-406F-A993-4811DC6F4C55}"/>
    <cellStyle name="60% - Accent1 5" xfId="1615" xr:uid="{073715B8-BEAB-474F-98B6-F46D378B4A64}"/>
    <cellStyle name="60% - Accent1 5 2" xfId="5350" xr:uid="{59D81158-0AA9-4F84-8CAC-9A7D868009C2}"/>
    <cellStyle name="60% - Accent1 5 2 2" xfId="13058" xr:uid="{79906333-5A32-4BDD-B2FD-3C942D68094F}"/>
    <cellStyle name="60% - Accent1 5 2 2 2" xfId="28470" xr:uid="{E368C520-EDF2-4F83-9785-14C374DF7EED}"/>
    <cellStyle name="60% - Accent1 5 2 2 2 2" xfId="49807" xr:uid="{35D9F172-DFDE-4A35-B569-5A1BA7E75C7C}"/>
    <cellStyle name="60% - Accent1 5 2 2 3" xfId="49806" xr:uid="{86C4302D-1D41-41D4-A679-07CD761FDDBD}"/>
    <cellStyle name="60% - Accent1 5 2 3" xfId="20765" xr:uid="{F33D4CB4-28B2-4EBD-9189-E81321A0859C}"/>
    <cellStyle name="60% - Accent1 5 2 3 2" xfId="49808" xr:uid="{867684B8-9A4B-4728-8247-02C2AB62F75F}"/>
    <cellStyle name="60% - Accent1 5 2 4" xfId="49805" xr:uid="{916EF35A-2613-4D2E-A464-CD6A3E6AAA37}"/>
    <cellStyle name="60% - Accent1 5 3" xfId="9331" xr:uid="{D7F2BB45-E503-4073-B493-DBD97D082C5D}"/>
    <cellStyle name="60% - Accent1 5 3 2" xfId="24744" xr:uid="{5BF94362-29CD-43FA-919C-C5468EC0B4F1}"/>
    <cellStyle name="60% - Accent1 5 3 2 2" xfId="49810" xr:uid="{D2CC15FC-FDA3-4285-A1B5-755622286587}"/>
    <cellStyle name="60% - Accent1 5 3 3" xfId="49809" xr:uid="{05C72E38-EF15-45B7-A66A-A39C2ABD1418}"/>
    <cellStyle name="60% - Accent1 5 4" xfId="17039" xr:uid="{35296F5E-9558-4C85-BB97-83439098E45A}"/>
    <cellStyle name="60% - Accent1 5 4 2" xfId="49811" xr:uid="{2387F44B-17E0-41D5-AEDA-FC0D00B6B1C0}"/>
    <cellStyle name="60% - Accent1 5 5" xfId="49804" xr:uid="{C9304AB4-112D-42EA-BA68-FB603DD933BE}"/>
    <cellStyle name="60% - Accent1 50" xfId="15614" xr:uid="{4B329F91-7BF2-4ED2-B6AD-0BD9FCDD8EB0}"/>
    <cellStyle name="60% - Accent1 50 2" xfId="49812" xr:uid="{ED5FA913-3B0D-47C5-8C4B-B25F86D3CE85}"/>
    <cellStyle name="60% - Accent1 51" xfId="30992" xr:uid="{2840756B-E0AA-4137-B52C-EE1DFEF81FFB}"/>
    <cellStyle name="60% - Accent1 51 2" xfId="49813" xr:uid="{4C682143-A6A9-4F5A-84EA-762C99F53564}"/>
    <cellStyle name="60% - Accent1 52" xfId="49452" xr:uid="{121A5E5B-CA4C-4A5E-8F4E-43637BD0ADBC}"/>
    <cellStyle name="60% - Accent1 53" xfId="61972" xr:uid="{C52D028B-9F5E-4540-A37F-AA14FF7A843E}"/>
    <cellStyle name="60% - Accent1 54" xfId="61992" xr:uid="{C9336CDF-3BEB-4675-8859-B885D70799CC}"/>
    <cellStyle name="60% - Accent1 55" xfId="62012" xr:uid="{D486F860-E6BD-44CD-8D29-75CCBC122F05}"/>
    <cellStyle name="60% - Accent1 56" xfId="62041" xr:uid="{A30B4B9F-A6E1-49FF-9102-756680C9B4BC}"/>
    <cellStyle name="60% - Accent1 57" xfId="62064" xr:uid="{6F24CB56-14D3-4DBA-B05B-800004E113DB}"/>
    <cellStyle name="60% - Accent1 58" xfId="62081" xr:uid="{369A2B15-4606-4997-ADDE-59CF7AFCEC14}"/>
    <cellStyle name="60% - Accent1 6" xfId="3298" xr:uid="{95F369D3-3E49-4477-95E3-FA820D253FD2}"/>
    <cellStyle name="60% - Accent1 6 2" xfId="7030" xr:uid="{B8403AED-98B5-4517-AD0E-84CDAED2BF19}"/>
    <cellStyle name="60% - Accent1 6 2 2" xfId="14738" xr:uid="{B1A7A9FD-0049-47D5-8B47-B95632F1F478}"/>
    <cellStyle name="60% - Accent1 6 2 2 2" xfId="30150" xr:uid="{F9EAE0F7-E2AD-4500-9E34-19DDDBE80184}"/>
    <cellStyle name="60% - Accent1 6 2 2 2 2" xfId="49817" xr:uid="{2DA44D58-96E6-42B9-9773-E850DBA8657C}"/>
    <cellStyle name="60% - Accent1 6 2 2 3" xfId="49816" xr:uid="{EFB98B62-D500-4352-AFE9-BE736764DC78}"/>
    <cellStyle name="60% - Accent1 6 2 3" xfId="22445" xr:uid="{0ACDA3E5-E83D-4A63-BEEB-56A2E8AB9B42}"/>
    <cellStyle name="60% - Accent1 6 2 3 2" xfId="49818" xr:uid="{F89466A1-76F1-433F-857D-76AB245AE306}"/>
    <cellStyle name="60% - Accent1 6 2 4" xfId="49815" xr:uid="{A3858307-249E-4217-898E-22E25C60DC85}"/>
    <cellStyle name="60% - Accent1 6 3" xfId="11009" xr:uid="{88C31FA7-0BD3-44FC-8F41-DE1ABD9C1C0D}"/>
    <cellStyle name="60% - Accent1 6 3 2" xfId="26422" xr:uid="{86BE2C74-AD03-42DC-ADEE-00738372448F}"/>
    <cellStyle name="60% - Accent1 6 3 2 2" xfId="49820" xr:uid="{EBD05BE9-A432-4A46-993C-9301FC90A788}"/>
    <cellStyle name="60% - Accent1 6 3 3" xfId="49819" xr:uid="{331CC6C2-F8B2-468D-8247-75F7AE8A5A14}"/>
    <cellStyle name="60% - Accent1 6 4" xfId="18717" xr:uid="{B40E9F8B-92E2-4504-98EF-6987D38F09FF}"/>
    <cellStyle name="60% - Accent1 6 4 2" xfId="49821" xr:uid="{F564DBE6-38A3-41A9-8511-19CEF8703F12}"/>
    <cellStyle name="60% - Accent1 6 5" xfId="49814" xr:uid="{ADB0E0AE-8D8A-4BD5-ABA8-3FFF78FB26ED}"/>
    <cellStyle name="60% - Accent1 7" xfId="3318" xr:uid="{7A968B30-DBD4-4B24-B184-A15E05628A35}"/>
    <cellStyle name="60% - Accent1 7 2" xfId="7050" xr:uid="{AC8AFBE5-70D5-4D49-BF79-F83A2A7CE774}"/>
    <cellStyle name="60% - Accent1 7 2 2" xfId="14758" xr:uid="{A5F79B9F-778E-4E70-BAD6-3B178419BC97}"/>
    <cellStyle name="60% - Accent1 7 2 2 2" xfId="30170" xr:uid="{96810911-0674-45B1-A14C-20DEEF25D618}"/>
    <cellStyle name="60% - Accent1 7 2 2 2 2" xfId="49825" xr:uid="{914F8127-792D-4EF9-96E1-FA270BABF980}"/>
    <cellStyle name="60% - Accent1 7 2 2 3" xfId="49824" xr:uid="{B70E42D7-E1A0-4BC6-B499-B977A3C7438C}"/>
    <cellStyle name="60% - Accent1 7 2 3" xfId="22465" xr:uid="{1778EDEC-A1A9-4586-A4B4-11C309CD2D6E}"/>
    <cellStyle name="60% - Accent1 7 2 3 2" xfId="49826" xr:uid="{D5F458EB-279E-4C8A-9E7D-61AEBE4B7540}"/>
    <cellStyle name="60% - Accent1 7 2 4" xfId="49823" xr:uid="{420DE57D-C1C9-43BE-81C5-183433DDC2FE}"/>
    <cellStyle name="60% - Accent1 7 3" xfId="11029" xr:uid="{A132C8BD-E2D1-4BB6-B40D-70EE19735D0D}"/>
    <cellStyle name="60% - Accent1 7 3 2" xfId="26442" xr:uid="{03409266-DDE0-4902-9181-429ED3BCCF9B}"/>
    <cellStyle name="60% - Accent1 7 3 2 2" xfId="49828" xr:uid="{7CBE0B4E-3F2B-4726-A30C-734001F93C4A}"/>
    <cellStyle name="60% - Accent1 7 3 3" xfId="49827" xr:uid="{4C9E1193-BAC2-4FB8-A0E7-DC79B5BD38C5}"/>
    <cellStyle name="60% - Accent1 7 4" xfId="18737" xr:uid="{6D09AADD-40AE-43C1-8E88-A96C48B77853}"/>
    <cellStyle name="60% - Accent1 7 4 2" xfId="49829" xr:uid="{F785E46E-2D83-4E71-BE35-45BE85E5F453}"/>
    <cellStyle name="60% - Accent1 7 5" xfId="49822" xr:uid="{71E9FA19-F3E4-40EA-A9A7-4C4EF23AED76}"/>
    <cellStyle name="60% - Accent1 8" xfId="3338" xr:uid="{80633566-F9CD-451F-9BE0-5C5B8690E188}"/>
    <cellStyle name="60% - Accent1 8 2" xfId="7070" xr:uid="{B7CDF625-48DC-4AB1-A814-B46D4EEED277}"/>
    <cellStyle name="60% - Accent1 8 2 2" xfId="14778" xr:uid="{03650A6E-E25F-4F6B-997A-5DE86A1E751E}"/>
    <cellStyle name="60% - Accent1 8 2 2 2" xfId="30190" xr:uid="{EACF03E3-C657-4D0A-98E7-6114D2D3627C}"/>
    <cellStyle name="60% - Accent1 8 2 2 2 2" xfId="49833" xr:uid="{8BD0EF57-982E-4B9A-A29D-4DFA5C56A57E}"/>
    <cellStyle name="60% - Accent1 8 2 2 3" xfId="49832" xr:uid="{13F0EB14-D1E7-4EAA-9B38-CF245E6F9397}"/>
    <cellStyle name="60% - Accent1 8 2 3" xfId="22485" xr:uid="{D9C6A5FB-491B-4240-B4A8-EFBC834FF29C}"/>
    <cellStyle name="60% - Accent1 8 2 3 2" xfId="49834" xr:uid="{41233B4E-7C68-4A77-9360-E975595D30E0}"/>
    <cellStyle name="60% - Accent1 8 2 4" xfId="49831" xr:uid="{44F67CDA-DD07-46B4-8934-5C53A6250696}"/>
    <cellStyle name="60% - Accent1 8 3" xfId="11049" xr:uid="{FD5B59D9-E8FB-4DF1-9244-710F6597B072}"/>
    <cellStyle name="60% - Accent1 8 3 2" xfId="26462" xr:uid="{4A854CCB-FBCC-4424-B3A8-3AD56C895839}"/>
    <cellStyle name="60% - Accent1 8 3 2 2" xfId="49836" xr:uid="{7BD6FA8B-1171-4DDB-8BC3-FDCC94FAA5BA}"/>
    <cellStyle name="60% - Accent1 8 3 3" xfId="49835" xr:uid="{221DF7FB-1A3A-41D2-B7A8-4E16002BCE2B}"/>
    <cellStyle name="60% - Accent1 8 4" xfId="18757" xr:uid="{4796B46A-E841-4C8B-99B6-9E80E589104B}"/>
    <cellStyle name="60% - Accent1 8 4 2" xfId="49837" xr:uid="{EB3BD720-E3F0-4A87-A0C4-DC436DBC4723}"/>
    <cellStyle name="60% - Accent1 8 5" xfId="49830" xr:uid="{FABFAE5B-0D2A-489F-9EF7-EE638C373645}"/>
    <cellStyle name="60% - Accent1 9" xfId="3358" xr:uid="{E63EC1BB-0D1F-4C62-97B5-2AAACD0D4ABA}"/>
    <cellStyle name="60% - Accent1 9 2" xfId="7090" xr:uid="{0AC0B431-1FA0-4C47-94CC-A176C407DDC0}"/>
    <cellStyle name="60% - Accent1 9 2 2" xfId="14798" xr:uid="{4D3E7FA3-5379-44CF-9FED-753C29755A29}"/>
    <cellStyle name="60% - Accent1 9 2 2 2" xfId="30210" xr:uid="{EEE23B89-3E4D-4D61-9049-22BB2FE45593}"/>
    <cellStyle name="60% - Accent1 9 2 2 2 2" xfId="49841" xr:uid="{81C0042B-628B-499C-BC2B-3626BB792FC0}"/>
    <cellStyle name="60% - Accent1 9 2 2 3" xfId="49840" xr:uid="{EE6654E3-D095-4C70-9610-47A913580C9A}"/>
    <cellStyle name="60% - Accent1 9 2 3" xfId="22505" xr:uid="{86F7DC70-94A5-44D0-8088-35786D61BEC6}"/>
    <cellStyle name="60% - Accent1 9 2 3 2" xfId="49842" xr:uid="{5A5135F0-D2BE-44C6-B8DE-43915A6378C6}"/>
    <cellStyle name="60% - Accent1 9 2 4" xfId="49839" xr:uid="{08256EA7-3600-400A-B456-DA5E6061B571}"/>
    <cellStyle name="60% - Accent1 9 3" xfId="11069" xr:uid="{165BB42E-C012-41DB-8B46-D33AACAD57EF}"/>
    <cellStyle name="60% - Accent1 9 3 2" xfId="26482" xr:uid="{C2FF03C9-6C1F-46E9-92F2-6DB8B121F9E5}"/>
    <cellStyle name="60% - Accent1 9 3 2 2" xfId="49844" xr:uid="{51533986-F53B-4C3B-82B8-637F17F1B412}"/>
    <cellStyle name="60% - Accent1 9 3 3" xfId="49843" xr:uid="{FB98F684-1EBF-45BE-96DA-211BC8BB68DF}"/>
    <cellStyle name="60% - Accent1 9 4" xfId="18777" xr:uid="{50FC6032-20D6-42A7-9E3C-DFAD36D49A7D}"/>
    <cellStyle name="60% - Accent1 9 4 2" xfId="49845" xr:uid="{A85F027B-FA63-4576-9C74-8A74201211C1}"/>
    <cellStyle name="60% - Accent1 9 5" xfId="49838" xr:uid="{6701E0BF-9C62-4AC7-90BB-D26A1781C37F}"/>
    <cellStyle name="60% - Accent2 10" xfId="3381" xr:uid="{4921B0DB-2C28-4993-94F3-37A66008DAC6}"/>
    <cellStyle name="60% - Accent2 10 2" xfId="7113" xr:uid="{27043661-7D68-46DA-94B5-8B1C33FF0711}"/>
    <cellStyle name="60% - Accent2 10 2 2" xfId="14821" xr:uid="{FB5A7B2E-4419-4187-AB36-EA5C98151ABE}"/>
    <cellStyle name="60% - Accent2 10 2 2 2" xfId="30233" xr:uid="{FD94895C-3F54-4D58-B9DA-0A5EC34C537C}"/>
    <cellStyle name="60% - Accent2 10 2 2 2 2" xfId="49850" xr:uid="{95493BAA-600C-4C3B-B4BD-C8389FA065E3}"/>
    <cellStyle name="60% - Accent2 10 2 2 3" xfId="49849" xr:uid="{A7308961-7078-4F47-BDE0-64541A28FE12}"/>
    <cellStyle name="60% - Accent2 10 2 3" xfId="22528" xr:uid="{23D6C305-4783-4ABD-A96A-847231FE93AE}"/>
    <cellStyle name="60% - Accent2 10 2 3 2" xfId="49851" xr:uid="{CB4E8BB2-E75A-469C-9C76-9EAF837451E8}"/>
    <cellStyle name="60% - Accent2 10 2 4" xfId="49848" xr:uid="{34509ED2-8E0E-45EC-8043-9D6D2B2C94A1}"/>
    <cellStyle name="60% - Accent2 10 3" xfId="11092" xr:uid="{C1300429-AC8D-4A6F-AB2A-E533318B18FE}"/>
    <cellStyle name="60% - Accent2 10 3 2" xfId="26505" xr:uid="{41DF88AC-E64F-4937-BB1C-820A39F03E2E}"/>
    <cellStyle name="60% - Accent2 10 3 2 2" xfId="49853" xr:uid="{E4B30C11-6132-40E0-944F-A0A50B8C4050}"/>
    <cellStyle name="60% - Accent2 10 3 3" xfId="49852" xr:uid="{CCCB1A02-7C66-459B-A553-39F8DE7AE38C}"/>
    <cellStyle name="60% - Accent2 10 4" xfId="18800" xr:uid="{F742CD93-0EF2-4387-A35D-7C7D5488FB39}"/>
    <cellStyle name="60% - Accent2 10 4 2" xfId="49854" xr:uid="{6A31C7A5-C89C-487E-9D3F-893903E91408}"/>
    <cellStyle name="60% - Accent2 10 5" xfId="49847" xr:uid="{2B1381E1-3577-475E-9594-557B1A5B170C}"/>
    <cellStyle name="60% - Accent2 11" xfId="3401" xr:uid="{D8B51048-6CF8-45C9-AFFA-3E20A366976C}"/>
    <cellStyle name="60% - Accent2 11 2" xfId="7133" xr:uid="{7AD22600-DEBF-4FFE-B291-8CE20B675ED2}"/>
    <cellStyle name="60% - Accent2 11 2 2" xfId="14841" xr:uid="{1EADD1ED-E3BC-47AF-B0F0-70079D2C34B0}"/>
    <cellStyle name="60% - Accent2 11 2 2 2" xfId="30253" xr:uid="{7F63B9F0-C3D4-4081-8781-775738F5D6C6}"/>
    <cellStyle name="60% - Accent2 11 2 2 2 2" xfId="49858" xr:uid="{45398628-90D2-420A-9DCE-AEB3F2814939}"/>
    <cellStyle name="60% - Accent2 11 2 2 3" xfId="49857" xr:uid="{0DE612C5-CD5B-4B8B-942C-56BA2A79680D}"/>
    <cellStyle name="60% - Accent2 11 2 3" xfId="22548" xr:uid="{A22E2B71-602E-49CD-A1E5-ABA9EF380D67}"/>
    <cellStyle name="60% - Accent2 11 2 3 2" xfId="49859" xr:uid="{A3E61FDC-531A-46FB-AF8E-CB10020926F0}"/>
    <cellStyle name="60% - Accent2 11 2 4" xfId="49856" xr:uid="{1A1A84B0-2D23-469B-BDC4-2C68C14F2B7D}"/>
    <cellStyle name="60% - Accent2 11 3" xfId="11112" xr:uid="{666D4FBB-8B17-4840-956A-E40BE3627C8E}"/>
    <cellStyle name="60% - Accent2 11 3 2" xfId="26525" xr:uid="{D6EB11F7-09B5-4E06-8DF3-2FE856FB7711}"/>
    <cellStyle name="60% - Accent2 11 3 2 2" xfId="49861" xr:uid="{A1CC88BC-A6DC-42FE-8CC5-ECCD77E04088}"/>
    <cellStyle name="60% - Accent2 11 3 3" xfId="49860" xr:uid="{89BFDFFB-9629-438B-A560-B8B50E9756D6}"/>
    <cellStyle name="60% - Accent2 11 4" xfId="18820" xr:uid="{8276FE1C-465C-49BB-A806-5ED5B87D77FD}"/>
    <cellStyle name="60% - Accent2 11 4 2" xfId="49862" xr:uid="{9A545C12-218A-428D-88C7-06100628CD07}"/>
    <cellStyle name="60% - Accent2 11 5" xfId="49855" xr:uid="{D4337EA1-AAD8-4CD4-9CC7-0F0C14472F10}"/>
    <cellStyle name="60% - Accent2 12" xfId="3421" xr:uid="{34DF836D-1C10-491D-A5FD-1C6B22B0E51F}"/>
    <cellStyle name="60% - Accent2 12 2" xfId="7153" xr:uid="{756151ED-3CBE-4013-A18C-2F50CD214CAB}"/>
    <cellStyle name="60% - Accent2 12 2 2" xfId="14861" xr:uid="{D200BA7E-3CF3-4235-903B-9D0386810878}"/>
    <cellStyle name="60% - Accent2 12 2 2 2" xfId="30273" xr:uid="{EE443901-FA03-4A19-BBC6-FACEB5242DB5}"/>
    <cellStyle name="60% - Accent2 12 2 2 2 2" xfId="49866" xr:uid="{E4E5543B-2C12-40F5-9219-BEEAC88F86A9}"/>
    <cellStyle name="60% - Accent2 12 2 2 3" xfId="49865" xr:uid="{E21A0340-EEC6-4F46-B99E-F6FDE4B44CFB}"/>
    <cellStyle name="60% - Accent2 12 2 3" xfId="22568" xr:uid="{0DDF64B9-0EAE-4211-8060-108C8B71F607}"/>
    <cellStyle name="60% - Accent2 12 2 3 2" xfId="49867" xr:uid="{8615E0D3-F66B-45B0-8A42-84FA752516EE}"/>
    <cellStyle name="60% - Accent2 12 2 4" xfId="49864" xr:uid="{F6637054-4072-4366-A356-F4B73F771312}"/>
    <cellStyle name="60% - Accent2 12 3" xfId="11132" xr:uid="{D5DE8D4F-5830-42AB-9885-E2FF8CC997FF}"/>
    <cellStyle name="60% - Accent2 12 3 2" xfId="26545" xr:uid="{5372C89E-0AD2-4283-880A-47EE4D56B7A4}"/>
    <cellStyle name="60% - Accent2 12 3 2 2" xfId="49869" xr:uid="{BD3C266F-EA93-4C2A-8FD1-EEB9B2499FB2}"/>
    <cellStyle name="60% - Accent2 12 3 3" xfId="49868" xr:uid="{73BC8268-AD71-4273-B884-056F4DA9E61A}"/>
    <cellStyle name="60% - Accent2 12 4" xfId="18840" xr:uid="{E15881C2-0C9F-43EF-945B-32713CF21860}"/>
    <cellStyle name="60% - Accent2 12 4 2" xfId="49870" xr:uid="{12441E07-0D1A-4DD2-98A8-22245B07C0EE}"/>
    <cellStyle name="60% - Accent2 12 5" xfId="49863" xr:uid="{94096420-AD00-4A38-87A5-8B0EED70FB78}"/>
    <cellStyle name="60% - Accent2 13" xfId="3441" xr:uid="{ACCE9FC6-9B8A-48B0-B8A8-9E9B8A0AE5A4}"/>
    <cellStyle name="60% - Accent2 13 2" xfId="7173" xr:uid="{88AE94D7-4ADC-4E7D-931E-1A6F827C1F97}"/>
    <cellStyle name="60% - Accent2 13 2 2" xfId="14881" xr:uid="{03A181B8-E76B-4478-BA80-986EA046B292}"/>
    <cellStyle name="60% - Accent2 13 2 2 2" xfId="30293" xr:uid="{94163B99-A4A1-4B9C-9A99-815880D18936}"/>
    <cellStyle name="60% - Accent2 13 2 2 2 2" xfId="49874" xr:uid="{906173C7-5A05-4C9A-B843-A64962CC65C1}"/>
    <cellStyle name="60% - Accent2 13 2 2 3" xfId="49873" xr:uid="{08C6A3BB-64A2-493D-B5C7-0DC640B93387}"/>
    <cellStyle name="60% - Accent2 13 2 3" xfId="22588" xr:uid="{76B763E0-7D89-4B53-9078-8452131635AE}"/>
    <cellStyle name="60% - Accent2 13 2 3 2" xfId="49875" xr:uid="{586447D5-464B-4748-A83E-DB9FABB2A0D2}"/>
    <cellStyle name="60% - Accent2 13 2 4" xfId="49872" xr:uid="{97DFEFA1-F9E5-4B2C-9370-A04F9810D8D1}"/>
    <cellStyle name="60% - Accent2 13 3" xfId="11152" xr:uid="{A0106118-2CC1-4F96-A5E9-DC1FC2A95166}"/>
    <cellStyle name="60% - Accent2 13 3 2" xfId="26565" xr:uid="{113BB9EE-F99E-47FC-88A9-9D76C0EA96B6}"/>
    <cellStyle name="60% - Accent2 13 3 2 2" xfId="49877" xr:uid="{DCF5A79D-08D6-4933-BB3C-39F22D4B7CE0}"/>
    <cellStyle name="60% - Accent2 13 3 3" xfId="49876" xr:uid="{A07BC103-E3D8-4277-AB6E-5755EEA95525}"/>
    <cellStyle name="60% - Accent2 13 4" xfId="18860" xr:uid="{BF2C3182-4937-457F-9827-6FB7ADC6E40F}"/>
    <cellStyle name="60% - Accent2 13 4 2" xfId="49878" xr:uid="{631ACC0C-4E7B-423E-8F54-12969DC8A44D}"/>
    <cellStyle name="60% - Accent2 13 5" xfId="49871" xr:uid="{EA310F26-9016-4F6E-9CBD-2AD18D584B68}"/>
    <cellStyle name="60% - Accent2 14" xfId="3461" xr:uid="{86FDFF83-6626-467F-A6FC-59B093B257EF}"/>
    <cellStyle name="60% - Accent2 14 2" xfId="7193" xr:uid="{184E94E5-3B06-483D-A125-8A571B9857C3}"/>
    <cellStyle name="60% - Accent2 14 2 2" xfId="14901" xr:uid="{00172D21-3DC6-4F2B-A156-2302EA13125E}"/>
    <cellStyle name="60% - Accent2 14 2 2 2" xfId="30313" xr:uid="{07E5A83E-246F-4A26-9201-49F8B7547EF0}"/>
    <cellStyle name="60% - Accent2 14 2 2 2 2" xfId="49882" xr:uid="{5CEC444C-2A42-4BDD-9BC3-E5DFEBE4EBC2}"/>
    <cellStyle name="60% - Accent2 14 2 2 3" xfId="49881" xr:uid="{EB2F6E27-EDD6-4C82-8852-0E89EE46CB8C}"/>
    <cellStyle name="60% - Accent2 14 2 3" xfId="22608" xr:uid="{275CE07D-BEA2-4878-B9B8-1F8718DA3A48}"/>
    <cellStyle name="60% - Accent2 14 2 3 2" xfId="49883" xr:uid="{DC8EB5BF-5C4E-4C55-A58C-BE6ADC851298}"/>
    <cellStyle name="60% - Accent2 14 2 4" xfId="49880" xr:uid="{8F5F1D20-7A1C-41A9-87B4-B6C98895B40C}"/>
    <cellStyle name="60% - Accent2 14 3" xfId="11172" xr:uid="{4F851655-5C7E-4355-9921-AADD33CE0833}"/>
    <cellStyle name="60% - Accent2 14 3 2" xfId="26585" xr:uid="{30F47C18-52E2-496A-B0AC-0CE9FBD200B9}"/>
    <cellStyle name="60% - Accent2 14 3 2 2" xfId="49885" xr:uid="{793C8E70-9E1D-430C-A6B1-CA5FC61D619A}"/>
    <cellStyle name="60% - Accent2 14 3 3" xfId="49884" xr:uid="{B09A5942-66FE-4405-8939-A74E2EF2ECE6}"/>
    <cellStyle name="60% - Accent2 14 4" xfId="18880" xr:uid="{C8268BDE-FC3C-489F-A57E-66CD25360146}"/>
    <cellStyle name="60% - Accent2 14 4 2" xfId="49886" xr:uid="{9F54AEE3-E3D5-4984-8DDE-D08B942E7C57}"/>
    <cellStyle name="60% - Accent2 14 5" xfId="49879" xr:uid="{0304AA60-2683-44BD-B607-AF38A46C5143}"/>
    <cellStyle name="60% - Accent2 15" xfId="3481" xr:uid="{2F57D6EF-3134-41D3-835F-598C4D731048}"/>
    <cellStyle name="60% - Accent2 15 2" xfId="7213" xr:uid="{91DAFBDF-3ECD-441C-ADC4-691ED0E740B5}"/>
    <cellStyle name="60% - Accent2 15 2 2" xfId="14921" xr:uid="{97CC094D-E87C-4996-8F0E-75C2C39585A0}"/>
    <cellStyle name="60% - Accent2 15 2 2 2" xfId="30333" xr:uid="{48AB14A1-1095-4D27-89F0-C99B6858CAC5}"/>
    <cellStyle name="60% - Accent2 15 2 2 2 2" xfId="49890" xr:uid="{E20A606E-EFDA-491E-8813-BB4C4168DA01}"/>
    <cellStyle name="60% - Accent2 15 2 2 3" xfId="49889" xr:uid="{726679FA-9D77-4CE8-BF34-B60FF3F2AFE5}"/>
    <cellStyle name="60% - Accent2 15 2 3" xfId="22628" xr:uid="{5BE386AC-ABC6-4E1F-BBF5-A5E94097CE32}"/>
    <cellStyle name="60% - Accent2 15 2 3 2" xfId="49891" xr:uid="{54D33791-99F5-4BBC-94BB-E32E985C6217}"/>
    <cellStyle name="60% - Accent2 15 2 4" xfId="49888" xr:uid="{629FF36F-955A-4660-88FE-E752CB29512F}"/>
    <cellStyle name="60% - Accent2 15 3" xfId="11192" xr:uid="{14BE0D49-7849-4B15-ABF3-3DDD60DE85BA}"/>
    <cellStyle name="60% - Accent2 15 3 2" xfId="26605" xr:uid="{4446F15B-EB93-4E2D-9F83-CFD7269F5E8A}"/>
    <cellStyle name="60% - Accent2 15 3 2 2" xfId="49893" xr:uid="{8271CA4A-8522-482A-ADC1-464F4EC99645}"/>
    <cellStyle name="60% - Accent2 15 3 3" xfId="49892" xr:uid="{9470E4F9-3B27-4C1D-A7CE-8CB1FBF80659}"/>
    <cellStyle name="60% - Accent2 15 4" xfId="18900" xr:uid="{80D7EED9-DB65-4156-A708-C3B02CC4C698}"/>
    <cellStyle name="60% - Accent2 15 4 2" xfId="49894" xr:uid="{C6E2AA9E-BCD3-4C9B-86E3-CA2F855C7148}"/>
    <cellStyle name="60% - Accent2 15 5" xfId="49887" xr:uid="{F8078E36-6CAD-423D-A69A-EF8E5E03A690}"/>
    <cellStyle name="60% - Accent2 16" xfId="3501" xr:uid="{BCECE61E-A3E1-413E-8D45-E1003D7E44C5}"/>
    <cellStyle name="60% - Accent2 16 2" xfId="7233" xr:uid="{A46ED71E-0C3B-42EB-9AFB-82BD3F38ADCC}"/>
    <cellStyle name="60% - Accent2 16 2 2" xfId="14941" xr:uid="{90616029-7257-4664-80F8-D7826BECE614}"/>
    <cellStyle name="60% - Accent2 16 2 2 2" xfId="30353" xr:uid="{5A97FC73-3433-43C6-AA4D-7F36A439B936}"/>
    <cellStyle name="60% - Accent2 16 2 2 2 2" xfId="49898" xr:uid="{34A91E3F-2498-4721-BE8C-8A8DB8B9C87C}"/>
    <cellStyle name="60% - Accent2 16 2 2 3" xfId="49897" xr:uid="{DC27DD29-3AB4-4D0D-9A64-1D31D9FA6076}"/>
    <cellStyle name="60% - Accent2 16 2 3" xfId="22648" xr:uid="{3749EAB0-5127-4272-AAB6-5256CC1912EB}"/>
    <cellStyle name="60% - Accent2 16 2 3 2" xfId="49899" xr:uid="{22F4815D-70A6-4443-BF25-8E778A9FE442}"/>
    <cellStyle name="60% - Accent2 16 2 4" xfId="49896" xr:uid="{D2B35E9A-F82C-4509-A489-DDAB143CAD63}"/>
    <cellStyle name="60% - Accent2 16 3" xfId="11212" xr:uid="{4417D790-58CE-44F5-BAC4-F829801C109F}"/>
    <cellStyle name="60% - Accent2 16 3 2" xfId="26625" xr:uid="{4315F8FC-1DC6-4598-93FD-1DFFBF8778FE}"/>
    <cellStyle name="60% - Accent2 16 3 2 2" xfId="49901" xr:uid="{B13A29E0-FE30-441F-A12F-B63331DF32CD}"/>
    <cellStyle name="60% - Accent2 16 3 3" xfId="49900" xr:uid="{E6AF5E42-C393-4447-843C-4358C5FE7CA3}"/>
    <cellStyle name="60% - Accent2 16 4" xfId="18920" xr:uid="{668610CB-21D6-4787-BF56-1BAD53946D0F}"/>
    <cellStyle name="60% - Accent2 16 4 2" xfId="49902" xr:uid="{4F50E3A5-ADDD-44CA-8B5B-C8EB275D861F}"/>
    <cellStyle name="60% - Accent2 16 5" xfId="49895" xr:uid="{3D168614-9505-464A-A6AB-C8FDEF093034}"/>
    <cellStyle name="60% - Accent2 17" xfId="3521" xr:uid="{EA0711E9-437B-4827-8547-1EC5AA8B259C}"/>
    <cellStyle name="60% - Accent2 17 2" xfId="7253" xr:uid="{9ADF9087-DD33-47AE-9F4C-8D578CE20012}"/>
    <cellStyle name="60% - Accent2 17 2 2" xfId="14961" xr:uid="{CDA80459-B72B-4ABB-BBDB-288BA05D4997}"/>
    <cellStyle name="60% - Accent2 17 2 2 2" xfId="30373" xr:uid="{A2B29B19-4636-46A8-AD36-3D0AB39E9272}"/>
    <cellStyle name="60% - Accent2 17 2 2 2 2" xfId="49906" xr:uid="{D1F31237-CC6F-4C8C-A764-F1B085C4C426}"/>
    <cellStyle name="60% - Accent2 17 2 2 3" xfId="49905" xr:uid="{3D143A9F-9120-4530-A1BC-F168D505D16D}"/>
    <cellStyle name="60% - Accent2 17 2 3" xfId="22668" xr:uid="{D335C797-4140-4BBF-B46A-9FA5ECBA1353}"/>
    <cellStyle name="60% - Accent2 17 2 3 2" xfId="49907" xr:uid="{40447DC5-B158-4185-93BE-6D4FDFCF6F4B}"/>
    <cellStyle name="60% - Accent2 17 2 4" xfId="49904" xr:uid="{0ED8197D-95E7-4534-BE9A-C0AABF920932}"/>
    <cellStyle name="60% - Accent2 17 3" xfId="11232" xr:uid="{76781CD7-6D74-45C4-8B7D-CDCAEED80878}"/>
    <cellStyle name="60% - Accent2 17 3 2" xfId="26645" xr:uid="{982CC6F4-E761-413C-A0EA-07E6F960E1CA}"/>
    <cellStyle name="60% - Accent2 17 3 2 2" xfId="49909" xr:uid="{9EF08A2D-12EB-4D39-82B7-445A0F9AA542}"/>
    <cellStyle name="60% - Accent2 17 3 3" xfId="49908" xr:uid="{010D8798-CC29-4850-A77A-E76E5065FBCC}"/>
    <cellStyle name="60% - Accent2 17 4" xfId="18940" xr:uid="{F1BC4B2A-B49F-41CB-8C48-CF0681504EE7}"/>
    <cellStyle name="60% - Accent2 17 4 2" xfId="49910" xr:uid="{0209CBAB-2306-4CCD-B02E-FBFCA522DD53}"/>
    <cellStyle name="60% - Accent2 17 5" xfId="49903" xr:uid="{03AB23CC-D766-4907-8FE7-45B67C91CB5B}"/>
    <cellStyle name="60% - Accent2 18" xfId="3541" xr:uid="{B683D227-91AB-4D82-9F59-1E25B1BC70FF}"/>
    <cellStyle name="60% - Accent2 18 2" xfId="7273" xr:uid="{13095031-BC4F-4A4B-8C86-BBEBF578B247}"/>
    <cellStyle name="60% - Accent2 18 2 2" xfId="14981" xr:uid="{B965398D-81DD-4FC5-BD32-7804ED5E5091}"/>
    <cellStyle name="60% - Accent2 18 2 2 2" xfId="30393" xr:uid="{AEE07397-1499-4DD9-92F0-9EA09517111D}"/>
    <cellStyle name="60% - Accent2 18 2 2 2 2" xfId="49914" xr:uid="{99B6D122-DA62-472F-B28C-849E10E1E432}"/>
    <cellStyle name="60% - Accent2 18 2 2 3" xfId="49913" xr:uid="{4DCCB24C-C478-4FA3-90D6-3B7C63A7039B}"/>
    <cellStyle name="60% - Accent2 18 2 3" xfId="22688" xr:uid="{37937A0E-9086-4B04-9DE2-6B37ED7D9178}"/>
    <cellStyle name="60% - Accent2 18 2 3 2" xfId="49915" xr:uid="{2EC31C28-D8F6-4217-A795-2A636C9145E7}"/>
    <cellStyle name="60% - Accent2 18 2 4" xfId="49912" xr:uid="{93C5E2C4-67AA-4DAB-B77B-FA2E8CFD9257}"/>
    <cellStyle name="60% - Accent2 18 3" xfId="11252" xr:uid="{2E08353C-BF53-4AF4-8A04-BCB7AFB31F5D}"/>
    <cellStyle name="60% - Accent2 18 3 2" xfId="26665" xr:uid="{A3DE932A-51AC-40DC-8DA9-009A6BE0CA54}"/>
    <cellStyle name="60% - Accent2 18 3 2 2" xfId="49917" xr:uid="{8FE66700-E886-4CE8-A0DA-FD4783BBEE1F}"/>
    <cellStyle name="60% - Accent2 18 3 3" xfId="49916" xr:uid="{20E964EA-387C-43CD-8AC5-24BD971B2CA6}"/>
    <cellStyle name="60% - Accent2 18 4" xfId="18960" xr:uid="{D459E6BF-D31C-4BC8-AF75-562B669936C3}"/>
    <cellStyle name="60% - Accent2 18 4 2" xfId="49918" xr:uid="{D4AC1B17-BC4F-457C-BAE4-A208FA767255}"/>
    <cellStyle name="60% - Accent2 18 5" xfId="49911" xr:uid="{5B344BB6-EA81-4BAB-999D-CA53CB5E1E84}"/>
    <cellStyle name="60% - Accent2 19" xfId="3561" xr:uid="{1522654A-16BC-4FBB-B039-D72F6D72BE3C}"/>
    <cellStyle name="60% - Accent2 19 2" xfId="7293" xr:uid="{9BD8C441-0312-4F06-9F0F-41B36918D46C}"/>
    <cellStyle name="60% - Accent2 19 2 2" xfId="15001" xr:uid="{59606E7F-50A6-465B-9B6B-F3C50F0BA3D6}"/>
    <cellStyle name="60% - Accent2 19 2 2 2" xfId="30413" xr:uid="{B9B947DA-5DFE-4A95-A102-3D31922401CF}"/>
    <cellStyle name="60% - Accent2 19 2 2 2 2" xfId="49922" xr:uid="{C29AC47D-DA95-4C64-8CA3-B84EF15931ED}"/>
    <cellStyle name="60% - Accent2 19 2 2 3" xfId="49921" xr:uid="{28C15B02-CF6E-475D-AD8B-945B2C6D876B}"/>
    <cellStyle name="60% - Accent2 19 2 3" xfId="22708" xr:uid="{0056218F-05EC-4608-887B-FF4DB61AF3CF}"/>
    <cellStyle name="60% - Accent2 19 2 3 2" xfId="49923" xr:uid="{48B23667-3D2B-4ECC-A91D-6D1FC16D8B99}"/>
    <cellStyle name="60% - Accent2 19 2 4" xfId="49920" xr:uid="{6A810BF8-ADE4-48BD-8767-1C9F67E7938A}"/>
    <cellStyle name="60% - Accent2 19 3" xfId="11272" xr:uid="{475D7452-6217-46A8-BD0B-1F0B463FE83A}"/>
    <cellStyle name="60% - Accent2 19 3 2" xfId="26685" xr:uid="{FCCFE4D8-E10F-4C0B-AADC-705ABA7DCA12}"/>
    <cellStyle name="60% - Accent2 19 3 2 2" xfId="49925" xr:uid="{B7DBC2EB-1FD1-4B50-B6DD-A022E2FC581F}"/>
    <cellStyle name="60% - Accent2 19 3 3" xfId="49924" xr:uid="{52749E73-1CA8-49EA-AFE0-0E335C3F7FEC}"/>
    <cellStyle name="60% - Accent2 19 4" xfId="18980" xr:uid="{DF701D86-7C96-42D4-8BC6-44AE01ABA667}"/>
    <cellStyle name="60% - Accent2 19 4 2" xfId="49926" xr:uid="{5A9D294F-61C0-49CA-8F7B-A9AAFB6271B1}"/>
    <cellStyle name="60% - Accent2 19 5" xfId="49919" xr:uid="{06A2E7A7-204B-4D97-842A-0A2E360F654F}"/>
    <cellStyle name="60% - Accent2 2" xfId="88" xr:uid="{7A6B5B9E-F6C2-42B7-B5B1-CB955669A346}"/>
    <cellStyle name="60% - Accent2 2 2" xfId="49927" xr:uid="{915B41AE-02F5-4B7D-A363-964767860029}"/>
    <cellStyle name="60% - Accent2 20" xfId="3582" xr:uid="{D8680CB2-2C91-4C3A-84D1-B6425FF53A71}"/>
    <cellStyle name="60% - Accent2 20 2" xfId="7313" xr:uid="{FEA0BD60-F4AA-46FC-9790-A8054B57C6F8}"/>
    <cellStyle name="60% - Accent2 20 2 2" xfId="15021" xr:uid="{5A9FF829-A8FA-4474-802C-56594357BE62}"/>
    <cellStyle name="60% - Accent2 20 2 2 2" xfId="30433" xr:uid="{55B3440C-BEE1-4BC6-B208-4964DB4433E5}"/>
    <cellStyle name="60% - Accent2 20 2 2 2 2" xfId="49931" xr:uid="{BC654090-A29B-45BF-B690-058201EBCDD8}"/>
    <cellStyle name="60% - Accent2 20 2 2 3" xfId="49930" xr:uid="{0AA42FA9-D7FC-458B-87FB-41D93B000B24}"/>
    <cellStyle name="60% - Accent2 20 2 3" xfId="22728" xr:uid="{6C93DEAB-8351-42E6-9B3B-9F98D14B2F80}"/>
    <cellStyle name="60% - Accent2 20 2 3 2" xfId="49932" xr:uid="{E309E528-3A88-41F3-A59B-D92E4DEF0F23}"/>
    <cellStyle name="60% - Accent2 20 2 4" xfId="49929" xr:uid="{07BADA7C-AB6D-41C1-B34F-8C80191652B1}"/>
    <cellStyle name="60% - Accent2 20 3" xfId="11292" xr:uid="{CF993AC0-16C7-473B-AFC5-3A04D4A2D0C7}"/>
    <cellStyle name="60% - Accent2 20 3 2" xfId="26705" xr:uid="{58790354-C31B-4D7D-B802-18752810246D}"/>
    <cellStyle name="60% - Accent2 20 3 2 2" xfId="49934" xr:uid="{29D55C44-3FF9-42F1-ABD8-02EF1B77E9A4}"/>
    <cellStyle name="60% - Accent2 20 3 3" xfId="49933" xr:uid="{5C1E800D-7C3B-4730-8B68-D22D4A4B5FDD}"/>
    <cellStyle name="60% - Accent2 20 4" xfId="19000" xr:uid="{78440C8B-2B29-4955-B8CA-080BBF53643A}"/>
    <cellStyle name="60% - Accent2 20 4 2" xfId="49935" xr:uid="{AAD8E5BB-3A7C-4FF3-9002-7B506583E63C}"/>
    <cellStyle name="60% - Accent2 20 5" xfId="49928" xr:uid="{8409F279-4E2C-4F7A-BD05-446EA93765DC}"/>
    <cellStyle name="60% - Accent2 21" xfId="3602" xr:uid="{299A10FD-2D1F-49A2-93C7-0DADD670BBF2}"/>
    <cellStyle name="60% - Accent2 21 2" xfId="7333" xr:uid="{D47BB185-912D-43B5-BFEF-3EF437917B94}"/>
    <cellStyle name="60% - Accent2 21 2 2" xfId="15041" xr:uid="{F42A2A54-A78E-4CD2-96BE-C17E1D5A6836}"/>
    <cellStyle name="60% - Accent2 21 2 2 2" xfId="30453" xr:uid="{4B069F4C-C138-42EB-93C5-41397F640F84}"/>
    <cellStyle name="60% - Accent2 21 2 2 2 2" xfId="49939" xr:uid="{E543F73E-6F87-4DF3-9A57-7201B21AD058}"/>
    <cellStyle name="60% - Accent2 21 2 2 3" xfId="49938" xr:uid="{62D12442-F804-4549-A0A0-FF1382368810}"/>
    <cellStyle name="60% - Accent2 21 2 3" xfId="22748" xr:uid="{ACEA3A21-B14C-41D5-832B-6649D72D79E3}"/>
    <cellStyle name="60% - Accent2 21 2 3 2" xfId="49940" xr:uid="{0B088AE4-8334-4746-9F1B-62556D081B3A}"/>
    <cellStyle name="60% - Accent2 21 2 4" xfId="49937" xr:uid="{9E86BADD-29A1-4481-BF4D-16B07A8F21C2}"/>
    <cellStyle name="60% - Accent2 21 3" xfId="11312" xr:uid="{12F5B47D-3331-44C2-93BA-C8C0C9AAF42C}"/>
    <cellStyle name="60% - Accent2 21 3 2" xfId="26725" xr:uid="{D091D858-1636-4424-9013-78399A583923}"/>
    <cellStyle name="60% - Accent2 21 3 2 2" xfId="49942" xr:uid="{CEDA0B45-67B1-4AE7-8E04-D027B6AFDB08}"/>
    <cellStyle name="60% - Accent2 21 3 3" xfId="49941" xr:uid="{A7FEBD16-33BE-4C70-A670-82015E693A64}"/>
    <cellStyle name="60% - Accent2 21 4" xfId="19020" xr:uid="{B8A21DF5-EA40-4CEE-BB95-4BE79BDD17FC}"/>
    <cellStyle name="60% - Accent2 21 4 2" xfId="49943" xr:uid="{1CC647F5-6257-435C-B8D2-28FF4ABBED16}"/>
    <cellStyle name="60% - Accent2 21 5" xfId="49936" xr:uid="{C6661F80-865D-426A-BF40-30B9904421B1}"/>
    <cellStyle name="60% - Accent2 22" xfId="3622" xr:uid="{E78A04F2-A78A-4E6D-BE96-9E848B407D98}"/>
    <cellStyle name="60% - Accent2 22 2" xfId="7353" xr:uid="{B55BC8E2-48A8-4CE9-A9F3-14BB01997EC7}"/>
    <cellStyle name="60% - Accent2 22 2 2" xfId="15061" xr:uid="{9A9199AE-7E2C-4B21-B990-8A439A141465}"/>
    <cellStyle name="60% - Accent2 22 2 2 2" xfId="30473" xr:uid="{A8093F41-81CA-43AF-8DF5-E5E46CED1538}"/>
    <cellStyle name="60% - Accent2 22 2 2 2 2" xfId="49947" xr:uid="{509E04F5-D625-4340-991F-9E425DC4980E}"/>
    <cellStyle name="60% - Accent2 22 2 2 3" xfId="49946" xr:uid="{9CBF7A51-B02E-49CB-9740-3F01EE3F5804}"/>
    <cellStyle name="60% - Accent2 22 2 3" xfId="22768" xr:uid="{906FBF2E-0ACF-4265-9110-6353E563F856}"/>
    <cellStyle name="60% - Accent2 22 2 3 2" xfId="49948" xr:uid="{AEBE6901-7D2A-423D-A050-39388BD5D53E}"/>
    <cellStyle name="60% - Accent2 22 2 4" xfId="49945" xr:uid="{42B44ADC-4145-4CB9-B490-B5ABFDA5E111}"/>
    <cellStyle name="60% - Accent2 22 3" xfId="11332" xr:uid="{578BF439-87F5-41BA-A4DE-D31851E62631}"/>
    <cellStyle name="60% - Accent2 22 3 2" xfId="26745" xr:uid="{8D6FF9FD-7C27-4738-AF32-86F72DFBE35F}"/>
    <cellStyle name="60% - Accent2 22 3 2 2" xfId="49950" xr:uid="{EC429188-6C01-4336-899A-D504AFE5ABFE}"/>
    <cellStyle name="60% - Accent2 22 3 3" xfId="49949" xr:uid="{DAB3C733-2108-41D2-A5AE-CC1DB4AF356C}"/>
    <cellStyle name="60% - Accent2 22 4" xfId="19040" xr:uid="{CB4A92A9-18E1-46F9-ABBD-7877E1080CA0}"/>
    <cellStyle name="60% - Accent2 22 4 2" xfId="49951" xr:uid="{C03FE608-E154-4296-85F6-421E5A69283A}"/>
    <cellStyle name="60% - Accent2 22 5" xfId="49944" xr:uid="{395FEE92-B49F-468D-84E6-C21E8FB4FEC2}"/>
    <cellStyle name="60% - Accent2 23" xfId="3642" xr:uid="{319F8676-DBCF-498E-B110-5414FAED5EBD}"/>
    <cellStyle name="60% - Accent2 23 2" xfId="7373" xr:uid="{BD2C01BE-CEED-4A37-8C21-DAB3C357B2E9}"/>
    <cellStyle name="60% - Accent2 23 2 2" xfId="15081" xr:uid="{6CA10E48-8783-4E16-843D-C3E85D6864F2}"/>
    <cellStyle name="60% - Accent2 23 2 2 2" xfId="30493" xr:uid="{8D0D586D-ABAC-4313-B90B-E8AD2CFC7DCA}"/>
    <cellStyle name="60% - Accent2 23 2 2 2 2" xfId="49955" xr:uid="{F5176A01-BE2B-4324-BE46-F4990EF9ED6D}"/>
    <cellStyle name="60% - Accent2 23 2 2 3" xfId="49954" xr:uid="{C66C4793-96F4-463F-A12A-8E9546451613}"/>
    <cellStyle name="60% - Accent2 23 2 3" xfId="22788" xr:uid="{783B6321-CAB2-4AE2-9E61-94563B5E19DE}"/>
    <cellStyle name="60% - Accent2 23 2 3 2" xfId="49956" xr:uid="{6C59ED4D-AFA1-40CD-A54A-6AC22BEF3682}"/>
    <cellStyle name="60% - Accent2 23 2 4" xfId="49953" xr:uid="{F46F5477-E683-405F-B515-D8B241AA2EEE}"/>
    <cellStyle name="60% - Accent2 23 3" xfId="11352" xr:uid="{06F875CB-1971-46F1-90DC-F9B005671D76}"/>
    <cellStyle name="60% - Accent2 23 3 2" xfId="26765" xr:uid="{B476416D-AEF5-4168-A320-6B1EAA3FB922}"/>
    <cellStyle name="60% - Accent2 23 3 2 2" xfId="49958" xr:uid="{066A2EFA-D0E7-4AFE-833E-C907D4768C62}"/>
    <cellStyle name="60% - Accent2 23 3 3" xfId="49957" xr:uid="{FBA9F5C8-0745-4669-8317-A256EBB23440}"/>
    <cellStyle name="60% - Accent2 23 4" xfId="19060" xr:uid="{379611FC-59AA-453A-A700-ED47AAB65403}"/>
    <cellStyle name="60% - Accent2 23 4 2" xfId="49959" xr:uid="{BCC0FE50-F8E2-443B-AD5A-FBCB8858E63E}"/>
    <cellStyle name="60% - Accent2 23 5" xfId="49952" xr:uid="{33CD7212-3402-4F31-97CB-1D763B6B224C}"/>
    <cellStyle name="60% - Accent2 24" xfId="3662" xr:uid="{5F1A6858-3C51-4F2B-BCD9-1945B67E5D22}"/>
    <cellStyle name="60% - Accent2 24 2" xfId="7393" xr:uid="{02D8A070-9917-45EE-9781-0599CB65C9CE}"/>
    <cellStyle name="60% - Accent2 24 2 2" xfId="15101" xr:uid="{1DF8C117-33A2-4423-8283-23ED080B0976}"/>
    <cellStyle name="60% - Accent2 24 2 2 2" xfId="30513" xr:uid="{8FDD0405-A4D3-446F-BE09-50AFB10BF6F6}"/>
    <cellStyle name="60% - Accent2 24 2 2 2 2" xfId="49963" xr:uid="{0C1EEC8E-2A6D-429B-80B6-41CDF56FCFA2}"/>
    <cellStyle name="60% - Accent2 24 2 2 3" xfId="49962" xr:uid="{D1566614-8F68-43BF-823F-1F9A411B5210}"/>
    <cellStyle name="60% - Accent2 24 2 3" xfId="22808" xr:uid="{C80C1715-4781-4E3F-98E6-FD55224E1564}"/>
    <cellStyle name="60% - Accent2 24 2 3 2" xfId="49964" xr:uid="{7E8CF2CC-D73D-47D5-96F0-A161DA28463F}"/>
    <cellStyle name="60% - Accent2 24 2 4" xfId="49961" xr:uid="{CD6E3152-EEC6-4896-82FF-CBCDF2CE562A}"/>
    <cellStyle name="60% - Accent2 24 3" xfId="11372" xr:uid="{CFBE2655-E3E5-4E84-AC17-E38BDEC1C5B4}"/>
    <cellStyle name="60% - Accent2 24 3 2" xfId="26785" xr:uid="{D3CDE048-D294-415F-82E8-B9AC1EAEFC5B}"/>
    <cellStyle name="60% - Accent2 24 3 2 2" xfId="49966" xr:uid="{577B4F4A-C990-4215-91A3-9E1140BC2776}"/>
    <cellStyle name="60% - Accent2 24 3 3" xfId="49965" xr:uid="{6840B1BF-087D-4B50-B413-BB3188C1E1B6}"/>
    <cellStyle name="60% - Accent2 24 4" xfId="19080" xr:uid="{FA72F65A-10BF-44FE-B0E7-E5E043CE5079}"/>
    <cellStyle name="60% - Accent2 24 4 2" xfId="49967" xr:uid="{90B448E9-9E6C-46FB-B6D4-1DDD171FF488}"/>
    <cellStyle name="60% - Accent2 24 5" xfId="49960" xr:uid="{F4DC4099-553F-4C14-B040-DA9A6E41D2C7}"/>
    <cellStyle name="60% - Accent2 25" xfId="3682" xr:uid="{9A543743-75C6-4715-BD83-652F3BCF9540}"/>
    <cellStyle name="60% - Accent2 25 2" xfId="7413" xr:uid="{91586A3E-E4C8-4F9C-AC82-33890CC7A3C4}"/>
    <cellStyle name="60% - Accent2 25 2 2" xfId="15121" xr:uid="{67496470-25E0-48E9-B2ED-F8477BA1914D}"/>
    <cellStyle name="60% - Accent2 25 2 2 2" xfId="30533" xr:uid="{5529C32B-DE3E-465F-9C29-D12A0E3E8F6C}"/>
    <cellStyle name="60% - Accent2 25 2 2 2 2" xfId="49971" xr:uid="{71F0CFB1-48BA-4BA5-A5AC-E96D76BED2FA}"/>
    <cellStyle name="60% - Accent2 25 2 2 3" xfId="49970" xr:uid="{0946F1C3-7185-4EA9-8E2E-C4C1E9D16CD2}"/>
    <cellStyle name="60% - Accent2 25 2 3" xfId="22828" xr:uid="{817E1AF7-4339-4238-A328-C2FDB5AE6D5B}"/>
    <cellStyle name="60% - Accent2 25 2 3 2" xfId="49972" xr:uid="{255B39BD-064E-4CED-A7E5-8CCE316EED5A}"/>
    <cellStyle name="60% - Accent2 25 2 4" xfId="49969" xr:uid="{FA152845-DAB2-4AE5-9D6E-C048A7452062}"/>
    <cellStyle name="60% - Accent2 25 3" xfId="11392" xr:uid="{AB9A9681-33D3-4DD7-992B-4C3DE0DA7A26}"/>
    <cellStyle name="60% - Accent2 25 3 2" xfId="26805" xr:uid="{4C8E1F3F-F7AF-4922-A226-D7C12E6E9664}"/>
    <cellStyle name="60% - Accent2 25 3 2 2" xfId="49974" xr:uid="{CAB9E4F5-82B7-4DDC-81F3-8BB31D17AD6E}"/>
    <cellStyle name="60% - Accent2 25 3 3" xfId="49973" xr:uid="{8F0AC03A-6341-49DD-B333-B1112BC30E01}"/>
    <cellStyle name="60% - Accent2 25 4" xfId="19100" xr:uid="{BE992A24-20BC-4D98-9EA0-F2092D157C6A}"/>
    <cellStyle name="60% - Accent2 25 4 2" xfId="49975" xr:uid="{2A1FC762-D6D2-40A0-8A5F-E96E809A00AA}"/>
    <cellStyle name="60% - Accent2 25 5" xfId="49968" xr:uid="{F2ED10FA-07BC-4F61-B4B6-C9FD46159B69}"/>
    <cellStyle name="60% - Accent2 26" xfId="3702" xr:uid="{2E4105B2-CCF4-44B4-9E05-AC770120D9E6}"/>
    <cellStyle name="60% - Accent2 26 2" xfId="7433" xr:uid="{BFD0F2EB-D864-451E-923D-F35AA7C2F52C}"/>
    <cellStyle name="60% - Accent2 26 2 2" xfId="15141" xr:uid="{158F427D-C592-416B-B84E-660CBCBEDD3B}"/>
    <cellStyle name="60% - Accent2 26 2 2 2" xfId="30553" xr:uid="{1FAD0CAD-6696-4D17-8592-D52B990D25CD}"/>
    <cellStyle name="60% - Accent2 26 2 2 2 2" xfId="49979" xr:uid="{2C1BEF56-F134-44CD-AAE9-A77AB8E1F6B5}"/>
    <cellStyle name="60% - Accent2 26 2 2 3" xfId="49978" xr:uid="{2BDD8666-FDEB-4324-82EC-5807A969672E}"/>
    <cellStyle name="60% - Accent2 26 2 3" xfId="22848" xr:uid="{737BC66F-74A0-4340-9FD1-D4F75892A198}"/>
    <cellStyle name="60% - Accent2 26 2 3 2" xfId="49980" xr:uid="{442E84D9-3CDE-4E8A-A15E-E2023D43C883}"/>
    <cellStyle name="60% - Accent2 26 2 4" xfId="49977" xr:uid="{4F305DE0-9172-4B57-9976-C9DF5B778DDB}"/>
    <cellStyle name="60% - Accent2 26 3" xfId="11412" xr:uid="{2E20435E-ADB7-4B38-8064-A90D387FC1A4}"/>
    <cellStyle name="60% - Accent2 26 3 2" xfId="26825" xr:uid="{DE909868-FB9D-4C1C-A3F1-92F6ADBEDD94}"/>
    <cellStyle name="60% - Accent2 26 3 2 2" xfId="49982" xr:uid="{9E725096-97CC-4B31-BD2D-1E55D1E6D28B}"/>
    <cellStyle name="60% - Accent2 26 3 3" xfId="49981" xr:uid="{595530F0-EC27-4D0C-BCBE-A1C1C12A40C8}"/>
    <cellStyle name="60% - Accent2 26 4" xfId="19120" xr:uid="{CDF57292-7F41-4DF8-99D4-0B2658AC14A8}"/>
    <cellStyle name="60% - Accent2 26 4 2" xfId="49983" xr:uid="{E68574DD-D252-47AF-960C-7CFF66C110D0}"/>
    <cellStyle name="60% - Accent2 26 5" xfId="49976" xr:uid="{3FE9A295-E524-48CF-B804-EAE801863B62}"/>
    <cellStyle name="60% - Accent2 27" xfId="3722" xr:uid="{7F5E9C9B-E59F-490E-921F-3F7CC7A9A4DC}"/>
    <cellStyle name="60% - Accent2 27 2" xfId="7453" xr:uid="{EC3E7FE4-0A23-47A3-B688-1AA66B01EB1F}"/>
    <cellStyle name="60% - Accent2 27 2 2" xfId="15161" xr:uid="{0A26A3A5-5872-4B07-BF84-7ECDFE276B97}"/>
    <cellStyle name="60% - Accent2 27 2 2 2" xfId="30573" xr:uid="{59BDCDEE-2F45-4975-B7D9-17CE91EB680B}"/>
    <cellStyle name="60% - Accent2 27 2 2 2 2" xfId="49987" xr:uid="{3CE1D3C0-7BF5-4FDE-A1C1-682BA6DFA5FC}"/>
    <cellStyle name="60% - Accent2 27 2 2 3" xfId="49986" xr:uid="{802C2FC3-5E4C-4C18-AA45-637BD450BE5D}"/>
    <cellStyle name="60% - Accent2 27 2 3" xfId="22868" xr:uid="{AF1C31E6-8A4E-49A9-940A-7D28E45662DB}"/>
    <cellStyle name="60% - Accent2 27 2 3 2" xfId="49988" xr:uid="{15902D1E-2E58-423C-8675-F7069D031B3B}"/>
    <cellStyle name="60% - Accent2 27 2 4" xfId="49985" xr:uid="{E2F3BF4E-0F8D-4AEB-B501-0F2D492A77BC}"/>
    <cellStyle name="60% - Accent2 27 3" xfId="11432" xr:uid="{6E572C6B-6524-4156-BBEB-B57B7D48593B}"/>
    <cellStyle name="60% - Accent2 27 3 2" xfId="26845" xr:uid="{08E480CF-1CF1-4A77-843B-7E4B09667073}"/>
    <cellStyle name="60% - Accent2 27 3 2 2" xfId="49990" xr:uid="{1BB3DAEC-711C-47AC-B1EE-6346218FCFCE}"/>
    <cellStyle name="60% - Accent2 27 3 3" xfId="49989" xr:uid="{29F1E27B-6962-4F2A-9926-CB7CEC20BFB8}"/>
    <cellStyle name="60% - Accent2 27 4" xfId="19140" xr:uid="{719C84D6-6811-4AC8-AA8D-4F0A7B6E7B4B}"/>
    <cellStyle name="60% - Accent2 27 4 2" xfId="49991" xr:uid="{0B14D5A4-1362-4266-830D-3EFFF49D52E7}"/>
    <cellStyle name="60% - Accent2 27 5" xfId="49984" xr:uid="{E23DC333-7CB7-448E-BE25-76D56EE05C98}"/>
    <cellStyle name="60% - Accent2 28" xfId="3742" xr:uid="{3511986B-E7B6-4D5F-9686-6C16D5586503}"/>
    <cellStyle name="60% - Accent2 28 2" xfId="7473" xr:uid="{5D1CE200-3B4F-4693-9FAE-597E473A0791}"/>
    <cellStyle name="60% - Accent2 28 2 2" xfId="15181" xr:uid="{63AE85C7-6927-418D-8649-6E57AC245A21}"/>
    <cellStyle name="60% - Accent2 28 2 2 2" xfId="30593" xr:uid="{FB3EF9CD-F255-4174-8BC9-130A40AACF6F}"/>
    <cellStyle name="60% - Accent2 28 2 2 2 2" xfId="49995" xr:uid="{5C79E8E6-715D-49F4-ADA5-CB717D31A637}"/>
    <cellStyle name="60% - Accent2 28 2 2 3" xfId="49994" xr:uid="{F907BA1E-8D71-432D-A55A-B2A6F1B605E2}"/>
    <cellStyle name="60% - Accent2 28 2 3" xfId="22888" xr:uid="{14A6D13F-EE8D-4D05-89B3-8CBB6F955B4C}"/>
    <cellStyle name="60% - Accent2 28 2 3 2" xfId="49996" xr:uid="{9038193B-121A-4C13-8A46-152196243BC6}"/>
    <cellStyle name="60% - Accent2 28 2 4" xfId="49993" xr:uid="{5AE941BE-7C0C-432B-ABCB-129EA0BDABB5}"/>
    <cellStyle name="60% - Accent2 28 3" xfId="11452" xr:uid="{9BE81C75-34D3-4177-BF7E-6AD837EEE302}"/>
    <cellStyle name="60% - Accent2 28 3 2" xfId="26865" xr:uid="{D01C662F-A210-44CC-8BE3-205695BE7FBA}"/>
    <cellStyle name="60% - Accent2 28 3 2 2" xfId="49998" xr:uid="{D0DEBB93-01F7-4DAC-A67E-F17149F878BE}"/>
    <cellStyle name="60% - Accent2 28 3 3" xfId="49997" xr:uid="{3A354158-F3A2-42D0-8B7F-5275396FB40B}"/>
    <cellStyle name="60% - Accent2 28 4" xfId="19160" xr:uid="{AA1182B7-C263-46DC-8A46-0955D319431B}"/>
    <cellStyle name="60% - Accent2 28 4 2" xfId="49999" xr:uid="{DAA33A8E-D85F-40CC-AC00-617F3C32EB46}"/>
    <cellStyle name="60% - Accent2 28 5" xfId="49992" xr:uid="{1DDA0C0C-E7DF-4A8E-BB09-5ED078BFF572}"/>
    <cellStyle name="60% - Accent2 29" xfId="3762" xr:uid="{0713599A-8708-4301-9317-5907409EA076}"/>
    <cellStyle name="60% - Accent2 29 2" xfId="7493" xr:uid="{5E3ACA11-9731-4D71-B723-6D242370D312}"/>
    <cellStyle name="60% - Accent2 29 2 2" xfId="15201" xr:uid="{E8976D56-7310-4D50-A425-542592EB7193}"/>
    <cellStyle name="60% - Accent2 29 2 2 2" xfId="30613" xr:uid="{6D9AD908-E92D-4EB5-BAE3-B7B7C5313F5C}"/>
    <cellStyle name="60% - Accent2 29 2 2 2 2" xfId="50003" xr:uid="{3B30CE96-257C-4AD0-88D2-CF8ACFA17B76}"/>
    <cellStyle name="60% - Accent2 29 2 2 3" xfId="50002" xr:uid="{6D5E6D8B-1841-4C99-ABC9-C528B56A0D98}"/>
    <cellStyle name="60% - Accent2 29 2 3" xfId="22908" xr:uid="{02B67F68-003D-448E-B251-A28D66709A70}"/>
    <cellStyle name="60% - Accent2 29 2 3 2" xfId="50004" xr:uid="{A0D80201-5A98-4538-B232-E14A7B5D4C5A}"/>
    <cellStyle name="60% - Accent2 29 2 4" xfId="50001" xr:uid="{F62B6AE0-EACB-40C3-B3C0-ED185F519215}"/>
    <cellStyle name="60% - Accent2 29 3" xfId="11472" xr:uid="{423DDAAC-0B5B-4597-BA52-21C53FB95792}"/>
    <cellStyle name="60% - Accent2 29 3 2" xfId="26885" xr:uid="{8869F371-4B69-43DA-A562-3A383D768ADF}"/>
    <cellStyle name="60% - Accent2 29 3 2 2" xfId="50006" xr:uid="{B8911825-A8D1-4894-8223-51F1C57F2E63}"/>
    <cellStyle name="60% - Accent2 29 3 3" xfId="50005" xr:uid="{34D6C02B-8DCB-4353-AB95-BE46727C3A27}"/>
    <cellStyle name="60% - Accent2 29 4" xfId="19180" xr:uid="{E8786F37-8486-424C-A513-174F92F45BAA}"/>
    <cellStyle name="60% - Accent2 29 4 2" xfId="50007" xr:uid="{45E442AF-0868-4789-8AD7-0DEFA7C12E62}"/>
    <cellStyle name="60% - Accent2 29 5" xfId="50000" xr:uid="{8EA38448-E38A-410D-81DC-686ACB229747}"/>
    <cellStyle name="60% - Accent2 3" xfId="224" xr:uid="{276DE0BC-6A0F-4A35-BD76-7F9F49997DA4}"/>
    <cellStyle name="60% - Accent2 3 2" xfId="427" xr:uid="{C1BF1C81-A518-429C-B035-C91E8780007A}"/>
    <cellStyle name="60% - Accent2 3 2 2" xfId="1089" xr:uid="{7929065D-140C-41BC-A3AA-4E9D3C9596EB}"/>
    <cellStyle name="60% - Accent2 3 2 2 2" xfId="2557" xr:uid="{DEA4B73D-938A-4947-9130-3E4CE0DF2D2F}"/>
    <cellStyle name="60% - Accent2 3 2 2 2 2" xfId="6289" xr:uid="{7ED3E78B-BB22-49DE-8038-6BE0D82B08C2}"/>
    <cellStyle name="60% - Accent2 3 2 2 2 2 2" xfId="13997" xr:uid="{CCB98827-D20C-466F-A8F4-9035F6211F24}"/>
    <cellStyle name="60% - Accent2 3 2 2 2 2 2 2" xfId="29409" xr:uid="{12D7D9E2-1EBA-46AF-8D14-1A532CE71BF7}"/>
    <cellStyle name="60% - Accent2 3 2 2 2 2 2 2 2" xfId="50014" xr:uid="{CD0C001C-8560-4537-A675-F92824976642}"/>
    <cellStyle name="60% - Accent2 3 2 2 2 2 2 3" xfId="50013" xr:uid="{1915F9F1-9F4C-4623-8A8B-12B43CE21BDC}"/>
    <cellStyle name="60% - Accent2 3 2 2 2 2 3" xfId="21704" xr:uid="{DF7C6902-71C0-42E2-A20A-795827F95A6F}"/>
    <cellStyle name="60% - Accent2 3 2 2 2 2 3 2" xfId="50015" xr:uid="{7ADEED21-1E9F-4BB9-B5EB-3476D54F0090}"/>
    <cellStyle name="60% - Accent2 3 2 2 2 2 4" xfId="50012" xr:uid="{D221A825-B962-42C0-A989-F76B56ACEB1F}"/>
    <cellStyle name="60% - Accent2 3 2 2 2 3" xfId="10268" xr:uid="{ACB60AD2-B41D-499B-A303-F6648DAA8C17}"/>
    <cellStyle name="60% - Accent2 3 2 2 2 3 2" xfId="25681" xr:uid="{57BCE0E7-1E03-4D54-92B9-44E8460FC055}"/>
    <cellStyle name="60% - Accent2 3 2 2 2 3 2 2" xfId="50017" xr:uid="{34D0B3DB-99A1-487F-81CF-59297AEAD79C}"/>
    <cellStyle name="60% - Accent2 3 2 2 2 3 3" xfId="50016" xr:uid="{05DF2834-965E-4DB7-8445-82BFB88C1938}"/>
    <cellStyle name="60% - Accent2 3 2 2 2 4" xfId="17976" xr:uid="{DDCAA9EE-554B-4446-B256-1540AA96B1E9}"/>
    <cellStyle name="60% - Accent2 3 2 2 2 4 2" xfId="50018" xr:uid="{C83CDDC4-1118-4B7B-9611-53F0B5EB0EE8}"/>
    <cellStyle name="60% - Accent2 3 2 2 2 5" xfId="50011" xr:uid="{44E2ED80-48EE-4E4F-A2E3-B4B6A0324C01}"/>
    <cellStyle name="60% - Accent2 3 2 2 3" xfId="4826" xr:uid="{5BEEB78D-F8F3-49E2-8D55-8CACA7F538B3}"/>
    <cellStyle name="60% - Accent2 3 2 2 3 2" xfId="12534" xr:uid="{1FEEFAE4-943F-43F2-9102-77BE5D4B673B}"/>
    <cellStyle name="60% - Accent2 3 2 2 3 2 2" xfId="27946" xr:uid="{103A0899-27FF-4BA5-868E-6B3F6110EF8B}"/>
    <cellStyle name="60% - Accent2 3 2 2 3 2 2 2" xfId="50021" xr:uid="{FF98B05B-710A-46D1-A420-C0C45D422ADE}"/>
    <cellStyle name="60% - Accent2 3 2 2 3 2 3" xfId="50020" xr:uid="{9AB7E4E5-C3AD-467F-A5D8-ED9EF38C0AED}"/>
    <cellStyle name="60% - Accent2 3 2 2 3 3" xfId="20241" xr:uid="{0C953418-CA31-4173-912D-34B203CFD872}"/>
    <cellStyle name="60% - Accent2 3 2 2 3 3 2" xfId="50022" xr:uid="{7FD4F3CE-2E6A-45D5-84EA-9EE2D8BAD229}"/>
    <cellStyle name="60% - Accent2 3 2 2 3 4" xfId="50019" xr:uid="{D6DCBBF6-D078-40EB-9FA4-E72D04AA6A42}"/>
    <cellStyle name="60% - Accent2 3 2 2 4" xfId="8809" xr:uid="{A5B0348D-0C92-4BF7-B0C2-1B97BFD32C57}"/>
    <cellStyle name="60% - Accent2 3 2 2 4 2" xfId="24222" xr:uid="{3600BBFE-067E-4AAF-9A6A-BEEC52A34452}"/>
    <cellStyle name="60% - Accent2 3 2 2 4 2 2" xfId="50024" xr:uid="{F30F2D7F-E078-4630-8B22-7DB00C226149}"/>
    <cellStyle name="60% - Accent2 3 2 2 4 3" xfId="50023" xr:uid="{CC7173FE-10FF-4881-9716-837987524CB1}"/>
    <cellStyle name="60% - Accent2 3 2 2 5" xfId="16517" xr:uid="{3C5F59AB-C297-41FF-BA3C-EF782A168ADA}"/>
    <cellStyle name="60% - Accent2 3 2 2 5 2" xfId="50025" xr:uid="{EE14CE64-2510-4418-8554-F60A127E6172}"/>
    <cellStyle name="60% - Accent2 3 2 2 6" xfId="50010" xr:uid="{543D9C36-B931-4CA9-86C9-466F7DE1CDA9}"/>
    <cellStyle name="60% - Accent2 3 2 3" xfId="1919" xr:uid="{A68D70E8-CED3-4269-A178-90716E90499B}"/>
    <cellStyle name="60% - Accent2 3 2 3 2" xfId="5651" xr:uid="{56FACCA5-87E7-467A-A6EE-8F1A97040CD0}"/>
    <cellStyle name="60% - Accent2 3 2 3 2 2" xfId="13359" xr:uid="{FD22E643-4350-4ED4-8EB2-5F1360BDA9C2}"/>
    <cellStyle name="60% - Accent2 3 2 3 2 2 2" xfId="28771" xr:uid="{2F8EFF2E-ED93-44CE-9AA6-53ACB0844F97}"/>
    <cellStyle name="60% - Accent2 3 2 3 2 2 2 2" xfId="50029" xr:uid="{CC53C421-3978-4CA3-9020-572906A69113}"/>
    <cellStyle name="60% - Accent2 3 2 3 2 2 3" xfId="50028" xr:uid="{F85C999F-FA86-4BC2-A0D9-27AF7EE70410}"/>
    <cellStyle name="60% - Accent2 3 2 3 2 3" xfId="21066" xr:uid="{A59EAD90-3DDA-477C-ADE8-1837A6DBFD59}"/>
    <cellStyle name="60% - Accent2 3 2 3 2 3 2" xfId="50030" xr:uid="{D6DE2634-2D54-4E79-9E3C-A5ACEE5EA848}"/>
    <cellStyle name="60% - Accent2 3 2 3 2 4" xfId="50027" xr:uid="{C405D7F4-30C5-431E-8A91-9B48AAD80C81}"/>
    <cellStyle name="60% - Accent2 3 2 3 3" xfId="9630" xr:uid="{06EB869F-7A9C-4E3D-94C8-6F66E9F2BB49}"/>
    <cellStyle name="60% - Accent2 3 2 3 3 2" xfId="25043" xr:uid="{5C4262B6-BA07-4710-8CBE-2D9CFC4AA51B}"/>
    <cellStyle name="60% - Accent2 3 2 3 3 2 2" xfId="50032" xr:uid="{9A1E4611-41A0-4CDD-8DA4-912C66B3BD78}"/>
    <cellStyle name="60% - Accent2 3 2 3 3 3" xfId="50031" xr:uid="{68ECEEC8-67D1-4B9C-9C43-CDE5A84577D9}"/>
    <cellStyle name="60% - Accent2 3 2 3 4" xfId="17338" xr:uid="{F89F344A-AD57-4388-96DA-3A11E2589AA5}"/>
    <cellStyle name="60% - Accent2 3 2 3 4 2" xfId="50033" xr:uid="{3D9D7A23-C23B-41AA-9240-E6D2ABDD545F}"/>
    <cellStyle name="60% - Accent2 3 2 3 5" xfId="50026" xr:uid="{789DB5CB-027C-4129-BBA4-0C3B3172BC79}"/>
    <cellStyle name="60% - Accent2 3 2 4" xfId="4174" xr:uid="{0A870630-404D-4F2A-82F9-4723F0685103}"/>
    <cellStyle name="60% - Accent2 3 2 4 2" xfId="11882" xr:uid="{CF366789-8C44-4A7C-BC10-9E1DE713D741}"/>
    <cellStyle name="60% - Accent2 3 2 4 2 2" xfId="27294" xr:uid="{14220474-1AEA-4166-95D7-061628E353F7}"/>
    <cellStyle name="60% - Accent2 3 2 4 2 2 2" xfId="50036" xr:uid="{D3D7F430-E44B-4005-B96E-EBBBC19C36CE}"/>
    <cellStyle name="60% - Accent2 3 2 4 2 3" xfId="50035" xr:uid="{B52619BC-8653-4D7F-9280-6D1488804593}"/>
    <cellStyle name="60% - Accent2 3 2 4 3" xfId="19589" xr:uid="{7BD750CE-A200-45AF-B664-E51DABB11280}"/>
    <cellStyle name="60% - Accent2 3 2 4 3 2" xfId="50037" xr:uid="{91FF5D36-D614-4BA3-9379-F4CA918C9EF0}"/>
    <cellStyle name="60% - Accent2 3 2 4 4" xfId="50034" xr:uid="{0A4132BC-85C4-43E6-97AE-CD4CDCD7DD43}"/>
    <cellStyle name="60% - Accent2 3 2 5" xfId="8171" xr:uid="{CB5C4B42-63F2-4731-AA8E-1A0EB440BDA7}"/>
    <cellStyle name="60% - Accent2 3 2 5 2" xfId="23584" xr:uid="{AE690AF0-310D-4E51-9180-A1F91541E08B}"/>
    <cellStyle name="60% - Accent2 3 2 5 2 2" xfId="50039" xr:uid="{C9F412A5-A971-4DB1-93EF-B8ED921C335A}"/>
    <cellStyle name="60% - Accent2 3 2 5 3" xfId="50038" xr:uid="{9A4A33FB-8D7F-493C-8A0F-6DC30BBA1E43}"/>
    <cellStyle name="60% - Accent2 3 2 6" xfId="15879" xr:uid="{33FEA2F0-D85F-4293-AE2A-1459E86EB812}"/>
    <cellStyle name="60% - Accent2 3 2 6 2" xfId="50040" xr:uid="{FD077AC6-86F0-40D9-842B-C0F59C09DB07}"/>
    <cellStyle name="60% - Accent2 3 2 7" xfId="50009" xr:uid="{D7559006-6AB5-4173-9D6E-9EEF3C2AE0E1}"/>
    <cellStyle name="60% - Accent2 3 3" xfId="889" xr:uid="{6344BE06-A89E-4CB1-AC3D-6EAA28FD5A4B}"/>
    <cellStyle name="60% - Accent2 3 3 2" xfId="2359" xr:uid="{4182D04A-307D-4A19-B9BB-0BACD579BAF8}"/>
    <cellStyle name="60% - Accent2 3 3 2 2" xfId="6091" xr:uid="{AE5F842F-D15C-4028-9FA3-C47496D51E80}"/>
    <cellStyle name="60% - Accent2 3 3 2 2 2" xfId="13799" xr:uid="{C68B1CF6-7498-40F1-AB59-B2E052C8B8B9}"/>
    <cellStyle name="60% - Accent2 3 3 2 2 2 2" xfId="29211" xr:uid="{9DCD9A5A-65DD-4CA0-A301-ADE2BB8F851B}"/>
    <cellStyle name="60% - Accent2 3 3 2 2 2 2 2" xfId="50045" xr:uid="{5D77BC39-C9D2-4766-BCEC-2D4D0E8FED3C}"/>
    <cellStyle name="60% - Accent2 3 3 2 2 2 3" xfId="50044" xr:uid="{135F5594-339E-4940-BD73-7C0BF4FF87D7}"/>
    <cellStyle name="60% - Accent2 3 3 2 2 3" xfId="21506" xr:uid="{29E94236-37BB-4B47-92A5-77CBDBA796AE}"/>
    <cellStyle name="60% - Accent2 3 3 2 2 3 2" xfId="50046" xr:uid="{1ACC4DC5-FD02-47A2-8A56-8A735FBC2E1A}"/>
    <cellStyle name="60% - Accent2 3 3 2 2 4" xfId="50043" xr:uid="{684D0638-2177-4B78-BB7A-F2343C7680EA}"/>
    <cellStyle name="60% - Accent2 3 3 2 3" xfId="10070" xr:uid="{F6BB6743-9FA6-4E1A-AC13-0A004817B5D6}"/>
    <cellStyle name="60% - Accent2 3 3 2 3 2" xfId="25483" xr:uid="{1B94CCB5-96EC-4FF5-8B59-8C39E0EF0C87}"/>
    <cellStyle name="60% - Accent2 3 3 2 3 2 2" xfId="50048" xr:uid="{331464D9-38E6-4634-9721-41F1F3B8CC55}"/>
    <cellStyle name="60% - Accent2 3 3 2 3 3" xfId="50047" xr:uid="{81DC1C57-C832-4AAB-8A6B-ACE6C220FB5A}"/>
    <cellStyle name="60% - Accent2 3 3 2 4" xfId="17778" xr:uid="{57B030D4-B6EB-4839-9EE6-F05E51DF512C}"/>
    <cellStyle name="60% - Accent2 3 3 2 4 2" xfId="50049" xr:uid="{B8871272-3D75-4470-81D4-A2BBACFFE76A}"/>
    <cellStyle name="60% - Accent2 3 3 2 5" xfId="50042" xr:uid="{D1BBB970-56E7-4B3B-923B-75939941CE89}"/>
    <cellStyle name="60% - Accent2 3 3 3" xfId="4626" xr:uid="{FEC2CEE0-247E-403E-B3B6-2CE5F9933B35}"/>
    <cellStyle name="60% - Accent2 3 3 3 2" xfId="12334" xr:uid="{01A5A8A5-767F-4875-854A-4C2AB0919526}"/>
    <cellStyle name="60% - Accent2 3 3 3 2 2" xfId="27746" xr:uid="{EAC288B6-329A-4E0D-BF63-9CB559F56AB6}"/>
    <cellStyle name="60% - Accent2 3 3 3 2 2 2" xfId="50052" xr:uid="{26D6D795-FF53-4A5B-B2ED-565EAA78FF61}"/>
    <cellStyle name="60% - Accent2 3 3 3 2 3" xfId="50051" xr:uid="{77F8BDA2-5A34-4400-B501-B3CB24856268}"/>
    <cellStyle name="60% - Accent2 3 3 3 3" xfId="20041" xr:uid="{08B80399-FBB0-425B-B45C-35B99B22676F}"/>
    <cellStyle name="60% - Accent2 3 3 3 3 2" xfId="50053" xr:uid="{F4F48500-5269-4462-B282-6F7CAC58EC88}"/>
    <cellStyle name="60% - Accent2 3 3 3 4" xfId="50050" xr:uid="{35A92FA0-97C0-42B8-A0DF-09C4CB2049A8}"/>
    <cellStyle name="60% - Accent2 3 3 4" xfId="8611" xr:uid="{B9CD9EAB-59A9-4D00-B655-4FA9B31A6357}"/>
    <cellStyle name="60% - Accent2 3 3 4 2" xfId="24024" xr:uid="{41A829E3-F924-4271-89B8-785A8F38AC5A}"/>
    <cellStyle name="60% - Accent2 3 3 4 2 2" xfId="50055" xr:uid="{22085F6D-FB38-4E5F-84F0-8EB6D9B0818C}"/>
    <cellStyle name="60% - Accent2 3 3 4 3" xfId="50054" xr:uid="{5F34C4C9-6426-496F-BA66-02542CDB4094}"/>
    <cellStyle name="60% - Accent2 3 3 5" xfId="16319" xr:uid="{D2A24FAB-0406-4631-A43D-C1323A306815}"/>
    <cellStyle name="60% - Accent2 3 3 5 2" xfId="50056" xr:uid="{1219ADED-7F27-40A8-B5B1-BF6FB6E05C3F}"/>
    <cellStyle name="60% - Accent2 3 3 6" xfId="50041" xr:uid="{F7B5439A-66DD-4081-881C-E398B70A4D6F}"/>
    <cellStyle name="60% - Accent2 3 4" xfId="1721" xr:uid="{BB44BB16-9C19-421A-BFFD-ADC7CC4A9CE5}"/>
    <cellStyle name="60% - Accent2 3 4 2" xfId="5453" xr:uid="{78EF9579-A692-43F2-BAF2-7509F5029F80}"/>
    <cellStyle name="60% - Accent2 3 4 2 2" xfId="13161" xr:uid="{DC00F064-9BA9-4E6D-9151-B0ABAE54D0FA}"/>
    <cellStyle name="60% - Accent2 3 4 2 2 2" xfId="28573" xr:uid="{967FA899-FDA4-43C0-9023-A3B7BBE04B0D}"/>
    <cellStyle name="60% - Accent2 3 4 2 2 2 2" xfId="50060" xr:uid="{8511E344-7ABA-4AB0-BFD2-3050963EFACF}"/>
    <cellStyle name="60% - Accent2 3 4 2 2 3" xfId="50059" xr:uid="{B04BE686-759F-44DD-9761-D2A8A28B43B2}"/>
    <cellStyle name="60% - Accent2 3 4 2 3" xfId="20868" xr:uid="{CCB8AB98-7CA3-41AE-B9B0-0452C0C047EC}"/>
    <cellStyle name="60% - Accent2 3 4 2 3 2" xfId="50061" xr:uid="{4AA6091A-C800-4AE9-B31A-76788B52BD25}"/>
    <cellStyle name="60% - Accent2 3 4 2 4" xfId="50058" xr:uid="{E3B47ACA-0526-4153-9013-3F48853F54CE}"/>
    <cellStyle name="60% - Accent2 3 4 3" xfId="9432" xr:uid="{F10F1D63-8947-49FE-AB77-DA97BB7611AF}"/>
    <cellStyle name="60% - Accent2 3 4 3 2" xfId="24845" xr:uid="{0A51BBDE-96CF-4952-8079-77F821D82592}"/>
    <cellStyle name="60% - Accent2 3 4 3 2 2" xfId="50063" xr:uid="{B80B3B35-9798-4AF2-9EC4-3AE75AF48228}"/>
    <cellStyle name="60% - Accent2 3 4 3 3" xfId="50062" xr:uid="{BB7C6525-02B5-447F-BC23-C38A7101B995}"/>
    <cellStyle name="60% - Accent2 3 4 4" xfId="17140" xr:uid="{4726815B-3ADA-43D1-AD02-835F651D7302}"/>
    <cellStyle name="60% - Accent2 3 4 4 2" xfId="50064" xr:uid="{75010C23-1B7E-4071-9D13-30A8B597018D}"/>
    <cellStyle name="60% - Accent2 3 4 5" xfId="50057" xr:uid="{0493785C-900E-4BBB-AD42-C35884ED067F}"/>
    <cellStyle name="60% - Accent2 3 5" xfId="3974" xr:uid="{AE41D2F8-688C-49B6-9566-1D5A75C1CDB4}"/>
    <cellStyle name="60% - Accent2 3 5 2" xfId="11682" xr:uid="{1DF26E1C-28D6-4D1D-9FC9-5D0D211A4199}"/>
    <cellStyle name="60% - Accent2 3 5 2 2" xfId="27094" xr:uid="{B4EF7223-BAC6-4E6A-A0C0-7C3F93BBE266}"/>
    <cellStyle name="60% - Accent2 3 5 2 2 2" xfId="50067" xr:uid="{302A7C0D-3886-4DE0-985C-39613357C668}"/>
    <cellStyle name="60% - Accent2 3 5 2 3" xfId="50066" xr:uid="{615F5F06-DB08-4192-9376-5C7F8E5FC15B}"/>
    <cellStyle name="60% - Accent2 3 5 3" xfId="19389" xr:uid="{2891D668-ACA5-49A1-809C-A6B37FE19EE5}"/>
    <cellStyle name="60% - Accent2 3 5 3 2" xfId="50068" xr:uid="{14B3811C-BAE7-44E8-A299-E06A8E28C3A5}"/>
    <cellStyle name="60% - Accent2 3 5 4" xfId="50065" xr:uid="{ACFA42E8-9E8C-4D4E-AD7C-2A4E8943B434}"/>
    <cellStyle name="60% - Accent2 3 6" xfId="7973" xr:uid="{CCD144D6-D530-4A52-818D-BFCDD1FDEDA2}"/>
    <cellStyle name="60% - Accent2 3 6 2" xfId="23386" xr:uid="{9AC3401E-AE95-4241-BD71-36EF2DC52A35}"/>
    <cellStyle name="60% - Accent2 3 6 2 2" xfId="50070" xr:uid="{3381798B-F67C-43AD-AC8F-7BCF1A9BEC37}"/>
    <cellStyle name="60% - Accent2 3 6 3" xfId="50069" xr:uid="{0F28203B-B882-468F-8C06-4CD11CE876C5}"/>
    <cellStyle name="60% - Accent2 3 7" xfId="15681" xr:uid="{A80C2931-AA9B-410B-BB4C-8A1E6D1A1F9A}"/>
    <cellStyle name="60% - Accent2 3 7 2" xfId="50071" xr:uid="{697F2D69-EAC0-47B3-A150-D8955D1F317D}"/>
    <cellStyle name="60% - Accent2 3 8" xfId="50008" xr:uid="{FEA35931-A0FF-451C-B5EF-8F42343889EC}"/>
    <cellStyle name="60% - Accent2 30" xfId="3782" xr:uid="{A8001844-4C58-40BB-83C7-F9D3EF1E5478}"/>
    <cellStyle name="60% - Accent2 30 2" xfId="7513" xr:uid="{BC00F2A6-34D2-452D-8240-5277ECE46A57}"/>
    <cellStyle name="60% - Accent2 30 2 2" xfId="15221" xr:uid="{6BF77C8B-920B-4215-92A5-FDF9E7820C25}"/>
    <cellStyle name="60% - Accent2 30 2 2 2" xfId="30633" xr:uid="{67E92D2B-C13B-4771-ABAA-FF89864A273B}"/>
    <cellStyle name="60% - Accent2 30 2 2 2 2" xfId="50075" xr:uid="{D0FA4EE5-E27F-48D1-BDF2-E0DFA21F1DCC}"/>
    <cellStyle name="60% - Accent2 30 2 2 3" xfId="50074" xr:uid="{031A2166-7ED4-44D3-BD83-0B2021884C8C}"/>
    <cellStyle name="60% - Accent2 30 2 3" xfId="22928" xr:uid="{D540CF8F-801B-4CD4-AE75-D9FFE5D1EE02}"/>
    <cellStyle name="60% - Accent2 30 2 3 2" xfId="50076" xr:uid="{52FE35ED-3C72-4824-9DDA-D318DEAC38F9}"/>
    <cellStyle name="60% - Accent2 30 2 4" xfId="50073" xr:uid="{A488439B-227F-4367-8223-359129590463}"/>
    <cellStyle name="60% - Accent2 30 3" xfId="11492" xr:uid="{048C22E0-0BF4-461B-AA9C-070608BC7D50}"/>
    <cellStyle name="60% - Accent2 30 3 2" xfId="26905" xr:uid="{E8173DAC-A1EB-4552-ACE5-D0AC087C26DF}"/>
    <cellStyle name="60% - Accent2 30 3 2 2" xfId="50078" xr:uid="{97FBBCAC-C299-4A09-A104-7072AB344390}"/>
    <cellStyle name="60% - Accent2 30 3 3" xfId="50077" xr:uid="{96F42C21-CD2B-4E19-B863-9C1D71D63B48}"/>
    <cellStyle name="60% - Accent2 30 4" xfId="19200" xr:uid="{A3C81671-7CB0-4AF0-9C2D-C66DCCA839C8}"/>
    <cellStyle name="60% - Accent2 30 4 2" xfId="50079" xr:uid="{6B3DAF03-B026-4D63-9C35-FDBA283F9080}"/>
    <cellStyle name="60% - Accent2 30 5" xfId="50072" xr:uid="{9DC72FE3-FB19-4683-AF4B-63A1D626A32A}"/>
    <cellStyle name="60% - Accent2 31" xfId="3802" xr:uid="{1B2C16DA-2363-4E32-863B-E0326276ED59}"/>
    <cellStyle name="60% - Accent2 31 2" xfId="7533" xr:uid="{A06A3880-2A15-498C-8476-99D88242BE45}"/>
    <cellStyle name="60% - Accent2 31 2 2" xfId="15241" xr:uid="{5F8E8BDF-DB6F-43DC-A9A9-125E6373DBD8}"/>
    <cellStyle name="60% - Accent2 31 2 2 2" xfId="30653" xr:uid="{45F8B6CD-D3CC-4835-B122-2885767D0E00}"/>
    <cellStyle name="60% - Accent2 31 2 2 2 2" xfId="50083" xr:uid="{6392DD4C-DDA0-4215-9C83-402C8F0B895A}"/>
    <cellStyle name="60% - Accent2 31 2 2 3" xfId="50082" xr:uid="{9A3391DD-5D40-4A2C-AE57-FD40B6D1CB71}"/>
    <cellStyle name="60% - Accent2 31 2 3" xfId="22948" xr:uid="{4A19BBF5-DFF7-4C45-8746-95D93D62FE3A}"/>
    <cellStyle name="60% - Accent2 31 2 3 2" xfId="50084" xr:uid="{EB550124-0D38-47AB-89CA-CE4C6533DDD6}"/>
    <cellStyle name="60% - Accent2 31 2 4" xfId="50081" xr:uid="{05C24F06-4FE3-4A7E-BD8A-DC862463EA09}"/>
    <cellStyle name="60% - Accent2 31 3" xfId="11512" xr:uid="{D3DA27B7-91A8-4883-91EE-3FA8DD364B15}"/>
    <cellStyle name="60% - Accent2 31 3 2" xfId="26925" xr:uid="{3BF7C5E7-5EAC-40B4-9736-1C7DA0F21025}"/>
    <cellStyle name="60% - Accent2 31 3 2 2" xfId="50086" xr:uid="{36E5E06B-4D62-41DE-9F25-C4ED4EF0455A}"/>
    <cellStyle name="60% - Accent2 31 3 3" xfId="50085" xr:uid="{FD42B34E-1970-4015-A266-62AF9F93FAEE}"/>
    <cellStyle name="60% - Accent2 31 4" xfId="19220" xr:uid="{6645E7B6-4F61-418E-98FD-53DC651E17A5}"/>
    <cellStyle name="60% - Accent2 31 4 2" xfId="50087" xr:uid="{09936782-DEAE-449D-9CEC-42B40AFA0FB6}"/>
    <cellStyle name="60% - Accent2 31 5" xfId="50080" xr:uid="{1237EF43-2A17-4EDF-88CC-F0FAF8812E88}"/>
    <cellStyle name="60% - Accent2 32" xfId="3822" xr:uid="{8C121B86-C1B3-4F05-9256-21F2D8063DD3}"/>
    <cellStyle name="60% - Accent2 32 2" xfId="7553" xr:uid="{269958A0-1E7A-4E62-B51A-A4CCEF098E97}"/>
    <cellStyle name="60% - Accent2 32 2 2" xfId="15261" xr:uid="{4F6A519E-B9F9-4083-8BDE-F9FC9240E1FD}"/>
    <cellStyle name="60% - Accent2 32 2 2 2" xfId="30673" xr:uid="{ED1FF91A-0DBA-4F2F-A0A0-C10885315548}"/>
    <cellStyle name="60% - Accent2 32 2 2 2 2" xfId="50091" xr:uid="{32C16B06-EE1F-4C52-A315-930B529A127A}"/>
    <cellStyle name="60% - Accent2 32 2 2 3" xfId="50090" xr:uid="{F006BADF-CD32-4525-B57F-83826BC1FBBD}"/>
    <cellStyle name="60% - Accent2 32 2 3" xfId="22968" xr:uid="{F4653F6C-5261-418E-A038-C4A768369368}"/>
    <cellStyle name="60% - Accent2 32 2 3 2" xfId="50092" xr:uid="{579ECE0C-6D61-49A3-830D-C52EFC83C587}"/>
    <cellStyle name="60% - Accent2 32 2 4" xfId="50089" xr:uid="{E867E78E-E155-4EFD-927F-0FD0DDCF0EFB}"/>
    <cellStyle name="60% - Accent2 32 3" xfId="11532" xr:uid="{28786A9D-F0E2-4BAF-A2E3-8AA2B3DF0950}"/>
    <cellStyle name="60% - Accent2 32 3 2" xfId="26945" xr:uid="{747F168D-C96C-4D4A-A295-F34649ACED39}"/>
    <cellStyle name="60% - Accent2 32 3 2 2" xfId="50094" xr:uid="{F2A7F963-55CD-4D44-8E00-166F3B1CFC4F}"/>
    <cellStyle name="60% - Accent2 32 3 3" xfId="50093" xr:uid="{4DC33A32-239C-4627-BDF5-21574511DC87}"/>
    <cellStyle name="60% - Accent2 32 4" xfId="19240" xr:uid="{61AA256B-195B-4BED-83E1-1763085BABC3}"/>
    <cellStyle name="60% - Accent2 32 4 2" xfId="50095" xr:uid="{45D84E62-6175-4E79-9B44-0656BE614018}"/>
    <cellStyle name="60% - Accent2 32 5" xfId="50088" xr:uid="{EC7FE42D-7C0E-439F-8F92-3A265B0AC964}"/>
    <cellStyle name="60% - Accent2 33" xfId="3843" xr:uid="{2510304A-D38B-40B4-8271-8CB746CF9F22}"/>
    <cellStyle name="60% - Accent2 33 2" xfId="7573" xr:uid="{1F79B6B6-2E41-4A13-8538-ADD08EC371F5}"/>
    <cellStyle name="60% - Accent2 33 2 2" xfId="15281" xr:uid="{B7009EE5-AD77-4766-92B5-AFB42733DB1E}"/>
    <cellStyle name="60% - Accent2 33 2 2 2" xfId="30693" xr:uid="{6C587380-B646-44BE-B858-0BB5B197BA4C}"/>
    <cellStyle name="60% - Accent2 33 2 2 2 2" xfId="50099" xr:uid="{C87CA412-4071-4C3D-BFF5-BA717F1FB7E1}"/>
    <cellStyle name="60% - Accent2 33 2 2 3" xfId="50098" xr:uid="{346B476D-3F33-45BD-9475-44D4FC538DAC}"/>
    <cellStyle name="60% - Accent2 33 2 3" xfId="22988" xr:uid="{CA5C9C2C-2E91-44AE-9B74-F4750CC8598B}"/>
    <cellStyle name="60% - Accent2 33 2 3 2" xfId="50100" xr:uid="{470981D2-4720-40A6-9EEC-FA2747FFB0BF}"/>
    <cellStyle name="60% - Accent2 33 2 4" xfId="50097" xr:uid="{86CD9C7A-D097-4606-80E0-772E04F54953}"/>
    <cellStyle name="60% - Accent2 33 3" xfId="11553" xr:uid="{972DEB2D-0E29-4BEA-992D-4EC9D4111061}"/>
    <cellStyle name="60% - Accent2 33 3 2" xfId="26965" xr:uid="{4FDAC3F6-2370-4B79-B05E-47BC2AABD841}"/>
    <cellStyle name="60% - Accent2 33 3 2 2" xfId="50102" xr:uid="{6C14B905-E56A-4143-9B66-329CCE68E06A}"/>
    <cellStyle name="60% - Accent2 33 3 3" xfId="50101" xr:uid="{813944D9-7C5A-44DA-AF7E-8C686A6A9CD8}"/>
    <cellStyle name="60% - Accent2 33 4" xfId="19260" xr:uid="{CE0AF0AF-A1A2-4F21-A5DA-979E21F81F96}"/>
    <cellStyle name="60% - Accent2 33 4 2" xfId="50103" xr:uid="{B7C26C3E-9E25-4BD6-BC1A-72BD98FBE839}"/>
    <cellStyle name="60% - Accent2 33 5" xfId="50096" xr:uid="{868378C2-1428-4804-B227-3E287B44E510}"/>
    <cellStyle name="60% - Accent2 34" xfId="3862" xr:uid="{E675FE23-21F9-46C4-94F7-F884EA9A1179}"/>
    <cellStyle name="60% - Accent2 34 2" xfId="11572" xr:uid="{59E236B8-2C79-4EBC-80F3-4CA4CE93151F}"/>
    <cellStyle name="60% - Accent2 34 2 2" xfId="26984" xr:uid="{2987E928-8CBB-41F7-9FE5-63C87A48441B}"/>
    <cellStyle name="60% - Accent2 34 2 2 2" xfId="50106" xr:uid="{597E33D1-583F-4AB8-9DB0-797A6D01E0DA}"/>
    <cellStyle name="60% - Accent2 34 2 3" xfId="50105" xr:uid="{08522337-0E50-432E-8C60-2B2FBBDE69BC}"/>
    <cellStyle name="60% - Accent2 34 3" xfId="19279" xr:uid="{C3C4FCB1-813A-4149-AB50-2539F89023C0}"/>
    <cellStyle name="60% - Accent2 34 3 2" xfId="50107" xr:uid="{CB0C075E-5C99-4CA6-8523-500ADEEA7353}"/>
    <cellStyle name="60% - Accent2 34 4" xfId="50104" xr:uid="{8F6E06AB-7D53-4792-8ADD-CDDC87DDF0EB}"/>
    <cellStyle name="60% - Accent2 35" xfId="7593" xr:uid="{30681869-2407-4E02-BF10-65B72AC0DCE5}"/>
    <cellStyle name="60% - Accent2 35 2" xfId="15301" xr:uid="{FCAD2519-42DF-4EA0-B639-D15BA4D47B5F}"/>
    <cellStyle name="60% - Accent2 35 2 2" xfId="30713" xr:uid="{A05EC786-6934-41B3-B4F4-54F708717F8C}"/>
    <cellStyle name="60% - Accent2 35 2 2 2" xfId="50110" xr:uid="{0FB34E9C-D544-46D5-A163-643E69E9554E}"/>
    <cellStyle name="60% - Accent2 35 2 3" xfId="50109" xr:uid="{CFA05FE9-1BAC-49C2-86D2-C5925ADD866E}"/>
    <cellStyle name="60% - Accent2 35 3" xfId="23008" xr:uid="{1D406AB3-26CB-48CC-8DFE-D38B15874DED}"/>
    <cellStyle name="60% - Accent2 35 3 2" xfId="50111" xr:uid="{CCB47F22-8575-4175-8947-49712B420A75}"/>
    <cellStyle name="60% - Accent2 35 4" xfId="50108" xr:uid="{F73AC7E2-2870-4BEF-90DD-2E77A9D70B0F}"/>
    <cellStyle name="60% - Accent2 36" xfId="7613" xr:uid="{0F908DBA-67AD-47F7-A21F-FD29F25B0D4D}"/>
    <cellStyle name="60% - Accent2 36 2" xfId="15321" xr:uid="{06B1DFC0-141C-446D-A105-06ED34675D97}"/>
    <cellStyle name="60% - Accent2 36 2 2" xfId="30733" xr:uid="{62789D77-0811-4CF5-AD09-8F958D917A25}"/>
    <cellStyle name="60% - Accent2 36 2 2 2" xfId="50114" xr:uid="{E791C3F9-39D0-41C4-A721-938A5AC5BBB1}"/>
    <cellStyle name="60% - Accent2 36 2 3" xfId="50113" xr:uid="{296708DB-702D-457F-81D6-B4B9C675676A}"/>
    <cellStyle name="60% - Accent2 36 3" xfId="23028" xr:uid="{F6BD6BB5-AB9E-4125-BA9B-2DB88C2E0377}"/>
    <cellStyle name="60% - Accent2 36 3 2" xfId="50115" xr:uid="{F4524D93-28CB-4812-A85C-98984DAECF67}"/>
    <cellStyle name="60% - Accent2 36 4" xfId="50112" xr:uid="{91F11D41-CECE-480A-BD07-00D533E11236}"/>
    <cellStyle name="60% - Accent2 37" xfId="7633" xr:uid="{9607A1C1-E8FB-4319-BCFC-C18BCA3A6A6F}"/>
    <cellStyle name="60% - Accent2 37 2" xfId="15341" xr:uid="{B6B1549D-504E-4676-A3DE-BAB005E2CBC8}"/>
    <cellStyle name="60% - Accent2 37 2 2" xfId="30753" xr:uid="{398F8E70-CDE9-4365-A811-B6E2BD1BD1F1}"/>
    <cellStyle name="60% - Accent2 37 2 2 2" xfId="50118" xr:uid="{DA532641-344F-463B-94F0-C48F04F7BAA6}"/>
    <cellStyle name="60% - Accent2 37 2 3" xfId="50117" xr:uid="{8C99B522-13F5-4685-AB0B-D13C0C0412CE}"/>
    <cellStyle name="60% - Accent2 37 3" xfId="23048" xr:uid="{A7683F60-1571-4B97-B8A1-13237B7CE66A}"/>
    <cellStyle name="60% - Accent2 37 3 2" xfId="50119" xr:uid="{95AAA6B2-6BAE-4098-AE56-FFB12F2D2175}"/>
    <cellStyle name="60% - Accent2 37 4" xfId="50116" xr:uid="{690C6ABB-4252-4616-B90B-E4C83AC3F386}"/>
    <cellStyle name="60% - Accent2 38" xfId="7653" xr:uid="{28BC54D5-8508-4196-A827-4CE3AB53991B}"/>
    <cellStyle name="60% - Accent2 38 2" xfId="15361" xr:uid="{6E2FEE29-6E4F-470E-81DF-6E59803DAFEA}"/>
    <cellStyle name="60% - Accent2 38 2 2" xfId="30773" xr:uid="{BA58470F-EE1E-4EE1-B9AC-6BA648C06BD2}"/>
    <cellStyle name="60% - Accent2 38 2 2 2" xfId="50122" xr:uid="{1B77EFC1-0C2F-4FC4-98F3-F7B2DEB20123}"/>
    <cellStyle name="60% - Accent2 38 2 3" xfId="50121" xr:uid="{4ECFDA11-58FB-46A0-A3BF-6B92FA373925}"/>
    <cellStyle name="60% - Accent2 38 3" xfId="23068" xr:uid="{294ABB9C-1920-497E-B5D9-7BD29DD48505}"/>
    <cellStyle name="60% - Accent2 38 3 2" xfId="50123" xr:uid="{C6CE8CDE-5A54-463E-9FB4-64FADAD82F4F}"/>
    <cellStyle name="60% - Accent2 38 4" xfId="50120" xr:uid="{ED301241-4AB3-4AC5-BD31-19943FA7125C}"/>
    <cellStyle name="60% - Accent2 39" xfId="7673" xr:uid="{1A2B5497-86B8-4B50-A492-7E2E0831DBEA}"/>
    <cellStyle name="60% - Accent2 39 2" xfId="15381" xr:uid="{CF05DA81-7654-4408-91D8-C5BCA1CEF846}"/>
    <cellStyle name="60% - Accent2 39 2 2" xfId="30793" xr:uid="{730DC085-6AFF-48AD-AE4D-A0019D85B4C5}"/>
    <cellStyle name="60% - Accent2 39 2 2 2" xfId="50126" xr:uid="{231B5FE8-8CC0-402D-B8BE-18CAF1FC42B6}"/>
    <cellStyle name="60% - Accent2 39 2 3" xfId="50125" xr:uid="{6C60638A-A02A-47E3-8BE7-B1873C1BED60}"/>
    <cellStyle name="60% - Accent2 39 3" xfId="23088" xr:uid="{DE5761F2-C4C9-44B9-BE33-43C9A12310A3}"/>
    <cellStyle name="60% - Accent2 39 3 2" xfId="50127" xr:uid="{2106AC2F-FFAA-4370-BE45-DD012691FFF5}"/>
    <cellStyle name="60% - Accent2 39 4" xfId="50124" xr:uid="{5D2EC810-8181-400E-B978-ACD8C5D22BD9}"/>
    <cellStyle name="60% - Accent2 4" xfId="325" xr:uid="{BEC8F49F-40FC-487D-85F7-10FB8624EE17}"/>
    <cellStyle name="60% - Accent2 4 2" xfId="989" xr:uid="{70DD75FC-C0F6-4579-A631-043C0012598E}"/>
    <cellStyle name="60% - Accent2 4 2 2" xfId="2459" xr:uid="{B6BBA9D1-1F8A-4199-937E-B0959107DD34}"/>
    <cellStyle name="60% - Accent2 4 2 2 2" xfId="6191" xr:uid="{2E1922C1-D128-4BED-A26A-9FCCCCB690E5}"/>
    <cellStyle name="60% - Accent2 4 2 2 2 2" xfId="13899" xr:uid="{6C63F0A0-AC84-4F42-999D-1962681BFFE1}"/>
    <cellStyle name="60% - Accent2 4 2 2 2 2 2" xfId="29311" xr:uid="{600A0CB9-3C38-40C1-A6FA-C07217053E2D}"/>
    <cellStyle name="60% - Accent2 4 2 2 2 2 2 2" xfId="50133" xr:uid="{A4C99057-B489-449A-84E5-5B50E0D09FE0}"/>
    <cellStyle name="60% - Accent2 4 2 2 2 2 3" xfId="50132" xr:uid="{19CF8D48-D110-4D0A-A3C5-61913474747A}"/>
    <cellStyle name="60% - Accent2 4 2 2 2 3" xfId="21606" xr:uid="{870EC684-6C4D-4D66-BBE6-0D35B9A8DBD2}"/>
    <cellStyle name="60% - Accent2 4 2 2 2 3 2" xfId="50134" xr:uid="{59D631AD-9784-453B-80F2-F2787CA9AE92}"/>
    <cellStyle name="60% - Accent2 4 2 2 2 4" xfId="50131" xr:uid="{9888C6F0-C55E-46A0-BEF4-D1D4DBBC8EEF}"/>
    <cellStyle name="60% - Accent2 4 2 2 3" xfId="10170" xr:uid="{47D5538B-600E-4317-B69B-4275B682C6BF}"/>
    <cellStyle name="60% - Accent2 4 2 2 3 2" xfId="25583" xr:uid="{135AA347-1A0A-4D7E-AA1A-693D0911B3AF}"/>
    <cellStyle name="60% - Accent2 4 2 2 3 2 2" xfId="50136" xr:uid="{9F753CC2-B268-4F35-BBEA-A5604AFA8662}"/>
    <cellStyle name="60% - Accent2 4 2 2 3 3" xfId="50135" xr:uid="{85D872F5-EE8E-405C-9984-9C4EC010D3F3}"/>
    <cellStyle name="60% - Accent2 4 2 2 4" xfId="17878" xr:uid="{47F87026-E8C4-4726-9F67-931BA2C54E98}"/>
    <cellStyle name="60% - Accent2 4 2 2 4 2" xfId="50137" xr:uid="{F906948E-5908-4A78-A47E-06EDAA74DA4C}"/>
    <cellStyle name="60% - Accent2 4 2 2 5" xfId="50130" xr:uid="{23840B56-512A-4F15-9497-E6B15EFDF071}"/>
    <cellStyle name="60% - Accent2 4 2 3" xfId="4726" xr:uid="{FDD7ADD7-44CB-4ABD-B7E2-FDB03CA11793}"/>
    <cellStyle name="60% - Accent2 4 2 3 2" xfId="12434" xr:uid="{404D415B-A8DB-48F6-9D56-BE258F805FEE}"/>
    <cellStyle name="60% - Accent2 4 2 3 2 2" xfId="27846" xr:uid="{09931E39-A2B4-4826-BB7D-E53B3AF761CA}"/>
    <cellStyle name="60% - Accent2 4 2 3 2 2 2" xfId="50140" xr:uid="{FBB4821A-B586-47E5-9808-1A64AB50F2ED}"/>
    <cellStyle name="60% - Accent2 4 2 3 2 3" xfId="50139" xr:uid="{C6074945-7AA7-4A31-9B59-3D5D997907C3}"/>
    <cellStyle name="60% - Accent2 4 2 3 3" xfId="20141" xr:uid="{62AE56C4-D885-4202-9735-CD8770DFB9CC}"/>
    <cellStyle name="60% - Accent2 4 2 3 3 2" xfId="50141" xr:uid="{E69387F1-DAD7-48A6-8FAB-3D7E2C23D783}"/>
    <cellStyle name="60% - Accent2 4 2 3 4" xfId="50138" xr:uid="{69A48F9C-0CD8-41A2-A8F1-2D670651F5AC}"/>
    <cellStyle name="60% - Accent2 4 2 4" xfId="8711" xr:uid="{C4C04A9B-B4C9-4A7E-BBE9-6EB963F799E9}"/>
    <cellStyle name="60% - Accent2 4 2 4 2" xfId="24124" xr:uid="{07F03AD7-CF72-4E02-80C8-6BF475CBD09B}"/>
    <cellStyle name="60% - Accent2 4 2 4 2 2" xfId="50143" xr:uid="{CE6CE0E3-A170-4077-AAE8-09E3A83395E4}"/>
    <cellStyle name="60% - Accent2 4 2 4 3" xfId="50142" xr:uid="{527CB726-1212-4EEC-9445-33029D24C52B}"/>
    <cellStyle name="60% - Accent2 4 2 5" xfId="16419" xr:uid="{6026ED25-33E3-4E55-8D4E-4104489F53DC}"/>
    <cellStyle name="60% - Accent2 4 2 5 2" xfId="50144" xr:uid="{7BEB9C4F-EB7B-4B04-A74A-0B417C0CC6F3}"/>
    <cellStyle name="60% - Accent2 4 2 6" xfId="50129" xr:uid="{5172F2D1-0047-4DF1-9EE0-DA00BC8C70F5}"/>
    <cellStyle name="60% - Accent2 4 3" xfId="1821" xr:uid="{BAF0A177-3BED-4193-9472-B98E6AF000C1}"/>
    <cellStyle name="60% - Accent2 4 3 2" xfId="5553" xr:uid="{44423179-C99A-433D-B1A6-F46D01D027DB}"/>
    <cellStyle name="60% - Accent2 4 3 2 2" xfId="13261" xr:uid="{DB19BF87-A71F-421D-A284-4670515B45E7}"/>
    <cellStyle name="60% - Accent2 4 3 2 2 2" xfId="28673" xr:uid="{00F4A986-0421-48E8-AB09-A26A0A6DAF1E}"/>
    <cellStyle name="60% - Accent2 4 3 2 2 2 2" xfId="50148" xr:uid="{E7D0806E-9947-4E06-945B-E711C4E72873}"/>
    <cellStyle name="60% - Accent2 4 3 2 2 3" xfId="50147" xr:uid="{A80FE443-A6EB-488F-B9E9-5A15611A7BDD}"/>
    <cellStyle name="60% - Accent2 4 3 2 3" xfId="20968" xr:uid="{0AEED8C1-71DF-473D-A7A1-2CFD95365E72}"/>
    <cellStyle name="60% - Accent2 4 3 2 3 2" xfId="50149" xr:uid="{6BFB76A9-B9F0-489B-9D8F-BB71F497046F}"/>
    <cellStyle name="60% - Accent2 4 3 2 4" xfId="50146" xr:uid="{41C41BFD-9473-4FA4-86EB-5F02F871AC0D}"/>
    <cellStyle name="60% - Accent2 4 3 3" xfId="9532" xr:uid="{0CCDCD38-63BB-4F4F-916B-19C4A7FF810D}"/>
    <cellStyle name="60% - Accent2 4 3 3 2" xfId="24945" xr:uid="{5C843513-7DE4-4FC3-84E0-9964851C6E80}"/>
    <cellStyle name="60% - Accent2 4 3 3 2 2" xfId="50151" xr:uid="{185253A6-C1EA-40FF-88C6-23F713A114DD}"/>
    <cellStyle name="60% - Accent2 4 3 3 3" xfId="50150" xr:uid="{F9F56BA0-5BD0-4A71-91D0-C9A8382F9FF0}"/>
    <cellStyle name="60% - Accent2 4 3 4" xfId="17240" xr:uid="{364F81C4-0873-4E27-8CB7-32F345F6082F}"/>
    <cellStyle name="60% - Accent2 4 3 4 2" xfId="50152" xr:uid="{C3A63BF2-4EEA-4687-961F-A424E017D49F}"/>
    <cellStyle name="60% - Accent2 4 3 5" xfId="50145" xr:uid="{19943C5A-3AB0-4A20-B2CA-03D3E7EE94FD}"/>
    <cellStyle name="60% - Accent2 4 4" xfId="4074" xr:uid="{FA945A49-D463-4BEF-BFAF-2D5290B5FDEA}"/>
    <cellStyle name="60% - Accent2 4 4 2" xfId="11782" xr:uid="{41B12366-194E-476B-AC05-6CDB94D4BD89}"/>
    <cellStyle name="60% - Accent2 4 4 2 2" xfId="27194" xr:uid="{112A23B9-132C-4705-8557-0F64E5DBC17C}"/>
    <cellStyle name="60% - Accent2 4 4 2 2 2" xfId="50155" xr:uid="{6EC73173-C70D-49BA-82AD-03BF42E3ED98}"/>
    <cellStyle name="60% - Accent2 4 4 2 3" xfId="50154" xr:uid="{EEA1EF2C-9FA9-4283-9CD1-A8DB6B20BBA1}"/>
    <cellStyle name="60% - Accent2 4 4 3" xfId="19489" xr:uid="{D326341F-23A1-4C41-843B-27C7D09021F4}"/>
    <cellStyle name="60% - Accent2 4 4 3 2" xfId="50156" xr:uid="{1DEF075B-228F-4EBE-8523-4DE285F7DB75}"/>
    <cellStyle name="60% - Accent2 4 4 4" xfId="50153" xr:uid="{6E90B598-C768-4176-88F8-CDF24B4ED2BB}"/>
    <cellStyle name="60% - Accent2 4 5" xfId="8073" xr:uid="{FEF072AB-F83D-4F02-AC68-10450EC879A2}"/>
    <cellStyle name="60% - Accent2 4 5 2" xfId="23486" xr:uid="{A7C1E5FA-8133-46E2-8A9F-280E483DC58B}"/>
    <cellStyle name="60% - Accent2 4 5 2 2" xfId="50158" xr:uid="{D2F5E31C-6488-4033-9396-0447B0746725}"/>
    <cellStyle name="60% - Accent2 4 5 3" xfId="50157" xr:uid="{E877E71A-023F-477D-98F4-10830A13B57B}"/>
    <cellStyle name="60% - Accent2 4 6" xfId="15781" xr:uid="{3C2F8DE9-48AE-45C7-85F5-1679EF3A6BF4}"/>
    <cellStyle name="60% - Accent2 4 6 2" xfId="50159" xr:uid="{D6496D36-23AB-4202-A64C-BA7884519E44}"/>
    <cellStyle name="60% - Accent2 4 7" xfId="50128" xr:uid="{723A4EAA-83B5-4429-A169-8C1291F8F258}"/>
    <cellStyle name="60% - Accent2 40" xfId="7693" xr:uid="{4B2CA583-F22B-458A-B8C6-5DFCFB380073}"/>
    <cellStyle name="60% - Accent2 40 2" xfId="15401" xr:uid="{092DD9C6-41A3-438C-8C17-D6EB76C1B16A}"/>
    <cellStyle name="60% - Accent2 40 2 2" xfId="30813" xr:uid="{F224706D-340E-41DD-8BB7-156FA52AEBC4}"/>
    <cellStyle name="60% - Accent2 40 2 2 2" xfId="50162" xr:uid="{8820E6CB-2A7D-43A3-8351-C30CAEC61764}"/>
    <cellStyle name="60% - Accent2 40 2 3" xfId="50161" xr:uid="{510479E6-CC56-4840-9892-638A6102F526}"/>
    <cellStyle name="60% - Accent2 40 3" xfId="23108" xr:uid="{92AD493F-FC63-497F-B47C-0D9F08F2E0E4}"/>
    <cellStyle name="60% - Accent2 40 3 2" xfId="50163" xr:uid="{3BB747CB-071A-4BBA-B670-98CA155E216C}"/>
    <cellStyle name="60% - Accent2 40 4" xfId="50160" xr:uid="{E05B0BC1-179F-42B0-9DA6-DACEC6387E0F}"/>
    <cellStyle name="60% - Accent2 41" xfId="7713" xr:uid="{7A4EE1B8-05E8-4C46-A695-631DF1CF6AEB}"/>
    <cellStyle name="60% - Accent2 41 2" xfId="15421" xr:uid="{F7D6FBBE-ADE8-4340-A900-3D17761D89BF}"/>
    <cellStyle name="60% - Accent2 41 2 2" xfId="30833" xr:uid="{42FB84C8-1D72-46EB-8467-73E69D6ECD88}"/>
    <cellStyle name="60% - Accent2 41 2 2 2" xfId="50166" xr:uid="{CC09B812-89E9-4DE1-9331-C252889F3161}"/>
    <cellStyle name="60% - Accent2 41 2 3" xfId="50165" xr:uid="{371E361E-F7FC-4661-B0B0-3EE64D1B46B6}"/>
    <cellStyle name="60% - Accent2 41 3" xfId="23128" xr:uid="{4D828F41-02C3-4B02-9617-6E06743DC2FD}"/>
    <cellStyle name="60% - Accent2 41 3 2" xfId="50167" xr:uid="{0C25CD4A-7072-47F0-BB17-658D023E613D}"/>
    <cellStyle name="60% - Accent2 41 4" xfId="50164" xr:uid="{23E83DCC-A40F-4369-88B3-C4A9344945F4}"/>
    <cellStyle name="60% - Accent2 42" xfId="7733" xr:uid="{9778BD2A-050E-4F75-8959-CE35A8AA98B2}"/>
    <cellStyle name="60% - Accent2 42 2" xfId="15441" xr:uid="{06C0D071-A573-42FF-9B93-E0E4C3C6429C}"/>
    <cellStyle name="60% - Accent2 42 2 2" xfId="30853" xr:uid="{B602A16A-20C9-41A2-B3A4-FAA333FF1A20}"/>
    <cellStyle name="60% - Accent2 42 2 2 2" xfId="50170" xr:uid="{E14362F9-9994-4E05-9EF6-18FDEA08F144}"/>
    <cellStyle name="60% - Accent2 42 2 3" xfId="50169" xr:uid="{C8F8EFF3-CFF7-43AE-B5FB-BB83CFD05C7F}"/>
    <cellStyle name="60% - Accent2 42 3" xfId="23148" xr:uid="{05C29297-5DE8-408A-897E-30D75A9BA5A6}"/>
    <cellStyle name="60% - Accent2 42 3 2" xfId="50171" xr:uid="{D9227039-FDA5-488C-86F9-CB3BF1AEE3D4}"/>
    <cellStyle name="60% - Accent2 42 4" xfId="50168" xr:uid="{6BA4F380-4D0A-4697-BEB3-15A2195DD929}"/>
    <cellStyle name="60% - Accent2 43" xfId="7753" xr:uid="{6F6B46E7-5352-4237-8A4B-ED5402FBE6F9}"/>
    <cellStyle name="60% - Accent2 43 2" xfId="15461" xr:uid="{7BDD1463-4115-45B6-8149-86111F24952F}"/>
    <cellStyle name="60% - Accent2 43 2 2" xfId="30873" xr:uid="{5677A27F-9C9A-43C7-998A-BCD63FE26231}"/>
    <cellStyle name="60% - Accent2 43 2 2 2" xfId="50174" xr:uid="{C074AA6E-EE8D-4B21-B080-5E38E1FCE3F1}"/>
    <cellStyle name="60% - Accent2 43 2 3" xfId="50173" xr:uid="{C1E13106-81D7-4291-8ED2-2727F797FDDF}"/>
    <cellStyle name="60% - Accent2 43 3" xfId="23168" xr:uid="{CC8CECCD-B493-4EFC-B227-886727CDE9A8}"/>
    <cellStyle name="60% - Accent2 43 3 2" xfId="50175" xr:uid="{EDD915E2-A607-47A1-A982-5D1B40230FEF}"/>
    <cellStyle name="60% - Accent2 43 4" xfId="50172" xr:uid="{BCD8C2F2-F26F-4540-A4E5-6EC2A070F16B}"/>
    <cellStyle name="60% - Accent2 44" xfId="7773" xr:uid="{F6CA8585-7E41-45F7-B67D-9E15BBB7420F}"/>
    <cellStyle name="60% - Accent2 44 2" xfId="15481" xr:uid="{1C8E97EA-82D7-4711-9A50-AB5FAC35948D}"/>
    <cellStyle name="60% - Accent2 44 2 2" xfId="30893" xr:uid="{0524FC93-32C6-4AAE-BB38-15EC55550316}"/>
    <cellStyle name="60% - Accent2 44 2 2 2" xfId="50178" xr:uid="{98358E64-07B5-4677-84FB-829BADED45ED}"/>
    <cellStyle name="60% - Accent2 44 2 3" xfId="50177" xr:uid="{3CCA97C8-983F-48E2-98CA-E4B12C6F0846}"/>
    <cellStyle name="60% - Accent2 44 3" xfId="23188" xr:uid="{F8A19790-BF1E-4548-B3BB-8DD81C087591}"/>
    <cellStyle name="60% - Accent2 44 3 2" xfId="50179" xr:uid="{B3132597-E9BA-42E8-8BEC-EDFABBE71BBE}"/>
    <cellStyle name="60% - Accent2 44 4" xfId="50176" xr:uid="{39A4F156-6ABD-449C-A284-FE9F597FF1DF}"/>
    <cellStyle name="60% - Accent2 45" xfId="7793" xr:uid="{D9E46AA2-8041-4C60-88B7-2006FB986D0F}"/>
    <cellStyle name="60% - Accent2 45 2" xfId="15501" xr:uid="{24D64CFA-7136-4481-9E6C-627F6D37E2F2}"/>
    <cellStyle name="60% - Accent2 45 2 2" xfId="30913" xr:uid="{6C23AE74-F3EE-4908-8637-23493AA64D78}"/>
    <cellStyle name="60% - Accent2 45 2 2 2" xfId="50182" xr:uid="{DBE30B3D-EFDA-4C5C-A218-171326D925B9}"/>
    <cellStyle name="60% - Accent2 45 2 3" xfId="50181" xr:uid="{903A65FE-6DB9-4281-A7A1-E88F6BF5E321}"/>
    <cellStyle name="60% - Accent2 45 3" xfId="23208" xr:uid="{5C5A1806-D36B-467F-B79C-0AB732200F2C}"/>
    <cellStyle name="60% - Accent2 45 3 2" xfId="50183" xr:uid="{C254B10B-EDF3-403C-81DD-6D94A5691C35}"/>
    <cellStyle name="60% - Accent2 45 4" xfId="50180" xr:uid="{661E245F-BF87-4A9E-9782-CCBC43A04618}"/>
    <cellStyle name="60% - Accent2 46" xfId="7815" xr:uid="{CBFE009B-B859-4202-A755-B0BE9EB279BC}"/>
    <cellStyle name="60% - Accent2 46 2" xfId="15523" xr:uid="{EF6EF4B5-25EA-4532-AC07-064691DE2413}"/>
    <cellStyle name="60% - Accent2 46 2 2" xfId="30935" xr:uid="{49717412-6D41-40AE-9B46-65130067FA40}"/>
    <cellStyle name="60% - Accent2 46 2 2 2" xfId="50186" xr:uid="{4AD3A13A-14F0-4DB7-8843-A542B17EF5D7}"/>
    <cellStyle name="60% - Accent2 46 2 3" xfId="50185" xr:uid="{D6C897F3-7DE8-4C78-A5B7-66A5012461E6}"/>
    <cellStyle name="60% - Accent2 46 3" xfId="23230" xr:uid="{3B5C57C5-B6EE-4252-8F23-A901EDE7953B}"/>
    <cellStyle name="60% - Accent2 46 3 2" xfId="50187" xr:uid="{113020A0-1498-4101-ABCB-30EF3F56FAF7}"/>
    <cellStyle name="60% - Accent2 46 4" xfId="50184" xr:uid="{B4497F1B-1BA4-4AC7-BDEA-4E11392461C9}"/>
    <cellStyle name="60% - Accent2 47" xfId="7836" xr:uid="{5A8ECDD9-CA4E-420D-840D-1E2B1FA73B66}"/>
    <cellStyle name="60% - Accent2 47 2" xfId="15544" xr:uid="{3428B089-35A3-4F5F-9781-ADD9BC840D91}"/>
    <cellStyle name="60% - Accent2 47 2 2" xfId="30955" xr:uid="{5482F2E1-08C9-40C6-B317-3917515FCCD8}"/>
    <cellStyle name="60% - Accent2 47 2 2 2" xfId="50190" xr:uid="{EE0EB05D-1EA1-4581-873C-58F622BBA5AA}"/>
    <cellStyle name="60% - Accent2 47 2 3" xfId="50189" xr:uid="{94A2A40C-8280-43B2-8BF8-F7E4CCB26F60}"/>
    <cellStyle name="60% - Accent2 47 3" xfId="23250" xr:uid="{A525C831-001C-43CA-8A9C-A031E015FC80}"/>
    <cellStyle name="60% - Accent2 47 3 2" xfId="50191" xr:uid="{5332373F-E938-4C66-B533-AE70EB75FA18}"/>
    <cellStyle name="60% - Accent2 47 4" xfId="50188" xr:uid="{E764F491-F8C8-4743-AA6D-C865EEEA25A2}"/>
    <cellStyle name="60% - Accent2 48" xfId="7856" xr:uid="{361A7D46-CC00-44E8-8DBA-963E559F918A}"/>
    <cellStyle name="60% - Accent2 48 2" xfId="15564" xr:uid="{32814DDE-EE14-4405-8160-0B55790613F0}"/>
    <cellStyle name="60% - Accent2 48 2 2" xfId="30975" xr:uid="{39825699-FACE-4838-AA40-2379FE2E89E5}"/>
    <cellStyle name="60% - Accent2 48 2 2 2" xfId="50194" xr:uid="{1AD6095E-F7E0-47BA-9A06-3F95D7ED37B2}"/>
    <cellStyle name="60% - Accent2 48 2 3" xfId="50193" xr:uid="{E5A0A3F8-C36B-4FDD-999C-8C4A04F6E3C3}"/>
    <cellStyle name="60% - Accent2 48 3" xfId="23270" xr:uid="{B63CF539-9A4D-42B2-ACB3-4CAB2B3B0D3A}"/>
    <cellStyle name="60% - Accent2 48 3 2" xfId="50195" xr:uid="{97FC1D29-AF1B-45B7-8DA5-BE627EF3BEED}"/>
    <cellStyle name="60% - Accent2 48 4" xfId="50192" xr:uid="{EBD9E5B0-D7EF-44B9-A10E-D01C37DB78FC}"/>
    <cellStyle name="60% - Accent2 49" xfId="7909" xr:uid="{5D907DEA-64B8-4669-A93E-CE1F9A4FD106}"/>
    <cellStyle name="60% - Accent2 49 2" xfId="23322" xr:uid="{5B053C01-B917-40FE-AD64-254449999944}"/>
    <cellStyle name="60% - Accent2 49 2 2" xfId="50197" xr:uid="{0BA87B0F-D4B5-4103-A6F5-A22395BE50F1}"/>
    <cellStyle name="60% - Accent2 49 3" xfId="50196" xr:uid="{00C3F023-0D0D-45D1-961A-EADE47279F1D}"/>
    <cellStyle name="60% - Accent2 5" xfId="1618" xr:uid="{0FB2D80D-9A51-46F9-A7B4-2A5B696D9A28}"/>
    <cellStyle name="60% - Accent2 5 2" xfId="5353" xr:uid="{25971CF4-C1BE-4B53-8544-0EAEBA0006F9}"/>
    <cellStyle name="60% - Accent2 5 2 2" xfId="13061" xr:uid="{0C967FEE-C505-4CAB-8B5B-E297558D0166}"/>
    <cellStyle name="60% - Accent2 5 2 2 2" xfId="28473" xr:uid="{9E9E8657-7F18-4429-BBFA-3C4C9E0F79F7}"/>
    <cellStyle name="60% - Accent2 5 2 2 2 2" xfId="50201" xr:uid="{FA70DA66-5B44-4DB7-AA66-FADF82212B06}"/>
    <cellStyle name="60% - Accent2 5 2 2 3" xfId="50200" xr:uid="{B4BF53AC-3CA3-4610-88C3-0FE1AD785934}"/>
    <cellStyle name="60% - Accent2 5 2 3" xfId="20768" xr:uid="{0F665AC7-3086-46EE-B9F8-68F99309777C}"/>
    <cellStyle name="60% - Accent2 5 2 3 2" xfId="50202" xr:uid="{EA74989F-F049-47A8-9AF5-460AA8589935}"/>
    <cellStyle name="60% - Accent2 5 2 4" xfId="50199" xr:uid="{B163D3EB-9C55-4534-B84C-55D918519457}"/>
    <cellStyle name="60% - Accent2 5 3" xfId="9334" xr:uid="{48A3296F-5CD5-4BB3-9956-F1BCF2E198D9}"/>
    <cellStyle name="60% - Accent2 5 3 2" xfId="24747" xr:uid="{6D517736-95C6-4571-89A7-63DDC5F94464}"/>
    <cellStyle name="60% - Accent2 5 3 2 2" xfId="50204" xr:uid="{439B68A6-37E9-4EF9-9BE8-432BEF0BF591}"/>
    <cellStyle name="60% - Accent2 5 3 3" xfId="50203" xr:uid="{93ECA0B1-F7C9-48B1-9D20-ACD8B5565BA5}"/>
    <cellStyle name="60% - Accent2 5 4" xfId="17042" xr:uid="{5B12342A-5898-4522-9D6B-8FA587DAD2C9}"/>
    <cellStyle name="60% - Accent2 5 4 2" xfId="50205" xr:uid="{37CECAC8-3133-422C-9EBC-49A51BE04B45}"/>
    <cellStyle name="60% - Accent2 5 5" xfId="50198" xr:uid="{CAF0C847-057D-460B-85AC-17D84D8DB1C0}"/>
    <cellStyle name="60% - Accent2 50" xfId="15617" xr:uid="{4BED0B97-E76D-452D-A1B2-B7C7168FF47B}"/>
    <cellStyle name="60% - Accent2 50 2" xfId="50206" xr:uid="{78A440DA-96F1-4F35-8C52-E6ED8F3BD476}"/>
    <cellStyle name="60% - Accent2 51" xfId="30995" xr:uid="{8046E94A-79C6-4B8C-BA74-055CC965DA6D}"/>
    <cellStyle name="60% - Accent2 51 2" xfId="50207" xr:uid="{8DDA623B-DB72-4421-9166-F66B067CC426}"/>
    <cellStyle name="60% - Accent2 52" xfId="49846" xr:uid="{80FC4E9F-9887-40D2-BBC8-3756C9173C42}"/>
    <cellStyle name="60% - Accent2 53" xfId="61975" xr:uid="{BE725B96-C7EA-45FC-BA3F-0C1C1D1903CD}"/>
    <cellStyle name="60% - Accent2 54" xfId="61995" xr:uid="{55BEF69C-D211-4F0F-B1E4-10B9EEF062C0}"/>
    <cellStyle name="60% - Accent2 55" xfId="62015" xr:uid="{32BC8B75-8869-4806-A834-B6BEA3FB3A1C}"/>
    <cellStyle name="60% - Accent2 56" xfId="62042" xr:uid="{58471EE2-590D-430A-BB7F-248FD8BB95BE}"/>
    <cellStyle name="60% - Accent2 57" xfId="62065" xr:uid="{3847F8BC-19A7-403B-928D-8893CAF8C577}"/>
    <cellStyle name="60% - Accent2 58" xfId="62084" xr:uid="{284C983A-EC01-4886-9596-88D599F6A9AE}"/>
    <cellStyle name="60% - Accent2 6" xfId="3301" xr:uid="{8A6764EA-2883-493D-BB78-0BB3E51D776F}"/>
    <cellStyle name="60% - Accent2 6 2" xfId="7033" xr:uid="{0A4CD781-2B8C-45A1-B68A-32F4FAD82318}"/>
    <cellStyle name="60% - Accent2 6 2 2" xfId="14741" xr:uid="{86FC848F-50D4-4377-97B0-58EBD39F645F}"/>
    <cellStyle name="60% - Accent2 6 2 2 2" xfId="30153" xr:uid="{668CC289-6F97-4B81-9AB6-A44B2AC0A9FC}"/>
    <cellStyle name="60% - Accent2 6 2 2 2 2" xfId="50211" xr:uid="{DD7E518A-4A3A-45C6-8FB3-D965F651F465}"/>
    <cellStyle name="60% - Accent2 6 2 2 3" xfId="50210" xr:uid="{319BBDAB-C3C6-484C-B51E-BE818A11E76F}"/>
    <cellStyle name="60% - Accent2 6 2 3" xfId="22448" xr:uid="{5C2AA657-1FB7-419E-B781-7093F3AFCE9B}"/>
    <cellStyle name="60% - Accent2 6 2 3 2" xfId="50212" xr:uid="{EF55D873-E87A-4AB2-A8DE-BA577CD07E2A}"/>
    <cellStyle name="60% - Accent2 6 2 4" xfId="50209" xr:uid="{09BCB897-13AF-44CB-9A89-A2B6B5EE3AB9}"/>
    <cellStyle name="60% - Accent2 6 3" xfId="11012" xr:uid="{D053BC34-6454-4ED5-B1CB-9177CB024254}"/>
    <cellStyle name="60% - Accent2 6 3 2" xfId="26425" xr:uid="{3C3DB856-AAA2-4A3D-A64B-D97B7F2B51E0}"/>
    <cellStyle name="60% - Accent2 6 3 2 2" xfId="50214" xr:uid="{AEB40998-AE2B-4AFC-9033-BEAD833783BE}"/>
    <cellStyle name="60% - Accent2 6 3 3" xfId="50213" xr:uid="{6283CBC2-DFE3-42A5-A980-C98FCF4260C0}"/>
    <cellStyle name="60% - Accent2 6 4" xfId="18720" xr:uid="{077EB9B2-343E-4526-86CA-4D340EE7E362}"/>
    <cellStyle name="60% - Accent2 6 4 2" xfId="50215" xr:uid="{488DDEBB-3F1F-4833-A488-31ED9580CDDB}"/>
    <cellStyle name="60% - Accent2 6 5" xfId="50208" xr:uid="{E46FA9C3-3559-48B0-AD89-A40BEDFDD522}"/>
    <cellStyle name="60% - Accent2 7" xfId="3321" xr:uid="{33F56DF3-D99D-4F89-90F8-6F763C2670AC}"/>
    <cellStyle name="60% - Accent2 7 2" xfId="7053" xr:uid="{154E549E-B593-4930-8FFF-F166303C6374}"/>
    <cellStyle name="60% - Accent2 7 2 2" xfId="14761" xr:uid="{24A93138-3ED4-4EB8-981D-A31D3817BE18}"/>
    <cellStyle name="60% - Accent2 7 2 2 2" xfId="30173" xr:uid="{D7B611C9-1ED6-4D05-8E82-2073FF2B1BD5}"/>
    <cellStyle name="60% - Accent2 7 2 2 2 2" xfId="50219" xr:uid="{7F145905-EFFF-48C3-90DE-4720D6D0C75E}"/>
    <cellStyle name="60% - Accent2 7 2 2 3" xfId="50218" xr:uid="{B1FA60D2-B688-4313-8DE9-FA44197FBE71}"/>
    <cellStyle name="60% - Accent2 7 2 3" xfId="22468" xr:uid="{439D4814-1936-4119-905B-B79132AC7C58}"/>
    <cellStyle name="60% - Accent2 7 2 3 2" xfId="50220" xr:uid="{E76048E1-33F4-463D-B4F9-8A04F603C485}"/>
    <cellStyle name="60% - Accent2 7 2 4" xfId="50217" xr:uid="{4D733833-F5C4-4155-BF18-59B1C5671805}"/>
    <cellStyle name="60% - Accent2 7 3" xfId="11032" xr:uid="{D8A78469-A9CF-4FDD-945F-D93C9931692C}"/>
    <cellStyle name="60% - Accent2 7 3 2" xfId="26445" xr:uid="{46AD4BDD-6C37-4BEE-916D-4EF0243E0437}"/>
    <cellStyle name="60% - Accent2 7 3 2 2" xfId="50222" xr:uid="{56E5CBBE-F775-437D-873A-8D790EB33FCD}"/>
    <cellStyle name="60% - Accent2 7 3 3" xfId="50221" xr:uid="{3A7C0CF6-FAB5-479B-A0E3-FD8DE61F96F3}"/>
    <cellStyle name="60% - Accent2 7 4" xfId="18740" xr:uid="{0FF70900-D6BF-4C56-8C9A-34464B35BCFE}"/>
    <cellStyle name="60% - Accent2 7 4 2" xfId="50223" xr:uid="{B6263E41-A0E0-40C5-8D91-316231A99E2F}"/>
    <cellStyle name="60% - Accent2 7 5" xfId="50216" xr:uid="{22B87F33-341F-44D8-A3FB-6FFF9DC386BB}"/>
    <cellStyle name="60% - Accent2 8" xfId="3341" xr:uid="{B28B5B57-953B-4B8A-981E-F3C4F3A501D3}"/>
    <cellStyle name="60% - Accent2 8 2" xfId="7073" xr:uid="{71E9BEF9-0FCC-422E-9944-9AB96430775D}"/>
    <cellStyle name="60% - Accent2 8 2 2" xfId="14781" xr:uid="{91F856EA-2A0D-4A38-97FC-80322802B09C}"/>
    <cellStyle name="60% - Accent2 8 2 2 2" xfId="30193" xr:uid="{2E29D39C-1B8C-4B93-BB49-0F9A3B07E801}"/>
    <cellStyle name="60% - Accent2 8 2 2 2 2" xfId="50227" xr:uid="{3C61E7CD-DBFE-4A9F-83D9-2A6E4CEE8B54}"/>
    <cellStyle name="60% - Accent2 8 2 2 3" xfId="50226" xr:uid="{CFB776E1-9B55-41D7-B109-06103E5B1626}"/>
    <cellStyle name="60% - Accent2 8 2 3" xfId="22488" xr:uid="{18342C07-23CC-4D0B-AF63-E337DD62EF7F}"/>
    <cellStyle name="60% - Accent2 8 2 3 2" xfId="50228" xr:uid="{9F72935D-38D7-4D06-A79F-075693E5DC6A}"/>
    <cellStyle name="60% - Accent2 8 2 4" xfId="50225" xr:uid="{21A788A5-B1B6-4C1D-A97F-FA7B55F419B6}"/>
    <cellStyle name="60% - Accent2 8 3" xfId="11052" xr:uid="{3ACCD574-6CF8-4B81-9003-8CD675F52D43}"/>
    <cellStyle name="60% - Accent2 8 3 2" xfId="26465" xr:uid="{FCCAFE4B-03B5-4676-97B4-246BCC3843FD}"/>
    <cellStyle name="60% - Accent2 8 3 2 2" xfId="50230" xr:uid="{CFE97B1A-026B-4A11-BE0F-3E7DC2C87F1A}"/>
    <cellStyle name="60% - Accent2 8 3 3" xfId="50229" xr:uid="{790D4F6C-0A1B-4889-A3D4-E6D36F6D78E1}"/>
    <cellStyle name="60% - Accent2 8 4" xfId="18760" xr:uid="{0A02D190-C978-4A03-A5B0-6F2A60EA6D72}"/>
    <cellStyle name="60% - Accent2 8 4 2" xfId="50231" xr:uid="{D924C1B6-F55D-44B3-A9CB-A838BDE2ACE4}"/>
    <cellStyle name="60% - Accent2 8 5" xfId="50224" xr:uid="{4BBB3F9D-4495-4DCF-85EE-EE99C8BF6A3D}"/>
    <cellStyle name="60% - Accent2 9" xfId="3361" xr:uid="{4EB175C3-9DC8-43BF-95EA-F98176936B1F}"/>
    <cellStyle name="60% - Accent2 9 2" xfId="7093" xr:uid="{25A56F3E-169A-4E99-BF8B-042A71B262AB}"/>
    <cellStyle name="60% - Accent2 9 2 2" xfId="14801" xr:uid="{A3199FDB-F41F-41E5-9BDD-1AD1DD23FD42}"/>
    <cellStyle name="60% - Accent2 9 2 2 2" xfId="30213" xr:uid="{857B99E9-7C23-41CD-A175-264D54E6BD72}"/>
    <cellStyle name="60% - Accent2 9 2 2 2 2" xfId="50235" xr:uid="{05AAE87C-B8BE-4756-A339-2D8A0B4C24EC}"/>
    <cellStyle name="60% - Accent2 9 2 2 3" xfId="50234" xr:uid="{B443EE02-AA16-45E5-B6F5-FD7BD47D5820}"/>
    <cellStyle name="60% - Accent2 9 2 3" xfId="22508" xr:uid="{3DDC9E3A-F26C-4E61-97BC-E73B1D5C05F5}"/>
    <cellStyle name="60% - Accent2 9 2 3 2" xfId="50236" xr:uid="{F4DD258D-003D-49D3-99C8-79CD1D30D8C9}"/>
    <cellStyle name="60% - Accent2 9 2 4" xfId="50233" xr:uid="{861B9F98-297A-4199-83D0-82F3CB284F7C}"/>
    <cellStyle name="60% - Accent2 9 3" xfId="11072" xr:uid="{11A7EB04-03FA-4954-8FE0-1782845C3D20}"/>
    <cellStyle name="60% - Accent2 9 3 2" xfId="26485" xr:uid="{D2E035D5-FADD-4C6B-AAA0-4255BC7DE426}"/>
    <cellStyle name="60% - Accent2 9 3 2 2" xfId="50238" xr:uid="{DB24B63D-61C7-490B-AA14-692FB7206BD0}"/>
    <cellStyle name="60% - Accent2 9 3 3" xfId="50237" xr:uid="{1FA414B6-BC60-41F9-A8A4-482C51BC1A2A}"/>
    <cellStyle name="60% - Accent2 9 4" xfId="18780" xr:uid="{5587E61B-37BD-4065-A184-3569F5E45522}"/>
    <cellStyle name="60% - Accent2 9 4 2" xfId="50239" xr:uid="{280984F4-E4FB-4D49-8232-A65DB8AA817A}"/>
    <cellStyle name="60% - Accent2 9 5" xfId="50232" xr:uid="{9FE9AF21-C2AD-4B6D-8ECB-70BF41EC5202}"/>
    <cellStyle name="60% - Accent3 10" xfId="3384" xr:uid="{5B83D604-7527-4084-B49D-1E96BABB1FC1}"/>
    <cellStyle name="60% - Accent3 10 2" xfId="7116" xr:uid="{2E88BB5D-8BCB-471C-A0A9-563E6437CBB8}"/>
    <cellStyle name="60% - Accent3 10 2 2" xfId="14824" xr:uid="{7E719958-792F-4071-95F0-FABDB677F51E}"/>
    <cellStyle name="60% - Accent3 10 2 2 2" xfId="30236" xr:uid="{4C104D63-1235-4DC1-A276-04604AAF4F85}"/>
    <cellStyle name="60% - Accent3 10 2 2 2 2" xfId="50244" xr:uid="{1ABAACD1-4E9F-4103-A88C-91991F77C239}"/>
    <cellStyle name="60% - Accent3 10 2 2 3" xfId="50243" xr:uid="{6087F7C9-318F-405B-B588-970EE6B3E793}"/>
    <cellStyle name="60% - Accent3 10 2 3" xfId="22531" xr:uid="{5F6FB902-D03B-42D5-A12E-0B17EA7B1AA6}"/>
    <cellStyle name="60% - Accent3 10 2 3 2" xfId="50245" xr:uid="{8508E6D9-26E9-4C79-B1C2-0B78EB49F17F}"/>
    <cellStyle name="60% - Accent3 10 2 4" xfId="50242" xr:uid="{065F250C-CF14-4800-9D5A-121A5A14D4A6}"/>
    <cellStyle name="60% - Accent3 10 3" xfId="11095" xr:uid="{AE3C18FD-4DC1-4850-A8E7-CEED4887235C}"/>
    <cellStyle name="60% - Accent3 10 3 2" xfId="26508" xr:uid="{8C6AAC56-F25C-4F44-A627-71697A9E6469}"/>
    <cellStyle name="60% - Accent3 10 3 2 2" xfId="50247" xr:uid="{A634766E-941B-4FAA-A9F8-B551488CD4BB}"/>
    <cellStyle name="60% - Accent3 10 3 3" xfId="50246" xr:uid="{48E92E2A-2623-4699-BC33-B6805A6403D9}"/>
    <cellStyle name="60% - Accent3 10 4" xfId="18803" xr:uid="{57BDD1F2-44C2-4ADA-8510-0B448E4200F9}"/>
    <cellStyle name="60% - Accent3 10 4 2" xfId="50248" xr:uid="{7CB6C454-EE35-457E-8602-C3176B602A64}"/>
    <cellStyle name="60% - Accent3 10 5" xfId="50241" xr:uid="{1A0A869D-4464-4B2B-AB0D-7F8D7B1901C6}"/>
    <cellStyle name="60% - Accent3 11" xfId="3404" xr:uid="{C2D651D7-3D76-4E4B-909B-23C57B4CFD44}"/>
    <cellStyle name="60% - Accent3 11 2" xfId="7136" xr:uid="{10A53E43-FFBD-4D0C-8913-052F142EE106}"/>
    <cellStyle name="60% - Accent3 11 2 2" xfId="14844" xr:uid="{9698C063-D931-4310-9EB8-5D606A57AB01}"/>
    <cellStyle name="60% - Accent3 11 2 2 2" xfId="30256" xr:uid="{8E1D0C95-10AB-4296-B2BD-359E97171168}"/>
    <cellStyle name="60% - Accent3 11 2 2 2 2" xfId="50252" xr:uid="{5BF47E80-B018-4BE4-BEB6-71EAAFF3179E}"/>
    <cellStyle name="60% - Accent3 11 2 2 3" xfId="50251" xr:uid="{AD5AD1CD-F6E4-47C0-9971-C666E2C299E4}"/>
    <cellStyle name="60% - Accent3 11 2 3" xfId="22551" xr:uid="{5B498472-5109-4E83-975E-8B428142CEA1}"/>
    <cellStyle name="60% - Accent3 11 2 3 2" xfId="50253" xr:uid="{3C6B6A0C-57A0-47E9-817F-0492516A98E8}"/>
    <cellStyle name="60% - Accent3 11 2 4" xfId="50250" xr:uid="{EE16273D-4B74-4B56-AE40-C0B36CC707D9}"/>
    <cellStyle name="60% - Accent3 11 3" xfId="11115" xr:uid="{6EC3D81C-5506-45F4-B8DB-B1C56F9DEE38}"/>
    <cellStyle name="60% - Accent3 11 3 2" xfId="26528" xr:uid="{CF106C7A-59A4-419D-A6CA-ADB8EF5B18FB}"/>
    <cellStyle name="60% - Accent3 11 3 2 2" xfId="50255" xr:uid="{674C06D4-4A67-47FD-B697-391694432FA6}"/>
    <cellStyle name="60% - Accent3 11 3 3" xfId="50254" xr:uid="{4ADAC38A-7959-47D4-9842-0FC9515BCCEB}"/>
    <cellStyle name="60% - Accent3 11 4" xfId="18823" xr:uid="{F49FC30B-5B20-413C-BA8E-523D5C06821A}"/>
    <cellStyle name="60% - Accent3 11 4 2" xfId="50256" xr:uid="{69DECF2B-5DE5-42E8-B948-AB5ABD4F7849}"/>
    <cellStyle name="60% - Accent3 11 5" xfId="50249" xr:uid="{9B71AFE7-5947-4837-975F-D678062F55C2}"/>
    <cellStyle name="60% - Accent3 12" xfId="3424" xr:uid="{C2F89DEC-8A29-4340-B376-C85B2253FDE0}"/>
    <cellStyle name="60% - Accent3 12 2" xfId="7156" xr:uid="{A0B4B93F-D734-4082-BA91-FF9BFD89F3C5}"/>
    <cellStyle name="60% - Accent3 12 2 2" xfId="14864" xr:uid="{771A68BD-ED3F-4AA0-A47F-37D71D4C6C30}"/>
    <cellStyle name="60% - Accent3 12 2 2 2" xfId="30276" xr:uid="{2AC73227-13B8-435D-9AA9-B93D0871D462}"/>
    <cellStyle name="60% - Accent3 12 2 2 2 2" xfId="50260" xr:uid="{36A66D9F-CA03-426A-BB96-A1C4930F5049}"/>
    <cellStyle name="60% - Accent3 12 2 2 3" xfId="50259" xr:uid="{EF8DAC79-98D4-4034-91CB-219AC132D21D}"/>
    <cellStyle name="60% - Accent3 12 2 3" xfId="22571" xr:uid="{52C9674F-92EF-4CAE-9E4E-F091861A90DC}"/>
    <cellStyle name="60% - Accent3 12 2 3 2" xfId="50261" xr:uid="{67B1BADC-8C2D-4EC8-A9C4-5B566DA4BE02}"/>
    <cellStyle name="60% - Accent3 12 2 4" xfId="50258" xr:uid="{7F99310F-667D-4227-825E-BF7C3797A126}"/>
    <cellStyle name="60% - Accent3 12 3" xfId="11135" xr:uid="{3265B049-2752-4F54-A398-EF676239D8C4}"/>
    <cellStyle name="60% - Accent3 12 3 2" xfId="26548" xr:uid="{3884611C-D0CB-4882-A3DF-32FE30E9F70C}"/>
    <cellStyle name="60% - Accent3 12 3 2 2" xfId="50263" xr:uid="{6552F189-E7DB-49A9-902D-13938C619E7A}"/>
    <cellStyle name="60% - Accent3 12 3 3" xfId="50262" xr:uid="{F55DB6C6-DB2D-4D76-B1EE-30F21A25FBD4}"/>
    <cellStyle name="60% - Accent3 12 4" xfId="18843" xr:uid="{C65C6AB2-280E-49ED-BDBB-3AB7D02995CB}"/>
    <cellStyle name="60% - Accent3 12 4 2" xfId="50264" xr:uid="{878300F2-EF77-42F4-B3B7-700188574F1A}"/>
    <cellStyle name="60% - Accent3 12 5" xfId="50257" xr:uid="{E6B20E83-E4CA-4292-81CC-F4DAFFB40AA6}"/>
    <cellStyle name="60% - Accent3 13" xfId="3444" xr:uid="{C35F29E7-4E4E-42CE-9F1B-34BDC7B90482}"/>
    <cellStyle name="60% - Accent3 13 2" xfId="7176" xr:uid="{B581B767-AAB1-445C-9402-15A22852D08B}"/>
    <cellStyle name="60% - Accent3 13 2 2" xfId="14884" xr:uid="{4DDF59E3-E26F-44C9-A7A1-FD9BF85BA32A}"/>
    <cellStyle name="60% - Accent3 13 2 2 2" xfId="30296" xr:uid="{E89EDCE5-FC18-44F7-83F4-C246C99BDD04}"/>
    <cellStyle name="60% - Accent3 13 2 2 2 2" xfId="50268" xr:uid="{70C968C3-EC27-4D7A-8E8B-3871308F65E9}"/>
    <cellStyle name="60% - Accent3 13 2 2 3" xfId="50267" xr:uid="{C2EAA500-3F97-465D-894D-6872FA8E87BA}"/>
    <cellStyle name="60% - Accent3 13 2 3" xfId="22591" xr:uid="{6B34F5FD-4848-4E42-921E-356BBF0BB999}"/>
    <cellStyle name="60% - Accent3 13 2 3 2" xfId="50269" xr:uid="{DA9887CD-FF25-4930-B064-F125AFBDFEC5}"/>
    <cellStyle name="60% - Accent3 13 2 4" xfId="50266" xr:uid="{CB19C99A-FBC2-4249-A5E7-0269990D3315}"/>
    <cellStyle name="60% - Accent3 13 3" xfId="11155" xr:uid="{30CEDBCE-94A4-41C6-B66A-E1FB41373D54}"/>
    <cellStyle name="60% - Accent3 13 3 2" xfId="26568" xr:uid="{61976143-2CBC-4DB3-91F5-45B6059473BB}"/>
    <cellStyle name="60% - Accent3 13 3 2 2" xfId="50271" xr:uid="{66B72FCF-0619-4983-BA90-D3CAE7890728}"/>
    <cellStyle name="60% - Accent3 13 3 3" xfId="50270" xr:uid="{DA77CBD5-71F9-4017-8E52-F808A126B246}"/>
    <cellStyle name="60% - Accent3 13 4" xfId="18863" xr:uid="{34707958-48CF-4A09-AF6B-C9E51B2B8BA2}"/>
    <cellStyle name="60% - Accent3 13 4 2" xfId="50272" xr:uid="{A2A5D1E8-E1DC-4567-AECE-FB90F21AE947}"/>
    <cellStyle name="60% - Accent3 13 5" xfId="50265" xr:uid="{EF59FF74-14EF-4E0E-893B-007B0E8D53D3}"/>
    <cellStyle name="60% - Accent3 14" xfId="3464" xr:uid="{A5D9D28F-E228-4B3A-82F5-3FE6AC3F3673}"/>
    <cellStyle name="60% - Accent3 14 2" xfId="7196" xr:uid="{2C0A86ED-19CF-4357-9B12-4503EE39C2F1}"/>
    <cellStyle name="60% - Accent3 14 2 2" xfId="14904" xr:uid="{C837EA02-4992-43B6-924E-A836327941DB}"/>
    <cellStyle name="60% - Accent3 14 2 2 2" xfId="30316" xr:uid="{2B9477FD-B7C9-4A41-86A1-68637F6B7CBA}"/>
    <cellStyle name="60% - Accent3 14 2 2 2 2" xfId="50276" xr:uid="{7D324AA4-58D3-4720-94C1-FF98CF6A38C3}"/>
    <cellStyle name="60% - Accent3 14 2 2 3" xfId="50275" xr:uid="{DCE8D140-D02F-4E05-A06E-C025466FEFF4}"/>
    <cellStyle name="60% - Accent3 14 2 3" xfId="22611" xr:uid="{ADBCDF29-8B40-4CC6-AA51-1EBBF31BBD08}"/>
    <cellStyle name="60% - Accent3 14 2 3 2" xfId="50277" xr:uid="{AF1C1605-C1C4-4CB8-9DFC-C6A1C7DD53D2}"/>
    <cellStyle name="60% - Accent3 14 2 4" xfId="50274" xr:uid="{40A51B36-22EA-49FC-B54C-EC3508EE1AD6}"/>
    <cellStyle name="60% - Accent3 14 3" xfId="11175" xr:uid="{2F6E803E-0B70-4B08-AEA2-C8DD1788131B}"/>
    <cellStyle name="60% - Accent3 14 3 2" xfId="26588" xr:uid="{6882BC08-94BF-48B5-BDFD-BB8E6E3B770D}"/>
    <cellStyle name="60% - Accent3 14 3 2 2" xfId="50279" xr:uid="{2235B31D-1308-4E5C-8215-3558F7066609}"/>
    <cellStyle name="60% - Accent3 14 3 3" xfId="50278" xr:uid="{ACBB369F-5987-41E7-9877-D37E881D4BD8}"/>
    <cellStyle name="60% - Accent3 14 4" xfId="18883" xr:uid="{44FD37B5-0E5B-4D87-AAD5-6B170531D61D}"/>
    <cellStyle name="60% - Accent3 14 4 2" xfId="50280" xr:uid="{D5113357-5F79-4B31-A65D-A0C1B77B038B}"/>
    <cellStyle name="60% - Accent3 14 5" xfId="50273" xr:uid="{7525B8F4-E696-4210-B812-5BC5BEACE05A}"/>
    <cellStyle name="60% - Accent3 15" xfId="3484" xr:uid="{C28FE654-3704-43D1-9E72-17D4C3646F1D}"/>
    <cellStyle name="60% - Accent3 15 2" xfId="7216" xr:uid="{8AC22CBE-DB60-4870-93F7-5F322E7EA7AC}"/>
    <cellStyle name="60% - Accent3 15 2 2" xfId="14924" xr:uid="{92134FE6-8F08-456F-93E0-51458731B879}"/>
    <cellStyle name="60% - Accent3 15 2 2 2" xfId="30336" xr:uid="{055D36EE-AD0B-44C0-A9F9-4C0DF457CDCA}"/>
    <cellStyle name="60% - Accent3 15 2 2 2 2" xfId="50284" xr:uid="{89204B58-0177-408B-8704-247BFF7E9446}"/>
    <cellStyle name="60% - Accent3 15 2 2 3" xfId="50283" xr:uid="{673FC81C-9FC3-49F4-8E9B-5F22C7D61968}"/>
    <cellStyle name="60% - Accent3 15 2 3" xfId="22631" xr:uid="{FE71BD9E-761D-4D72-9691-0CD3310504AE}"/>
    <cellStyle name="60% - Accent3 15 2 3 2" xfId="50285" xr:uid="{0F379BC7-149F-4338-B0BF-E3DAB1B7C9C2}"/>
    <cellStyle name="60% - Accent3 15 2 4" xfId="50282" xr:uid="{B61FB5E3-7CC2-4204-A35B-FDAB9972F28C}"/>
    <cellStyle name="60% - Accent3 15 3" xfId="11195" xr:uid="{CBB2B54A-4B72-408B-B266-D0C409F478E2}"/>
    <cellStyle name="60% - Accent3 15 3 2" xfId="26608" xr:uid="{4363C643-DAD5-4FA2-9683-AD550F078BBD}"/>
    <cellStyle name="60% - Accent3 15 3 2 2" xfId="50287" xr:uid="{DFDD6AC9-9AD5-4D1A-AB39-6D29D8609AB8}"/>
    <cellStyle name="60% - Accent3 15 3 3" xfId="50286" xr:uid="{8754E1DE-D237-4DBA-B021-4B7AD703A226}"/>
    <cellStyle name="60% - Accent3 15 4" xfId="18903" xr:uid="{92DDB03E-BEB8-4245-97D7-5D3AB0DE53EA}"/>
    <cellStyle name="60% - Accent3 15 4 2" xfId="50288" xr:uid="{B592F22A-8053-4236-A477-9159696EDAE5}"/>
    <cellStyle name="60% - Accent3 15 5" xfId="50281" xr:uid="{7173D529-778E-4761-918C-F68D3D964721}"/>
    <cellStyle name="60% - Accent3 16" xfId="3504" xr:uid="{9BF54D77-70E0-4798-B73A-497EC6F21C7A}"/>
    <cellStyle name="60% - Accent3 16 2" xfId="7236" xr:uid="{20D638B5-9BFF-4581-BBE7-13B260919187}"/>
    <cellStyle name="60% - Accent3 16 2 2" xfId="14944" xr:uid="{B9CF4BBD-08E6-46F5-B197-713F808EC613}"/>
    <cellStyle name="60% - Accent3 16 2 2 2" xfId="30356" xr:uid="{1BA58CC6-FD9B-4E6C-9A6D-706A34C603F8}"/>
    <cellStyle name="60% - Accent3 16 2 2 2 2" xfId="50292" xr:uid="{A4EFA682-8FF8-42DD-913A-D48A4CDF0207}"/>
    <cellStyle name="60% - Accent3 16 2 2 3" xfId="50291" xr:uid="{32C9E014-E29D-4E8B-8353-BA784398D4AD}"/>
    <cellStyle name="60% - Accent3 16 2 3" xfId="22651" xr:uid="{A9AB03DD-60B1-4DCA-88A2-18C65E506D4F}"/>
    <cellStyle name="60% - Accent3 16 2 3 2" xfId="50293" xr:uid="{E10AD4F5-23C9-4CE0-80DB-7B9CB44118D9}"/>
    <cellStyle name="60% - Accent3 16 2 4" xfId="50290" xr:uid="{0A3C93A8-60AC-4E14-AB6E-C1246CC575C8}"/>
    <cellStyle name="60% - Accent3 16 3" xfId="11215" xr:uid="{37F4517A-7CF9-4DBB-B530-F173F8440112}"/>
    <cellStyle name="60% - Accent3 16 3 2" xfId="26628" xr:uid="{FEB8414C-C34B-4E1D-9CA0-DD2212DE6CB7}"/>
    <cellStyle name="60% - Accent3 16 3 2 2" xfId="50295" xr:uid="{A1E44D5A-3DBC-4D35-8791-ED4ED86890B9}"/>
    <cellStyle name="60% - Accent3 16 3 3" xfId="50294" xr:uid="{3C251042-88A3-4173-B66A-7281D33021CC}"/>
    <cellStyle name="60% - Accent3 16 4" xfId="18923" xr:uid="{33919924-9EC7-44E0-9672-D640A004E5E0}"/>
    <cellStyle name="60% - Accent3 16 4 2" xfId="50296" xr:uid="{A8199649-9758-42AF-B0DC-3930B5D301DD}"/>
    <cellStyle name="60% - Accent3 16 5" xfId="50289" xr:uid="{4E63CC0D-0A4D-465A-B883-ABA0739C7886}"/>
    <cellStyle name="60% - Accent3 17" xfId="3524" xr:uid="{5062D219-441F-4ECC-BEB5-5E259C9ED1F9}"/>
    <cellStyle name="60% - Accent3 17 2" xfId="7256" xr:uid="{933CC4C4-151B-4B68-AB69-8331E7089366}"/>
    <cellStyle name="60% - Accent3 17 2 2" xfId="14964" xr:uid="{1C58F519-340B-4382-B54A-2C37CB98E62C}"/>
    <cellStyle name="60% - Accent3 17 2 2 2" xfId="30376" xr:uid="{041FA771-673C-4EC6-9C30-E5456F2AC881}"/>
    <cellStyle name="60% - Accent3 17 2 2 2 2" xfId="50300" xr:uid="{DB63D7A9-7267-41AF-9857-960F5CB34639}"/>
    <cellStyle name="60% - Accent3 17 2 2 3" xfId="50299" xr:uid="{53D62C7B-F21A-4B20-9375-8FED3FBAD922}"/>
    <cellStyle name="60% - Accent3 17 2 3" xfId="22671" xr:uid="{8E8E7594-D967-485F-9ACA-221B3C162D50}"/>
    <cellStyle name="60% - Accent3 17 2 3 2" xfId="50301" xr:uid="{83A802F0-BF10-4269-BD27-E375609F6AEB}"/>
    <cellStyle name="60% - Accent3 17 2 4" xfId="50298" xr:uid="{07988756-89A9-48DD-A4CA-455F8BB26A0E}"/>
    <cellStyle name="60% - Accent3 17 3" xfId="11235" xr:uid="{108C6D22-E581-49CB-97A5-982318042F8D}"/>
    <cellStyle name="60% - Accent3 17 3 2" xfId="26648" xr:uid="{9A74A2E5-4285-43B4-A4F7-929BBF498BC0}"/>
    <cellStyle name="60% - Accent3 17 3 2 2" xfId="50303" xr:uid="{7235579C-2EE4-4ABE-ACCE-8008E7FB561B}"/>
    <cellStyle name="60% - Accent3 17 3 3" xfId="50302" xr:uid="{0C464B8C-9497-42BD-BB85-7758DAB84FF4}"/>
    <cellStyle name="60% - Accent3 17 4" xfId="18943" xr:uid="{2AC50213-2068-4DA7-853E-7CEDCDEEE8BB}"/>
    <cellStyle name="60% - Accent3 17 4 2" xfId="50304" xr:uid="{C5060921-5724-4FBC-B9EA-5293370D435B}"/>
    <cellStyle name="60% - Accent3 17 5" xfId="50297" xr:uid="{F0208175-4CFF-4E25-9724-646EDC1CD2F1}"/>
    <cellStyle name="60% - Accent3 18" xfId="3544" xr:uid="{44D787BC-190E-4AEC-A90F-97EC84AA4A7B}"/>
    <cellStyle name="60% - Accent3 18 2" xfId="7276" xr:uid="{421CFCF0-D2BF-405B-BB31-EC7122CF11D3}"/>
    <cellStyle name="60% - Accent3 18 2 2" xfId="14984" xr:uid="{A824D2CB-78AE-4E03-B7DD-A4F8539E5B8C}"/>
    <cellStyle name="60% - Accent3 18 2 2 2" xfId="30396" xr:uid="{78EDA352-7C01-4133-A6F2-3A3276688FAE}"/>
    <cellStyle name="60% - Accent3 18 2 2 2 2" xfId="50308" xr:uid="{19491F46-C9C2-4B25-A322-9DF844909088}"/>
    <cellStyle name="60% - Accent3 18 2 2 3" xfId="50307" xr:uid="{24C3A283-5BAD-4AF2-A654-3E738CE8109B}"/>
    <cellStyle name="60% - Accent3 18 2 3" xfId="22691" xr:uid="{988B8230-74D9-437C-8BC5-A3542DCAA063}"/>
    <cellStyle name="60% - Accent3 18 2 3 2" xfId="50309" xr:uid="{CC99142B-186C-4FD5-A0E3-498301042097}"/>
    <cellStyle name="60% - Accent3 18 2 4" xfId="50306" xr:uid="{A9DB5814-41B8-426A-9ABB-4C3E3385ABEE}"/>
    <cellStyle name="60% - Accent3 18 3" xfId="11255" xr:uid="{003153DA-760A-42A7-9504-16AE6A6F8941}"/>
    <cellStyle name="60% - Accent3 18 3 2" xfId="26668" xr:uid="{9EA62975-259B-4CDE-AB8D-FF7F125B6A83}"/>
    <cellStyle name="60% - Accent3 18 3 2 2" xfId="50311" xr:uid="{EEE8900A-60B4-4996-8667-1691E0E3C07C}"/>
    <cellStyle name="60% - Accent3 18 3 3" xfId="50310" xr:uid="{A82F9AFF-3B10-4E95-B1F5-7C5A031D1D4A}"/>
    <cellStyle name="60% - Accent3 18 4" xfId="18963" xr:uid="{AA623626-5961-4FAE-B619-068DA44677CF}"/>
    <cellStyle name="60% - Accent3 18 4 2" xfId="50312" xr:uid="{975372EE-8D8A-44E2-86AE-7F3218605665}"/>
    <cellStyle name="60% - Accent3 18 5" xfId="50305" xr:uid="{6FB9D785-E887-44EB-B5A4-3F907FDAD271}"/>
    <cellStyle name="60% - Accent3 19" xfId="3564" xr:uid="{53671402-9CA5-436E-8328-C19097E41F0A}"/>
    <cellStyle name="60% - Accent3 19 2" xfId="7296" xr:uid="{42AF0B1F-4B0C-4780-AE24-5B79996D7A6A}"/>
    <cellStyle name="60% - Accent3 19 2 2" xfId="15004" xr:uid="{88C25422-07C1-4A8F-9AE2-DEC032AA8B6A}"/>
    <cellStyle name="60% - Accent3 19 2 2 2" xfId="30416" xr:uid="{DE730A20-4EDD-46CD-B32F-E65B160D62DF}"/>
    <cellStyle name="60% - Accent3 19 2 2 2 2" xfId="50316" xr:uid="{F3D83D44-6D67-4154-823F-D6053952CC20}"/>
    <cellStyle name="60% - Accent3 19 2 2 3" xfId="50315" xr:uid="{E99ABF98-36FF-4A8F-AFFE-461CAA6DBE41}"/>
    <cellStyle name="60% - Accent3 19 2 3" xfId="22711" xr:uid="{EFC3F638-5211-4FC5-9D7D-E28D381B3A03}"/>
    <cellStyle name="60% - Accent3 19 2 3 2" xfId="50317" xr:uid="{7EC42135-4386-47DE-8F61-E1DD74FC9FCB}"/>
    <cellStyle name="60% - Accent3 19 2 4" xfId="50314" xr:uid="{54A0A9C4-A72C-42F0-8901-464EB656DC77}"/>
    <cellStyle name="60% - Accent3 19 3" xfId="11275" xr:uid="{583C06C7-2462-42B7-A396-D2E91BEF5A73}"/>
    <cellStyle name="60% - Accent3 19 3 2" xfId="26688" xr:uid="{8DB1E459-620C-4A0F-BEE6-E8CF113093D0}"/>
    <cellStyle name="60% - Accent3 19 3 2 2" xfId="50319" xr:uid="{9D795EE3-E9A7-48AB-9CC3-F55D073A3D38}"/>
    <cellStyle name="60% - Accent3 19 3 3" xfId="50318" xr:uid="{F4547C6C-3034-4077-B56C-F8215444B0CB}"/>
    <cellStyle name="60% - Accent3 19 4" xfId="18983" xr:uid="{1318A425-85B0-44E1-BAFD-D4960FB7B61B}"/>
    <cellStyle name="60% - Accent3 19 4 2" xfId="50320" xr:uid="{5AACD228-5A8F-4047-A189-D0DEBCA356C7}"/>
    <cellStyle name="60% - Accent3 19 5" xfId="50313" xr:uid="{8B8AF5EE-A6E7-4F98-B9FC-8E184FA3487F}"/>
    <cellStyle name="60% - Accent3 2" xfId="89" xr:uid="{18EA8DA0-D524-43B1-91C2-631065F44217}"/>
    <cellStyle name="60% - Accent3 2 2" xfId="50321" xr:uid="{C2051938-6E6D-42F8-B741-07AA47DB4466}"/>
    <cellStyle name="60% - Accent3 20" xfId="3585" xr:uid="{FF0B529E-6330-41E5-9680-1C2D7E9C645A}"/>
    <cellStyle name="60% - Accent3 20 2" xfId="7316" xr:uid="{6D94ACA9-D4A1-4787-8878-C55886FA8AA5}"/>
    <cellStyle name="60% - Accent3 20 2 2" xfId="15024" xr:uid="{6BF27E0D-AF19-41FE-BED2-2400F8B0C26C}"/>
    <cellStyle name="60% - Accent3 20 2 2 2" xfId="30436" xr:uid="{A709561F-BD26-4AF4-A1AD-82876EBBFD11}"/>
    <cellStyle name="60% - Accent3 20 2 2 2 2" xfId="50325" xr:uid="{B33677BB-C0B3-4DA9-A5E8-7332FDEB4ECC}"/>
    <cellStyle name="60% - Accent3 20 2 2 3" xfId="50324" xr:uid="{D3293B17-E516-4B95-AA8C-511E7D72C873}"/>
    <cellStyle name="60% - Accent3 20 2 3" xfId="22731" xr:uid="{AA668E2E-8845-4F9F-9A03-06472592F1B6}"/>
    <cellStyle name="60% - Accent3 20 2 3 2" xfId="50326" xr:uid="{B66E8EA1-D887-476B-AB2F-756A6A25925F}"/>
    <cellStyle name="60% - Accent3 20 2 4" xfId="50323" xr:uid="{46018A04-6B4E-4E83-97CF-4914E5F8D1AD}"/>
    <cellStyle name="60% - Accent3 20 3" xfId="11295" xr:uid="{EF87E893-55CB-49C7-8FB7-C7ED63FDB92D}"/>
    <cellStyle name="60% - Accent3 20 3 2" xfId="26708" xr:uid="{152A14FD-1449-4465-9D4B-50342EDD5A99}"/>
    <cellStyle name="60% - Accent3 20 3 2 2" xfId="50328" xr:uid="{438193DD-8E01-4B6E-A2D3-F4DF7458C58F}"/>
    <cellStyle name="60% - Accent3 20 3 3" xfId="50327" xr:uid="{2CCA4D75-3C9A-4644-9C2F-0A750373BFE8}"/>
    <cellStyle name="60% - Accent3 20 4" xfId="19003" xr:uid="{4846592D-C530-4B43-80F5-CE125E1BD034}"/>
    <cellStyle name="60% - Accent3 20 4 2" xfId="50329" xr:uid="{A1665A40-0880-4446-A715-D4091F9F34EA}"/>
    <cellStyle name="60% - Accent3 20 5" xfId="50322" xr:uid="{BFF95F31-8EBF-4252-834C-07F3DC25DE08}"/>
    <cellStyle name="60% - Accent3 21" xfId="3605" xr:uid="{417CDC09-81A6-4021-BBF0-542F54563D96}"/>
    <cellStyle name="60% - Accent3 21 2" xfId="7336" xr:uid="{15DC021B-59B5-423C-8A3A-7D1D9738C58E}"/>
    <cellStyle name="60% - Accent3 21 2 2" xfId="15044" xr:uid="{12CAAB2B-6FF8-4012-BD4A-B18AD6B5C049}"/>
    <cellStyle name="60% - Accent3 21 2 2 2" xfId="30456" xr:uid="{C7BFCDA8-DE65-436D-BC76-E7FB0483B835}"/>
    <cellStyle name="60% - Accent3 21 2 2 2 2" xfId="50333" xr:uid="{CC4E8931-50D0-4638-ADD5-D35AF9F1E8A9}"/>
    <cellStyle name="60% - Accent3 21 2 2 3" xfId="50332" xr:uid="{AF1B5237-5675-4562-9A99-AA3A7D388FF4}"/>
    <cellStyle name="60% - Accent3 21 2 3" xfId="22751" xr:uid="{E321F312-AAFD-4D31-B23A-1CF904CE4663}"/>
    <cellStyle name="60% - Accent3 21 2 3 2" xfId="50334" xr:uid="{A5C4C19E-F93B-4B5C-88CC-DE6E48C81738}"/>
    <cellStyle name="60% - Accent3 21 2 4" xfId="50331" xr:uid="{C298ED7D-6D80-48D1-938D-CE7167A87717}"/>
    <cellStyle name="60% - Accent3 21 3" xfId="11315" xr:uid="{2229C6A6-DF81-4946-98FF-52D0FB66B9E2}"/>
    <cellStyle name="60% - Accent3 21 3 2" xfId="26728" xr:uid="{EB3EBF93-1606-43DA-9459-739819AA2754}"/>
    <cellStyle name="60% - Accent3 21 3 2 2" xfId="50336" xr:uid="{8AA9F457-C514-4FA5-89B5-D9BBBB1252A0}"/>
    <cellStyle name="60% - Accent3 21 3 3" xfId="50335" xr:uid="{673AA7B1-13A7-4228-805C-6F7BC9FA120F}"/>
    <cellStyle name="60% - Accent3 21 4" xfId="19023" xr:uid="{5D4B2FE7-4317-42AF-9523-AA1D0ADD33D7}"/>
    <cellStyle name="60% - Accent3 21 4 2" xfId="50337" xr:uid="{D8F611A6-7A20-4939-8954-C1C434719661}"/>
    <cellStyle name="60% - Accent3 21 5" xfId="50330" xr:uid="{AF8FA334-0E8F-4F29-B1F3-0E56DD589DF1}"/>
    <cellStyle name="60% - Accent3 22" xfId="3625" xr:uid="{5CBF0579-0132-4660-9715-16D28247316D}"/>
    <cellStyle name="60% - Accent3 22 2" xfId="7356" xr:uid="{2FABDA45-9CF0-43D6-8626-2ECDDFC1EB03}"/>
    <cellStyle name="60% - Accent3 22 2 2" xfId="15064" xr:uid="{86C4CF38-9B53-425E-88D4-16E11978BAFD}"/>
    <cellStyle name="60% - Accent3 22 2 2 2" xfId="30476" xr:uid="{ADF14637-3A48-4DCC-9830-D4CBFD7E34F1}"/>
    <cellStyle name="60% - Accent3 22 2 2 2 2" xfId="50341" xr:uid="{1318411D-7012-4ABB-825B-5962453BBAC8}"/>
    <cellStyle name="60% - Accent3 22 2 2 3" xfId="50340" xr:uid="{4B128B63-E50F-4B07-B600-0B9C25EF1FFF}"/>
    <cellStyle name="60% - Accent3 22 2 3" xfId="22771" xr:uid="{E1F97663-969D-4532-B26C-534AD914DCDB}"/>
    <cellStyle name="60% - Accent3 22 2 3 2" xfId="50342" xr:uid="{AA793A08-C9E6-439F-B15F-D639FF76FFEC}"/>
    <cellStyle name="60% - Accent3 22 2 4" xfId="50339" xr:uid="{2AD817DE-C8FF-44DD-95AF-9D8A16F74EC2}"/>
    <cellStyle name="60% - Accent3 22 3" xfId="11335" xr:uid="{4D367EC6-D17A-41C3-B755-BDD75048A15E}"/>
    <cellStyle name="60% - Accent3 22 3 2" xfId="26748" xr:uid="{A4E68AF5-D5F0-4256-AB6F-021969F910E4}"/>
    <cellStyle name="60% - Accent3 22 3 2 2" xfId="50344" xr:uid="{371214C9-BDE1-46C5-B940-204B3CEF8CA4}"/>
    <cellStyle name="60% - Accent3 22 3 3" xfId="50343" xr:uid="{3507A946-95BE-4008-9511-29E8153335DB}"/>
    <cellStyle name="60% - Accent3 22 4" xfId="19043" xr:uid="{F4F8C15D-8D33-4FCE-9491-85882C5AB57D}"/>
    <cellStyle name="60% - Accent3 22 4 2" xfId="50345" xr:uid="{A36D1C88-A6B8-4B4A-BC6A-DCAF38423E4D}"/>
    <cellStyle name="60% - Accent3 22 5" xfId="50338" xr:uid="{F224F610-1482-4994-909C-1773FA643A59}"/>
    <cellStyle name="60% - Accent3 23" xfId="3645" xr:uid="{CBD95EF3-3DF9-493B-AA66-15400035847A}"/>
    <cellStyle name="60% - Accent3 23 2" xfId="7376" xr:uid="{0A5E9296-E33E-4017-A242-908846EEB8CD}"/>
    <cellStyle name="60% - Accent3 23 2 2" xfId="15084" xr:uid="{EFAC8A39-6FD4-40DE-A871-7235D2859EB3}"/>
    <cellStyle name="60% - Accent3 23 2 2 2" xfId="30496" xr:uid="{C878EDD1-5B1D-40B4-8638-AB0AE997D3E2}"/>
    <cellStyle name="60% - Accent3 23 2 2 2 2" xfId="50349" xr:uid="{69ACA10F-B08B-49F6-83C1-23FEEB2C07C0}"/>
    <cellStyle name="60% - Accent3 23 2 2 3" xfId="50348" xr:uid="{5B3002A3-3553-44E3-9667-B96505A86F5B}"/>
    <cellStyle name="60% - Accent3 23 2 3" xfId="22791" xr:uid="{234B3038-5468-47F0-B8D9-8BE8A3F886E7}"/>
    <cellStyle name="60% - Accent3 23 2 3 2" xfId="50350" xr:uid="{C22B37DA-68FD-4693-AE48-C654FEB3091C}"/>
    <cellStyle name="60% - Accent3 23 2 4" xfId="50347" xr:uid="{28DC9422-6B93-4BB9-B674-4C55C4684F75}"/>
    <cellStyle name="60% - Accent3 23 3" xfId="11355" xr:uid="{5624F90E-E546-4A2C-9749-329AA4826837}"/>
    <cellStyle name="60% - Accent3 23 3 2" xfId="26768" xr:uid="{5D5D6581-0275-4E56-B238-BE75442171D6}"/>
    <cellStyle name="60% - Accent3 23 3 2 2" xfId="50352" xr:uid="{979BDC5F-D902-498B-8B33-AFA330E41AB6}"/>
    <cellStyle name="60% - Accent3 23 3 3" xfId="50351" xr:uid="{5C07674D-56E6-4700-BF2F-69F5F47CA945}"/>
    <cellStyle name="60% - Accent3 23 4" xfId="19063" xr:uid="{FF8C050D-DDFB-402E-99BF-2E47FB3E1C48}"/>
    <cellStyle name="60% - Accent3 23 4 2" xfId="50353" xr:uid="{FC519282-D734-4346-ACA2-20756D716331}"/>
    <cellStyle name="60% - Accent3 23 5" xfId="50346" xr:uid="{6555CD17-11CF-45B8-A6B0-56C5E9169B1C}"/>
    <cellStyle name="60% - Accent3 24" xfId="3665" xr:uid="{560CC18A-BAC7-4E29-900C-CB1556060E81}"/>
    <cellStyle name="60% - Accent3 24 2" xfId="7396" xr:uid="{869772A6-284F-4547-87FF-44CAEAE95B70}"/>
    <cellStyle name="60% - Accent3 24 2 2" xfId="15104" xr:uid="{AC7B3434-B8F2-457D-8683-85293232A36F}"/>
    <cellStyle name="60% - Accent3 24 2 2 2" xfId="30516" xr:uid="{E7B0284E-31A2-4824-BF14-6C4EB400EDC8}"/>
    <cellStyle name="60% - Accent3 24 2 2 2 2" xfId="50357" xr:uid="{EA3B8ABD-6115-495D-9974-A43D9EADFD2C}"/>
    <cellStyle name="60% - Accent3 24 2 2 3" xfId="50356" xr:uid="{09EFBCA7-A917-448A-A274-843CC7381D08}"/>
    <cellStyle name="60% - Accent3 24 2 3" xfId="22811" xr:uid="{FF54F4A9-BBE3-4AFA-9AA8-0A0C57DD4C29}"/>
    <cellStyle name="60% - Accent3 24 2 3 2" xfId="50358" xr:uid="{88914508-C53C-451B-8A1A-D998B9249A14}"/>
    <cellStyle name="60% - Accent3 24 2 4" xfId="50355" xr:uid="{F0F2E10E-8A56-4C5E-BC0A-20E29384074B}"/>
    <cellStyle name="60% - Accent3 24 3" xfId="11375" xr:uid="{73602E0D-2524-4C1D-ADA3-3B3145CFE6BD}"/>
    <cellStyle name="60% - Accent3 24 3 2" xfId="26788" xr:uid="{8D9A0DEC-1CE2-4222-9EB3-C8B73FEB0420}"/>
    <cellStyle name="60% - Accent3 24 3 2 2" xfId="50360" xr:uid="{E6706510-BD1D-4EAE-A097-FEEBFB5B3C46}"/>
    <cellStyle name="60% - Accent3 24 3 3" xfId="50359" xr:uid="{695BF53A-FE6B-4087-97D0-E739A0EF2903}"/>
    <cellStyle name="60% - Accent3 24 4" xfId="19083" xr:uid="{537C2078-A2EC-4C50-945D-7B516B3517D0}"/>
    <cellStyle name="60% - Accent3 24 4 2" xfId="50361" xr:uid="{563DF868-F61B-496C-9F79-0CAE76401381}"/>
    <cellStyle name="60% - Accent3 24 5" xfId="50354" xr:uid="{315E32B5-190A-4750-9342-758286E82B47}"/>
    <cellStyle name="60% - Accent3 25" xfId="3685" xr:uid="{A245AE48-3D68-47F3-B140-6E9D69141638}"/>
    <cellStyle name="60% - Accent3 25 2" xfId="7416" xr:uid="{BF2B28DE-A7B7-45EB-A123-429242BC1421}"/>
    <cellStyle name="60% - Accent3 25 2 2" xfId="15124" xr:uid="{97BCC9DF-504E-4326-AD91-FD8CA783DE4B}"/>
    <cellStyle name="60% - Accent3 25 2 2 2" xfId="30536" xr:uid="{FC878C88-75C6-4419-9A88-DC28ACA8D63F}"/>
    <cellStyle name="60% - Accent3 25 2 2 2 2" xfId="50365" xr:uid="{D168C48A-6C21-414E-8B75-36C2038E35C2}"/>
    <cellStyle name="60% - Accent3 25 2 2 3" xfId="50364" xr:uid="{CE5F6604-F613-41F1-87F3-72A91F818903}"/>
    <cellStyle name="60% - Accent3 25 2 3" xfId="22831" xr:uid="{CB20BBB9-03D7-42C3-8004-867ED85671E5}"/>
    <cellStyle name="60% - Accent3 25 2 3 2" xfId="50366" xr:uid="{7A6CD7B1-0E22-4607-B968-642F6E5BADA5}"/>
    <cellStyle name="60% - Accent3 25 2 4" xfId="50363" xr:uid="{36A171BE-8561-40BC-9A90-FDBF99405A17}"/>
    <cellStyle name="60% - Accent3 25 3" xfId="11395" xr:uid="{B2F3A2CC-3D20-42AB-A0DB-E70AE3FBD483}"/>
    <cellStyle name="60% - Accent3 25 3 2" xfId="26808" xr:uid="{F1C5765E-CC3F-427E-A0B2-33D707A2DDDA}"/>
    <cellStyle name="60% - Accent3 25 3 2 2" xfId="50368" xr:uid="{C43FC124-F233-41FB-8CF2-4EF8D46999AF}"/>
    <cellStyle name="60% - Accent3 25 3 3" xfId="50367" xr:uid="{5B122D38-6A0B-4D4C-81CE-AB4C83091FE1}"/>
    <cellStyle name="60% - Accent3 25 4" xfId="19103" xr:uid="{9D395A75-F894-4393-AB40-61B844D41B69}"/>
    <cellStyle name="60% - Accent3 25 4 2" xfId="50369" xr:uid="{072369D1-1405-44C0-9F1A-C4885B613FD0}"/>
    <cellStyle name="60% - Accent3 25 5" xfId="50362" xr:uid="{81146989-0117-4CA5-B696-B3C016C8127E}"/>
    <cellStyle name="60% - Accent3 26" xfId="3705" xr:uid="{77A0B7C3-1F69-4182-A4A0-7B49B9175580}"/>
    <cellStyle name="60% - Accent3 26 2" xfId="7436" xr:uid="{0C305C3F-186D-49BB-9DEC-CC27CA2FD4DF}"/>
    <cellStyle name="60% - Accent3 26 2 2" xfId="15144" xr:uid="{309C2905-D34F-4B33-9C0A-369842C3B6CC}"/>
    <cellStyle name="60% - Accent3 26 2 2 2" xfId="30556" xr:uid="{B8D6834F-C11E-4793-AA3C-5D58A5EBF01D}"/>
    <cellStyle name="60% - Accent3 26 2 2 2 2" xfId="50373" xr:uid="{EC3CB06D-7479-476B-9B1C-B74FFA1B6D9C}"/>
    <cellStyle name="60% - Accent3 26 2 2 3" xfId="50372" xr:uid="{B7C50F3E-5CA1-4E5D-B875-002C54B38697}"/>
    <cellStyle name="60% - Accent3 26 2 3" xfId="22851" xr:uid="{365FBBA8-AB11-4529-83E7-E35B615AFDED}"/>
    <cellStyle name="60% - Accent3 26 2 3 2" xfId="50374" xr:uid="{2A9EF535-C299-4AFF-A0AA-18296452132B}"/>
    <cellStyle name="60% - Accent3 26 2 4" xfId="50371" xr:uid="{64BEDF4B-5EA7-4429-A078-DD57B438B904}"/>
    <cellStyle name="60% - Accent3 26 3" xfId="11415" xr:uid="{EBCFFA0F-82DA-40D4-BBC5-3E65E72E4892}"/>
    <cellStyle name="60% - Accent3 26 3 2" xfId="26828" xr:uid="{6E4042FE-3E63-403B-B967-24522E02E025}"/>
    <cellStyle name="60% - Accent3 26 3 2 2" xfId="50376" xr:uid="{AD6498E5-B523-409B-9A7A-D6D5177809AE}"/>
    <cellStyle name="60% - Accent3 26 3 3" xfId="50375" xr:uid="{51A50981-AB00-48BB-A930-4B65F845275E}"/>
    <cellStyle name="60% - Accent3 26 4" xfId="19123" xr:uid="{B8391109-527A-476E-A0C0-CEC1A87ACBA7}"/>
    <cellStyle name="60% - Accent3 26 4 2" xfId="50377" xr:uid="{A87605DD-E029-4F37-A336-9DDEAB6ED317}"/>
    <cellStyle name="60% - Accent3 26 5" xfId="50370" xr:uid="{AFB4BE99-3D10-4F91-8594-F4FF9B4A60A0}"/>
    <cellStyle name="60% - Accent3 27" xfId="3725" xr:uid="{FFB152DB-E21B-4F57-8135-1CE649DEBF82}"/>
    <cellStyle name="60% - Accent3 27 2" xfId="7456" xr:uid="{790910A5-6CDD-4396-8201-2EFDE53AF402}"/>
    <cellStyle name="60% - Accent3 27 2 2" xfId="15164" xr:uid="{80B124D6-3EE8-4BF9-B233-A34B67CF8074}"/>
    <cellStyle name="60% - Accent3 27 2 2 2" xfId="30576" xr:uid="{38F17EFD-38DD-4B7E-83C8-3DC454227495}"/>
    <cellStyle name="60% - Accent3 27 2 2 2 2" xfId="50381" xr:uid="{B8A301BB-DED9-4445-838F-C575CDA85E58}"/>
    <cellStyle name="60% - Accent3 27 2 2 3" xfId="50380" xr:uid="{85244510-8106-4318-B6B0-9DA183F3267F}"/>
    <cellStyle name="60% - Accent3 27 2 3" xfId="22871" xr:uid="{B6739162-5C07-4EA3-8735-A6C2ABD6F58C}"/>
    <cellStyle name="60% - Accent3 27 2 3 2" xfId="50382" xr:uid="{7F98544C-1C65-4DA9-818C-3E5EEFFA4FA6}"/>
    <cellStyle name="60% - Accent3 27 2 4" xfId="50379" xr:uid="{080564D7-97AC-40EE-B30F-D9FDA3BD70AB}"/>
    <cellStyle name="60% - Accent3 27 3" xfId="11435" xr:uid="{8E18EC61-780C-4915-938E-D6ABCE8F99ED}"/>
    <cellStyle name="60% - Accent3 27 3 2" xfId="26848" xr:uid="{C61C5892-16DA-4DC1-A357-D7944CDB85B0}"/>
    <cellStyle name="60% - Accent3 27 3 2 2" xfId="50384" xr:uid="{DA66ECA1-A7B3-4ABC-B0D8-B49232107D07}"/>
    <cellStyle name="60% - Accent3 27 3 3" xfId="50383" xr:uid="{821606F4-ED96-466D-BCED-9D796B7028FA}"/>
    <cellStyle name="60% - Accent3 27 4" xfId="19143" xr:uid="{97197F8A-03FD-4D79-B5DF-9B9FEB8C456E}"/>
    <cellStyle name="60% - Accent3 27 4 2" xfId="50385" xr:uid="{C4E5C4A7-1B2C-47FF-AD30-DBF3C0CC5328}"/>
    <cellStyle name="60% - Accent3 27 5" xfId="50378" xr:uid="{58C48840-B7DF-4BD0-B197-F32C6A165600}"/>
    <cellStyle name="60% - Accent3 28" xfId="3745" xr:uid="{05C70CF4-E0F0-468F-AD92-C569151D252F}"/>
    <cellStyle name="60% - Accent3 28 2" xfId="7476" xr:uid="{9F9DDFB9-34B3-4648-9E81-EBE1B53B215C}"/>
    <cellStyle name="60% - Accent3 28 2 2" xfId="15184" xr:uid="{C4CEC52D-9F39-44BA-8D9F-51B1A8F8B8B7}"/>
    <cellStyle name="60% - Accent3 28 2 2 2" xfId="30596" xr:uid="{60BB4498-107E-43CE-8394-C559A9DE6802}"/>
    <cellStyle name="60% - Accent3 28 2 2 2 2" xfId="50389" xr:uid="{94A98D6E-D36F-43C8-9351-D4806E01E9F0}"/>
    <cellStyle name="60% - Accent3 28 2 2 3" xfId="50388" xr:uid="{6042CD29-8455-4285-8BB4-7B6923554040}"/>
    <cellStyle name="60% - Accent3 28 2 3" xfId="22891" xr:uid="{83F1950D-204A-4BA5-99C4-3465391F18D1}"/>
    <cellStyle name="60% - Accent3 28 2 3 2" xfId="50390" xr:uid="{CF186E70-DCB4-4CB8-8A55-531737019490}"/>
    <cellStyle name="60% - Accent3 28 2 4" xfId="50387" xr:uid="{AC46D51F-2F35-49E2-BB3B-872BFA15901A}"/>
    <cellStyle name="60% - Accent3 28 3" xfId="11455" xr:uid="{57300914-8BD9-4E7B-B5A2-532C07EF6D14}"/>
    <cellStyle name="60% - Accent3 28 3 2" xfId="26868" xr:uid="{39EC5E1A-41F4-48D4-BBEA-6A908EDB9B8D}"/>
    <cellStyle name="60% - Accent3 28 3 2 2" xfId="50392" xr:uid="{467FE2DF-9362-4026-8E91-10DBDC82CEBB}"/>
    <cellStyle name="60% - Accent3 28 3 3" xfId="50391" xr:uid="{2BCC2AFB-FC2C-4E78-BFCF-0609D7D36D88}"/>
    <cellStyle name="60% - Accent3 28 4" xfId="19163" xr:uid="{08AF7325-4D58-47B4-9FD6-A4AFB5308A97}"/>
    <cellStyle name="60% - Accent3 28 4 2" xfId="50393" xr:uid="{2DBEB64F-7754-4624-ACE2-AB38E489C045}"/>
    <cellStyle name="60% - Accent3 28 5" xfId="50386" xr:uid="{8A5DBB66-6327-433E-B5A1-F8B97CB20CB7}"/>
    <cellStyle name="60% - Accent3 29" xfId="3765" xr:uid="{A6E0C7DB-CECD-4738-BCF5-F1CADDF2AC6B}"/>
    <cellStyle name="60% - Accent3 29 2" xfId="7496" xr:uid="{4AED457C-455E-4392-897D-D62457BDC24B}"/>
    <cellStyle name="60% - Accent3 29 2 2" xfId="15204" xr:uid="{494BB911-D696-4412-BCE3-FB5961AB4B39}"/>
    <cellStyle name="60% - Accent3 29 2 2 2" xfId="30616" xr:uid="{074F5284-E896-4A0F-BAD9-E99AC23640D5}"/>
    <cellStyle name="60% - Accent3 29 2 2 2 2" xfId="50397" xr:uid="{EAE68479-1CC6-4D92-AE6A-CE6E5024A4BB}"/>
    <cellStyle name="60% - Accent3 29 2 2 3" xfId="50396" xr:uid="{11EFEEA3-008C-4CAB-A4E3-1A2933A6E44B}"/>
    <cellStyle name="60% - Accent3 29 2 3" xfId="22911" xr:uid="{EBD47572-5420-49A6-9002-32B48827643B}"/>
    <cellStyle name="60% - Accent3 29 2 3 2" xfId="50398" xr:uid="{2C58D16A-DF59-4415-9917-F6A8FB430509}"/>
    <cellStyle name="60% - Accent3 29 2 4" xfId="50395" xr:uid="{82705185-A705-4BD2-9788-D9278E1FA120}"/>
    <cellStyle name="60% - Accent3 29 3" xfId="11475" xr:uid="{A016D523-2DE0-46A2-897B-F05E512A795C}"/>
    <cellStyle name="60% - Accent3 29 3 2" xfId="26888" xr:uid="{07C2F70E-2F21-4571-92E0-F9E9A7538CB9}"/>
    <cellStyle name="60% - Accent3 29 3 2 2" xfId="50400" xr:uid="{348055A9-3227-40F6-AF86-9C63693EE595}"/>
    <cellStyle name="60% - Accent3 29 3 3" xfId="50399" xr:uid="{2E71DA48-8970-4F23-AF4F-4B00B1434868}"/>
    <cellStyle name="60% - Accent3 29 4" xfId="19183" xr:uid="{2880EC52-72F4-4273-A872-DE25E2EB9C75}"/>
    <cellStyle name="60% - Accent3 29 4 2" xfId="50401" xr:uid="{15D285D5-55C9-4447-A690-F764DA405430}"/>
    <cellStyle name="60% - Accent3 29 5" xfId="50394" xr:uid="{BB5B971F-9E29-4FAF-ACAC-5EED66D1312D}"/>
    <cellStyle name="60% - Accent3 3" xfId="225" xr:uid="{D7A3D544-4AE6-4C0E-9BFE-E49465667BC3}"/>
    <cellStyle name="60% - Accent3 3 2" xfId="428" xr:uid="{2F9BAB28-FBAB-4FA0-B3FF-BF5D397AC3B5}"/>
    <cellStyle name="60% - Accent3 3 2 2" xfId="1090" xr:uid="{42D5446F-BF14-4446-8BD7-0F576ED166B1}"/>
    <cellStyle name="60% - Accent3 3 2 2 2" xfId="2558" xr:uid="{E3446C08-2DBD-4227-9FD0-3C4CECB4358E}"/>
    <cellStyle name="60% - Accent3 3 2 2 2 2" xfId="6290" xr:uid="{E31A9A67-1550-4187-A336-DB1419BFB2D8}"/>
    <cellStyle name="60% - Accent3 3 2 2 2 2 2" xfId="13998" xr:uid="{1B39B73E-E9B3-49B4-B4FC-2DCBB244D1C4}"/>
    <cellStyle name="60% - Accent3 3 2 2 2 2 2 2" xfId="29410" xr:uid="{3080D0B5-2168-4DD6-937E-620844AF2CB4}"/>
    <cellStyle name="60% - Accent3 3 2 2 2 2 2 2 2" xfId="50408" xr:uid="{295047CA-9FF4-4ECD-ADBC-E525F56D6926}"/>
    <cellStyle name="60% - Accent3 3 2 2 2 2 2 3" xfId="50407" xr:uid="{8CEB435E-A061-4F81-82F2-4F4096D3CCDE}"/>
    <cellStyle name="60% - Accent3 3 2 2 2 2 3" xfId="21705" xr:uid="{1A8A1C82-9479-4489-B9DD-80D5F99E7FDB}"/>
    <cellStyle name="60% - Accent3 3 2 2 2 2 3 2" xfId="50409" xr:uid="{14E2E3FE-9907-4602-9546-86C0A7CF9F65}"/>
    <cellStyle name="60% - Accent3 3 2 2 2 2 4" xfId="50406" xr:uid="{547F1358-B17C-44B3-8128-AAD00C9A958C}"/>
    <cellStyle name="60% - Accent3 3 2 2 2 3" xfId="10269" xr:uid="{7C80C871-073E-4773-8982-2B079A1C16D8}"/>
    <cellStyle name="60% - Accent3 3 2 2 2 3 2" xfId="25682" xr:uid="{93379D3A-696E-4671-9FD2-66F57612D71D}"/>
    <cellStyle name="60% - Accent3 3 2 2 2 3 2 2" xfId="50411" xr:uid="{43A7C218-84AC-4DAE-8BBC-A7147F7E5C2F}"/>
    <cellStyle name="60% - Accent3 3 2 2 2 3 3" xfId="50410" xr:uid="{6D9BB7BB-FF44-45E1-8C27-F5E16B00BD6B}"/>
    <cellStyle name="60% - Accent3 3 2 2 2 4" xfId="17977" xr:uid="{50BB4924-7715-4BE8-B3C3-A6AAF2CFACB2}"/>
    <cellStyle name="60% - Accent3 3 2 2 2 4 2" xfId="50412" xr:uid="{65871C48-D513-4FD3-841A-8A4A6CAC5320}"/>
    <cellStyle name="60% - Accent3 3 2 2 2 5" xfId="50405" xr:uid="{A67181ED-9A65-4AF8-B73F-8A1D4574E7B2}"/>
    <cellStyle name="60% - Accent3 3 2 2 3" xfId="4827" xr:uid="{03ABEE5E-9B35-407C-8D87-6C91DBA75D7D}"/>
    <cellStyle name="60% - Accent3 3 2 2 3 2" xfId="12535" xr:uid="{B1062290-14D9-41B1-BC15-EFB878DF1BBA}"/>
    <cellStyle name="60% - Accent3 3 2 2 3 2 2" xfId="27947" xr:uid="{848A23E5-B82D-4126-9829-E752255D7A21}"/>
    <cellStyle name="60% - Accent3 3 2 2 3 2 2 2" xfId="50415" xr:uid="{6D43CC38-67BF-4E04-B124-A63A9F35D1A2}"/>
    <cellStyle name="60% - Accent3 3 2 2 3 2 3" xfId="50414" xr:uid="{09F2A918-07AE-4734-B6F5-A621F36A450D}"/>
    <cellStyle name="60% - Accent3 3 2 2 3 3" xfId="20242" xr:uid="{B88F51CF-8ECF-42BB-B87B-CD0CF7D2B59D}"/>
    <cellStyle name="60% - Accent3 3 2 2 3 3 2" xfId="50416" xr:uid="{3B659DDF-A3AE-4A4A-AE85-010DF7B9434A}"/>
    <cellStyle name="60% - Accent3 3 2 2 3 4" xfId="50413" xr:uid="{A25C10D2-D11B-4045-8D0E-52061B6E305E}"/>
    <cellStyle name="60% - Accent3 3 2 2 4" xfId="8810" xr:uid="{40CACAB9-1563-4FFC-984B-1FD5D265A2EF}"/>
    <cellStyle name="60% - Accent3 3 2 2 4 2" xfId="24223" xr:uid="{7B6011E8-F990-4422-97FA-8188F61B4DD2}"/>
    <cellStyle name="60% - Accent3 3 2 2 4 2 2" xfId="50418" xr:uid="{5A1D7CD9-941B-4C15-B80A-29669F056C10}"/>
    <cellStyle name="60% - Accent3 3 2 2 4 3" xfId="50417" xr:uid="{10E53DBC-D4CA-450C-AD82-63F4D3925858}"/>
    <cellStyle name="60% - Accent3 3 2 2 5" xfId="16518" xr:uid="{D85EB885-07AD-4667-B514-A35B6FC5B776}"/>
    <cellStyle name="60% - Accent3 3 2 2 5 2" xfId="50419" xr:uid="{39AE9276-7C23-4CB7-B995-01B8EC254078}"/>
    <cellStyle name="60% - Accent3 3 2 2 6" xfId="50404" xr:uid="{E35BFE51-4BD1-41A0-9297-347B12634C87}"/>
    <cellStyle name="60% - Accent3 3 2 3" xfId="1920" xr:uid="{ADAF6ED7-50E2-4789-814C-268E4C753819}"/>
    <cellStyle name="60% - Accent3 3 2 3 2" xfId="5652" xr:uid="{5CE990E5-B84B-4D1A-9386-2150934B02E9}"/>
    <cellStyle name="60% - Accent3 3 2 3 2 2" xfId="13360" xr:uid="{EA08274E-2FB2-4003-BBC0-D69E24886DE7}"/>
    <cellStyle name="60% - Accent3 3 2 3 2 2 2" xfId="28772" xr:uid="{059E65DD-3E36-40D0-812E-FBF01DB99D4F}"/>
    <cellStyle name="60% - Accent3 3 2 3 2 2 2 2" xfId="50423" xr:uid="{3FE16173-72D2-4826-9179-355AABA40365}"/>
    <cellStyle name="60% - Accent3 3 2 3 2 2 3" xfId="50422" xr:uid="{FD0D5FB2-EEA8-4EAD-87EE-4AC1330DBB58}"/>
    <cellStyle name="60% - Accent3 3 2 3 2 3" xfId="21067" xr:uid="{40C1C02E-B4B4-4385-9157-FFE1EFF6AACB}"/>
    <cellStyle name="60% - Accent3 3 2 3 2 3 2" xfId="50424" xr:uid="{D8F92CBB-C68F-408F-AE89-C36BACA8D532}"/>
    <cellStyle name="60% - Accent3 3 2 3 2 4" xfId="50421" xr:uid="{022A64C6-7D66-45C5-B564-C4870A5309F6}"/>
    <cellStyle name="60% - Accent3 3 2 3 3" xfId="9631" xr:uid="{89C36A6D-6D69-46A5-8CC2-2A3FBB6783ED}"/>
    <cellStyle name="60% - Accent3 3 2 3 3 2" xfId="25044" xr:uid="{2DE893FE-E7B7-401F-821D-743621FF99BF}"/>
    <cellStyle name="60% - Accent3 3 2 3 3 2 2" xfId="50426" xr:uid="{EF220183-DB2D-499C-98DF-08671783093F}"/>
    <cellStyle name="60% - Accent3 3 2 3 3 3" xfId="50425" xr:uid="{0A5AFD43-9CAE-4700-A890-2FB4EB342986}"/>
    <cellStyle name="60% - Accent3 3 2 3 4" xfId="17339" xr:uid="{362074A9-9480-42F5-B1D2-447DA3A77C5B}"/>
    <cellStyle name="60% - Accent3 3 2 3 4 2" xfId="50427" xr:uid="{3A8DE8F2-DBAC-48ED-8AB8-F3B99FD58F70}"/>
    <cellStyle name="60% - Accent3 3 2 3 5" xfId="50420" xr:uid="{2F8E2A0A-5CEA-478B-8EB3-6015B957A5C3}"/>
    <cellStyle name="60% - Accent3 3 2 4" xfId="4175" xr:uid="{3928C05B-ACA2-44FD-BF7A-7D6EB4463525}"/>
    <cellStyle name="60% - Accent3 3 2 4 2" xfId="11883" xr:uid="{3E55A65C-3324-4B60-8074-2743BE97E826}"/>
    <cellStyle name="60% - Accent3 3 2 4 2 2" xfId="27295" xr:uid="{C74078AC-9E15-4298-8C5F-F6DA1C14E6DB}"/>
    <cellStyle name="60% - Accent3 3 2 4 2 2 2" xfId="50430" xr:uid="{9FBBB047-7974-464F-86D2-E4A46D586999}"/>
    <cellStyle name="60% - Accent3 3 2 4 2 3" xfId="50429" xr:uid="{D18D9C4D-902F-4165-8FDD-C1133E205373}"/>
    <cellStyle name="60% - Accent3 3 2 4 3" xfId="19590" xr:uid="{0D71B038-2000-48BA-AFD2-4F3AB6D76D76}"/>
    <cellStyle name="60% - Accent3 3 2 4 3 2" xfId="50431" xr:uid="{8D2004A6-2BF2-4198-BAE4-273FC69893CF}"/>
    <cellStyle name="60% - Accent3 3 2 4 4" xfId="50428" xr:uid="{791DC673-6647-4287-8673-06C8C25F3E72}"/>
    <cellStyle name="60% - Accent3 3 2 5" xfId="8172" xr:uid="{BAF5B532-37D9-4FDA-A518-7ED8B4B86AF2}"/>
    <cellStyle name="60% - Accent3 3 2 5 2" xfId="23585" xr:uid="{3C651620-44CE-49ED-AC39-2336ABCCB6BA}"/>
    <cellStyle name="60% - Accent3 3 2 5 2 2" xfId="50433" xr:uid="{04F11D00-2D1E-4C0D-941B-622B96154F9C}"/>
    <cellStyle name="60% - Accent3 3 2 5 3" xfId="50432" xr:uid="{7786820A-7E9E-4EA8-998D-1A375C1B32A7}"/>
    <cellStyle name="60% - Accent3 3 2 6" xfId="15880" xr:uid="{55258400-7E7B-49A9-B106-0D9E5DFB1590}"/>
    <cellStyle name="60% - Accent3 3 2 6 2" xfId="50434" xr:uid="{15FCF948-B28D-4F67-9D65-B3FA712410AB}"/>
    <cellStyle name="60% - Accent3 3 2 7" xfId="50403" xr:uid="{ECF87A00-DA6A-4818-AA83-98668EF03C77}"/>
    <cellStyle name="60% - Accent3 3 3" xfId="890" xr:uid="{EA096BAE-9055-42D7-9DA4-86266DE7E90C}"/>
    <cellStyle name="60% - Accent3 3 3 2" xfId="2360" xr:uid="{91C3BD3E-2D3F-42D2-B631-284BE88479E6}"/>
    <cellStyle name="60% - Accent3 3 3 2 2" xfId="6092" xr:uid="{63ABE2AE-CF0E-49FE-B3D1-E71C6813F8F2}"/>
    <cellStyle name="60% - Accent3 3 3 2 2 2" xfId="13800" xr:uid="{DDD3F1DD-B66D-476E-A8D9-1F361486A1AA}"/>
    <cellStyle name="60% - Accent3 3 3 2 2 2 2" xfId="29212" xr:uid="{9B7F90E6-5E56-45AA-B93F-9470E44C798A}"/>
    <cellStyle name="60% - Accent3 3 3 2 2 2 2 2" xfId="50439" xr:uid="{2671CCC8-5B14-4703-9DCA-90FF1F47954D}"/>
    <cellStyle name="60% - Accent3 3 3 2 2 2 3" xfId="50438" xr:uid="{862069E0-DD9A-4F0A-843C-4E505FD62F31}"/>
    <cellStyle name="60% - Accent3 3 3 2 2 3" xfId="21507" xr:uid="{712CDDC6-0EB4-411E-877D-DE7A36F9B82E}"/>
    <cellStyle name="60% - Accent3 3 3 2 2 3 2" xfId="50440" xr:uid="{D5E0BB28-EE70-4B7E-A443-1B818C0CF4F8}"/>
    <cellStyle name="60% - Accent3 3 3 2 2 4" xfId="50437" xr:uid="{AEB1D087-5D13-451D-9A25-C6A1590D8499}"/>
    <cellStyle name="60% - Accent3 3 3 2 3" xfId="10071" xr:uid="{86688D8E-7EB5-41AE-9949-08B526B681A2}"/>
    <cellStyle name="60% - Accent3 3 3 2 3 2" xfId="25484" xr:uid="{14AAC553-8530-470F-9783-8BE431494780}"/>
    <cellStyle name="60% - Accent3 3 3 2 3 2 2" xfId="50442" xr:uid="{94D2D763-B61A-4A9E-8C97-E5D2D086F06A}"/>
    <cellStyle name="60% - Accent3 3 3 2 3 3" xfId="50441" xr:uid="{B92CADEA-F61B-431C-A651-8EAC5AB241CB}"/>
    <cellStyle name="60% - Accent3 3 3 2 4" xfId="17779" xr:uid="{8A79A66D-F041-405E-9AEA-F7D503268473}"/>
    <cellStyle name="60% - Accent3 3 3 2 4 2" xfId="50443" xr:uid="{AD982626-2630-4D73-825C-27081CDE73FA}"/>
    <cellStyle name="60% - Accent3 3 3 2 5" xfId="50436" xr:uid="{1091CE73-21CA-4D98-8325-CAF341A01D1F}"/>
    <cellStyle name="60% - Accent3 3 3 3" xfId="4627" xr:uid="{815C318C-133A-41BF-B864-51F6737AFD3E}"/>
    <cellStyle name="60% - Accent3 3 3 3 2" xfId="12335" xr:uid="{4CE04A1A-3FA1-4F48-BB49-B457BE70A2C3}"/>
    <cellStyle name="60% - Accent3 3 3 3 2 2" xfId="27747" xr:uid="{2D1FE8D9-497D-4C09-8E56-85CDFD7C1029}"/>
    <cellStyle name="60% - Accent3 3 3 3 2 2 2" xfId="50446" xr:uid="{08A59968-F95D-466D-8D66-2FDF477533E2}"/>
    <cellStyle name="60% - Accent3 3 3 3 2 3" xfId="50445" xr:uid="{60E9E66D-E5D2-4A6A-867C-DD20D481829F}"/>
    <cellStyle name="60% - Accent3 3 3 3 3" xfId="20042" xr:uid="{421FE62C-0EF9-4549-86AE-61A41D541E1F}"/>
    <cellStyle name="60% - Accent3 3 3 3 3 2" xfId="50447" xr:uid="{AB9782EE-CB4B-4B89-8DB2-0C34EB4DFE2B}"/>
    <cellStyle name="60% - Accent3 3 3 3 4" xfId="50444" xr:uid="{CECF3436-30EA-412F-981D-A1B3E177316E}"/>
    <cellStyle name="60% - Accent3 3 3 4" xfId="8612" xr:uid="{0EA5DB08-2A51-4846-993C-5B350631B10E}"/>
    <cellStyle name="60% - Accent3 3 3 4 2" xfId="24025" xr:uid="{097DDDCB-BC53-40D6-A1CE-5C43F50EF6CB}"/>
    <cellStyle name="60% - Accent3 3 3 4 2 2" xfId="50449" xr:uid="{338B04F4-198E-4BA2-825C-83D0988259BF}"/>
    <cellStyle name="60% - Accent3 3 3 4 3" xfId="50448" xr:uid="{E0D8F150-B5E5-410F-AE74-8FA943BF2827}"/>
    <cellStyle name="60% - Accent3 3 3 5" xfId="16320" xr:uid="{C3703D64-9ECF-488E-A179-90A676EC368E}"/>
    <cellStyle name="60% - Accent3 3 3 5 2" xfId="50450" xr:uid="{674A8524-E201-4363-9928-D20DDCC481C2}"/>
    <cellStyle name="60% - Accent3 3 3 6" xfId="50435" xr:uid="{BB2FE86F-573A-4B8E-80E6-688556437B3F}"/>
    <cellStyle name="60% - Accent3 3 4" xfId="1722" xr:uid="{422DB2F2-8468-46F8-B124-9AF64A568276}"/>
    <cellStyle name="60% - Accent3 3 4 2" xfId="5454" xr:uid="{14DAF8CB-1906-479B-8F41-83672F9A4B9C}"/>
    <cellStyle name="60% - Accent3 3 4 2 2" xfId="13162" xr:uid="{26BD63EB-FF21-477E-A99E-043E3B0ECAAE}"/>
    <cellStyle name="60% - Accent3 3 4 2 2 2" xfId="28574" xr:uid="{1D3F4F9A-000E-4908-871F-6E691C4F733B}"/>
    <cellStyle name="60% - Accent3 3 4 2 2 2 2" xfId="50454" xr:uid="{D889FCE5-4D45-4A25-ABA5-D12FFF4415AF}"/>
    <cellStyle name="60% - Accent3 3 4 2 2 3" xfId="50453" xr:uid="{62AE7CAD-1637-431D-AFFE-96059D6024EF}"/>
    <cellStyle name="60% - Accent3 3 4 2 3" xfId="20869" xr:uid="{E9FEADB0-698D-4D99-8E73-634B01C7DE70}"/>
    <cellStyle name="60% - Accent3 3 4 2 3 2" xfId="50455" xr:uid="{7FAF09FF-2496-441B-83F0-D9EB913EEE41}"/>
    <cellStyle name="60% - Accent3 3 4 2 4" xfId="50452" xr:uid="{2DE0B015-DFAF-4D30-8222-E8CA98D2D28F}"/>
    <cellStyle name="60% - Accent3 3 4 3" xfId="9433" xr:uid="{CBCDAE9F-61EA-4CD1-A24B-91C2921753E0}"/>
    <cellStyle name="60% - Accent3 3 4 3 2" xfId="24846" xr:uid="{19ACD079-CC63-4D82-9207-36CB6EB24AD7}"/>
    <cellStyle name="60% - Accent3 3 4 3 2 2" xfId="50457" xr:uid="{1B9BABAB-E4A7-49B6-9873-88EC9C4838C0}"/>
    <cellStyle name="60% - Accent3 3 4 3 3" xfId="50456" xr:uid="{DA654583-999D-42E3-910B-BF158A13AA05}"/>
    <cellStyle name="60% - Accent3 3 4 4" xfId="17141" xr:uid="{EC608063-30A8-4E93-A4F8-427B13C0D42D}"/>
    <cellStyle name="60% - Accent3 3 4 4 2" xfId="50458" xr:uid="{38DA4115-3824-4CCD-A0B0-552BA1029FBC}"/>
    <cellStyle name="60% - Accent3 3 4 5" xfId="50451" xr:uid="{BDC43137-7195-478D-A612-D5FC6ACABA4F}"/>
    <cellStyle name="60% - Accent3 3 5" xfId="3975" xr:uid="{CF21C5E7-71A0-4A71-9793-85ED3129FA5F}"/>
    <cellStyle name="60% - Accent3 3 5 2" xfId="11683" xr:uid="{A8B39025-6BEA-477B-98BB-36D2130A047E}"/>
    <cellStyle name="60% - Accent3 3 5 2 2" xfId="27095" xr:uid="{08D9D322-E118-4865-A7CF-4415D5840B47}"/>
    <cellStyle name="60% - Accent3 3 5 2 2 2" xfId="50461" xr:uid="{C800EA50-2D72-449D-89E9-FF738796F054}"/>
    <cellStyle name="60% - Accent3 3 5 2 3" xfId="50460" xr:uid="{2C676223-83E7-42A8-BB95-F54E0BE35852}"/>
    <cellStyle name="60% - Accent3 3 5 3" xfId="19390" xr:uid="{583A3B0E-D9DD-4D57-B9FB-5D0A8751E44F}"/>
    <cellStyle name="60% - Accent3 3 5 3 2" xfId="50462" xr:uid="{69DAE3EE-F717-4014-BC23-9B8B8C427A03}"/>
    <cellStyle name="60% - Accent3 3 5 4" xfId="50459" xr:uid="{4505EEB3-BB55-45E6-8902-983164F75319}"/>
    <cellStyle name="60% - Accent3 3 6" xfId="7974" xr:uid="{E9263FB1-1DD3-4461-BBBE-102D02CECE4B}"/>
    <cellStyle name="60% - Accent3 3 6 2" xfId="23387" xr:uid="{EEB2AA23-82EB-4181-8C66-87F59C76E369}"/>
    <cellStyle name="60% - Accent3 3 6 2 2" xfId="50464" xr:uid="{E8AD795D-8B8F-4C0F-8E20-DFD35934190C}"/>
    <cellStyle name="60% - Accent3 3 6 3" xfId="50463" xr:uid="{AABD8DC8-6929-4CBD-83F4-AACBEC5CF508}"/>
    <cellStyle name="60% - Accent3 3 7" xfId="15682" xr:uid="{D6F2559F-9EC3-4DE4-9B3B-215A1674F695}"/>
    <cellStyle name="60% - Accent3 3 7 2" xfId="50465" xr:uid="{D251754E-08E2-4F1D-8FDA-4241D51E591F}"/>
    <cellStyle name="60% - Accent3 3 8" xfId="50402" xr:uid="{4DF555FA-FDAD-437E-8798-D183FC08A235}"/>
    <cellStyle name="60% - Accent3 30" xfId="3785" xr:uid="{2918E855-C2F9-41F1-AEB9-307911F5EB63}"/>
    <cellStyle name="60% - Accent3 30 2" xfId="7516" xr:uid="{00E957D0-5529-4F9F-83D6-4366B534700A}"/>
    <cellStyle name="60% - Accent3 30 2 2" xfId="15224" xr:uid="{D0A37D5D-F852-4D2A-9508-864F6283641F}"/>
    <cellStyle name="60% - Accent3 30 2 2 2" xfId="30636" xr:uid="{DC633680-57E5-4EDA-B771-DF401B66F74D}"/>
    <cellStyle name="60% - Accent3 30 2 2 2 2" xfId="50469" xr:uid="{024B0843-6301-4AE9-8B42-BE1A980BCB84}"/>
    <cellStyle name="60% - Accent3 30 2 2 3" xfId="50468" xr:uid="{6771BEA3-4376-4E7B-85B2-E9BDCBEAA1DE}"/>
    <cellStyle name="60% - Accent3 30 2 3" xfId="22931" xr:uid="{B0350A04-46F2-40BC-9E59-103070A3C216}"/>
    <cellStyle name="60% - Accent3 30 2 3 2" xfId="50470" xr:uid="{15C19245-57CF-48B5-9710-3C227563BE3C}"/>
    <cellStyle name="60% - Accent3 30 2 4" xfId="50467" xr:uid="{4A1B50CB-BA9E-4ACC-9659-05E3F4083BEB}"/>
    <cellStyle name="60% - Accent3 30 3" xfId="11495" xr:uid="{49E04391-49A5-42D6-B1ED-5A8D99691F61}"/>
    <cellStyle name="60% - Accent3 30 3 2" xfId="26908" xr:uid="{04E68456-6A42-4996-9908-6206CD226069}"/>
    <cellStyle name="60% - Accent3 30 3 2 2" xfId="50472" xr:uid="{A25D333C-4746-4187-8195-0369B36E38E8}"/>
    <cellStyle name="60% - Accent3 30 3 3" xfId="50471" xr:uid="{D2D51E63-267E-469B-94CB-DA1C208F76A4}"/>
    <cellStyle name="60% - Accent3 30 4" xfId="19203" xr:uid="{05D914E2-B184-4891-997B-AEA68BF0DDA6}"/>
    <cellStyle name="60% - Accent3 30 4 2" xfId="50473" xr:uid="{5DE0AADF-DCC2-47F6-9C8F-00818FAC0281}"/>
    <cellStyle name="60% - Accent3 30 5" xfId="50466" xr:uid="{1F448EA4-DCD3-435A-82ED-BED464FB0F55}"/>
    <cellStyle name="60% - Accent3 31" xfId="3805" xr:uid="{BC94D63B-B529-445C-B032-3B4AED9A2B43}"/>
    <cellStyle name="60% - Accent3 31 2" xfId="7536" xr:uid="{D786B337-951C-41E1-AE85-0FA1B0169925}"/>
    <cellStyle name="60% - Accent3 31 2 2" xfId="15244" xr:uid="{E4658A9F-0CC3-4678-93DA-9C14920496B3}"/>
    <cellStyle name="60% - Accent3 31 2 2 2" xfId="30656" xr:uid="{D0C961DA-82EF-4E32-82E2-BB1E223A86DC}"/>
    <cellStyle name="60% - Accent3 31 2 2 2 2" xfId="50477" xr:uid="{FFCA7F1B-71AD-4C75-8786-91878B2C5485}"/>
    <cellStyle name="60% - Accent3 31 2 2 3" xfId="50476" xr:uid="{B0D45A0C-BEFC-49A7-8FBF-B608F73D7E0F}"/>
    <cellStyle name="60% - Accent3 31 2 3" xfId="22951" xr:uid="{3829EDD8-2F2B-4E14-A781-F912585ABF04}"/>
    <cellStyle name="60% - Accent3 31 2 3 2" xfId="50478" xr:uid="{0A4011B7-EBCC-499E-8EA0-B1F7E7319595}"/>
    <cellStyle name="60% - Accent3 31 2 4" xfId="50475" xr:uid="{DF0CDD1C-8EA8-4F99-930B-406AFB468424}"/>
    <cellStyle name="60% - Accent3 31 3" xfId="11515" xr:uid="{19B04593-E621-4CAB-8E61-3D323C96E4DD}"/>
    <cellStyle name="60% - Accent3 31 3 2" xfId="26928" xr:uid="{14BC5C18-AFEE-4F6A-974E-6955B38ED7E8}"/>
    <cellStyle name="60% - Accent3 31 3 2 2" xfId="50480" xr:uid="{C7F4028B-7565-4B4F-B655-433CE73474A2}"/>
    <cellStyle name="60% - Accent3 31 3 3" xfId="50479" xr:uid="{AAD8CA6D-F01F-4B51-8AB0-575EFAEDDA8D}"/>
    <cellStyle name="60% - Accent3 31 4" xfId="19223" xr:uid="{230C687F-CBBA-410C-BA17-413A5F803AD0}"/>
    <cellStyle name="60% - Accent3 31 4 2" xfId="50481" xr:uid="{43E42FDD-76B0-4213-904F-F43BFCDCB649}"/>
    <cellStyle name="60% - Accent3 31 5" xfId="50474" xr:uid="{E9E09E55-7774-4850-A553-E7BF4CF497BC}"/>
    <cellStyle name="60% - Accent3 32" xfId="3825" xr:uid="{009EB274-9532-44AC-A52A-3A358E886464}"/>
    <cellStyle name="60% - Accent3 32 2" xfId="7556" xr:uid="{A5DDD7E0-5675-4C1A-BD96-B5C2AC888052}"/>
    <cellStyle name="60% - Accent3 32 2 2" xfId="15264" xr:uid="{E12E245B-C428-448F-9429-86FB23F5D282}"/>
    <cellStyle name="60% - Accent3 32 2 2 2" xfId="30676" xr:uid="{F9624BF4-3E5E-429C-9E04-62642AC35498}"/>
    <cellStyle name="60% - Accent3 32 2 2 2 2" xfId="50485" xr:uid="{C176F4FD-D793-4E95-ACEF-173957FCBF82}"/>
    <cellStyle name="60% - Accent3 32 2 2 3" xfId="50484" xr:uid="{12DBC7C3-9C7D-41C4-8378-FB23BC7F9F42}"/>
    <cellStyle name="60% - Accent3 32 2 3" xfId="22971" xr:uid="{D675A4C6-463B-4CAC-BA68-2957EF0D6F83}"/>
    <cellStyle name="60% - Accent3 32 2 3 2" xfId="50486" xr:uid="{656CAA21-7D3D-480B-BEE4-389AB873C148}"/>
    <cellStyle name="60% - Accent3 32 2 4" xfId="50483" xr:uid="{5539F331-EEAB-4E57-8300-8C2C6908C9DF}"/>
    <cellStyle name="60% - Accent3 32 3" xfId="11535" xr:uid="{72CE0D74-4F27-43EF-ACFE-9C6639D18A8C}"/>
    <cellStyle name="60% - Accent3 32 3 2" xfId="26948" xr:uid="{64C3E0DC-56F1-43FC-8380-3A2DAC3F7A6A}"/>
    <cellStyle name="60% - Accent3 32 3 2 2" xfId="50488" xr:uid="{7D1C18AC-1D89-49DD-A37D-42576EDC7255}"/>
    <cellStyle name="60% - Accent3 32 3 3" xfId="50487" xr:uid="{F912B5A0-4DBC-4C8E-9161-9C7D4D3CD4CC}"/>
    <cellStyle name="60% - Accent3 32 4" xfId="19243" xr:uid="{ED3F5918-9CBC-467D-A1A1-50ABFD333FE8}"/>
    <cellStyle name="60% - Accent3 32 4 2" xfId="50489" xr:uid="{AA7A4974-5C0B-44ED-A527-DED8FB99E9F1}"/>
    <cellStyle name="60% - Accent3 32 5" xfId="50482" xr:uid="{214BE6AF-696C-4DE4-B190-A30F324816CA}"/>
    <cellStyle name="60% - Accent3 33" xfId="3846" xr:uid="{C1F54D43-D100-4E6C-8B1E-D62EECD01426}"/>
    <cellStyle name="60% - Accent3 33 2" xfId="7576" xr:uid="{AA5C0213-11EA-42E5-865B-B8F696C44DCC}"/>
    <cellStyle name="60% - Accent3 33 2 2" xfId="15284" xr:uid="{320166F0-C21F-4778-93C7-1198ABA87E61}"/>
    <cellStyle name="60% - Accent3 33 2 2 2" xfId="30696" xr:uid="{72E9F4BF-15D2-4489-9BCD-5AF409730DE8}"/>
    <cellStyle name="60% - Accent3 33 2 2 2 2" xfId="50493" xr:uid="{ED563F46-6A77-449E-8934-31D18697FFC7}"/>
    <cellStyle name="60% - Accent3 33 2 2 3" xfId="50492" xr:uid="{73ED84D6-1857-44F6-8B32-692DAEBA394F}"/>
    <cellStyle name="60% - Accent3 33 2 3" xfId="22991" xr:uid="{2CE38EA8-3C4D-4C48-AF79-B91964C7F0B5}"/>
    <cellStyle name="60% - Accent3 33 2 3 2" xfId="50494" xr:uid="{EC997546-1A7A-4AFC-A8A2-CA69E8613A0D}"/>
    <cellStyle name="60% - Accent3 33 2 4" xfId="50491" xr:uid="{910F9822-3585-49A2-9F2D-B24616B1E99C}"/>
    <cellStyle name="60% - Accent3 33 3" xfId="11556" xr:uid="{E884A697-2C8C-4F4C-9E68-03A0BB159F81}"/>
    <cellStyle name="60% - Accent3 33 3 2" xfId="26968" xr:uid="{4781A3D4-2D9A-44FC-B92E-909C87EF84CF}"/>
    <cellStyle name="60% - Accent3 33 3 2 2" xfId="50496" xr:uid="{F314C360-0EBE-4712-A90D-ED3083C8E59C}"/>
    <cellStyle name="60% - Accent3 33 3 3" xfId="50495" xr:uid="{B6D445D3-3F2A-479A-AC4E-A274CF5F6B58}"/>
    <cellStyle name="60% - Accent3 33 4" xfId="19263" xr:uid="{3BCBC738-694C-491B-A062-5165FEE9F601}"/>
    <cellStyle name="60% - Accent3 33 4 2" xfId="50497" xr:uid="{449BF4F8-BB65-4401-A524-1AE0DEABD2F9}"/>
    <cellStyle name="60% - Accent3 33 5" xfId="50490" xr:uid="{380BE7EB-1AB7-46EB-B282-0E53743521AD}"/>
    <cellStyle name="60% - Accent3 34" xfId="3865" xr:uid="{50F97FDF-81CD-4C25-94FF-1A59E21AFF05}"/>
    <cellStyle name="60% - Accent3 34 2" xfId="11575" xr:uid="{542F9A1B-62E6-4DDF-8D50-5AA22A443576}"/>
    <cellStyle name="60% - Accent3 34 2 2" xfId="26987" xr:uid="{603CFA41-F70E-4B39-92C1-1D4C99A9A37D}"/>
    <cellStyle name="60% - Accent3 34 2 2 2" xfId="50500" xr:uid="{A65CCAED-4C37-474E-BD6D-67064223D4CB}"/>
    <cellStyle name="60% - Accent3 34 2 3" xfId="50499" xr:uid="{EC0D066C-0DA2-41B4-B4DB-5F43444899A8}"/>
    <cellStyle name="60% - Accent3 34 3" xfId="19282" xr:uid="{D85046E2-B129-44C5-A32B-0CD5AD9A91F2}"/>
    <cellStyle name="60% - Accent3 34 3 2" xfId="50501" xr:uid="{2C37405E-FA19-4032-8BA5-D7A6B89E2D06}"/>
    <cellStyle name="60% - Accent3 34 4" xfId="50498" xr:uid="{39BB6E37-2D8D-4EB9-B0B0-A2D4F23B1D9C}"/>
    <cellStyle name="60% - Accent3 35" xfId="7596" xr:uid="{1177BC8D-29C6-40D2-8BA8-088749D8B56B}"/>
    <cellStyle name="60% - Accent3 35 2" xfId="15304" xr:uid="{7A982075-6B88-4575-A221-528E4B083734}"/>
    <cellStyle name="60% - Accent3 35 2 2" xfId="30716" xr:uid="{D8C3123C-51BA-4C4F-8E96-7FA68D5A68DC}"/>
    <cellStyle name="60% - Accent3 35 2 2 2" xfId="50504" xr:uid="{97FA21FA-BE17-45A1-AB1A-304FD69ADE48}"/>
    <cellStyle name="60% - Accent3 35 2 3" xfId="50503" xr:uid="{C51163C8-42D3-4FDA-825E-29DE8BFC7E4C}"/>
    <cellStyle name="60% - Accent3 35 3" xfId="23011" xr:uid="{48408082-2E24-42E0-B427-DCB11299A9FF}"/>
    <cellStyle name="60% - Accent3 35 3 2" xfId="50505" xr:uid="{A4E847CC-C134-4DEB-B1DF-2E9EB3817E88}"/>
    <cellStyle name="60% - Accent3 35 4" xfId="50502" xr:uid="{67993F32-206D-49C9-A25A-81033CBBE43B}"/>
    <cellStyle name="60% - Accent3 36" xfId="7616" xr:uid="{6647F51E-022F-416C-9BF3-CE84B53F097D}"/>
    <cellStyle name="60% - Accent3 36 2" xfId="15324" xr:uid="{0D1664BA-A607-438C-AD98-9F831C9A4BDF}"/>
    <cellStyle name="60% - Accent3 36 2 2" xfId="30736" xr:uid="{24BB0828-1113-4D3D-AABF-7424779D8D2C}"/>
    <cellStyle name="60% - Accent3 36 2 2 2" xfId="50508" xr:uid="{C3126855-6FD7-4824-8396-16F76C2CC931}"/>
    <cellStyle name="60% - Accent3 36 2 3" xfId="50507" xr:uid="{4D08AE1E-B040-4C39-BF50-9DD51F82AE35}"/>
    <cellStyle name="60% - Accent3 36 3" xfId="23031" xr:uid="{D62FC744-6049-4F80-8F6A-053D8EE691D8}"/>
    <cellStyle name="60% - Accent3 36 3 2" xfId="50509" xr:uid="{3E2CBA46-DBFF-4B42-8935-549AE435B3B3}"/>
    <cellStyle name="60% - Accent3 36 4" xfId="50506" xr:uid="{E4DDC04A-D76D-47EE-BE87-DFB3EECAE4E4}"/>
    <cellStyle name="60% - Accent3 37" xfId="7636" xr:uid="{2554143D-10C2-4DF9-82AD-E9EC0713E5A5}"/>
    <cellStyle name="60% - Accent3 37 2" xfId="15344" xr:uid="{B388904C-71A7-4D6D-9F9C-3DF207DADD41}"/>
    <cellStyle name="60% - Accent3 37 2 2" xfId="30756" xr:uid="{7963C11F-E414-471D-9752-712A11DE7B60}"/>
    <cellStyle name="60% - Accent3 37 2 2 2" xfId="50512" xr:uid="{F2892540-B631-4026-A8F0-8247DD9DADF8}"/>
    <cellStyle name="60% - Accent3 37 2 3" xfId="50511" xr:uid="{84E3C8DE-AA62-4BE3-80C9-DD0F0B460E2F}"/>
    <cellStyle name="60% - Accent3 37 3" xfId="23051" xr:uid="{301FA2F2-9394-41C8-B0B6-C7E8FD7B5670}"/>
    <cellStyle name="60% - Accent3 37 3 2" xfId="50513" xr:uid="{21CBA2EF-E2D2-4CDE-8DCD-E6DCD131B9F1}"/>
    <cellStyle name="60% - Accent3 37 4" xfId="50510" xr:uid="{29A7B2C5-6F84-4FD9-BBE9-1936EEF644A7}"/>
    <cellStyle name="60% - Accent3 38" xfId="7656" xr:uid="{67AE40FC-D05D-46D8-8611-461609B6D0B6}"/>
    <cellStyle name="60% - Accent3 38 2" xfId="15364" xr:uid="{7356C301-CBEA-4828-880B-2AD41C13D5DB}"/>
    <cellStyle name="60% - Accent3 38 2 2" xfId="30776" xr:uid="{3D7FF61F-85A2-44BE-B9CD-E57C7AB4775E}"/>
    <cellStyle name="60% - Accent3 38 2 2 2" xfId="50516" xr:uid="{D4EB4FE4-8A30-4DAC-9722-CC8A021A4A70}"/>
    <cellStyle name="60% - Accent3 38 2 3" xfId="50515" xr:uid="{147518FA-D818-4952-92FE-F844260E003C}"/>
    <cellStyle name="60% - Accent3 38 3" xfId="23071" xr:uid="{4B417B68-BE80-43BC-A7B5-B6FD1CB281F2}"/>
    <cellStyle name="60% - Accent3 38 3 2" xfId="50517" xr:uid="{9DDDEC35-335B-4740-BF1D-AB2C30EB2563}"/>
    <cellStyle name="60% - Accent3 38 4" xfId="50514" xr:uid="{07FB7AD4-21E1-466A-9E39-456CAE8564C4}"/>
    <cellStyle name="60% - Accent3 39" xfId="7676" xr:uid="{50E11136-2886-40EC-81E9-5AC0FFAAFB48}"/>
    <cellStyle name="60% - Accent3 39 2" xfId="15384" xr:uid="{6CC2E868-B0A6-4D13-879E-9440718AFCD8}"/>
    <cellStyle name="60% - Accent3 39 2 2" xfId="30796" xr:uid="{7E4509E1-D6A9-4423-A451-A49BAA890AE3}"/>
    <cellStyle name="60% - Accent3 39 2 2 2" xfId="50520" xr:uid="{4AD83029-C12F-4A33-8B64-505AB5C48769}"/>
    <cellStyle name="60% - Accent3 39 2 3" xfId="50519" xr:uid="{C8BA6A29-15B9-47CF-97DE-B03BB60E2FCA}"/>
    <cellStyle name="60% - Accent3 39 3" xfId="23091" xr:uid="{3F07152D-060D-4BBC-9401-9A49D7D3B782}"/>
    <cellStyle name="60% - Accent3 39 3 2" xfId="50521" xr:uid="{D5769ED2-5E2A-4113-AFE7-3618BA87B5A8}"/>
    <cellStyle name="60% - Accent3 39 4" xfId="50518" xr:uid="{36BA5A3F-93BA-44BB-840C-4234594D12A7}"/>
    <cellStyle name="60% - Accent3 4" xfId="328" xr:uid="{B7B0A3E3-E8DD-4C25-BCDD-31C288E83253}"/>
    <cellStyle name="60% - Accent3 4 2" xfId="992" xr:uid="{A412987C-8DC4-464E-962A-C7A8A2A6BDBD}"/>
    <cellStyle name="60% - Accent3 4 2 2" xfId="2462" xr:uid="{84ABCD2E-3984-425D-AB0E-3F27FC0D36B5}"/>
    <cellStyle name="60% - Accent3 4 2 2 2" xfId="6194" xr:uid="{C42B6E06-D2BA-43A1-A42C-3F155F564E0D}"/>
    <cellStyle name="60% - Accent3 4 2 2 2 2" xfId="13902" xr:uid="{63D52D99-AA55-40BB-8D3A-D478BBB2990D}"/>
    <cellStyle name="60% - Accent3 4 2 2 2 2 2" xfId="29314" xr:uid="{96BD8662-2EB1-4C94-BF35-18B0289E7369}"/>
    <cellStyle name="60% - Accent3 4 2 2 2 2 2 2" xfId="50527" xr:uid="{98883A14-864E-43E7-ACCC-67CF5AF5D972}"/>
    <cellStyle name="60% - Accent3 4 2 2 2 2 3" xfId="50526" xr:uid="{5BA94A09-5E33-489E-B4A0-6CFBB7EE48BB}"/>
    <cellStyle name="60% - Accent3 4 2 2 2 3" xfId="21609" xr:uid="{978638C7-FEC1-48C2-8803-14B190965923}"/>
    <cellStyle name="60% - Accent3 4 2 2 2 3 2" xfId="50528" xr:uid="{6584FBF2-7B47-4283-8140-395EC57FC405}"/>
    <cellStyle name="60% - Accent3 4 2 2 2 4" xfId="50525" xr:uid="{ABAA9461-B01F-46B3-A1E7-692A73BACB7B}"/>
    <cellStyle name="60% - Accent3 4 2 2 3" xfId="10173" xr:uid="{525A804E-D5D7-4AF3-BE50-B2E617326AFB}"/>
    <cellStyle name="60% - Accent3 4 2 2 3 2" xfId="25586" xr:uid="{50903B7E-8F4A-48EF-A479-9A755F03E14F}"/>
    <cellStyle name="60% - Accent3 4 2 2 3 2 2" xfId="50530" xr:uid="{95A71E4D-1920-461E-9D09-FF3BB27551E8}"/>
    <cellStyle name="60% - Accent3 4 2 2 3 3" xfId="50529" xr:uid="{B36029E2-EAB0-4561-983C-85EC347F2B79}"/>
    <cellStyle name="60% - Accent3 4 2 2 4" xfId="17881" xr:uid="{98A0AEF0-A2AD-4A06-9650-E519B1F0DBFA}"/>
    <cellStyle name="60% - Accent3 4 2 2 4 2" xfId="50531" xr:uid="{7F7A006C-BBA2-4FCC-9582-D953F6917DC2}"/>
    <cellStyle name="60% - Accent3 4 2 2 5" xfId="50524" xr:uid="{9C0AEF83-69A2-457A-AD9E-17F339BE2FF5}"/>
    <cellStyle name="60% - Accent3 4 2 3" xfId="4729" xr:uid="{FDFE8BA9-3CBB-4BB7-9920-4241525C168A}"/>
    <cellStyle name="60% - Accent3 4 2 3 2" xfId="12437" xr:uid="{E0CA569B-8518-4AE3-BFB4-45BF64720C5D}"/>
    <cellStyle name="60% - Accent3 4 2 3 2 2" xfId="27849" xr:uid="{A4E7A755-3468-4C79-9FA8-CB0A53096E27}"/>
    <cellStyle name="60% - Accent3 4 2 3 2 2 2" xfId="50534" xr:uid="{6E63FF5F-903B-4E7A-BAF7-1AF2C7EE47C8}"/>
    <cellStyle name="60% - Accent3 4 2 3 2 3" xfId="50533" xr:uid="{387A8F35-A490-4124-8934-E52D567865ED}"/>
    <cellStyle name="60% - Accent3 4 2 3 3" xfId="20144" xr:uid="{AB50FCD1-EB37-43A1-827D-F9E73787B16F}"/>
    <cellStyle name="60% - Accent3 4 2 3 3 2" xfId="50535" xr:uid="{DA8A1A50-CAFB-4CAE-A7C8-419448D7EBA2}"/>
    <cellStyle name="60% - Accent3 4 2 3 4" xfId="50532" xr:uid="{3165DE65-813B-4CE5-A3BA-C9F0A08713F6}"/>
    <cellStyle name="60% - Accent3 4 2 4" xfId="8714" xr:uid="{5C3E7978-0CD5-4738-8AF6-753660AE7E74}"/>
    <cellStyle name="60% - Accent3 4 2 4 2" xfId="24127" xr:uid="{1ED2C805-ED21-4057-A3BE-CB6BEF465FF9}"/>
    <cellStyle name="60% - Accent3 4 2 4 2 2" xfId="50537" xr:uid="{2ABCF275-DB44-4E26-8799-C61750A7031B}"/>
    <cellStyle name="60% - Accent3 4 2 4 3" xfId="50536" xr:uid="{8AFDD2A4-593A-4699-96E6-B4DA93AC2EB8}"/>
    <cellStyle name="60% - Accent3 4 2 5" xfId="16422" xr:uid="{ED687DAD-B036-4E82-B50F-49F089F78952}"/>
    <cellStyle name="60% - Accent3 4 2 5 2" xfId="50538" xr:uid="{366C5832-D5F4-48C0-BE1C-1C97E8F6F4E9}"/>
    <cellStyle name="60% - Accent3 4 2 6" xfId="50523" xr:uid="{0EA082EA-556C-4A02-A3CF-B9806EBEF342}"/>
    <cellStyle name="60% - Accent3 4 3" xfId="1824" xr:uid="{CC9C64EE-47EC-4B45-A138-EBA21D5E8C80}"/>
    <cellStyle name="60% - Accent3 4 3 2" xfId="5556" xr:uid="{5BBCC7EE-16C2-452C-9B24-AE456943B058}"/>
    <cellStyle name="60% - Accent3 4 3 2 2" xfId="13264" xr:uid="{9A9CA3B4-E61E-4828-9423-BDA05A87F5A5}"/>
    <cellStyle name="60% - Accent3 4 3 2 2 2" xfId="28676" xr:uid="{DC92DB83-6F12-4F2D-80CD-7C48FFC07F05}"/>
    <cellStyle name="60% - Accent3 4 3 2 2 2 2" xfId="50542" xr:uid="{1233B734-D97C-4CD7-94E1-729A7725E0CB}"/>
    <cellStyle name="60% - Accent3 4 3 2 2 3" xfId="50541" xr:uid="{DFDC5D1B-2E08-4194-8014-1874B23BB89C}"/>
    <cellStyle name="60% - Accent3 4 3 2 3" xfId="20971" xr:uid="{E823CD67-427F-4253-9FA3-2E3E667B26F2}"/>
    <cellStyle name="60% - Accent3 4 3 2 3 2" xfId="50543" xr:uid="{A4718540-DF5E-4C6A-819A-916FF8532C59}"/>
    <cellStyle name="60% - Accent3 4 3 2 4" xfId="50540" xr:uid="{AF62EEF9-A127-4B99-9D0B-0B86B71D88B4}"/>
    <cellStyle name="60% - Accent3 4 3 3" xfId="9535" xr:uid="{5FB5BAFE-8183-45D6-A12D-C26D856D3F0E}"/>
    <cellStyle name="60% - Accent3 4 3 3 2" xfId="24948" xr:uid="{89DF3BAF-1CA6-44A9-8F4E-8B20A428F39F}"/>
    <cellStyle name="60% - Accent3 4 3 3 2 2" xfId="50545" xr:uid="{797A83D9-E837-4ABC-B41C-CDBE67D523DC}"/>
    <cellStyle name="60% - Accent3 4 3 3 3" xfId="50544" xr:uid="{0E4893A6-F40A-41E9-AD78-043DD89690E1}"/>
    <cellStyle name="60% - Accent3 4 3 4" xfId="17243" xr:uid="{BB7A9A8F-AB29-4DA2-8AFF-D1B3F0FE69EC}"/>
    <cellStyle name="60% - Accent3 4 3 4 2" xfId="50546" xr:uid="{417E543A-FA93-4EF8-AC10-3C19008F71DB}"/>
    <cellStyle name="60% - Accent3 4 3 5" xfId="50539" xr:uid="{E0B833FC-6A1F-4490-8028-00005F837146}"/>
    <cellStyle name="60% - Accent3 4 4" xfId="4077" xr:uid="{84751FA3-B672-48B5-A37C-A1FEEF073689}"/>
    <cellStyle name="60% - Accent3 4 4 2" xfId="11785" xr:uid="{56C074C5-4229-4BFF-80B4-590BCA6516B1}"/>
    <cellStyle name="60% - Accent3 4 4 2 2" xfId="27197" xr:uid="{3A27ADF7-3AB6-43B9-B8CF-34F9352F7A39}"/>
    <cellStyle name="60% - Accent3 4 4 2 2 2" xfId="50549" xr:uid="{8A900F3F-3632-470C-A49A-6C100D29F6B2}"/>
    <cellStyle name="60% - Accent3 4 4 2 3" xfId="50548" xr:uid="{1E1415D4-E346-45C9-8991-6AF4B1CFB70D}"/>
    <cellStyle name="60% - Accent3 4 4 3" xfId="19492" xr:uid="{3D2C79E7-6B63-40A6-B4AA-1809CF31E045}"/>
    <cellStyle name="60% - Accent3 4 4 3 2" xfId="50550" xr:uid="{72A14B8C-9DCC-4CD1-8EF9-D9E71C0574E8}"/>
    <cellStyle name="60% - Accent3 4 4 4" xfId="50547" xr:uid="{DD3E8C24-2696-4581-AE75-3759F013932F}"/>
    <cellStyle name="60% - Accent3 4 5" xfId="8076" xr:uid="{05BE7AB7-9CB1-427F-A2C1-C622145F0D6A}"/>
    <cellStyle name="60% - Accent3 4 5 2" xfId="23489" xr:uid="{1CAC7ED9-6CBF-4098-B723-1FF85BA1904D}"/>
    <cellStyle name="60% - Accent3 4 5 2 2" xfId="50552" xr:uid="{9C40A82A-6BF1-45C3-BEA6-E960F1957E78}"/>
    <cellStyle name="60% - Accent3 4 5 3" xfId="50551" xr:uid="{02EF54DB-B62D-425D-B5F6-1D764BC13179}"/>
    <cellStyle name="60% - Accent3 4 6" xfId="15784" xr:uid="{8015D7F9-4E83-49D0-BFA4-FFAC65A4D72C}"/>
    <cellStyle name="60% - Accent3 4 6 2" xfId="50553" xr:uid="{A2F0BAFF-9530-49D3-A34A-7DBFC9929516}"/>
    <cellStyle name="60% - Accent3 4 7" xfId="50522" xr:uid="{64AED8DF-F00F-4642-8B02-DE8E63DCC02E}"/>
    <cellStyle name="60% - Accent3 40" xfId="7696" xr:uid="{2325273F-3165-450F-9ABC-B3B20B8F9F74}"/>
    <cellStyle name="60% - Accent3 40 2" xfId="15404" xr:uid="{DD4BCB23-8EBF-4353-BC81-E72AA25B68B8}"/>
    <cellStyle name="60% - Accent3 40 2 2" xfId="30816" xr:uid="{11339393-53BE-4BBE-BD90-B3F31B6A4820}"/>
    <cellStyle name="60% - Accent3 40 2 2 2" xfId="50556" xr:uid="{F6106410-B1C8-4C6E-8E85-96A8D442A8E4}"/>
    <cellStyle name="60% - Accent3 40 2 3" xfId="50555" xr:uid="{98C034C8-19A0-4E33-99DF-1E4102995889}"/>
    <cellStyle name="60% - Accent3 40 3" xfId="23111" xr:uid="{E2F7CF99-9522-44D2-8B53-671C60D8EAF2}"/>
    <cellStyle name="60% - Accent3 40 3 2" xfId="50557" xr:uid="{C9634625-D131-4B35-B5FD-1F893AF08F5B}"/>
    <cellStyle name="60% - Accent3 40 4" xfId="50554" xr:uid="{123E7BF8-C8D3-4232-9781-D399B057C8BD}"/>
    <cellStyle name="60% - Accent3 41" xfId="7716" xr:uid="{D7E91455-1306-44DD-8D43-F8E9960C2024}"/>
    <cellStyle name="60% - Accent3 41 2" xfId="15424" xr:uid="{8097AB23-82D1-49DA-8079-49B8F8691165}"/>
    <cellStyle name="60% - Accent3 41 2 2" xfId="30836" xr:uid="{358B8F12-FA94-4A38-A24C-ED35899CEE80}"/>
    <cellStyle name="60% - Accent3 41 2 2 2" xfId="50560" xr:uid="{D652DA57-4FFA-4AF3-B630-3794FC1EEB4F}"/>
    <cellStyle name="60% - Accent3 41 2 3" xfId="50559" xr:uid="{C817B083-32D0-4D6D-8B5F-88AF8725A1F0}"/>
    <cellStyle name="60% - Accent3 41 3" xfId="23131" xr:uid="{5BC9E25E-8404-4275-AC56-42B181DC936A}"/>
    <cellStyle name="60% - Accent3 41 3 2" xfId="50561" xr:uid="{40E76C8B-0E3B-45A1-9A35-7CBA1D36278C}"/>
    <cellStyle name="60% - Accent3 41 4" xfId="50558" xr:uid="{4C78722C-DF49-4689-8330-411B6C2D6FD2}"/>
    <cellStyle name="60% - Accent3 42" xfId="7736" xr:uid="{F9F37628-462D-4A87-BCFF-14D44E4ACD49}"/>
    <cellStyle name="60% - Accent3 42 2" xfId="15444" xr:uid="{20123AF2-FDCD-495A-BCB8-D527CAAA0606}"/>
    <cellStyle name="60% - Accent3 42 2 2" xfId="30856" xr:uid="{5CC0252D-D00D-4E68-B90A-D4C35B4261AD}"/>
    <cellStyle name="60% - Accent3 42 2 2 2" xfId="50564" xr:uid="{ACBC6883-8B2D-4D1B-8F91-C49EDA45DFD8}"/>
    <cellStyle name="60% - Accent3 42 2 3" xfId="50563" xr:uid="{198AEB4A-FCF0-4CB5-89A6-81488E1BF530}"/>
    <cellStyle name="60% - Accent3 42 3" xfId="23151" xr:uid="{CC36AD0D-0CF9-4049-A385-093624D4B847}"/>
    <cellStyle name="60% - Accent3 42 3 2" xfId="50565" xr:uid="{FCF36CAB-C5C5-4964-97ED-8B6B0F118B07}"/>
    <cellStyle name="60% - Accent3 42 4" xfId="50562" xr:uid="{078D5369-8407-432E-B6D6-E67C0CA74316}"/>
    <cellStyle name="60% - Accent3 43" xfId="7756" xr:uid="{50FAE456-274B-4825-96E9-0D4270CD2364}"/>
    <cellStyle name="60% - Accent3 43 2" xfId="15464" xr:uid="{16D51377-8719-40DD-B211-AD7BB59E4209}"/>
    <cellStyle name="60% - Accent3 43 2 2" xfId="30876" xr:uid="{535043B9-D051-49BE-B490-EFE5603E4519}"/>
    <cellStyle name="60% - Accent3 43 2 2 2" xfId="50568" xr:uid="{BBA5CDDC-40F8-4A9A-A7B1-80CF86E89F90}"/>
    <cellStyle name="60% - Accent3 43 2 3" xfId="50567" xr:uid="{15E7CDF1-DCCB-4B60-A275-C65F939E87AC}"/>
    <cellStyle name="60% - Accent3 43 3" xfId="23171" xr:uid="{A97486B3-5D69-4F82-9092-6D8D87CD4FED}"/>
    <cellStyle name="60% - Accent3 43 3 2" xfId="50569" xr:uid="{C51B3E22-241A-4493-B2E5-DB8CA946046B}"/>
    <cellStyle name="60% - Accent3 43 4" xfId="50566" xr:uid="{5B9E0278-AAF5-43DE-BA80-B248DF090E22}"/>
    <cellStyle name="60% - Accent3 44" xfId="7776" xr:uid="{6118172F-4C67-4B46-B525-4453DF9E4BB3}"/>
    <cellStyle name="60% - Accent3 44 2" xfId="15484" xr:uid="{FD134D07-B2AC-4EC1-AB5E-9199919D5E34}"/>
    <cellStyle name="60% - Accent3 44 2 2" xfId="30896" xr:uid="{61E0D437-6B9E-4478-ABF3-82D7FDC13BCA}"/>
    <cellStyle name="60% - Accent3 44 2 2 2" xfId="50572" xr:uid="{DBDE4734-4DA7-4C06-B0D7-7501FF082747}"/>
    <cellStyle name="60% - Accent3 44 2 3" xfId="50571" xr:uid="{AF835C79-E286-40E4-9AB2-15D9A5EBE583}"/>
    <cellStyle name="60% - Accent3 44 3" xfId="23191" xr:uid="{51C150BC-E5DC-4888-A3E0-A9C74A74DA62}"/>
    <cellStyle name="60% - Accent3 44 3 2" xfId="50573" xr:uid="{C656E938-C293-4D46-9B13-9C2FE16DBB22}"/>
    <cellStyle name="60% - Accent3 44 4" xfId="50570" xr:uid="{8604A6AC-A946-42E6-9459-46D8E651B232}"/>
    <cellStyle name="60% - Accent3 45" xfId="7796" xr:uid="{99686F05-E9EF-4A3D-A229-B531A6A61E27}"/>
    <cellStyle name="60% - Accent3 45 2" xfId="15504" xr:uid="{C95C3C19-6C63-4D3F-BC2A-DC86D49A9E8F}"/>
    <cellStyle name="60% - Accent3 45 2 2" xfId="30916" xr:uid="{96D54D31-18A3-4DEA-92A9-D96F9FC1917D}"/>
    <cellStyle name="60% - Accent3 45 2 2 2" xfId="50576" xr:uid="{5C413A5B-D525-4E68-9C32-569EFA40148B}"/>
    <cellStyle name="60% - Accent3 45 2 3" xfId="50575" xr:uid="{6CE42891-0429-4E5F-B3B4-7CCF75AD1CC4}"/>
    <cellStyle name="60% - Accent3 45 3" xfId="23211" xr:uid="{BA44680A-D245-4843-8168-743B258C92D4}"/>
    <cellStyle name="60% - Accent3 45 3 2" xfId="50577" xr:uid="{37ECADB0-C37E-41E8-AAC4-DFB18841EE84}"/>
    <cellStyle name="60% - Accent3 45 4" xfId="50574" xr:uid="{9E260B9E-25BE-44A6-BF4C-F5F02C189565}"/>
    <cellStyle name="60% - Accent3 46" xfId="7818" xr:uid="{A965D740-B3F4-4A8B-AD71-4C39814D7E55}"/>
    <cellStyle name="60% - Accent3 46 2" xfId="15526" xr:uid="{BD2A825D-4243-4A65-9E16-E0EFD6450073}"/>
    <cellStyle name="60% - Accent3 46 2 2" xfId="30938" xr:uid="{53617442-DEE6-473D-B7A1-20BFE49ED39A}"/>
    <cellStyle name="60% - Accent3 46 2 2 2" xfId="50580" xr:uid="{254796C7-7180-4618-847C-CBAFA45451AA}"/>
    <cellStyle name="60% - Accent3 46 2 3" xfId="50579" xr:uid="{2510BB31-BB54-4D5E-90B3-919F3EEC60F0}"/>
    <cellStyle name="60% - Accent3 46 3" xfId="23233" xr:uid="{5252D76E-AF93-41B7-992A-4A82BB868B11}"/>
    <cellStyle name="60% - Accent3 46 3 2" xfId="50581" xr:uid="{CCAD7B43-858E-43D7-A40F-4CCFF4A3A8BA}"/>
    <cellStyle name="60% - Accent3 46 4" xfId="50578" xr:uid="{FB96E7F5-A4E4-440F-ACF7-5358F0F920BC}"/>
    <cellStyle name="60% - Accent3 47" xfId="7839" xr:uid="{67227104-E6DC-46E0-8F67-C4E723508191}"/>
    <cellStyle name="60% - Accent3 47 2" xfId="15547" xr:uid="{4C5669FD-3E4C-4A2D-B732-5CE35FA3B6B7}"/>
    <cellStyle name="60% - Accent3 47 2 2" xfId="30958" xr:uid="{8DC2ADC5-D365-4DCE-81CC-714B15E61E48}"/>
    <cellStyle name="60% - Accent3 47 2 2 2" xfId="50584" xr:uid="{2C1B4552-6632-4443-867D-550E427B99F3}"/>
    <cellStyle name="60% - Accent3 47 2 3" xfId="50583" xr:uid="{30F51AB7-1096-4B01-86B7-6F6AC41D512B}"/>
    <cellStyle name="60% - Accent3 47 3" xfId="23253" xr:uid="{D74E9776-7330-46CC-9727-23CA976F64C7}"/>
    <cellStyle name="60% - Accent3 47 3 2" xfId="50585" xr:uid="{20A7EA55-CE71-464C-A44B-3611F59F696D}"/>
    <cellStyle name="60% - Accent3 47 4" xfId="50582" xr:uid="{DC218C22-5722-4DEB-B54A-F4E3CAB108EA}"/>
    <cellStyle name="60% - Accent3 48" xfId="7859" xr:uid="{4FEE2F96-D67A-4870-AEF7-C83F9F052D7A}"/>
    <cellStyle name="60% - Accent3 48 2" xfId="15567" xr:uid="{78D44D87-7AD9-48F1-BFBD-7623F16106A0}"/>
    <cellStyle name="60% - Accent3 48 2 2" xfId="30978" xr:uid="{C51C8143-1E0D-4509-A047-59A5ED150829}"/>
    <cellStyle name="60% - Accent3 48 2 2 2" xfId="50588" xr:uid="{1DBD74C7-452F-4DBA-8ECB-B66ADD90D086}"/>
    <cellStyle name="60% - Accent3 48 2 3" xfId="50587" xr:uid="{0EFF7316-CE9B-4A79-A2CB-79D74F4C58EC}"/>
    <cellStyle name="60% - Accent3 48 3" xfId="23273" xr:uid="{ACE7FDF0-65A7-4EB7-AA9A-7E56496CFD7B}"/>
    <cellStyle name="60% - Accent3 48 3 2" xfId="50589" xr:uid="{2CFF9452-3383-408B-811C-03AC16DC96CC}"/>
    <cellStyle name="60% - Accent3 48 4" xfId="50586" xr:uid="{5C22208B-37DC-4839-A856-FBDBA0A67AAC}"/>
    <cellStyle name="60% - Accent3 49" xfId="7912" xr:uid="{C007B819-6DED-436D-87F1-347DF2E0DF3D}"/>
    <cellStyle name="60% - Accent3 49 2" xfId="23325" xr:uid="{B2637E41-FCD1-4CB9-A01B-56BF48992B11}"/>
    <cellStyle name="60% - Accent3 49 2 2" xfId="50591" xr:uid="{F239C765-5B12-4780-A37D-D30D14DBD767}"/>
    <cellStyle name="60% - Accent3 49 3" xfId="50590" xr:uid="{2080519B-0BA8-4F78-8979-48C8FBB11740}"/>
    <cellStyle name="60% - Accent3 5" xfId="1621" xr:uid="{87495BA8-2101-4E48-AED8-F222141BD648}"/>
    <cellStyle name="60% - Accent3 5 2" xfId="5356" xr:uid="{DAF6CE9F-A29E-4B22-8A0A-DE0B7380D262}"/>
    <cellStyle name="60% - Accent3 5 2 2" xfId="13064" xr:uid="{5EE604B1-C4E9-4AB1-A1A2-F3381ECA836B}"/>
    <cellStyle name="60% - Accent3 5 2 2 2" xfId="28476" xr:uid="{01C9991C-3D12-44F0-91CE-38DBCB01B420}"/>
    <cellStyle name="60% - Accent3 5 2 2 2 2" xfId="50595" xr:uid="{8D6895D5-108C-4526-967F-7D196B11FCA8}"/>
    <cellStyle name="60% - Accent3 5 2 2 3" xfId="50594" xr:uid="{1D5E748D-79D3-4A62-84E2-C4D9D41C8F6E}"/>
    <cellStyle name="60% - Accent3 5 2 3" xfId="20771" xr:uid="{E5E82D25-0177-43CA-B8A9-BE6D26265AA1}"/>
    <cellStyle name="60% - Accent3 5 2 3 2" xfId="50596" xr:uid="{0DCDD73B-2F3C-4EAD-8931-23421A0840AF}"/>
    <cellStyle name="60% - Accent3 5 2 4" xfId="50593" xr:uid="{B1068117-C480-41CE-B1BA-766DDFC20590}"/>
    <cellStyle name="60% - Accent3 5 3" xfId="9337" xr:uid="{26FAEFD7-36A2-47A0-AE02-5BF5EB435E3E}"/>
    <cellStyle name="60% - Accent3 5 3 2" xfId="24750" xr:uid="{DFBAF4EA-EC71-4967-9EC4-8F41296419B2}"/>
    <cellStyle name="60% - Accent3 5 3 2 2" xfId="50598" xr:uid="{E29FC86C-1E6C-4982-9FFF-5D71E0522A28}"/>
    <cellStyle name="60% - Accent3 5 3 3" xfId="50597" xr:uid="{C0E83BE5-3DBA-4A3D-A8C6-F71AFFCDD1AD}"/>
    <cellStyle name="60% - Accent3 5 4" xfId="17045" xr:uid="{85C23306-3D4C-4F0F-9FB2-F1AC6688F7D2}"/>
    <cellStyle name="60% - Accent3 5 4 2" xfId="50599" xr:uid="{177E9CBD-5561-4BDE-A0D7-0A9F526CB691}"/>
    <cellStyle name="60% - Accent3 5 5" xfId="50592" xr:uid="{F8CFDB28-BEBA-452E-A1E1-CE715DC88F3D}"/>
    <cellStyle name="60% - Accent3 50" xfId="15620" xr:uid="{DBB8EDCE-405C-4CE7-9B4F-E68C8DFD6E84}"/>
    <cellStyle name="60% - Accent3 50 2" xfId="50600" xr:uid="{D4873F00-0834-41F7-9ADE-854C0A4600BD}"/>
    <cellStyle name="60% - Accent3 51" xfId="30998" xr:uid="{2C9B7F48-63E7-4AD4-9CD2-2419F766ED53}"/>
    <cellStyle name="60% - Accent3 51 2" xfId="50601" xr:uid="{8A0BF331-BE98-4219-AF4F-328718E2A2C7}"/>
    <cellStyle name="60% - Accent3 52" xfId="50240" xr:uid="{6AE754FE-C61D-4C28-869B-8CBCE9EC5A13}"/>
    <cellStyle name="60% - Accent3 53" xfId="61978" xr:uid="{9704CD9B-D5CE-474C-B982-1F674355953A}"/>
    <cellStyle name="60% - Accent3 54" xfId="61998" xr:uid="{509E6AD5-40F7-42E9-A34A-3247A24EDEEB}"/>
    <cellStyle name="60% - Accent3 55" xfId="62018" xr:uid="{F791DB39-260D-4427-BE27-5C2538DC88C6}"/>
    <cellStyle name="60% - Accent3 56" xfId="62043" xr:uid="{9F498FC4-72EB-4068-BB44-76ED0563270C}"/>
    <cellStyle name="60% - Accent3 57" xfId="62066" xr:uid="{8B081AD1-F130-496B-A777-2D80E40D2143}"/>
    <cellStyle name="60% - Accent3 58" xfId="62087" xr:uid="{3663E26F-F9F5-438C-8D73-D55E53031AAF}"/>
    <cellStyle name="60% - Accent3 6" xfId="3304" xr:uid="{353E7519-C113-4E4D-9F0C-A941E27F2EF5}"/>
    <cellStyle name="60% - Accent3 6 2" xfId="7036" xr:uid="{E833DC40-E966-4BC7-9B80-8272291FC2E7}"/>
    <cellStyle name="60% - Accent3 6 2 2" xfId="14744" xr:uid="{C70EA38E-DC0C-43AE-AD8E-A1E240E26316}"/>
    <cellStyle name="60% - Accent3 6 2 2 2" xfId="30156" xr:uid="{A071C58A-8E5C-4259-8F49-3B8702B6C15C}"/>
    <cellStyle name="60% - Accent3 6 2 2 2 2" xfId="50605" xr:uid="{E906F65E-2EF0-40CF-ABAF-490913710E69}"/>
    <cellStyle name="60% - Accent3 6 2 2 3" xfId="50604" xr:uid="{7040CC88-A68F-474A-A96D-39B32CCE8049}"/>
    <cellStyle name="60% - Accent3 6 2 3" xfId="22451" xr:uid="{D5247BFE-81EA-4F19-8B1B-2646FA9F6E83}"/>
    <cellStyle name="60% - Accent3 6 2 3 2" xfId="50606" xr:uid="{30B264FA-3524-40A1-AAF6-64897B04D1EF}"/>
    <cellStyle name="60% - Accent3 6 2 4" xfId="50603" xr:uid="{2B96ADBF-A6D0-498C-9ACD-404477DA296D}"/>
    <cellStyle name="60% - Accent3 6 3" xfId="11015" xr:uid="{467709FC-2C4F-412F-8AD0-50007E972AC1}"/>
    <cellStyle name="60% - Accent3 6 3 2" xfId="26428" xr:uid="{7DAEDA61-C9F4-49D4-A42E-82ACECDA56A2}"/>
    <cellStyle name="60% - Accent3 6 3 2 2" xfId="50608" xr:uid="{54E4A9F2-1572-46A2-B7C0-0625C76A37EC}"/>
    <cellStyle name="60% - Accent3 6 3 3" xfId="50607" xr:uid="{B92C18BE-F5D6-41ED-B6B6-943F6B879B1F}"/>
    <cellStyle name="60% - Accent3 6 4" xfId="18723" xr:uid="{C94B7A2B-5A8C-4269-BB8A-D5748E310D16}"/>
    <cellStyle name="60% - Accent3 6 4 2" xfId="50609" xr:uid="{3406D0C4-0B53-4FF8-BBB5-5D2FB4342597}"/>
    <cellStyle name="60% - Accent3 6 5" xfId="50602" xr:uid="{3CA1969F-9019-4274-8ED2-C59E5C35CAC1}"/>
    <cellStyle name="60% - Accent3 7" xfId="3324" xr:uid="{7352B911-6C7F-4BA2-8694-F78F00DD9EBD}"/>
    <cellStyle name="60% - Accent3 7 2" xfId="7056" xr:uid="{B044DE56-F55C-4D69-B3B6-F5CB2E2435EE}"/>
    <cellStyle name="60% - Accent3 7 2 2" xfId="14764" xr:uid="{C721B328-151C-4174-91A7-2E2BF9E81546}"/>
    <cellStyle name="60% - Accent3 7 2 2 2" xfId="30176" xr:uid="{6E01745F-1DE4-4156-A840-124709C6D57C}"/>
    <cellStyle name="60% - Accent3 7 2 2 2 2" xfId="50613" xr:uid="{1BAF993C-7E51-4FC6-8FCA-08A20DCBE525}"/>
    <cellStyle name="60% - Accent3 7 2 2 3" xfId="50612" xr:uid="{BE01E00A-2595-43D8-981D-F6C29378627E}"/>
    <cellStyle name="60% - Accent3 7 2 3" xfId="22471" xr:uid="{F94DFBE3-31AD-41C1-9BB7-06D81942C2B0}"/>
    <cellStyle name="60% - Accent3 7 2 3 2" xfId="50614" xr:uid="{B75949BA-9244-4092-8BF9-1D8F82EE6321}"/>
    <cellStyle name="60% - Accent3 7 2 4" xfId="50611" xr:uid="{CE920384-8E63-494A-8B2F-7EC1E88A000C}"/>
    <cellStyle name="60% - Accent3 7 3" xfId="11035" xr:uid="{5C245318-E095-4B1F-94B5-A9B42FCE6F66}"/>
    <cellStyle name="60% - Accent3 7 3 2" xfId="26448" xr:uid="{F7D4FDDF-CBF6-461B-9B8C-9A6122B8E142}"/>
    <cellStyle name="60% - Accent3 7 3 2 2" xfId="50616" xr:uid="{8EAF77DF-F731-448B-B8D6-6664FE16875B}"/>
    <cellStyle name="60% - Accent3 7 3 3" xfId="50615" xr:uid="{FDBC829B-34B9-413F-91AA-3A2FEECDF5A2}"/>
    <cellStyle name="60% - Accent3 7 4" xfId="18743" xr:uid="{36199DEE-24B3-4400-8FDD-4C0A3787695F}"/>
    <cellStyle name="60% - Accent3 7 4 2" xfId="50617" xr:uid="{77111C94-4210-4DDA-8D31-D08822E166A6}"/>
    <cellStyle name="60% - Accent3 7 5" xfId="50610" xr:uid="{B4381A5C-C763-4DF6-B704-2CD8D0473EE4}"/>
    <cellStyle name="60% - Accent3 8" xfId="3344" xr:uid="{86CEBD8B-A261-478B-8563-BBFDB4E5AF4F}"/>
    <cellStyle name="60% - Accent3 8 2" xfId="7076" xr:uid="{DA0CA6DF-A0B5-401B-A40A-7CF9BA0C6ACF}"/>
    <cellStyle name="60% - Accent3 8 2 2" xfId="14784" xr:uid="{B60F6E05-0673-4C20-B19F-489BF09CD939}"/>
    <cellStyle name="60% - Accent3 8 2 2 2" xfId="30196" xr:uid="{38F2D0FC-6B1F-452B-BB42-18F59D87A744}"/>
    <cellStyle name="60% - Accent3 8 2 2 2 2" xfId="50621" xr:uid="{3EC21F4D-B33C-4769-9BD3-C2C22D38861F}"/>
    <cellStyle name="60% - Accent3 8 2 2 3" xfId="50620" xr:uid="{29C7B2D6-A3FC-4D0D-AE8F-1937E74A69CD}"/>
    <cellStyle name="60% - Accent3 8 2 3" xfId="22491" xr:uid="{47227AEF-1409-476A-BD47-0B7AFBC89524}"/>
    <cellStyle name="60% - Accent3 8 2 3 2" xfId="50622" xr:uid="{9B418654-E788-4826-A4F3-A664C7CA1072}"/>
    <cellStyle name="60% - Accent3 8 2 4" xfId="50619" xr:uid="{A441E515-1300-4B8C-B447-2795BB714D51}"/>
    <cellStyle name="60% - Accent3 8 3" xfId="11055" xr:uid="{25BAD108-CAF8-486A-8D2A-F4985BE5904D}"/>
    <cellStyle name="60% - Accent3 8 3 2" xfId="26468" xr:uid="{51DE5B52-C49A-4E4C-9FDB-CEF2931488F1}"/>
    <cellStyle name="60% - Accent3 8 3 2 2" xfId="50624" xr:uid="{334DD0F1-6DD8-48A9-9F48-9B753C12940F}"/>
    <cellStyle name="60% - Accent3 8 3 3" xfId="50623" xr:uid="{DDAEB980-9072-4315-B5E7-5DC5B1CE02CC}"/>
    <cellStyle name="60% - Accent3 8 4" xfId="18763" xr:uid="{58C53156-D0D0-483B-B24A-E49F5C66A607}"/>
    <cellStyle name="60% - Accent3 8 4 2" xfId="50625" xr:uid="{FDA6985B-9249-40EC-A7B1-2F81324F193E}"/>
    <cellStyle name="60% - Accent3 8 5" xfId="50618" xr:uid="{AA72BDF5-AE5A-4060-BFD4-0FB6AC5C04BF}"/>
    <cellStyle name="60% - Accent3 9" xfId="3364" xr:uid="{4AFC4B57-1353-4A9F-96F3-F3545D89E352}"/>
    <cellStyle name="60% - Accent3 9 2" xfId="7096" xr:uid="{282AC4B0-8E3B-4948-8E8A-605D0AE2E4F4}"/>
    <cellStyle name="60% - Accent3 9 2 2" xfId="14804" xr:uid="{F6C581F0-6A91-40E2-9342-608187503FEA}"/>
    <cellStyle name="60% - Accent3 9 2 2 2" xfId="30216" xr:uid="{A425FFC8-C771-4C9F-BF33-299F66DB817D}"/>
    <cellStyle name="60% - Accent3 9 2 2 2 2" xfId="50629" xr:uid="{B40AEAA3-87A6-4510-AA91-743FE02DA593}"/>
    <cellStyle name="60% - Accent3 9 2 2 3" xfId="50628" xr:uid="{781A9F95-0DDC-4805-AE87-346A47806FB7}"/>
    <cellStyle name="60% - Accent3 9 2 3" xfId="22511" xr:uid="{B994291F-87D0-435A-9EDB-7F16AD68CBFE}"/>
    <cellStyle name="60% - Accent3 9 2 3 2" xfId="50630" xr:uid="{DE80E3B3-5E65-40E8-B584-DA81D4E5C301}"/>
    <cellStyle name="60% - Accent3 9 2 4" xfId="50627" xr:uid="{C9821B57-7D85-4520-BC1B-AD94DC53149B}"/>
    <cellStyle name="60% - Accent3 9 3" xfId="11075" xr:uid="{3D931DCF-3286-46B6-8E9E-F052A67FFBB0}"/>
    <cellStyle name="60% - Accent3 9 3 2" xfId="26488" xr:uid="{578751D3-F331-4EC9-81FC-C380CA83B29C}"/>
    <cellStyle name="60% - Accent3 9 3 2 2" xfId="50632" xr:uid="{32AFAFBA-EC06-4D7A-9CD0-2BAAF02070EF}"/>
    <cellStyle name="60% - Accent3 9 3 3" xfId="50631" xr:uid="{C39F1A36-1116-4DF9-90A8-28B550DA80F8}"/>
    <cellStyle name="60% - Accent3 9 4" xfId="18783" xr:uid="{402F65A6-3458-4313-A17C-BA60838E552B}"/>
    <cellStyle name="60% - Accent3 9 4 2" xfId="50633" xr:uid="{2C7E346D-8F30-49AA-B625-8C4092F572BA}"/>
    <cellStyle name="60% - Accent3 9 5" xfId="50626" xr:uid="{D806A704-7D3D-4525-9250-3D17BE52E15C}"/>
    <cellStyle name="60% - Accent4 10" xfId="3387" xr:uid="{762ED514-E733-4FFA-B53D-A86ACF4C274D}"/>
    <cellStyle name="60% - Accent4 10 2" xfId="7119" xr:uid="{73F809C6-C58A-49D4-9670-7089B2BEF87F}"/>
    <cellStyle name="60% - Accent4 10 2 2" xfId="14827" xr:uid="{717B8A67-F966-4E98-A2BC-56303A768F29}"/>
    <cellStyle name="60% - Accent4 10 2 2 2" xfId="30239" xr:uid="{74371E93-A5AD-418F-A8C7-D52953553E80}"/>
    <cellStyle name="60% - Accent4 10 2 2 2 2" xfId="50638" xr:uid="{52DA421A-069C-4460-A599-04217D8E5053}"/>
    <cellStyle name="60% - Accent4 10 2 2 3" xfId="50637" xr:uid="{C9BD7ED2-6654-4268-A1C0-CC88CBFEED1E}"/>
    <cellStyle name="60% - Accent4 10 2 3" xfId="22534" xr:uid="{CF2A3916-F3ED-4D5F-8FE5-A36D5A16A0D9}"/>
    <cellStyle name="60% - Accent4 10 2 3 2" xfId="50639" xr:uid="{32D29750-DAFB-4FDB-974E-18D5768213AD}"/>
    <cellStyle name="60% - Accent4 10 2 4" xfId="50636" xr:uid="{11363711-B37F-4706-BD2B-75430FFB54A4}"/>
    <cellStyle name="60% - Accent4 10 3" xfId="11098" xr:uid="{6F65023E-3198-42B1-8141-B9FCABA40ED0}"/>
    <cellStyle name="60% - Accent4 10 3 2" xfId="26511" xr:uid="{04F2FDC9-DCF1-44C9-B394-51BAC51AE073}"/>
    <cellStyle name="60% - Accent4 10 3 2 2" xfId="50641" xr:uid="{249814E4-C8D8-46FC-965E-E92E5871F8E9}"/>
    <cellStyle name="60% - Accent4 10 3 3" xfId="50640" xr:uid="{739A1C29-C4D1-45B6-9CA6-668FF555819B}"/>
    <cellStyle name="60% - Accent4 10 4" xfId="18806" xr:uid="{7C30FDFA-18BD-49C6-8438-A69912F2E2C3}"/>
    <cellStyle name="60% - Accent4 10 4 2" xfId="50642" xr:uid="{8FA7D71E-46ED-4798-AC9C-EE7EE149B771}"/>
    <cellStyle name="60% - Accent4 10 5" xfId="50635" xr:uid="{1D881F88-9C43-46AC-8B47-30D317EDB18A}"/>
    <cellStyle name="60% - Accent4 11" xfId="3407" xr:uid="{6E0BE587-4EFA-41C3-B114-4BEBFA6EDAC8}"/>
    <cellStyle name="60% - Accent4 11 2" xfId="7139" xr:uid="{F50E89B8-B551-4B8F-87D7-041D260636D0}"/>
    <cellStyle name="60% - Accent4 11 2 2" xfId="14847" xr:uid="{16E02137-EC96-44F5-9992-CD5D20C2134C}"/>
    <cellStyle name="60% - Accent4 11 2 2 2" xfId="30259" xr:uid="{3FEDF81B-6090-4304-9E13-86B98AD179FD}"/>
    <cellStyle name="60% - Accent4 11 2 2 2 2" xfId="50646" xr:uid="{16533E04-4752-42EE-8FF1-30838A688C06}"/>
    <cellStyle name="60% - Accent4 11 2 2 3" xfId="50645" xr:uid="{0677AB01-1850-4E2A-86C1-39BCA4DE80D6}"/>
    <cellStyle name="60% - Accent4 11 2 3" xfId="22554" xr:uid="{43AB7B1D-F125-44BD-9A92-095AE1BF8369}"/>
    <cellStyle name="60% - Accent4 11 2 3 2" xfId="50647" xr:uid="{C20625EE-557E-4975-A646-FC86D5B10F65}"/>
    <cellStyle name="60% - Accent4 11 2 4" xfId="50644" xr:uid="{67CF590A-835F-470D-8E4E-0D658992DDCF}"/>
    <cellStyle name="60% - Accent4 11 3" xfId="11118" xr:uid="{7829D566-7CD9-45B6-AA96-24554352813F}"/>
    <cellStyle name="60% - Accent4 11 3 2" xfId="26531" xr:uid="{2EE4096D-B51F-4249-90CE-2EFCE2EF0744}"/>
    <cellStyle name="60% - Accent4 11 3 2 2" xfId="50649" xr:uid="{27CDEC40-55B4-49CF-89AB-C012428A02AE}"/>
    <cellStyle name="60% - Accent4 11 3 3" xfId="50648" xr:uid="{A2BE6A78-CB8D-4674-8AD2-662E89EE5478}"/>
    <cellStyle name="60% - Accent4 11 4" xfId="18826" xr:uid="{7E7B30B3-6641-414E-B8F1-EADA19F79BCB}"/>
    <cellStyle name="60% - Accent4 11 4 2" xfId="50650" xr:uid="{21DD09EE-E401-4FAF-A00B-EAA7CFA8112F}"/>
    <cellStyle name="60% - Accent4 11 5" xfId="50643" xr:uid="{1DA3D0B7-9E8F-4C0B-9B9F-69FBE52231AC}"/>
    <cellStyle name="60% - Accent4 12" xfId="3427" xr:uid="{394A5B08-E7D9-4EBB-BE3B-0271F12EDE3F}"/>
    <cellStyle name="60% - Accent4 12 2" xfId="7159" xr:uid="{1C82D709-14B2-41EE-BC01-E49CAE6925BB}"/>
    <cellStyle name="60% - Accent4 12 2 2" xfId="14867" xr:uid="{065668CA-3999-4EAE-B300-6D528FBD881F}"/>
    <cellStyle name="60% - Accent4 12 2 2 2" xfId="30279" xr:uid="{22C33FF8-2D2A-4C41-8A43-387C095AB1DF}"/>
    <cellStyle name="60% - Accent4 12 2 2 2 2" xfId="50654" xr:uid="{87247DB7-0971-4F8F-84C6-50569B0656CF}"/>
    <cellStyle name="60% - Accent4 12 2 2 3" xfId="50653" xr:uid="{98C10946-3915-4689-AD3C-52DDF77FCE79}"/>
    <cellStyle name="60% - Accent4 12 2 3" xfId="22574" xr:uid="{264AC699-4AB5-49FB-8D89-46B5F3F98E0A}"/>
    <cellStyle name="60% - Accent4 12 2 3 2" xfId="50655" xr:uid="{FADC128F-8B32-440F-A1A3-D1C13572FC2F}"/>
    <cellStyle name="60% - Accent4 12 2 4" xfId="50652" xr:uid="{0B7AE37A-28E4-4C51-8157-F526C511E685}"/>
    <cellStyle name="60% - Accent4 12 3" xfId="11138" xr:uid="{3D36CFC3-787A-4150-93F9-1609AF69AA91}"/>
    <cellStyle name="60% - Accent4 12 3 2" xfId="26551" xr:uid="{DDE5AD54-C7B8-415C-AA6B-1CD68B63928C}"/>
    <cellStyle name="60% - Accent4 12 3 2 2" xfId="50657" xr:uid="{9833DFA3-3772-4C67-9169-97E21379E5E4}"/>
    <cellStyle name="60% - Accent4 12 3 3" xfId="50656" xr:uid="{3BFA10DA-5BE6-4590-B2FC-F73A156E6B98}"/>
    <cellStyle name="60% - Accent4 12 4" xfId="18846" xr:uid="{CD2D852C-2BD5-4B01-BA60-B8F246173EE3}"/>
    <cellStyle name="60% - Accent4 12 4 2" xfId="50658" xr:uid="{0518E50C-4992-433F-85E6-15F01720F916}"/>
    <cellStyle name="60% - Accent4 12 5" xfId="50651" xr:uid="{02CD7850-A452-4C38-8A90-75459ED0BFDC}"/>
    <cellStyle name="60% - Accent4 13" xfId="3447" xr:uid="{682205C1-5E0F-4249-ACDC-457BEC388E2B}"/>
    <cellStyle name="60% - Accent4 13 2" xfId="7179" xr:uid="{3A7457D2-5ADD-4E99-A26B-37C8E9613196}"/>
    <cellStyle name="60% - Accent4 13 2 2" xfId="14887" xr:uid="{2F4BB106-9D5B-4621-9A08-DE3AB6E4AC67}"/>
    <cellStyle name="60% - Accent4 13 2 2 2" xfId="30299" xr:uid="{EC85E965-DE13-4DD9-8C69-0532501F2576}"/>
    <cellStyle name="60% - Accent4 13 2 2 2 2" xfId="50662" xr:uid="{2D935BBC-7738-4772-9A04-F1F8BD16DBBD}"/>
    <cellStyle name="60% - Accent4 13 2 2 3" xfId="50661" xr:uid="{BD8BEAB0-4B7B-4FA8-B4A5-338780330B8C}"/>
    <cellStyle name="60% - Accent4 13 2 3" xfId="22594" xr:uid="{C9582350-CF92-493C-8916-1CFCD826EF53}"/>
    <cellStyle name="60% - Accent4 13 2 3 2" xfId="50663" xr:uid="{B9BBE690-0AE2-4991-BCAD-E2AEB7E343D5}"/>
    <cellStyle name="60% - Accent4 13 2 4" xfId="50660" xr:uid="{D14D5ACD-EC83-4A74-8F26-195C4EA44338}"/>
    <cellStyle name="60% - Accent4 13 3" xfId="11158" xr:uid="{2B077348-84F7-4637-A971-AF27189D4E2C}"/>
    <cellStyle name="60% - Accent4 13 3 2" xfId="26571" xr:uid="{84D4B628-DDDD-4B71-A2A1-2B768DA19492}"/>
    <cellStyle name="60% - Accent4 13 3 2 2" xfId="50665" xr:uid="{47FE14EA-3FC8-45F3-9BFA-D81EAD827007}"/>
    <cellStyle name="60% - Accent4 13 3 3" xfId="50664" xr:uid="{208B40EE-696E-4246-909A-ED55429C0D92}"/>
    <cellStyle name="60% - Accent4 13 4" xfId="18866" xr:uid="{E7222E37-1881-4D3B-9470-94C757AA5C60}"/>
    <cellStyle name="60% - Accent4 13 4 2" xfId="50666" xr:uid="{7A99314F-064A-4535-AA78-5E522D0867AC}"/>
    <cellStyle name="60% - Accent4 13 5" xfId="50659" xr:uid="{E75CA8F0-4AC0-42F6-B739-B6509289D413}"/>
    <cellStyle name="60% - Accent4 14" xfId="3467" xr:uid="{029D213B-3ED7-4C82-99C7-A1C6D61E2C3D}"/>
    <cellStyle name="60% - Accent4 14 2" xfId="7199" xr:uid="{8D62B05F-6F10-4461-BFAB-3C979FA2230E}"/>
    <cellStyle name="60% - Accent4 14 2 2" xfId="14907" xr:uid="{B1FFFA70-79D1-4A4D-8D03-821BFC2DCD7B}"/>
    <cellStyle name="60% - Accent4 14 2 2 2" xfId="30319" xr:uid="{8C51F95B-7022-44DF-AD18-7F89E6B6E6A1}"/>
    <cellStyle name="60% - Accent4 14 2 2 2 2" xfId="50670" xr:uid="{3BC45A4F-221A-4825-9B59-622071341EAD}"/>
    <cellStyle name="60% - Accent4 14 2 2 3" xfId="50669" xr:uid="{B99541C8-E750-4EE5-8422-44F7BC614EF2}"/>
    <cellStyle name="60% - Accent4 14 2 3" xfId="22614" xr:uid="{E66E65B7-991D-4390-AD5D-9AC2F4F82B60}"/>
    <cellStyle name="60% - Accent4 14 2 3 2" xfId="50671" xr:uid="{083BF262-377E-46E1-AB9F-0678784A906F}"/>
    <cellStyle name="60% - Accent4 14 2 4" xfId="50668" xr:uid="{9230BED4-44FD-4514-B925-33F875AD1A96}"/>
    <cellStyle name="60% - Accent4 14 3" xfId="11178" xr:uid="{31EE38A0-A8DC-482B-914D-4E4806AF0937}"/>
    <cellStyle name="60% - Accent4 14 3 2" xfId="26591" xr:uid="{B68AB0C8-9403-4A71-92D1-8F5292982670}"/>
    <cellStyle name="60% - Accent4 14 3 2 2" xfId="50673" xr:uid="{5B6A8D76-2644-40E1-90E1-EE2572D036F7}"/>
    <cellStyle name="60% - Accent4 14 3 3" xfId="50672" xr:uid="{D8FB39DF-1A07-48FC-A72C-5885777B6AE5}"/>
    <cellStyle name="60% - Accent4 14 4" xfId="18886" xr:uid="{1B237754-B7CB-4821-B853-3AADE4E7BE81}"/>
    <cellStyle name="60% - Accent4 14 4 2" xfId="50674" xr:uid="{E197DB38-6C76-46EA-955F-2A21582B435E}"/>
    <cellStyle name="60% - Accent4 14 5" xfId="50667" xr:uid="{6FB576E3-F976-42A9-84EE-93B78CF36CA2}"/>
    <cellStyle name="60% - Accent4 15" xfId="3487" xr:uid="{71F3EAE7-6187-4894-AA19-E7979F6C8346}"/>
    <cellStyle name="60% - Accent4 15 2" xfId="7219" xr:uid="{F6DD669E-76A1-4FFA-A968-5367F76AF515}"/>
    <cellStyle name="60% - Accent4 15 2 2" xfId="14927" xr:uid="{C111D7DF-86B5-48B3-BC20-A5535E5C9FA8}"/>
    <cellStyle name="60% - Accent4 15 2 2 2" xfId="30339" xr:uid="{7D3A33CC-B26E-468E-B4F5-CBBA762AF77C}"/>
    <cellStyle name="60% - Accent4 15 2 2 2 2" xfId="50678" xr:uid="{A08F2BAE-E20D-429D-BA07-D3EA94C31975}"/>
    <cellStyle name="60% - Accent4 15 2 2 3" xfId="50677" xr:uid="{B65DC079-48A3-493F-A2C8-AD810D4441F2}"/>
    <cellStyle name="60% - Accent4 15 2 3" xfId="22634" xr:uid="{F16A9CC7-88AC-43F9-A30E-761D1EC0A829}"/>
    <cellStyle name="60% - Accent4 15 2 3 2" xfId="50679" xr:uid="{E098CDD0-CAAD-4EB3-85C8-9F50A828B592}"/>
    <cellStyle name="60% - Accent4 15 2 4" xfId="50676" xr:uid="{61C18F24-34BA-4E81-97F4-C49B436224E3}"/>
    <cellStyle name="60% - Accent4 15 3" xfId="11198" xr:uid="{016B91CC-A0BE-4A69-B9F2-0356159E2B0C}"/>
    <cellStyle name="60% - Accent4 15 3 2" xfId="26611" xr:uid="{8C4916E1-F821-4C6A-A9C4-42F10F864A53}"/>
    <cellStyle name="60% - Accent4 15 3 2 2" xfId="50681" xr:uid="{78233150-0E6E-42CC-86FF-A7CC24BA7224}"/>
    <cellStyle name="60% - Accent4 15 3 3" xfId="50680" xr:uid="{9CB5E631-EE93-4194-B291-DE290260AAF3}"/>
    <cellStyle name="60% - Accent4 15 4" xfId="18906" xr:uid="{1D6251D9-249F-4594-A769-318A76C171BB}"/>
    <cellStyle name="60% - Accent4 15 4 2" xfId="50682" xr:uid="{58A488D0-650B-4FCC-B05F-A552EE7BDA4C}"/>
    <cellStyle name="60% - Accent4 15 5" xfId="50675" xr:uid="{34D33D7D-0F5D-4C9F-8B28-87395C3EAE0E}"/>
    <cellStyle name="60% - Accent4 16" xfId="3507" xr:uid="{47BA3B60-A0C8-4793-9813-97D59DEDBB9B}"/>
    <cellStyle name="60% - Accent4 16 2" xfId="7239" xr:uid="{E0E81CB5-4DE6-4DA0-BEDE-F5AE817AE9E8}"/>
    <cellStyle name="60% - Accent4 16 2 2" xfId="14947" xr:uid="{0517FFB9-A7F9-4E5F-8BBE-DD6815453B82}"/>
    <cellStyle name="60% - Accent4 16 2 2 2" xfId="30359" xr:uid="{FF89570F-4151-4FE9-B6C6-6DC7A7B0D8E4}"/>
    <cellStyle name="60% - Accent4 16 2 2 2 2" xfId="50686" xr:uid="{343A5220-B1A8-4689-AE71-4610EDD52385}"/>
    <cellStyle name="60% - Accent4 16 2 2 3" xfId="50685" xr:uid="{20BB3E1B-C689-4551-8DE4-BFB84373C805}"/>
    <cellStyle name="60% - Accent4 16 2 3" xfId="22654" xr:uid="{848B9E3B-99AD-4972-BAFA-D3ADD0450A45}"/>
    <cellStyle name="60% - Accent4 16 2 3 2" xfId="50687" xr:uid="{E750F14C-418F-419E-BE74-344F5750497D}"/>
    <cellStyle name="60% - Accent4 16 2 4" xfId="50684" xr:uid="{A3697501-5105-4148-97C6-42DF800335F6}"/>
    <cellStyle name="60% - Accent4 16 3" xfId="11218" xr:uid="{13EE0678-B15F-482E-9119-B9B8D6BD542A}"/>
    <cellStyle name="60% - Accent4 16 3 2" xfId="26631" xr:uid="{C50A9A0C-1A80-4E56-92C7-47486C2DC3A2}"/>
    <cellStyle name="60% - Accent4 16 3 2 2" xfId="50689" xr:uid="{480907FE-51AC-4951-8D0C-A19D498B2EF2}"/>
    <cellStyle name="60% - Accent4 16 3 3" xfId="50688" xr:uid="{9B31BC39-D7CE-40D3-9198-F26A12E0C778}"/>
    <cellStyle name="60% - Accent4 16 4" xfId="18926" xr:uid="{FC17EC69-F07A-47CC-A4EA-ECCDF53669F6}"/>
    <cellStyle name="60% - Accent4 16 4 2" xfId="50690" xr:uid="{175710E4-749D-4393-946D-75470F6B069B}"/>
    <cellStyle name="60% - Accent4 16 5" xfId="50683" xr:uid="{E5BC48EB-2225-4AF2-A4B9-CDB659D5AB3A}"/>
    <cellStyle name="60% - Accent4 17" xfId="3527" xr:uid="{0EAB5B66-EE43-4065-AD0B-DCD261AA240C}"/>
    <cellStyle name="60% - Accent4 17 2" xfId="7259" xr:uid="{347F68E9-9663-43D7-9C08-41DD54534219}"/>
    <cellStyle name="60% - Accent4 17 2 2" xfId="14967" xr:uid="{4EEC288D-8994-410C-AB95-8EA713E2C7A6}"/>
    <cellStyle name="60% - Accent4 17 2 2 2" xfId="30379" xr:uid="{9CC344E7-18B2-4946-8403-A4E67814AC67}"/>
    <cellStyle name="60% - Accent4 17 2 2 2 2" xfId="50694" xr:uid="{06CB1364-0F34-49FB-94D1-1F7CCDAE62F0}"/>
    <cellStyle name="60% - Accent4 17 2 2 3" xfId="50693" xr:uid="{5E0845C0-ECD5-4598-A366-BE8F863D4559}"/>
    <cellStyle name="60% - Accent4 17 2 3" xfId="22674" xr:uid="{7799F197-5734-49A5-9E97-BE4DA671ADA2}"/>
    <cellStyle name="60% - Accent4 17 2 3 2" xfId="50695" xr:uid="{8EBA179A-4597-44FE-9B7F-0FC6BB41658C}"/>
    <cellStyle name="60% - Accent4 17 2 4" xfId="50692" xr:uid="{C41DBFE1-14B5-4B1E-A50A-CA046EBF3424}"/>
    <cellStyle name="60% - Accent4 17 3" xfId="11238" xr:uid="{7F8D2920-E390-4C59-9B81-5C2795102126}"/>
    <cellStyle name="60% - Accent4 17 3 2" xfId="26651" xr:uid="{4883B5EF-664C-410B-9D69-31A26E096A1B}"/>
    <cellStyle name="60% - Accent4 17 3 2 2" xfId="50697" xr:uid="{4986DE13-3234-485A-898F-5C666F3EBD89}"/>
    <cellStyle name="60% - Accent4 17 3 3" xfId="50696" xr:uid="{888845AF-2048-41C7-ADC0-2F48AB9360C6}"/>
    <cellStyle name="60% - Accent4 17 4" xfId="18946" xr:uid="{3439A0A3-733E-4376-A46F-77BD50D751E4}"/>
    <cellStyle name="60% - Accent4 17 4 2" xfId="50698" xr:uid="{6CB2E0B1-A46C-44F0-8F93-1ADC96D9246B}"/>
    <cellStyle name="60% - Accent4 17 5" xfId="50691" xr:uid="{86711B13-2331-4A40-AFDA-8D3AF296FBFF}"/>
    <cellStyle name="60% - Accent4 18" xfId="3547" xr:uid="{73A024F5-DFCD-4D06-B1DD-E85B57F7E253}"/>
    <cellStyle name="60% - Accent4 18 2" xfId="7279" xr:uid="{07763632-6767-43C5-8DAE-FADADBCAC66F}"/>
    <cellStyle name="60% - Accent4 18 2 2" xfId="14987" xr:uid="{9DAB0D36-17C2-46B1-A1DC-E5BFD0DE47E6}"/>
    <cellStyle name="60% - Accent4 18 2 2 2" xfId="30399" xr:uid="{0C179998-1717-4C93-A872-F31F709ED5AA}"/>
    <cellStyle name="60% - Accent4 18 2 2 2 2" xfId="50702" xr:uid="{F6C0EA01-6714-4F2D-9CE8-647DA01F5515}"/>
    <cellStyle name="60% - Accent4 18 2 2 3" xfId="50701" xr:uid="{E0F4681F-3943-48E2-B4E6-9EBFA2E2C57F}"/>
    <cellStyle name="60% - Accent4 18 2 3" xfId="22694" xr:uid="{8A3D5A6D-919C-44CD-BFE7-C99D81F2DFC6}"/>
    <cellStyle name="60% - Accent4 18 2 3 2" xfId="50703" xr:uid="{E46B1EBA-02DC-40AF-AF9F-D61E5F611CE8}"/>
    <cellStyle name="60% - Accent4 18 2 4" xfId="50700" xr:uid="{186A0764-6525-4513-8AEF-04931C1A18C4}"/>
    <cellStyle name="60% - Accent4 18 3" xfId="11258" xr:uid="{768CB6B0-A144-42B0-9F22-64317F5B2A64}"/>
    <cellStyle name="60% - Accent4 18 3 2" xfId="26671" xr:uid="{BC2459C3-4A27-410A-B5C7-4AA805CE61EC}"/>
    <cellStyle name="60% - Accent4 18 3 2 2" xfId="50705" xr:uid="{1F2F29EB-6944-4DB9-BDD2-FB09ED1E219C}"/>
    <cellStyle name="60% - Accent4 18 3 3" xfId="50704" xr:uid="{E868C803-5A9B-4015-807D-876160212CB9}"/>
    <cellStyle name="60% - Accent4 18 4" xfId="18966" xr:uid="{72205499-C848-45FB-AD9A-9C6C23A96E1E}"/>
    <cellStyle name="60% - Accent4 18 4 2" xfId="50706" xr:uid="{50BCF0E3-3DCF-427A-84FF-DDD0645D0422}"/>
    <cellStyle name="60% - Accent4 18 5" xfId="50699" xr:uid="{256047AC-D23A-439A-BC83-64CE64283F2E}"/>
    <cellStyle name="60% - Accent4 19" xfId="3567" xr:uid="{CFB960E4-BF7F-4A10-A029-41C81695DF10}"/>
    <cellStyle name="60% - Accent4 19 2" xfId="7299" xr:uid="{65D7C7EF-0545-4E29-B707-1CADF9637C8F}"/>
    <cellStyle name="60% - Accent4 19 2 2" xfId="15007" xr:uid="{08500ACF-EEBB-4AEA-AB2B-589079B7F02F}"/>
    <cellStyle name="60% - Accent4 19 2 2 2" xfId="30419" xr:uid="{5BBF449C-9EEA-4B6A-B3CD-DA896BA2AF1A}"/>
    <cellStyle name="60% - Accent4 19 2 2 2 2" xfId="50710" xr:uid="{9525E16F-7578-4B72-8FE9-25C852B2785C}"/>
    <cellStyle name="60% - Accent4 19 2 2 3" xfId="50709" xr:uid="{95B4A367-C907-446B-9F5C-D62C38FD412C}"/>
    <cellStyle name="60% - Accent4 19 2 3" xfId="22714" xr:uid="{8C96B14D-1C29-494D-9E8E-3B001106C231}"/>
    <cellStyle name="60% - Accent4 19 2 3 2" xfId="50711" xr:uid="{A4B89BB2-126D-4A73-BD14-6AF6F251EBEF}"/>
    <cellStyle name="60% - Accent4 19 2 4" xfId="50708" xr:uid="{384FDADF-784B-45D2-9D01-312B91766770}"/>
    <cellStyle name="60% - Accent4 19 3" xfId="11278" xr:uid="{04A953BE-C992-4A55-A5B2-5A8CFC4B19B2}"/>
    <cellStyle name="60% - Accent4 19 3 2" xfId="26691" xr:uid="{A40D542D-6778-411F-8050-1623867F1C88}"/>
    <cellStyle name="60% - Accent4 19 3 2 2" xfId="50713" xr:uid="{4C10E9F9-B186-45BC-B506-6B588006AA0A}"/>
    <cellStyle name="60% - Accent4 19 3 3" xfId="50712" xr:uid="{79A678AC-600A-4B4F-BE42-38348A6FB81A}"/>
    <cellStyle name="60% - Accent4 19 4" xfId="18986" xr:uid="{C1042D76-B209-4FD1-A176-DBB352219D22}"/>
    <cellStyle name="60% - Accent4 19 4 2" xfId="50714" xr:uid="{C54BC349-F9CA-4DDA-8EA5-551C5CC336EF}"/>
    <cellStyle name="60% - Accent4 19 5" xfId="50707" xr:uid="{20DDC262-EFC0-4CAA-9060-AC8E7CE01D07}"/>
    <cellStyle name="60% - Accent4 2" xfId="90" xr:uid="{C7CA7FE7-DB9C-4003-BAFF-049B3A8C3F16}"/>
    <cellStyle name="60% - Accent4 2 2" xfId="50715" xr:uid="{70046CF6-55E2-418A-8749-AB3361BFCC51}"/>
    <cellStyle name="60% - Accent4 20" xfId="3588" xr:uid="{7D1D811F-DDFC-4DD8-A4E6-925FFC61EF15}"/>
    <cellStyle name="60% - Accent4 20 2" xfId="7319" xr:uid="{C013136D-1CD5-4D60-8A75-577D5D77B37C}"/>
    <cellStyle name="60% - Accent4 20 2 2" xfId="15027" xr:uid="{B0DFF90D-A323-4B32-9378-121DAE0F51AC}"/>
    <cellStyle name="60% - Accent4 20 2 2 2" xfId="30439" xr:uid="{E50BA636-4134-467A-ACE8-701CB9DC420C}"/>
    <cellStyle name="60% - Accent4 20 2 2 2 2" xfId="50719" xr:uid="{67825C40-D37E-4325-A02D-D308A662867E}"/>
    <cellStyle name="60% - Accent4 20 2 2 3" xfId="50718" xr:uid="{53C0C373-B15C-4E92-9308-C7F687452C77}"/>
    <cellStyle name="60% - Accent4 20 2 3" xfId="22734" xr:uid="{8405EDBE-C529-4244-994E-A9AA3B473674}"/>
    <cellStyle name="60% - Accent4 20 2 3 2" xfId="50720" xr:uid="{DFDA808E-4471-478D-AD22-FBF20D370770}"/>
    <cellStyle name="60% - Accent4 20 2 4" xfId="50717" xr:uid="{8C23E4A4-49B5-42F6-A9C7-965CC71EA1DB}"/>
    <cellStyle name="60% - Accent4 20 3" xfId="11298" xr:uid="{3A52FC71-22F3-4B82-BF84-47D5B7009A0F}"/>
    <cellStyle name="60% - Accent4 20 3 2" xfId="26711" xr:uid="{7EAEB784-0129-42A6-BBF3-ABE3220CA6F4}"/>
    <cellStyle name="60% - Accent4 20 3 2 2" xfId="50722" xr:uid="{B67F0C25-9D9D-414E-AD36-551C8F77D07F}"/>
    <cellStyle name="60% - Accent4 20 3 3" xfId="50721" xr:uid="{3539C826-4C35-494C-A224-B721AB43142A}"/>
    <cellStyle name="60% - Accent4 20 4" xfId="19006" xr:uid="{CE447761-EDA1-4798-BF2E-B95C5EF972E8}"/>
    <cellStyle name="60% - Accent4 20 4 2" xfId="50723" xr:uid="{64537568-07FE-40E7-B97B-DFBAB0363BC3}"/>
    <cellStyle name="60% - Accent4 20 5" xfId="50716" xr:uid="{C3A1EED9-04AA-48F6-A12A-A39BC7B98D48}"/>
    <cellStyle name="60% - Accent4 21" xfId="3608" xr:uid="{5C0C854C-B7BD-4119-9FD1-86DBD5E02CD3}"/>
    <cellStyle name="60% - Accent4 21 2" xfId="7339" xr:uid="{E335339A-C82E-41F2-8EDB-25BF24FD88C0}"/>
    <cellStyle name="60% - Accent4 21 2 2" xfId="15047" xr:uid="{C20AE4E8-BE87-4C37-993E-996C9E5BDBF8}"/>
    <cellStyle name="60% - Accent4 21 2 2 2" xfId="30459" xr:uid="{04F82938-F923-48B7-953D-BC93C5FE65DC}"/>
    <cellStyle name="60% - Accent4 21 2 2 2 2" xfId="50727" xr:uid="{3E14D38D-7AFD-41B8-91E4-033F76894345}"/>
    <cellStyle name="60% - Accent4 21 2 2 3" xfId="50726" xr:uid="{4C5B2E49-B1A0-4FCB-A2E5-1F3295071C0C}"/>
    <cellStyle name="60% - Accent4 21 2 3" xfId="22754" xr:uid="{6328C471-7805-4747-B578-6AE1848F51C1}"/>
    <cellStyle name="60% - Accent4 21 2 3 2" xfId="50728" xr:uid="{D3321215-33C9-496E-ACE3-9A9526C4D64A}"/>
    <cellStyle name="60% - Accent4 21 2 4" xfId="50725" xr:uid="{A075FC85-5D5D-40CA-86CC-DFA883E3760B}"/>
    <cellStyle name="60% - Accent4 21 3" xfId="11318" xr:uid="{FA8DFD1C-3B6C-46DC-ADF6-11DADDF3DDB1}"/>
    <cellStyle name="60% - Accent4 21 3 2" xfId="26731" xr:uid="{B35AB593-BD6E-45C5-A3CE-434E26D290D7}"/>
    <cellStyle name="60% - Accent4 21 3 2 2" xfId="50730" xr:uid="{76CC0548-58DD-4086-8C58-DD86DE5E517D}"/>
    <cellStyle name="60% - Accent4 21 3 3" xfId="50729" xr:uid="{7720E069-EB83-4D22-AA7C-661647DC7F1B}"/>
    <cellStyle name="60% - Accent4 21 4" xfId="19026" xr:uid="{B85D9415-9376-4376-8A86-7624A56E9033}"/>
    <cellStyle name="60% - Accent4 21 4 2" xfId="50731" xr:uid="{0B133459-CDFF-4E15-905E-B046B5D93C8F}"/>
    <cellStyle name="60% - Accent4 21 5" xfId="50724" xr:uid="{9BB786AB-6CCC-4A86-8AE4-FEBBF4E05FE6}"/>
    <cellStyle name="60% - Accent4 22" xfId="3628" xr:uid="{C935D4F4-0C20-4F3B-A1E4-46A5E0F46165}"/>
    <cellStyle name="60% - Accent4 22 2" xfId="7359" xr:uid="{7EC0A65A-3FD2-4C6E-92B6-0891FE539BE2}"/>
    <cellStyle name="60% - Accent4 22 2 2" xfId="15067" xr:uid="{DD92AB3F-9B76-4EE4-A05A-54B0E78FFBBD}"/>
    <cellStyle name="60% - Accent4 22 2 2 2" xfId="30479" xr:uid="{7C394785-1FC0-4E4D-8DBA-96B9D56A5136}"/>
    <cellStyle name="60% - Accent4 22 2 2 2 2" xfId="50735" xr:uid="{9C100DDC-4714-4101-A32B-FC52460E74E4}"/>
    <cellStyle name="60% - Accent4 22 2 2 3" xfId="50734" xr:uid="{C7227975-DDC2-4F51-9727-B5AA78BCDD69}"/>
    <cellStyle name="60% - Accent4 22 2 3" xfId="22774" xr:uid="{805812A1-1453-442C-A082-4B1C7CDF8886}"/>
    <cellStyle name="60% - Accent4 22 2 3 2" xfId="50736" xr:uid="{0515EEA1-AE52-425D-B2C0-7D45839829FD}"/>
    <cellStyle name="60% - Accent4 22 2 4" xfId="50733" xr:uid="{330C3AD7-BDB6-4E96-B335-4DB5CBEB11FD}"/>
    <cellStyle name="60% - Accent4 22 3" xfId="11338" xr:uid="{91BDD6C7-665F-45D7-AC5D-1C35ABABB173}"/>
    <cellStyle name="60% - Accent4 22 3 2" xfId="26751" xr:uid="{59C537A2-0827-4DB8-96AD-CC95AF039AED}"/>
    <cellStyle name="60% - Accent4 22 3 2 2" xfId="50738" xr:uid="{DED52A80-1CA7-44D3-B922-F6BC1A268882}"/>
    <cellStyle name="60% - Accent4 22 3 3" xfId="50737" xr:uid="{B25DA954-B6C6-4AE5-A3AF-473C780A1CA6}"/>
    <cellStyle name="60% - Accent4 22 4" xfId="19046" xr:uid="{4CF83D95-F3A0-4677-8CBD-EF3D10C01F2E}"/>
    <cellStyle name="60% - Accent4 22 4 2" xfId="50739" xr:uid="{FCE9E2E3-B783-49E4-ABBA-FEDF01B686B2}"/>
    <cellStyle name="60% - Accent4 22 5" xfId="50732" xr:uid="{4393132B-B2E0-47AD-8280-9ED75BC01DF0}"/>
    <cellStyle name="60% - Accent4 23" xfId="3648" xr:uid="{52051E5B-0926-4C88-BCC2-268F48FD9019}"/>
    <cellStyle name="60% - Accent4 23 2" xfId="7379" xr:uid="{FBB2FB82-31F0-4CB1-81A6-F0C06E44C594}"/>
    <cellStyle name="60% - Accent4 23 2 2" xfId="15087" xr:uid="{8ADF8456-9EF1-4638-B3AB-F2A997D36084}"/>
    <cellStyle name="60% - Accent4 23 2 2 2" xfId="30499" xr:uid="{5FA34D85-B456-42AB-B507-EAF6A2E16D5B}"/>
    <cellStyle name="60% - Accent4 23 2 2 2 2" xfId="50743" xr:uid="{263CEE40-4B59-4C1E-BE86-68E63C2514F4}"/>
    <cellStyle name="60% - Accent4 23 2 2 3" xfId="50742" xr:uid="{7E3E3A10-8F9F-49DC-B3B8-E881250BD548}"/>
    <cellStyle name="60% - Accent4 23 2 3" xfId="22794" xr:uid="{5BEA9A87-3D2D-4FF5-BB9C-23083640A86E}"/>
    <cellStyle name="60% - Accent4 23 2 3 2" xfId="50744" xr:uid="{25CAD6DD-DC0E-4F33-887E-7B7B920D910F}"/>
    <cellStyle name="60% - Accent4 23 2 4" xfId="50741" xr:uid="{C1E53DDD-3F8F-49D8-996F-187675D1E9E4}"/>
    <cellStyle name="60% - Accent4 23 3" xfId="11358" xr:uid="{02197EE0-81D0-43EB-AF95-F2C505BCC069}"/>
    <cellStyle name="60% - Accent4 23 3 2" xfId="26771" xr:uid="{5D0A0F55-78A3-483C-94E0-8EF6F4159856}"/>
    <cellStyle name="60% - Accent4 23 3 2 2" xfId="50746" xr:uid="{6A1A6ECB-FFBD-44E2-AC36-EED0C9E6B3EF}"/>
    <cellStyle name="60% - Accent4 23 3 3" xfId="50745" xr:uid="{D2BD7269-2CB8-41B0-A9F1-AAFAD670A005}"/>
    <cellStyle name="60% - Accent4 23 4" xfId="19066" xr:uid="{B5617CAF-4EA4-4F0C-9D79-71EB44FC715E}"/>
    <cellStyle name="60% - Accent4 23 4 2" xfId="50747" xr:uid="{DD4DC8B0-2FE9-4F1E-8823-E614ABD467B5}"/>
    <cellStyle name="60% - Accent4 23 5" xfId="50740" xr:uid="{26BBAF0D-FE18-4ACC-96E1-C5B10D340012}"/>
    <cellStyle name="60% - Accent4 24" xfId="3668" xr:uid="{1E06DF15-C306-41B7-9E0F-86AD563A470F}"/>
    <cellStyle name="60% - Accent4 24 2" xfId="7399" xr:uid="{433F6B04-0B34-41A9-BB75-5444A4C4036C}"/>
    <cellStyle name="60% - Accent4 24 2 2" xfId="15107" xr:uid="{CA13B073-7459-455B-99AF-52038570F007}"/>
    <cellStyle name="60% - Accent4 24 2 2 2" xfId="30519" xr:uid="{61E48FB2-0735-457C-820E-865A3FCCB073}"/>
    <cellStyle name="60% - Accent4 24 2 2 2 2" xfId="50751" xr:uid="{05A9AB58-F3FC-4DE4-933D-029994E2B4E0}"/>
    <cellStyle name="60% - Accent4 24 2 2 3" xfId="50750" xr:uid="{4CCD6178-BC09-4926-B75C-29C6C8667FD6}"/>
    <cellStyle name="60% - Accent4 24 2 3" xfId="22814" xr:uid="{CC64AE9D-A850-47C2-841B-02D9F542904F}"/>
    <cellStyle name="60% - Accent4 24 2 3 2" xfId="50752" xr:uid="{D75DF414-83A8-4BFC-9BE5-BD5649FE8AE4}"/>
    <cellStyle name="60% - Accent4 24 2 4" xfId="50749" xr:uid="{E22D377A-04D2-4100-AF78-C77ACAC11FCF}"/>
    <cellStyle name="60% - Accent4 24 3" xfId="11378" xr:uid="{91A24796-190D-45D3-BDF1-4B5CA21E0D1D}"/>
    <cellStyle name="60% - Accent4 24 3 2" xfId="26791" xr:uid="{2DEE3A53-2FE5-4007-A538-D5AB834794F8}"/>
    <cellStyle name="60% - Accent4 24 3 2 2" xfId="50754" xr:uid="{43024FB9-D0F0-4414-82B5-DDDA191A0704}"/>
    <cellStyle name="60% - Accent4 24 3 3" xfId="50753" xr:uid="{1FDCE2B1-123D-4CE0-B4B6-2ADDBC0A5442}"/>
    <cellStyle name="60% - Accent4 24 4" xfId="19086" xr:uid="{942AB07A-39DC-4E37-9299-7E54B245C541}"/>
    <cellStyle name="60% - Accent4 24 4 2" xfId="50755" xr:uid="{E5BA4F07-2A03-4283-8077-C0014A4B4C01}"/>
    <cellStyle name="60% - Accent4 24 5" xfId="50748" xr:uid="{8CA916CD-4311-4792-B0BE-1FEE7F5194A7}"/>
    <cellStyle name="60% - Accent4 25" xfId="3688" xr:uid="{50E1025A-5A76-4BD6-91D9-A4A100F07B34}"/>
    <cellStyle name="60% - Accent4 25 2" xfId="7419" xr:uid="{F298C378-421F-4196-B0F8-DC4AFDDB1A08}"/>
    <cellStyle name="60% - Accent4 25 2 2" xfId="15127" xr:uid="{7EB2970C-3D33-41B6-ABDD-B93AB4DB6D34}"/>
    <cellStyle name="60% - Accent4 25 2 2 2" xfId="30539" xr:uid="{C65D4396-0373-416E-BE56-91B64455170C}"/>
    <cellStyle name="60% - Accent4 25 2 2 2 2" xfId="50759" xr:uid="{B50DF3C5-F3F6-42F3-A66A-FBFF4F6278E7}"/>
    <cellStyle name="60% - Accent4 25 2 2 3" xfId="50758" xr:uid="{9453ED2F-C292-4807-969C-DB04DE55B8E9}"/>
    <cellStyle name="60% - Accent4 25 2 3" xfId="22834" xr:uid="{C6253CEE-E8D6-4FFF-A0C8-F211A2C46D0A}"/>
    <cellStyle name="60% - Accent4 25 2 3 2" xfId="50760" xr:uid="{0CA1F361-C891-4A8E-BCF5-814476D38752}"/>
    <cellStyle name="60% - Accent4 25 2 4" xfId="50757" xr:uid="{547C32F1-4255-4A25-8532-869C3D73B785}"/>
    <cellStyle name="60% - Accent4 25 3" xfId="11398" xr:uid="{01F9D76D-F3C2-4855-AEEA-CBF25D6F07F7}"/>
    <cellStyle name="60% - Accent4 25 3 2" xfId="26811" xr:uid="{4998832C-9500-4FFD-853C-413FEC2B204A}"/>
    <cellStyle name="60% - Accent4 25 3 2 2" xfId="50762" xr:uid="{6DBB51B4-90C0-4855-B3D1-409790E9B216}"/>
    <cellStyle name="60% - Accent4 25 3 3" xfId="50761" xr:uid="{AE584A73-0657-4C7C-93FC-E5F2964D3AA8}"/>
    <cellStyle name="60% - Accent4 25 4" xfId="19106" xr:uid="{6078A21C-2537-4A98-92EA-E4C20967326F}"/>
    <cellStyle name="60% - Accent4 25 4 2" xfId="50763" xr:uid="{34D37884-4575-4DC6-9727-F07A715B7842}"/>
    <cellStyle name="60% - Accent4 25 5" xfId="50756" xr:uid="{318BA1DD-43DF-4D1E-AC28-D241BBDD24A3}"/>
    <cellStyle name="60% - Accent4 26" xfId="3708" xr:uid="{AEA49C4E-AD40-4C59-8E22-FFA520B593F7}"/>
    <cellStyle name="60% - Accent4 26 2" xfId="7439" xr:uid="{AB9B35E8-334F-48E5-8C29-913E547319A6}"/>
    <cellStyle name="60% - Accent4 26 2 2" xfId="15147" xr:uid="{0F2BC670-C271-4BC4-B82A-E1D0ED14BDCF}"/>
    <cellStyle name="60% - Accent4 26 2 2 2" xfId="30559" xr:uid="{09F401D2-B6A0-4F10-9A2C-931F97F17900}"/>
    <cellStyle name="60% - Accent4 26 2 2 2 2" xfId="50767" xr:uid="{072BAD67-5650-4C96-8B7C-0DF19DEE29D2}"/>
    <cellStyle name="60% - Accent4 26 2 2 3" xfId="50766" xr:uid="{9F8DB082-A3DD-4637-8674-64ADF1CB4E2A}"/>
    <cellStyle name="60% - Accent4 26 2 3" xfId="22854" xr:uid="{948A515A-89A3-4357-AE43-1D06643D2E1D}"/>
    <cellStyle name="60% - Accent4 26 2 3 2" xfId="50768" xr:uid="{A3D14EA4-0931-459B-A535-8797D2608CC2}"/>
    <cellStyle name="60% - Accent4 26 2 4" xfId="50765" xr:uid="{2BE577A3-3CCA-492A-8CEB-826981A37566}"/>
    <cellStyle name="60% - Accent4 26 3" xfId="11418" xr:uid="{209ADE26-5880-4637-BDD7-9EE2052909DE}"/>
    <cellStyle name="60% - Accent4 26 3 2" xfId="26831" xr:uid="{900179DA-0B08-4B6C-B3E8-37BA9CC14713}"/>
    <cellStyle name="60% - Accent4 26 3 2 2" xfId="50770" xr:uid="{FEA8E668-BF6B-400D-A901-A80FAC478260}"/>
    <cellStyle name="60% - Accent4 26 3 3" xfId="50769" xr:uid="{3650C2A9-03CA-4094-8E21-B2574DB431A8}"/>
    <cellStyle name="60% - Accent4 26 4" xfId="19126" xr:uid="{EC1FD4E9-8821-4ECD-92E5-2DCE5EFB80DA}"/>
    <cellStyle name="60% - Accent4 26 4 2" xfId="50771" xr:uid="{21407968-E090-4683-BC13-3B3EA509F281}"/>
    <cellStyle name="60% - Accent4 26 5" xfId="50764" xr:uid="{E7E1EBE9-297D-474E-94DA-664BC3EA0A98}"/>
    <cellStyle name="60% - Accent4 27" xfId="3728" xr:uid="{7C00B123-989B-474D-8DDB-12971E4828DA}"/>
    <cellStyle name="60% - Accent4 27 2" xfId="7459" xr:uid="{255C4F36-C1CB-43C4-B181-B20727F14CC3}"/>
    <cellStyle name="60% - Accent4 27 2 2" xfId="15167" xr:uid="{E374D2DC-838E-4256-BA30-7CA0A91D7E4E}"/>
    <cellStyle name="60% - Accent4 27 2 2 2" xfId="30579" xr:uid="{317C1AB8-B272-4F6D-9C95-7C7D79ADD51B}"/>
    <cellStyle name="60% - Accent4 27 2 2 2 2" xfId="50775" xr:uid="{64FBB426-A747-41C8-A1D9-A4DE6E116CCB}"/>
    <cellStyle name="60% - Accent4 27 2 2 3" xfId="50774" xr:uid="{D22B2E5F-F866-4C87-A3D5-EF237C52066C}"/>
    <cellStyle name="60% - Accent4 27 2 3" xfId="22874" xr:uid="{C75DD5DF-B6BB-4074-AFB8-1F9CFD38FB15}"/>
    <cellStyle name="60% - Accent4 27 2 3 2" xfId="50776" xr:uid="{6F654ED9-2209-453A-A96A-3FA48341C601}"/>
    <cellStyle name="60% - Accent4 27 2 4" xfId="50773" xr:uid="{17959FA6-77B8-4FF4-8585-737477C946DA}"/>
    <cellStyle name="60% - Accent4 27 3" xfId="11438" xr:uid="{2A549F4B-31A5-4679-AE33-93678D66A6C5}"/>
    <cellStyle name="60% - Accent4 27 3 2" xfId="26851" xr:uid="{EBF69452-F79E-4004-99FF-E29490BB62F8}"/>
    <cellStyle name="60% - Accent4 27 3 2 2" xfId="50778" xr:uid="{1E067579-4D1C-4214-BCD3-B738D6D85A3D}"/>
    <cellStyle name="60% - Accent4 27 3 3" xfId="50777" xr:uid="{DCBDE606-8069-4259-8A03-34ED3A9E612C}"/>
    <cellStyle name="60% - Accent4 27 4" xfId="19146" xr:uid="{D42B40F3-885A-4729-BA41-811AFC57CE15}"/>
    <cellStyle name="60% - Accent4 27 4 2" xfId="50779" xr:uid="{DEBE1C25-1DA9-4F5F-8A67-AEF7549E00DF}"/>
    <cellStyle name="60% - Accent4 27 5" xfId="50772" xr:uid="{37313472-E69F-4855-AA7C-72CC1F41497B}"/>
    <cellStyle name="60% - Accent4 28" xfId="3748" xr:uid="{8BD2BF84-B646-4041-B7E1-1E5B4EAB0E4A}"/>
    <cellStyle name="60% - Accent4 28 2" xfId="7479" xr:uid="{659B8FD8-BB34-463E-BE9E-FFEB66976482}"/>
    <cellStyle name="60% - Accent4 28 2 2" xfId="15187" xr:uid="{0FFD0B65-FB12-4627-AD8C-28512B97E306}"/>
    <cellStyle name="60% - Accent4 28 2 2 2" xfId="30599" xr:uid="{A82703A7-F2B2-44AD-95C4-8E35C578BAF3}"/>
    <cellStyle name="60% - Accent4 28 2 2 2 2" xfId="50783" xr:uid="{5D56BBA6-AFEC-4D9D-AC5E-CD7442E3B437}"/>
    <cellStyle name="60% - Accent4 28 2 2 3" xfId="50782" xr:uid="{C2525D18-F65F-406C-8C33-67ED68A645FC}"/>
    <cellStyle name="60% - Accent4 28 2 3" xfId="22894" xr:uid="{4D1D0AE8-21D8-4B6D-932B-3EF0AD90959F}"/>
    <cellStyle name="60% - Accent4 28 2 3 2" xfId="50784" xr:uid="{7848AA7A-1564-4330-AFD3-CBFF14E73182}"/>
    <cellStyle name="60% - Accent4 28 2 4" xfId="50781" xr:uid="{CECB5FD0-02B9-45FC-AEB6-81D242ECCDDF}"/>
    <cellStyle name="60% - Accent4 28 3" xfId="11458" xr:uid="{234157E5-5AD3-4AFE-9989-8533B196FD06}"/>
    <cellStyle name="60% - Accent4 28 3 2" xfId="26871" xr:uid="{40172788-4435-4924-9C78-2D315B83E0AA}"/>
    <cellStyle name="60% - Accent4 28 3 2 2" xfId="50786" xr:uid="{D4D1C140-CFA8-4DF3-8DCD-27F3F79B3286}"/>
    <cellStyle name="60% - Accent4 28 3 3" xfId="50785" xr:uid="{F1C5073E-985D-4F8D-8C9D-365E11E7B27D}"/>
    <cellStyle name="60% - Accent4 28 4" xfId="19166" xr:uid="{DB5805E1-E72F-47E8-AE01-225509D6E9D0}"/>
    <cellStyle name="60% - Accent4 28 4 2" xfId="50787" xr:uid="{7E5E4FB4-E679-456E-BFC6-019FFF52DB48}"/>
    <cellStyle name="60% - Accent4 28 5" xfId="50780" xr:uid="{62050546-4A60-4360-8FC7-5B0137268CB2}"/>
    <cellStyle name="60% - Accent4 29" xfId="3768" xr:uid="{D13CC158-54D7-4289-944D-C7255635CC7F}"/>
    <cellStyle name="60% - Accent4 29 2" xfId="7499" xr:uid="{556AFB6B-F779-44EF-BDCC-F6FA2060B2E6}"/>
    <cellStyle name="60% - Accent4 29 2 2" xfId="15207" xr:uid="{E10DA760-F783-484D-ADE6-0CBE30BFD167}"/>
    <cellStyle name="60% - Accent4 29 2 2 2" xfId="30619" xr:uid="{51B308A0-0F71-4F16-B6FE-4D115C564136}"/>
    <cellStyle name="60% - Accent4 29 2 2 2 2" xfId="50791" xr:uid="{C64FF2FF-8461-4461-BADC-9B35CA4EBC44}"/>
    <cellStyle name="60% - Accent4 29 2 2 3" xfId="50790" xr:uid="{4D2B1C76-433F-4240-9671-DAA7745AFBD4}"/>
    <cellStyle name="60% - Accent4 29 2 3" xfId="22914" xr:uid="{E53B798E-C50A-49B2-BA4E-8F9F6542015F}"/>
    <cellStyle name="60% - Accent4 29 2 3 2" xfId="50792" xr:uid="{446DEE52-800E-4AA9-974E-B2D6B8920C93}"/>
    <cellStyle name="60% - Accent4 29 2 4" xfId="50789" xr:uid="{6199A14B-F760-45F8-8675-9D3F99D5858A}"/>
    <cellStyle name="60% - Accent4 29 3" xfId="11478" xr:uid="{5E6B1EB1-FEBE-43D6-BDB8-5B46C042FC7B}"/>
    <cellStyle name="60% - Accent4 29 3 2" xfId="26891" xr:uid="{E4A61B02-1C8A-4BB9-8ED4-D7F671C86B2C}"/>
    <cellStyle name="60% - Accent4 29 3 2 2" xfId="50794" xr:uid="{8EC09C17-AE45-46E0-91DC-14554FD54B27}"/>
    <cellStyle name="60% - Accent4 29 3 3" xfId="50793" xr:uid="{E39BD952-89A7-4E24-91ED-04DA9E548B9D}"/>
    <cellStyle name="60% - Accent4 29 4" xfId="19186" xr:uid="{5381404B-1C11-4622-A1D4-272EB26BFCFB}"/>
    <cellStyle name="60% - Accent4 29 4 2" xfId="50795" xr:uid="{19BD7A04-C2A8-4E74-BCA1-4B370A686EC6}"/>
    <cellStyle name="60% - Accent4 29 5" xfId="50788" xr:uid="{4DC2D509-4CF9-4793-83C0-1D9F9542D57A}"/>
    <cellStyle name="60% - Accent4 3" xfId="226" xr:uid="{A2EE93C1-E449-4D96-A37C-30F7A79B0343}"/>
    <cellStyle name="60% - Accent4 3 2" xfId="429" xr:uid="{4288A00E-C8CA-4D9E-9AA7-C97F802900EF}"/>
    <cellStyle name="60% - Accent4 3 2 2" xfId="1091" xr:uid="{8B9B9F92-A1FA-4995-B3D5-C6600C4971DB}"/>
    <cellStyle name="60% - Accent4 3 2 2 2" xfId="2559" xr:uid="{D7674CC8-8A33-40A6-BEB3-268825C13FB3}"/>
    <cellStyle name="60% - Accent4 3 2 2 2 2" xfId="6291" xr:uid="{A25ECFCD-41FD-43A0-9EC0-36B30026D8EF}"/>
    <cellStyle name="60% - Accent4 3 2 2 2 2 2" xfId="13999" xr:uid="{66CAD95B-2005-4E87-A0B1-FE310180AFCB}"/>
    <cellStyle name="60% - Accent4 3 2 2 2 2 2 2" xfId="29411" xr:uid="{417EF309-7975-4C23-9560-F17632AB90EF}"/>
    <cellStyle name="60% - Accent4 3 2 2 2 2 2 2 2" xfId="50802" xr:uid="{99794756-64EC-40D1-8F67-D6B40A303455}"/>
    <cellStyle name="60% - Accent4 3 2 2 2 2 2 3" xfId="50801" xr:uid="{8D826324-523D-44FB-9F12-EC54F2948402}"/>
    <cellStyle name="60% - Accent4 3 2 2 2 2 3" xfId="21706" xr:uid="{5AC42599-997C-418A-9236-BCC959FBAC47}"/>
    <cellStyle name="60% - Accent4 3 2 2 2 2 3 2" xfId="50803" xr:uid="{9110D23B-5CD2-42A2-927B-EC132BDDF654}"/>
    <cellStyle name="60% - Accent4 3 2 2 2 2 4" xfId="50800" xr:uid="{8422282E-119B-403E-92D9-45F4A44200C9}"/>
    <cellStyle name="60% - Accent4 3 2 2 2 3" xfId="10270" xr:uid="{745D8E4C-900F-4D8C-9DC9-61C8D4C4A218}"/>
    <cellStyle name="60% - Accent4 3 2 2 2 3 2" xfId="25683" xr:uid="{B0451877-1465-4A0B-9E4A-A341EF38EDCF}"/>
    <cellStyle name="60% - Accent4 3 2 2 2 3 2 2" xfId="50805" xr:uid="{74015DF3-2845-41B6-867D-3CCA16DD6A27}"/>
    <cellStyle name="60% - Accent4 3 2 2 2 3 3" xfId="50804" xr:uid="{2EFE6660-D232-40A8-8AC0-9477EFFD0472}"/>
    <cellStyle name="60% - Accent4 3 2 2 2 4" xfId="17978" xr:uid="{27F249A9-A7F5-4C41-B3D0-580F81A4C43A}"/>
    <cellStyle name="60% - Accent4 3 2 2 2 4 2" xfId="50806" xr:uid="{74BFAC6E-9CA8-4BC2-AB19-B5E1BE63CBFB}"/>
    <cellStyle name="60% - Accent4 3 2 2 2 5" xfId="50799" xr:uid="{ECADFB29-5B43-4938-98ED-CF8220C8CCA9}"/>
    <cellStyle name="60% - Accent4 3 2 2 3" xfId="4828" xr:uid="{C022EDC8-3F6C-4442-92F5-842104812FA5}"/>
    <cellStyle name="60% - Accent4 3 2 2 3 2" xfId="12536" xr:uid="{ADCD13B1-4D62-466A-A80B-87A722040EB9}"/>
    <cellStyle name="60% - Accent4 3 2 2 3 2 2" xfId="27948" xr:uid="{DE834009-AA3A-4048-A7FC-94285E6DE466}"/>
    <cellStyle name="60% - Accent4 3 2 2 3 2 2 2" xfId="50809" xr:uid="{E51A7706-B283-4521-8145-720E89CF01B8}"/>
    <cellStyle name="60% - Accent4 3 2 2 3 2 3" xfId="50808" xr:uid="{3197976C-3E6C-4ADA-8412-4CD0A68BC01B}"/>
    <cellStyle name="60% - Accent4 3 2 2 3 3" xfId="20243" xr:uid="{614EC6B6-2E3B-47AA-8707-0D75FA0E1C48}"/>
    <cellStyle name="60% - Accent4 3 2 2 3 3 2" xfId="50810" xr:uid="{CAB719AA-7124-4AB8-98C0-B01183B31594}"/>
    <cellStyle name="60% - Accent4 3 2 2 3 4" xfId="50807" xr:uid="{81BB42BE-82AB-4A36-9633-205AAD81BC45}"/>
    <cellStyle name="60% - Accent4 3 2 2 4" xfId="8811" xr:uid="{C2FC90AD-4B87-48A3-BB88-811C2A20910D}"/>
    <cellStyle name="60% - Accent4 3 2 2 4 2" xfId="24224" xr:uid="{079B7811-1ABE-4B1E-B52D-CC5D8A13892B}"/>
    <cellStyle name="60% - Accent4 3 2 2 4 2 2" xfId="50812" xr:uid="{F60909F9-B4A3-4443-BE57-6B4B019878B8}"/>
    <cellStyle name="60% - Accent4 3 2 2 4 3" xfId="50811" xr:uid="{878B4C80-6C33-432B-9A20-F137462B3E52}"/>
    <cellStyle name="60% - Accent4 3 2 2 5" xfId="16519" xr:uid="{49FF2D92-F0CB-4F4E-B5D7-7E2743913270}"/>
    <cellStyle name="60% - Accent4 3 2 2 5 2" xfId="50813" xr:uid="{FD45FE98-4D97-4CCE-8AC4-A79E45A569B9}"/>
    <cellStyle name="60% - Accent4 3 2 2 6" xfId="50798" xr:uid="{E6C8D316-4880-45BA-AE24-3112D1BE70C7}"/>
    <cellStyle name="60% - Accent4 3 2 3" xfId="1921" xr:uid="{9176F5F1-C72A-44B0-A133-B10E2159667F}"/>
    <cellStyle name="60% - Accent4 3 2 3 2" xfId="5653" xr:uid="{02944D86-3777-482A-A303-B0FA77F126A5}"/>
    <cellStyle name="60% - Accent4 3 2 3 2 2" xfId="13361" xr:uid="{E1920ADE-2CEB-4AAC-8714-213462E8065C}"/>
    <cellStyle name="60% - Accent4 3 2 3 2 2 2" xfId="28773" xr:uid="{8C54255F-3297-44E9-A1B5-E7A4E027CEA8}"/>
    <cellStyle name="60% - Accent4 3 2 3 2 2 2 2" xfId="50817" xr:uid="{AA6ACDF3-4684-48E9-89E2-69DFA9AFF093}"/>
    <cellStyle name="60% - Accent4 3 2 3 2 2 3" xfId="50816" xr:uid="{B548CB8B-E43F-44FF-9F90-E1226BC6F731}"/>
    <cellStyle name="60% - Accent4 3 2 3 2 3" xfId="21068" xr:uid="{9F1340E1-1B4B-408A-8A08-72392C11664F}"/>
    <cellStyle name="60% - Accent4 3 2 3 2 3 2" xfId="50818" xr:uid="{87813E70-1125-4F0B-9D99-D694E6EA5416}"/>
    <cellStyle name="60% - Accent4 3 2 3 2 4" xfId="50815" xr:uid="{37505C6A-A087-4995-8F2E-F11C2F937B04}"/>
    <cellStyle name="60% - Accent4 3 2 3 3" xfId="9632" xr:uid="{70B28B01-6D36-4367-A1C9-89A7F8773AD7}"/>
    <cellStyle name="60% - Accent4 3 2 3 3 2" xfId="25045" xr:uid="{4E156FF7-98C9-4A66-8428-46FF6240FE4C}"/>
    <cellStyle name="60% - Accent4 3 2 3 3 2 2" xfId="50820" xr:uid="{4FCB0186-6D92-4B8B-BEAF-6D8CDDD47146}"/>
    <cellStyle name="60% - Accent4 3 2 3 3 3" xfId="50819" xr:uid="{8B224E5E-F44E-4C6E-AE46-13CEC0997C8E}"/>
    <cellStyle name="60% - Accent4 3 2 3 4" xfId="17340" xr:uid="{3F1EA8BB-64DE-4BDB-A36D-3926D0B72D10}"/>
    <cellStyle name="60% - Accent4 3 2 3 4 2" xfId="50821" xr:uid="{A0E97A97-E532-4F63-8265-69E17F82DD83}"/>
    <cellStyle name="60% - Accent4 3 2 3 5" xfId="50814" xr:uid="{D768217F-D944-49DF-B4B4-65814611AF84}"/>
    <cellStyle name="60% - Accent4 3 2 4" xfId="4176" xr:uid="{51A35FFD-6006-467D-8ACA-E6B8F7D64D08}"/>
    <cellStyle name="60% - Accent4 3 2 4 2" xfId="11884" xr:uid="{2AACE616-07DD-49F5-8052-093F4FADF1D2}"/>
    <cellStyle name="60% - Accent4 3 2 4 2 2" xfId="27296" xr:uid="{2E201F38-A267-4EA1-9D15-AE0681F09413}"/>
    <cellStyle name="60% - Accent4 3 2 4 2 2 2" xfId="50824" xr:uid="{4A906DF2-B2C2-4C1F-B01C-3864A31FA285}"/>
    <cellStyle name="60% - Accent4 3 2 4 2 3" xfId="50823" xr:uid="{A64286C6-7AB7-4597-8A19-EF3DCBC1649B}"/>
    <cellStyle name="60% - Accent4 3 2 4 3" xfId="19591" xr:uid="{D73A1E5E-2863-4F0D-8F67-8AFD5BB46F89}"/>
    <cellStyle name="60% - Accent4 3 2 4 3 2" xfId="50825" xr:uid="{C826AC95-5B81-4E89-B88C-B4C47982FB67}"/>
    <cellStyle name="60% - Accent4 3 2 4 4" xfId="50822" xr:uid="{63A67133-734A-4016-B523-FFBE16F80344}"/>
    <cellStyle name="60% - Accent4 3 2 5" xfId="8173" xr:uid="{8E8654D0-8996-4915-BA22-91C4F6AD976E}"/>
    <cellStyle name="60% - Accent4 3 2 5 2" xfId="23586" xr:uid="{43A86E92-1741-4994-80F2-D946EAB3D63E}"/>
    <cellStyle name="60% - Accent4 3 2 5 2 2" xfId="50827" xr:uid="{FE5164F9-86ED-44CA-A0AD-B214A324A1E4}"/>
    <cellStyle name="60% - Accent4 3 2 5 3" xfId="50826" xr:uid="{B9F22BB2-F70C-4E11-B27A-2209A8CA99B0}"/>
    <cellStyle name="60% - Accent4 3 2 6" xfId="15881" xr:uid="{D222FCB2-ACCD-4C1D-B577-B7DF6BF0B700}"/>
    <cellStyle name="60% - Accent4 3 2 6 2" xfId="50828" xr:uid="{67F1B9BC-C62A-42A3-8F64-356084E9F31F}"/>
    <cellStyle name="60% - Accent4 3 2 7" xfId="50797" xr:uid="{9D8B467B-5E81-49D7-A83C-27C09CDC398A}"/>
    <cellStyle name="60% - Accent4 3 3" xfId="891" xr:uid="{A46AC269-466F-4464-8CD4-D2A5DBA5A7FD}"/>
    <cellStyle name="60% - Accent4 3 3 2" xfId="2361" xr:uid="{4F905C11-91EF-44B2-A162-36FEEE214676}"/>
    <cellStyle name="60% - Accent4 3 3 2 2" xfId="6093" xr:uid="{3A322FA5-1D1F-4BB2-89CC-3D92E395BA9A}"/>
    <cellStyle name="60% - Accent4 3 3 2 2 2" xfId="13801" xr:uid="{C92E4186-0A69-4993-B369-70B6CFA78A6E}"/>
    <cellStyle name="60% - Accent4 3 3 2 2 2 2" xfId="29213" xr:uid="{4BCBF3C0-14D7-4CD6-8E52-E6AAF88A0DE4}"/>
    <cellStyle name="60% - Accent4 3 3 2 2 2 2 2" xfId="50833" xr:uid="{40AC3A70-F12C-418B-A4AB-C82AF97A971D}"/>
    <cellStyle name="60% - Accent4 3 3 2 2 2 3" xfId="50832" xr:uid="{9AAD9E6C-AE79-4CC4-B5C7-03AB9F2DD517}"/>
    <cellStyle name="60% - Accent4 3 3 2 2 3" xfId="21508" xr:uid="{097140B5-9757-4C98-B945-6B8D573B8D78}"/>
    <cellStyle name="60% - Accent4 3 3 2 2 3 2" xfId="50834" xr:uid="{4CD1D33E-F516-4642-B7EA-68E8CC54F7D5}"/>
    <cellStyle name="60% - Accent4 3 3 2 2 4" xfId="50831" xr:uid="{167CB226-00BB-4D51-A718-6F1206658B68}"/>
    <cellStyle name="60% - Accent4 3 3 2 3" xfId="10072" xr:uid="{1B0F31EB-B433-48B3-970D-F11702373F2B}"/>
    <cellStyle name="60% - Accent4 3 3 2 3 2" xfId="25485" xr:uid="{02857D1A-E97E-4B3C-8692-C7A3ABEB8A66}"/>
    <cellStyle name="60% - Accent4 3 3 2 3 2 2" xfId="50836" xr:uid="{E8F1D13F-FEB7-4107-803C-CE23001DF39E}"/>
    <cellStyle name="60% - Accent4 3 3 2 3 3" xfId="50835" xr:uid="{AD12F033-D9F4-4F60-A7E8-C2C6BF5D6778}"/>
    <cellStyle name="60% - Accent4 3 3 2 4" xfId="17780" xr:uid="{94E4E7EE-136C-4DF1-9739-17D16D5B7A81}"/>
    <cellStyle name="60% - Accent4 3 3 2 4 2" xfId="50837" xr:uid="{1C485AEF-9B54-42B7-8B3D-387F116BBE55}"/>
    <cellStyle name="60% - Accent4 3 3 2 5" xfId="50830" xr:uid="{3FB64663-9DA2-44AB-960E-D76E86AC8CB6}"/>
    <cellStyle name="60% - Accent4 3 3 3" xfId="4628" xr:uid="{3E95101C-C70E-4AE2-AAE6-838DA975389F}"/>
    <cellStyle name="60% - Accent4 3 3 3 2" xfId="12336" xr:uid="{8490D5B3-7952-4C3B-A4D9-91001A47C9BD}"/>
    <cellStyle name="60% - Accent4 3 3 3 2 2" xfId="27748" xr:uid="{BB5A62C5-948B-4E28-85CC-86BAC057EE03}"/>
    <cellStyle name="60% - Accent4 3 3 3 2 2 2" xfId="50840" xr:uid="{378F8061-8727-4E1E-9C20-125B0CC609A1}"/>
    <cellStyle name="60% - Accent4 3 3 3 2 3" xfId="50839" xr:uid="{8815FB7F-50DA-431F-8088-2A1FBF56CC41}"/>
    <cellStyle name="60% - Accent4 3 3 3 3" xfId="20043" xr:uid="{2A2068AF-71DD-43D1-9686-3A2CC8AA46DD}"/>
    <cellStyle name="60% - Accent4 3 3 3 3 2" xfId="50841" xr:uid="{777531D8-6B7B-41A6-813B-36F09B8808DD}"/>
    <cellStyle name="60% - Accent4 3 3 3 4" xfId="50838" xr:uid="{41F10521-DB85-4FBA-AE83-65FFFA018919}"/>
    <cellStyle name="60% - Accent4 3 3 4" xfId="8613" xr:uid="{D0CFFF24-2C89-42B6-936D-7AAD65BCEB54}"/>
    <cellStyle name="60% - Accent4 3 3 4 2" xfId="24026" xr:uid="{313BF5FB-1C9A-49EC-9E43-2682B85896B6}"/>
    <cellStyle name="60% - Accent4 3 3 4 2 2" xfId="50843" xr:uid="{BC568780-1268-4C11-9835-8D2A7E8D8A73}"/>
    <cellStyle name="60% - Accent4 3 3 4 3" xfId="50842" xr:uid="{FD9173A5-158B-4FE9-9F97-976751F61A80}"/>
    <cellStyle name="60% - Accent4 3 3 5" xfId="16321" xr:uid="{B8C21689-3869-474C-B4C4-959E6C0BFAA1}"/>
    <cellStyle name="60% - Accent4 3 3 5 2" xfId="50844" xr:uid="{6608A122-EF43-4FBF-B4CC-A0917635CB9D}"/>
    <cellStyle name="60% - Accent4 3 3 6" xfId="50829" xr:uid="{91977E2A-5005-4DE8-B4D2-6EDF9363D6CB}"/>
    <cellStyle name="60% - Accent4 3 4" xfId="1723" xr:uid="{1EE1E165-8B34-4E3D-A11F-A0EAEF93EC57}"/>
    <cellStyle name="60% - Accent4 3 4 2" xfId="5455" xr:uid="{1A5F80A5-D517-4664-9F8C-4C08E6B52A13}"/>
    <cellStyle name="60% - Accent4 3 4 2 2" xfId="13163" xr:uid="{95B95290-626A-4915-90A9-1DFC53A91A74}"/>
    <cellStyle name="60% - Accent4 3 4 2 2 2" xfId="28575" xr:uid="{DAF79141-8170-413A-B9AC-DD69C9976B0A}"/>
    <cellStyle name="60% - Accent4 3 4 2 2 2 2" xfId="50848" xr:uid="{EDFFED28-523E-476D-B358-78EA454A2920}"/>
    <cellStyle name="60% - Accent4 3 4 2 2 3" xfId="50847" xr:uid="{627D0808-A273-4525-8A8A-BACBE06DCB6E}"/>
    <cellStyle name="60% - Accent4 3 4 2 3" xfId="20870" xr:uid="{C7BC653C-8A4B-45A8-AC2C-E2AC2F2B2F1A}"/>
    <cellStyle name="60% - Accent4 3 4 2 3 2" xfId="50849" xr:uid="{A8341D51-E914-40FE-AB49-470A2775B124}"/>
    <cellStyle name="60% - Accent4 3 4 2 4" xfId="50846" xr:uid="{E38B2CBB-FDC8-4859-A967-92699375233F}"/>
    <cellStyle name="60% - Accent4 3 4 3" xfId="9434" xr:uid="{CAC4B272-AF15-40BB-887D-C05E8A2BDC20}"/>
    <cellStyle name="60% - Accent4 3 4 3 2" xfId="24847" xr:uid="{3154FE93-01F0-4411-8F1F-8C9BC47D2BEE}"/>
    <cellStyle name="60% - Accent4 3 4 3 2 2" xfId="50851" xr:uid="{5303E3DA-1EE1-489E-A425-7B32B0BD60BA}"/>
    <cellStyle name="60% - Accent4 3 4 3 3" xfId="50850" xr:uid="{32744D5C-CC0F-458D-A916-3B7F784B3FAC}"/>
    <cellStyle name="60% - Accent4 3 4 4" xfId="17142" xr:uid="{EE9F5CC1-C747-456E-98C4-50E26D31E9EA}"/>
    <cellStyle name="60% - Accent4 3 4 4 2" xfId="50852" xr:uid="{2F5D105E-F3AE-42F3-954E-44107F4C7050}"/>
    <cellStyle name="60% - Accent4 3 4 5" xfId="50845" xr:uid="{263F9357-3974-4A47-87D7-CFBB7F898D5E}"/>
    <cellStyle name="60% - Accent4 3 5" xfId="3976" xr:uid="{D9C9B94E-0779-4099-8967-E2A10A7056B5}"/>
    <cellStyle name="60% - Accent4 3 5 2" xfId="11684" xr:uid="{2381E20D-1B7F-40E4-B196-20DEDBD03EDD}"/>
    <cellStyle name="60% - Accent4 3 5 2 2" xfId="27096" xr:uid="{2C34BC23-D40E-4BD4-8447-6D0DA1432430}"/>
    <cellStyle name="60% - Accent4 3 5 2 2 2" xfId="50855" xr:uid="{1F283513-2777-439C-A8CF-A7765FE7B701}"/>
    <cellStyle name="60% - Accent4 3 5 2 3" xfId="50854" xr:uid="{D4DE00AE-28FE-45EA-9013-A11C7ABE1729}"/>
    <cellStyle name="60% - Accent4 3 5 3" xfId="19391" xr:uid="{03AC13E3-7220-4EF8-8412-F86359046B05}"/>
    <cellStyle name="60% - Accent4 3 5 3 2" xfId="50856" xr:uid="{A72EE3A5-1A94-4FFA-82C6-164F796E301E}"/>
    <cellStyle name="60% - Accent4 3 5 4" xfId="50853" xr:uid="{22608958-F87F-49C1-B18E-D72E386AEE38}"/>
    <cellStyle name="60% - Accent4 3 6" xfId="7975" xr:uid="{FE2AF5F8-33D2-491A-BE8C-78F799E847B4}"/>
    <cellStyle name="60% - Accent4 3 6 2" xfId="23388" xr:uid="{8787A848-E6B1-4DF3-B9A2-0E5A273B9815}"/>
    <cellStyle name="60% - Accent4 3 6 2 2" xfId="50858" xr:uid="{31B1A569-DFE1-44B9-B99D-C22A758D7C5E}"/>
    <cellStyle name="60% - Accent4 3 6 3" xfId="50857" xr:uid="{3B898803-3465-4189-9C9D-8522B080B549}"/>
    <cellStyle name="60% - Accent4 3 7" xfId="15683" xr:uid="{E4A24F12-EA50-4D86-8524-F3A1742A4CF7}"/>
    <cellStyle name="60% - Accent4 3 7 2" xfId="50859" xr:uid="{7C16EEBA-9C78-4114-BA1C-90823FB200E7}"/>
    <cellStyle name="60% - Accent4 3 8" xfId="50796" xr:uid="{FC646490-D1A6-4B37-8E40-C3D058232D62}"/>
    <cellStyle name="60% - Accent4 30" xfId="3788" xr:uid="{075565DA-61A8-4334-85C1-5DC2C3E0BA7F}"/>
    <cellStyle name="60% - Accent4 30 2" xfId="7519" xr:uid="{834958BE-8B6C-45E7-ABA4-1840EF451CCC}"/>
    <cellStyle name="60% - Accent4 30 2 2" xfId="15227" xr:uid="{4DA52702-E43A-40F7-AB4D-70FD508B576A}"/>
    <cellStyle name="60% - Accent4 30 2 2 2" xfId="30639" xr:uid="{0D60F15E-79FA-4DE6-B079-6A4164312B78}"/>
    <cellStyle name="60% - Accent4 30 2 2 2 2" xfId="50863" xr:uid="{58B6BFCD-9C4B-4A16-A9DF-B25D06CA45E9}"/>
    <cellStyle name="60% - Accent4 30 2 2 3" xfId="50862" xr:uid="{8B2CBA4A-5BA4-4975-85ED-E25B6CAA53F5}"/>
    <cellStyle name="60% - Accent4 30 2 3" xfId="22934" xr:uid="{EDA78058-6C7F-4C56-AB93-09753D4E7161}"/>
    <cellStyle name="60% - Accent4 30 2 3 2" xfId="50864" xr:uid="{2C39D47E-B40F-43F2-8957-DE2997DE4874}"/>
    <cellStyle name="60% - Accent4 30 2 4" xfId="50861" xr:uid="{29DF9A6A-C686-4B74-A1C3-A30BBA8B2066}"/>
    <cellStyle name="60% - Accent4 30 3" xfId="11498" xr:uid="{75A5599A-46DF-4A11-BE73-06D3ECF4870B}"/>
    <cellStyle name="60% - Accent4 30 3 2" xfId="26911" xr:uid="{739BCC27-EE83-49ED-970B-766B5FFCDC19}"/>
    <cellStyle name="60% - Accent4 30 3 2 2" xfId="50866" xr:uid="{89360FAF-4A96-4854-AD2A-68B880B25760}"/>
    <cellStyle name="60% - Accent4 30 3 3" xfId="50865" xr:uid="{6F6A1D2A-E8EC-4842-8AD6-C9E235859E41}"/>
    <cellStyle name="60% - Accent4 30 4" xfId="19206" xr:uid="{93C04FE7-B183-4A4F-8201-466E3ED51050}"/>
    <cellStyle name="60% - Accent4 30 4 2" xfId="50867" xr:uid="{B2CC75A0-DAB4-4CF6-A58E-85ABEDBF7C02}"/>
    <cellStyle name="60% - Accent4 30 5" xfId="50860" xr:uid="{41404A51-5C66-4E1F-BF73-EF7D928AE255}"/>
    <cellStyle name="60% - Accent4 31" xfId="3808" xr:uid="{46663DA2-8050-4380-B394-15DF74DD5C99}"/>
    <cellStyle name="60% - Accent4 31 2" xfId="7539" xr:uid="{88837E27-0FD8-4513-BE72-3202B2827D57}"/>
    <cellStyle name="60% - Accent4 31 2 2" xfId="15247" xr:uid="{B3270851-A7CD-47CB-AF05-3241FE40A74E}"/>
    <cellStyle name="60% - Accent4 31 2 2 2" xfId="30659" xr:uid="{FC699F90-1073-4B81-ACFB-43D7561039E7}"/>
    <cellStyle name="60% - Accent4 31 2 2 2 2" xfId="50871" xr:uid="{CB6A5AF2-7185-49D7-9394-DBB571C86769}"/>
    <cellStyle name="60% - Accent4 31 2 2 3" xfId="50870" xr:uid="{A23E54E7-F5B5-404D-97D3-88417BBE5FA5}"/>
    <cellStyle name="60% - Accent4 31 2 3" xfId="22954" xr:uid="{B42A6255-1740-461C-A8A0-CD48782D13E5}"/>
    <cellStyle name="60% - Accent4 31 2 3 2" xfId="50872" xr:uid="{55BB214B-0A21-41F1-ABA9-479C810945DE}"/>
    <cellStyle name="60% - Accent4 31 2 4" xfId="50869" xr:uid="{1488A222-2AA3-4D04-98DD-86E7E2A39720}"/>
    <cellStyle name="60% - Accent4 31 3" xfId="11518" xr:uid="{1880878B-2D73-4504-ADE2-EDEFE481E9BE}"/>
    <cellStyle name="60% - Accent4 31 3 2" xfId="26931" xr:uid="{852BCC29-C628-4CFB-85E4-1E98852EAD69}"/>
    <cellStyle name="60% - Accent4 31 3 2 2" xfId="50874" xr:uid="{9315F11D-34AE-4D9C-96C6-331AB3D04B14}"/>
    <cellStyle name="60% - Accent4 31 3 3" xfId="50873" xr:uid="{C418A7FE-13AE-4006-BF7D-F19E6520EA43}"/>
    <cellStyle name="60% - Accent4 31 4" xfId="19226" xr:uid="{7EE0B7D2-8D03-4369-B3D7-9BBD0DA922DD}"/>
    <cellStyle name="60% - Accent4 31 4 2" xfId="50875" xr:uid="{8AEE17C5-5025-445E-A63B-A13E769C6EBF}"/>
    <cellStyle name="60% - Accent4 31 5" xfId="50868" xr:uid="{8F0E611C-DE9F-4B1C-B05A-8DD350F4DF29}"/>
    <cellStyle name="60% - Accent4 32" xfId="3828" xr:uid="{E41DC8F5-929F-42E3-BD36-36917D45084E}"/>
    <cellStyle name="60% - Accent4 32 2" xfId="7559" xr:uid="{7364CBAD-D885-4115-9E13-8594B0F7E912}"/>
    <cellStyle name="60% - Accent4 32 2 2" xfId="15267" xr:uid="{9F7FC198-1F1F-4501-A620-02637FDAE1A4}"/>
    <cellStyle name="60% - Accent4 32 2 2 2" xfId="30679" xr:uid="{68B871B9-773D-4C9E-92A7-D78BEEB77587}"/>
    <cellStyle name="60% - Accent4 32 2 2 2 2" xfId="50879" xr:uid="{5DE7C28B-190F-476E-B8D5-8D596AB46262}"/>
    <cellStyle name="60% - Accent4 32 2 2 3" xfId="50878" xr:uid="{F0F50FE0-25AB-434E-A2BF-C29D2973B588}"/>
    <cellStyle name="60% - Accent4 32 2 3" xfId="22974" xr:uid="{2135D806-BECE-4A98-8F2F-4B4C0FB69EC6}"/>
    <cellStyle name="60% - Accent4 32 2 3 2" xfId="50880" xr:uid="{38982B4C-F8A5-40FB-A50B-A0304430098A}"/>
    <cellStyle name="60% - Accent4 32 2 4" xfId="50877" xr:uid="{598CAAE1-ED8B-4267-89DB-1A666EC9FE25}"/>
    <cellStyle name="60% - Accent4 32 3" xfId="11538" xr:uid="{F6493316-408D-4BB9-9FDF-1719C9AE248D}"/>
    <cellStyle name="60% - Accent4 32 3 2" xfId="26951" xr:uid="{506FAEAA-C4B0-42A4-9B4F-7FA35CDF97A0}"/>
    <cellStyle name="60% - Accent4 32 3 2 2" xfId="50882" xr:uid="{FA97829D-932C-4D87-BF15-C4B6888FB4FA}"/>
    <cellStyle name="60% - Accent4 32 3 3" xfId="50881" xr:uid="{87677890-A489-4C11-BC77-52DB0B26C457}"/>
    <cellStyle name="60% - Accent4 32 4" xfId="19246" xr:uid="{EA580095-74AC-44CC-9D1F-4CD49C86C024}"/>
    <cellStyle name="60% - Accent4 32 4 2" xfId="50883" xr:uid="{8A36EA5E-1BDE-4477-B733-166D0BB84FD2}"/>
    <cellStyle name="60% - Accent4 32 5" xfId="50876" xr:uid="{701CC20E-9ED9-413A-8CBC-9EC042F7C832}"/>
    <cellStyle name="60% - Accent4 33" xfId="3849" xr:uid="{F9F7E349-5D97-40A0-BF8F-C903C4065809}"/>
    <cellStyle name="60% - Accent4 33 2" xfId="7579" xr:uid="{EE9268C8-653C-4114-9A73-1859327D0D3E}"/>
    <cellStyle name="60% - Accent4 33 2 2" xfId="15287" xr:uid="{AD662DFE-91C5-4EC7-873F-515D1830FC08}"/>
    <cellStyle name="60% - Accent4 33 2 2 2" xfId="30699" xr:uid="{E2394655-05EB-4F35-85E3-0FEEB6DCB61D}"/>
    <cellStyle name="60% - Accent4 33 2 2 2 2" xfId="50887" xr:uid="{4D4DFC50-E207-48EC-98DC-069B5B279F36}"/>
    <cellStyle name="60% - Accent4 33 2 2 3" xfId="50886" xr:uid="{B38A4E8B-9535-42CC-8B29-A806287348E1}"/>
    <cellStyle name="60% - Accent4 33 2 3" xfId="22994" xr:uid="{835CA511-D861-4F9D-9731-9CD238520A95}"/>
    <cellStyle name="60% - Accent4 33 2 3 2" xfId="50888" xr:uid="{90CD8FFE-8001-4071-A1F1-798467B715BE}"/>
    <cellStyle name="60% - Accent4 33 2 4" xfId="50885" xr:uid="{3C8DCEA1-D629-411F-A208-ECEA821EC467}"/>
    <cellStyle name="60% - Accent4 33 3" xfId="11559" xr:uid="{FD496EA1-057B-40FF-B462-409C01C67FC1}"/>
    <cellStyle name="60% - Accent4 33 3 2" xfId="26971" xr:uid="{069594E4-6D19-41C6-8F28-ED590F5D2DAA}"/>
    <cellStyle name="60% - Accent4 33 3 2 2" xfId="50890" xr:uid="{2470F245-A1F4-40E3-BAC7-6A66E3F360DD}"/>
    <cellStyle name="60% - Accent4 33 3 3" xfId="50889" xr:uid="{EB4BECFA-0364-4AA1-8A26-98279FC33E17}"/>
    <cellStyle name="60% - Accent4 33 4" xfId="19266" xr:uid="{393E8DBC-F1E3-4703-AD3C-9E47467BBF93}"/>
    <cellStyle name="60% - Accent4 33 4 2" xfId="50891" xr:uid="{2DAFBFDF-6326-4DCF-993C-1B1CFAD67345}"/>
    <cellStyle name="60% - Accent4 33 5" xfId="50884" xr:uid="{4F256FAA-F39D-4AFB-84FB-F8EA3BF33F40}"/>
    <cellStyle name="60% - Accent4 34" xfId="3868" xr:uid="{828C7ED9-8007-4A4A-B561-3274F8ED0287}"/>
    <cellStyle name="60% - Accent4 34 2" xfId="11578" xr:uid="{C6AF75DE-B673-4F20-8F47-EDE1B42A0B41}"/>
    <cellStyle name="60% - Accent4 34 2 2" xfId="26990" xr:uid="{9E7C5DF8-444B-4098-82DF-0916CD5210BC}"/>
    <cellStyle name="60% - Accent4 34 2 2 2" xfId="50894" xr:uid="{BCE296AA-6E01-4D25-9479-55586FFDCBA4}"/>
    <cellStyle name="60% - Accent4 34 2 3" xfId="50893" xr:uid="{3F245D2D-ADC6-4634-ACB6-452098A42517}"/>
    <cellStyle name="60% - Accent4 34 3" xfId="19285" xr:uid="{13EF276D-E5DE-48C2-A0FC-39C4BFBE6FBE}"/>
    <cellStyle name="60% - Accent4 34 3 2" xfId="50895" xr:uid="{7108B47F-D8B0-4E92-8B64-3A1589F6ECBF}"/>
    <cellStyle name="60% - Accent4 34 4" xfId="50892" xr:uid="{BD7D6E55-A9B9-4920-8F98-633A95D9C50F}"/>
    <cellStyle name="60% - Accent4 35" xfId="7599" xr:uid="{C3211A45-6504-41FD-916F-0557C0EC6309}"/>
    <cellStyle name="60% - Accent4 35 2" xfId="15307" xr:uid="{52659518-BEE0-491D-BA46-B79ED770D665}"/>
    <cellStyle name="60% - Accent4 35 2 2" xfId="30719" xr:uid="{5B62B49E-BF71-455E-B47B-4B9D1378CC21}"/>
    <cellStyle name="60% - Accent4 35 2 2 2" xfId="50898" xr:uid="{D1D4AA77-CDF2-4C16-9840-73B8BCBB00E2}"/>
    <cellStyle name="60% - Accent4 35 2 3" xfId="50897" xr:uid="{D51B9335-5FC9-4A20-85F1-0149DF991F95}"/>
    <cellStyle name="60% - Accent4 35 3" xfId="23014" xr:uid="{CF9525A0-8702-42DA-AB45-DEEE548D29A6}"/>
    <cellStyle name="60% - Accent4 35 3 2" xfId="50899" xr:uid="{FC01BCF8-3C54-4A29-A033-01CBB7D55D92}"/>
    <cellStyle name="60% - Accent4 35 4" xfId="50896" xr:uid="{52446DDB-E319-4D11-B3C0-90DE664FCBAC}"/>
    <cellStyle name="60% - Accent4 36" xfId="7619" xr:uid="{4B3C896A-70A8-4C8B-98E4-11EB53FADF9D}"/>
    <cellStyle name="60% - Accent4 36 2" xfId="15327" xr:uid="{33A78878-289B-470E-89B4-DBD37A890D4A}"/>
    <cellStyle name="60% - Accent4 36 2 2" xfId="30739" xr:uid="{0A49839B-6C4B-4FB6-9838-B2C69ABF3B4C}"/>
    <cellStyle name="60% - Accent4 36 2 2 2" xfId="50902" xr:uid="{4AF9248A-06F8-4C98-8292-83AF9E4E8B02}"/>
    <cellStyle name="60% - Accent4 36 2 3" xfId="50901" xr:uid="{10081A18-17BB-4B62-9108-E8A6883828F5}"/>
    <cellStyle name="60% - Accent4 36 3" xfId="23034" xr:uid="{60E0AF80-C29F-4772-BC8A-B28A59F24B4F}"/>
    <cellStyle name="60% - Accent4 36 3 2" xfId="50903" xr:uid="{D89CAD93-2869-45D2-A3D6-3FA629379194}"/>
    <cellStyle name="60% - Accent4 36 4" xfId="50900" xr:uid="{63C06EC4-C69F-4B2D-97F9-AE68367EAA30}"/>
    <cellStyle name="60% - Accent4 37" xfId="7639" xr:uid="{94B97518-E426-42C6-97D0-5F63434F7DF4}"/>
    <cellStyle name="60% - Accent4 37 2" xfId="15347" xr:uid="{B99BFA52-A735-4237-A02C-01031075EB19}"/>
    <cellStyle name="60% - Accent4 37 2 2" xfId="30759" xr:uid="{1BCF5ECC-4F08-430D-9008-B38498913827}"/>
    <cellStyle name="60% - Accent4 37 2 2 2" xfId="50906" xr:uid="{765936B6-096E-4551-8B32-EEF791C2790D}"/>
    <cellStyle name="60% - Accent4 37 2 3" xfId="50905" xr:uid="{4911FC26-8589-4328-8D4E-D640EC82BA32}"/>
    <cellStyle name="60% - Accent4 37 3" xfId="23054" xr:uid="{1CCE39D5-F2F5-43AE-9AAE-09DF46EC2B63}"/>
    <cellStyle name="60% - Accent4 37 3 2" xfId="50907" xr:uid="{7D4C039A-3315-49AD-BBEE-D6EACD5ADAC6}"/>
    <cellStyle name="60% - Accent4 37 4" xfId="50904" xr:uid="{94708456-0301-4241-8B12-3B348A22D6BB}"/>
    <cellStyle name="60% - Accent4 38" xfId="7659" xr:uid="{E9EB3C1B-6A62-4376-B010-9FFC49C95C79}"/>
    <cellStyle name="60% - Accent4 38 2" xfId="15367" xr:uid="{6D204713-CA49-4946-BEE3-E3E2C88297DD}"/>
    <cellStyle name="60% - Accent4 38 2 2" xfId="30779" xr:uid="{9F1A87B8-DA4A-4168-BDA9-F86B013778CF}"/>
    <cellStyle name="60% - Accent4 38 2 2 2" xfId="50910" xr:uid="{9DFFB349-C5FA-4115-B7CA-588359FE3C81}"/>
    <cellStyle name="60% - Accent4 38 2 3" xfId="50909" xr:uid="{25038DF7-91FE-41FE-AA4F-7FC53F45BC43}"/>
    <cellStyle name="60% - Accent4 38 3" xfId="23074" xr:uid="{46B562D4-D3FE-4001-B8DF-5EC54EBAC421}"/>
    <cellStyle name="60% - Accent4 38 3 2" xfId="50911" xr:uid="{CC05C723-C8DA-4917-85F9-9AFADA798EF0}"/>
    <cellStyle name="60% - Accent4 38 4" xfId="50908" xr:uid="{487C8781-FC6A-41F2-B9FF-6DBB7FFE5A41}"/>
    <cellStyle name="60% - Accent4 39" xfId="7679" xr:uid="{8FE2FA82-5729-4F12-851E-4B798D379BED}"/>
    <cellStyle name="60% - Accent4 39 2" xfId="15387" xr:uid="{1DA7A3D7-29E6-40C3-AFD1-802A6D037BF6}"/>
    <cellStyle name="60% - Accent4 39 2 2" xfId="30799" xr:uid="{0F3827FB-BBD1-4E04-828E-FBA8673F4ADD}"/>
    <cellStyle name="60% - Accent4 39 2 2 2" xfId="50914" xr:uid="{AC2796EE-4C5F-410F-B0DB-FE3CD5129C7A}"/>
    <cellStyle name="60% - Accent4 39 2 3" xfId="50913" xr:uid="{5C727BC1-A7B1-4D18-8013-C9F595E40E15}"/>
    <cellStyle name="60% - Accent4 39 3" xfId="23094" xr:uid="{B2B8C65D-C688-4190-A0C6-E9DABB900723}"/>
    <cellStyle name="60% - Accent4 39 3 2" xfId="50915" xr:uid="{CE3A1E6D-9D2F-46D5-A5D6-ECD81C3647B6}"/>
    <cellStyle name="60% - Accent4 39 4" xfId="50912" xr:uid="{3794A062-9F2E-46E0-9E6F-80853D2DBCC4}"/>
    <cellStyle name="60% - Accent4 4" xfId="331" xr:uid="{5CE60D76-3812-4060-B64A-E50FCD9E13EC}"/>
    <cellStyle name="60% - Accent4 4 2" xfId="995" xr:uid="{68BA3207-54EA-4F54-B8D2-0BF6622305AC}"/>
    <cellStyle name="60% - Accent4 4 2 2" xfId="2465" xr:uid="{23B127C4-3D6A-43C7-A001-E6E067660AAC}"/>
    <cellStyle name="60% - Accent4 4 2 2 2" xfId="6197" xr:uid="{2BFD4AEE-009A-41ED-8315-846DB4EFB380}"/>
    <cellStyle name="60% - Accent4 4 2 2 2 2" xfId="13905" xr:uid="{3D5F9A16-09DA-4258-9177-1F6510834842}"/>
    <cellStyle name="60% - Accent4 4 2 2 2 2 2" xfId="29317" xr:uid="{021EEF41-2934-4D17-B9A7-E9C068B2A69A}"/>
    <cellStyle name="60% - Accent4 4 2 2 2 2 2 2" xfId="50921" xr:uid="{7DF8601F-13CE-4E27-9653-4D9730AA1C3E}"/>
    <cellStyle name="60% - Accent4 4 2 2 2 2 3" xfId="50920" xr:uid="{E19AE890-99CE-444E-8CFE-755DA80BFDE3}"/>
    <cellStyle name="60% - Accent4 4 2 2 2 3" xfId="21612" xr:uid="{856D23CF-D427-4DA0-99C2-304E8B741F70}"/>
    <cellStyle name="60% - Accent4 4 2 2 2 3 2" xfId="50922" xr:uid="{F5C0B5C7-62CC-4F11-B125-EFE0B7B3D155}"/>
    <cellStyle name="60% - Accent4 4 2 2 2 4" xfId="50919" xr:uid="{05891198-50B8-4B1D-B28E-3EF9120462EE}"/>
    <cellStyle name="60% - Accent4 4 2 2 3" xfId="10176" xr:uid="{E77196F0-C4E3-4792-B406-93992DDF0D2D}"/>
    <cellStyle name="60% - Accent4 4 2 2 3 2" xfId="25589" xr:uid="{E60C0733-EC99-49DC-8D9C-1B42B31C0B8E}"/>
    <cellStyle name="60% - Accent4 4 2 2 3 2 2" xfId="50924" xr:uid="{52C0EAC9-F1B0-4334-BD58-DB0B6842C0D8}"/>
    <cellStyle name="60% - Accent4 4 2 2 3 3" xfId="50923" xr:uid="{395D5E52-94D5-4720-AD1B-B71185B7E567}"/>
    <cellStyle name="60% - Accent4 4 2 2 4" xfId="17884" xr:uid="{2E488602-C563-4A02-AA31-C67E13BC5644}"/>
    <cellStyle name="60% - Accent4 4 2 2 4 2" xfId="50925" xr:uid="{53DF7C1B-6C82-4399-B9EA-E5CD5B03110F}"/>
    <cellStyle name="60% - Accent4 4 2 2 5" xfId="50918" xr:uid="{41F8366D-8A6C-4C65-8850-D06C2AA3D67D}"/>
    <cellStyle name="60% - Accent4 4 2 3" xfId="4732" xr:uid="{6FE208FA-60FC-4D56-A95E-6A48057C339A}"/>
    <cellStyle name="60% - Accent4 4 2 3 2" xfId="12440" xr:uid="{1C5CAAAD-0CD2-4792-8C46-994515E478B8}"/>
    <cellStyle name="60% - Accent4 4 2 3 2 2" xfId="27852" xr:uid="{7D1F11F4-BFA7-4E40-B53D-D8640172A04E}"/>
    <cellStyle name="60% - Accent4 4 2 3 2 2 2" xfId="50928" xr:uid="{70E39C41-1C9D-4CB1-ADE2-5288779971C2}"/>
    <cellStyle name="60% - Accent4 4 2 3 2 3" xfId="50927" xr:uid="{8615A785-FD2F-4961-98FC-966C170D3D23}"/>
    <cellStyle name="60% - Accent4 4 2 3 3" xfId="20147" xr:uid="{854C93D2-03E6-4673-AF44-A19A0CB2BAE9}"/>
    <cellStyle name="60% - Accent4 4 2 3 3 2" xfId="50929" xr:uid="{A4DA3DB0-7B87-4976-8CF0-1A6789D4A271}"/>
    <cellStyle name="60% - Accent4 4 2 3 4" xfId="50926" xr:uid="{9D784D1E-B928-4BD1-B2DE-696C4272C52E}"/>
    <cellStyle name="60% - Accent4 4 2 4" xfId="8717" xr:uid="{3E279F90-9D2E-41C5-901A-A6CC8DBA5266}"/>
    <cellStyle name="60% - Accent4 4 2 4 2" xfId="24130" xr:uid="{96CD0CEE-11B1-4965-89C3-F523A9FD3AAF}"/>
    <cellStyle name="60% - Accent4 4 2 4 2 2" xfId="50931" xr:uid="{88D728C9-7120-4571-867C-9286313BAC0D}"/>
    <cellStyle name="60% - Accent4 4 2 4 3" xfId="50930" xr:uid="{123D09D8-105D-49F7-A90D-39DDA355EFF5}"/>
    <cellStyle name="60% - Accent4 4 2 5" xfId="16425" xr:uid="{2247A28E-DC6E-459F-89B6-695988503BF9}"/>
    <cellStyle name="60% - Accent4 4 2 5 2" xfId="50932" xr:uid="{9D165B06-CDD9-4FCE-96F5-8749C5902CD0}"/>
    <cellStyle name="60% - Accent4 4 2 6" xfId="50917" xr:uid="{71982EC9-E2F4-4DA5-9EF8-1A0146986416}"/>
    <cellStyle name="60% - Accent4 4 3" xfId="1827" xr:uid="{E14DAC4D-EAC7-46B3-AE8F-76115C6FED57}"/>
    <cellStyle name="60% - Accent4 4 3 2" xfId="5559" xr:uid="{A48A0DBC-3292-467B-AE53-8C9B6227EFD1}"/>
    <cellStyle name="60% - Accent4 4 3 2 2" xfId="13267" xr:uid="{9316AB9D-AC78-4768-B4CE-5C12452563EC}"/>
    <cellStyle name="60% - Accent4 4 3 2 2 2" xfId="28679" xr:uid="{5736CD07-4A27-4E48-A9D5-11EF47C5C34F}"/>
    <cellStyle name="60% - Accent4 4 3 2 2 2 2" xfId="50936" xr:uid="{96F81558-CD17-4C36-AAB6-15AFB9DC50AD}"/>
    <cellStyle name="60% - Accent4 4 3 2 2 3" xfId="50935" xr:uid="{23813987-8E04-4FA5-913F-31AA02077B66}"/>
    <cellStyle name="60% - Accent4 4 3 2 3" xfId="20974" xr:uid="{5F0FB0D5-7EA1-4C03-80D5-1FB97EED7D8B}"/>
    <cellStyle name="60% - Accent4 4 3 2 3 2" xfId="50937" xr:uid="{DBE35A18-A6CF-4835-8F32-3E4BCE5ED68C}"/>
    <cellStyle name="60% - Accent4 4 3 2 4" xfId="50934" xr:uid="{563EBF01-EDA5-4EF8-8148-F95686492234}"/>
    <cellStyle name="60% - Accent4 4 3 3" xfId="9538" xr:uid="{C436DC75-2643-460C-9047-6143A044CB71}"/>
    <cellStyle name="60% - Accent4 4 3 3 2" xfId="24951" xr:uid="{9213DB7E-64FD-436D-8E1B-EE4909881DD3}"/>
    <cellStyle name="60% - Accent4 4 3 3 2 2" xfId="50939" xr:uid="{033157DB-1ECD-4CB5-A9B1-32C1F0454316}"/>
    <cellStyle name="60% - Accent4 4 3 3 3" xfId="50938" xr:uid="{AE8713AA-1473-4510-9839-9C7D5723FCA9}"/>
    <cellStyle name="60% - Accent4 4 3 4" xfId="17246" xr:uid="{9D8EADBA-672F-4BC5-8A4C-27430458C357}"/>
    <cellStyle name="60% - Accent4 4 3 4 2" xfId="50940" xr:uid="{4FA251CD-8E88-4616-826A-0D0BD8952548}"/>
    <cellStyle name="60% - Accent4 4 3 5" xfId="50933" xr:uid="{1CD55373-07A1-4A32-BA28-25354EE5EBD8}"/>
    <cellStyle name="60% - Accent4 4 4" xfId="4080" xr:uid="{E885B931-9E6D-4F27-8B6D-83511C8C0DE5}"/>
    <cellStyle name="60% - Accent4 4 4 2" xfId="11788" xr:uid="{1B232CDE-B99C-492C-AC5E-614A3B5DFE9D}"/>
    <cellStyle name="60% - Accent4 4 4 2 2" xfId="27200" xr:uid="{99FECAD6-3E9F-452F-B00B-1CF8A83D18B5}"/>
    <cellStyle name="60% - Accent4 4 4 2 2 2" xfId="50943" xr:uid="{A668148B-13AD-450B-814F-3C43B554BB5F}"/>
    <cellStyle name="60% - Accent4 4 4 2 3" xfId="50942" xr:uid="{CDD22DBA-6F06-44B9-972A-E1F1E103A774}"/>
    <cellStyle name="60% - Accent4 4 4 3" xfId="19495" xr:uid="{5F931557-D7B1-458C-B7EC-D3217374E625}"/>
    <cellStyle name="60% - Accent4 4 4 3 2" xfId="50944" xr:uid="{F3BF4BB1-45FE-4D72-8BF4-E10AEC68E829}"/>
    <cellStyle name="60% - Accent4 4 4 4" xfId="50941" xr:uid="{84661DBB-97F2-4D83-9BB3-74A08CC53C58}"/>
    <cellStyle name="60% - Accent4 4 5" xfId="8079" xr:uid="{8B6EC812-1F4F-4E1E-A795-80FAB70AAB33}"/>
    <cellStyle name="60% - Accent4 4 5 2" xfId="23492" xr:uid="{46D75B27-FA67-4F03-8882-0671F1AAC7EC}"/>
    <cellStyle name="60% - Accent4 4 5 2 2" xfId="50946" xr:uid="{2ED535F3-D7FF-4B10-B433-6C03FC4986AC}"/>
    <cellStyle name="60% - Accent4 4 5 3" xfId="50945" xr:uid="{D01F5ED0-90B0-4A1C-8A94-A785F0132EBB}"/>
    <cellStyle name="60% - Accent4 4 6" xfId="15787" xr:uid="{50B4287D-4B11-4FCB-91DE-1A7412273326}"/>
    <cellStyle name="60% - Accent4 4 6 2" xfId="50947" xr:uid="{C5003953-7EC2-4C72-BC3D-BB774FF0187D}"/>
    <cellStyle name="60% - Accent4 4 7" xfId="50916" xr:uid="{F5CD42E9-BC52-4CFF-A3CE-FEB03CEBF3D9}"/>
    <cellStyle name="60% - Accent4 40" xfId="7699" xr:uid="{1185B569-A186-47F8-8B89-2F8F52B10E29}"/>
    <cellStyle name="60% - Accent4 40 2" xfId="15407" xr:uid="{475BFED6-F097-48B4-AD62-3ED8297B21BB}"/>
    <cellStyle name="60% - Accent4 40 2 2" xfId="30819" xr:uid="{0BD8B532-F5CE-4B05-B97A-51826F1ABD50}"/>
    <cellStyle name="60% - Accent4 40 2 2 2" xfId="50950" xr:uid="{CAB53AE0-F1CD-4269-BE64-F38BB2E443E8}"/>
    <cellStyle name="60% - Accent4 40 2 3" xfId="50949" xr:uid="{8154D087-D47D-41E9-BC04-C4F45B4A6AE6}"/>
    <cellStyle name="60% - Accent4 40 3" xfId="23114" xr:uid="{7F7BEC69-7B21-48BE-9532-8DACE8492C00}"/>
    <cellStyle name="60% - Accent4 40 3 2" xfId="50951" xr:uid="{07BB9807-4CA0-47B5-BCD6-D505C2F83114}"/>
    <cellStyle name="60% - Accent4 40 4" xfId="50948" xr:uid="{26A471A1-BC64-4216-A1F0-1025CDDF2F64}"/>
    <cellStyle name="60% - Accent4 41" xfId="7719" xr:uid="{DFFDD1BD-A8F9-4E6F-8124-C0AE3785019C}"/>
    <cellStyle name="60% - Accent4 41 2" xfId="15427" xr:uid="{40BEC7D5-77C2-4E23-AE97-0D11FC330478}"/>
    <cellStyle name="60% - Accent4 41 2 2" xfId="30839" xr:uid="{14D69DF2-029B-48B3-A3C0-444A211B3298}"/>
    <cellStyle name="60% - Accent4 41 2 2 2" xfId="50954" xr:uid="{FE03A97C-810A-4801-9819-E0B05EE36E0A}"/>
    <cellStyle name="60% - Accent4 41 2 3" xfId="50953" xr:uid="{E653182B-2958-462E-9E00-9CCB8457DE55}"/>
    <cellStyle name="60% - Accent4 41 3" xfId="23134" xr:uid="{ABA75B2A-872A-47F9-BB68-866FEFAD69AC}"/>
    <cellStyle name="60% - Accent4 41 3 2" xfId="50955" xr:uid="{8AE54DB0-A350-42EA-9466-C57322F84CFA}"/>
    <cellStyle name="60% - Accent4 41 4" xfId="50952" xr:uid="{5216CEDF-5BDB-4392-8EF9-E923281FC3BB}"/>
    <cellStyle name="60% - Accent4 42" xfId="7739" xr:uid="{70778FC2-A4E9-4A57-805F-5215358245FC}"/>
    <cellStyle name="60% - Accent4 42 2" xfId="15447" xr:uid="{A8CA1D58-038E-4F94-A886-C02555D3065A}"/>
    <cellStyle name="60% - Accent4 42 2 2" xfId="30859" xr:uid="{C0CDD367-9A2C-473B-8D3E-E4051B43C620}"/>
    <cellStyle name="60% - Accent4 42 2 2 2" xfId="50958" xr:uid="{43430D7C-B155-472B-BB17-F738EA8F494E}"/>
    <cellStyle name="60% - Accent4 42 2 3" xfId="50957" xr:uid="{9B1B245A-62EF-49A3-9E63-CBC8441E085B}"/>
    <cellStyle name="60% - Accent4 42 3" xfId="23154" xr:uid="{ED5B9713-13A9-4B30-8B6E-1DDB98E10C04}"/>
    <cellStyle name="60% - Accent4 42 3 2" xfId="50959" xr:uid="{1C02FF24-B7BB-4A48-BAAD-0C7F39919A3B}"/>
    <cellStyle name="60% - Accent4 42 4" xfId="50956" xr:uid="{B2C544F6-5988-4BAE-A728-CC4FB0956236}"/>
    <cellStyle name="60% - Accent4 43" xfId="7759" xr:uid="{17BE080D-D124-42FA-ACFE-5053F3F7666B}"/>
    <cellStyle name="60% - Accent4 43 2" xfId="15467" xr:uid="{F51136CC-C2F8-459B-8347-7CA88C248815}"/>
    <cellStyle name="60% - Accent4 43 2 2" xfId="30879" xr:uid="{34F1CE65-4D24-4C39-B765-BE02FB7ED1A1}"/>
    <cellStyle name="60% - Accent4 43 2 2 2" xfId="50962" xr:uid="{7D53A211-882D-4EB3-B808-501DB26FD6A6}"/>
    <cellStyle name="60% - Accent4 43 2 3" xfId="50961" xr:uid="{90B9676A-B5DA-4923-A56E-12CE3609BBAD}"/>
    <cellStyle name="60% - Accent4 43 3" xfId="23174" xr:uid="{A9E90C5F-CE53-4805-92B3-6FE46A2C98BE}"/>
    <cellStyle name="60% - Accent4 43 3 2" xfId="50963" xr:uid="{C11F321C-18F0-453E-A5A0-A774E5F3B02C}"/>
    <cellStyle name="60% - Accent4 43 4" xfId="50960" xr:uid="{5E06C69B-4D05-496D-81E7-094DB8997025}"/>
    <cellStyle name="60% - Accent4 44" xfId="7779" xr:uid="{08013E55-7816-43E7-97CD-C87D15A62B55}"/>
    <cellStyle name="60% - Accent4 44 2" xfId="15487" xr:uid="{F02C3259-2AF8-47BA-9CE4-5E14EAB85BF9}"/>
    <cellStyle name="60% - Accent4 44 2 2" xfId="30899" xr:uid="{7F85F364-5A2F-4986-8DEA-6538D1B7971E}"/>
    <cellStyle name="60% - Accent4 44 2 2 2" xfId="50966" xr:uid="{7B5E6E15-FCB8-4D8F-8403-4A60B3CF720C}"/>
    <cellStyle name="60% - Accent4 44 2 3" xfId="50965" xr:uid="{2708A470-0D87-4BB6-B891-B2C309268C0E}"/>
    <cellStyle name="60% - Accent4 44 3" xfId="23194" xr:uid="{E62FF504-D4EE-4F27-A451-2F4E4F644C4B}"/>
    <cellStyle name="60% - Accent4 44 3 2" xfId="50967" xr:uid="{4A0C847A-3727-490B-A5AD-13591A03D6C1}"/>
    <cellStyle name="60% - Accent4 44 4" xfId="50964" xr:uid="{99E68B94-21BD-487B-87F0-FF72849F19D0}"/>
    <cellStyle name="60% - Accent4 45" xfId="7799" xr:uid="{E6DBB556-FBE6-4D7B-AF34-DD04CDA921C7}"/>
    <cellStyle name="60% - Accent4 45 2" xfId="15507" xr:uid="{E0418CE2-E7ED-4AF9-B290-E3158E0D89C7}"/>
    <cellStyle name="60% - Accent4 45 2 2" xfId="30919" xr:uid="{C24A1161-CA5B-4F45-8A8C-9E1D4AC2C526}"/>
    <cellStyle name="60% - Accent4 45 2 2 2" xfId="50970" xr:uid="{2AB54EDB-0DAC-4E52-8B77-C45095B53FB8}"/>
    <cellStyle name="60% - Accent4 45 2 3" xfId="50969" xr:uid="{E488B54E-B59D-4CDD-B537-5AF68D346A0B}"/>
    <cellStyle name="60% - Accent4 45 3" xfId="23214" xr:uid="{C9EDC14A-B44F-4B58-9E2D-F96472CD9738}"/>
    <cellStyle name="60% - Accent4 45 3 2" xfId="50971" xr:uid="{714379FE-25D3-4A1D-B1CB-7226854100BE}"/>
    <cellStyle name="60% - Accent4 45 4" xfId="50968" xr:uid="{C394D4CE-507E-4C30-BE93-74677DDEE1C0}"/>
    <cellStyle name="60% - Accent4 46" xfId="7821" xr:uid="{65A02C06-1CF1-49C7-815D-09E0228721C0}"/>
    <cellStyle name="60% - Accent4 46 2" xfId="15529" xr:uid="{EC0E4421-7A62-4AC9-920A-1DCA05EFF663}"/>
    <cellStyle name="60% - Accent4 46 2 2" xfId="30941" xr:uid="{1F2C6265-152B-42D8-88CD-F3179C0597FF}"/>
    <cellStyle name="60% - Accent4 46 2 2 2" xfId="50974" xr:uid="{7DBEDBB5-0650-448E-80D1-C7EE8FE611B3}"/>
    <cellStyle name="60% - Accent4 46 2 3" xfId="50973" xr:uid="{6FBC5386-6D7D-4C84-865A-4E7D1BB3A070}"/>
    <cellStyle name="60% - Accent4 46 3" xfId="23236" xr:uid="{5B2D10CF-6AC7-4334-A067-6389FF179B68}"/>
    <cellStyle name="60% - Accent4 46 3 2" xfId="50975" xr:uid="{175921FA-4A5E-4EA0-9F24-92B675C0D68E}"/>
    <cellStyle name="60% - Accent4 46 4" xfId="50972" xr:uid="{231B75A7-C19A-4A28-8031-447564FF99B2}"/>
    <cellStyle name="60% - Accent4 47" xfId="7842" xr:uid="{9C0D27DB-8AB4-4B4F-AF40-267DE2A67A82}"/>
    <cellStyle name="60% - Accent4 47 2" xfId="15550" xr:uid="{370DF770-9E71-4603-B8D8-1CEF9C520CA9}"/>
    <cellStyle name="60% - Accent4 47 2 2" xfId="30961" xr:uid="{1E33AFE6-9180-4C30-BA3B-5028C59940A6}"/>
    <cellStyle name="60% - Accent4 47 2 2 2" xfId="50978" xr:uid="{E29B4C2F-EE7B-4398-8DC1-0C83DCE0952D}"/>
    <cellStyle name="60% - Accent4 47 2 3" xfId="50977" xr:uid="{2FD1F767-FAF6-4E41-9956-051488DEF973}"/>
    <cellStyle name="60% - Accent4 47 3" xfId="23256" xr:uid="{BDB97EEF-E2A5-459A-B203-F6ED3E0E6046}"/>
    <cellStyle name="60% - Accent4 47 3 2" xfId="50979" xr:uid="{F00A6645-81F8-499C-B775-D93894E5B139}"/>
    <cellStyle name="60% - Accent4 47 4" xfId="50976" xr:uid="{8C10A19B-3609-4C98-AD16-AB7542103DC3}"/>
    <cellStyle name="60% - Accent4 48" xfId="7862" xr:uid="{D8B46803-CFE6-4D30-B688-F73B5DFE9B37}"/>
    <cellStyle name="60% - Accent4 48 2" xfId="15570" xr:uid="{71C2F37B-9922-4F29-9475-13E5BED60920}"/>
    <cellStyle name="60% - Accent4 48 2 2" xfId="30981" xr:uid="{F7B245A5-3D07-4645-A984-3850DE138C94}"/>
    <cellStyle name="60% - Accent4 48 2 2 2" xfId="50982" xr:uid="{ABDE6370-3E15-4FF9-8B76-C1C0B75B0B0D}"/>
    <cellStyle name="60% - Accent4 48 2 3" xfId="50981" xr:uid="{94022A8B-D5CC-4FD8-85BD-40EF33C3FFAE}"/>
    <cellStyle name="60% - Accent4 48 3" xfId="23276" xr:uid="{401DE2AF-3E75-44B2-A30A-0783F46C69AB}"/>
    <cellStyle name="60% - Accent4 48 3 2" xfId="50983" xr:uid="{F2A017A4-F04B-4FF4-894C-5AEAF3969B87}"/>
    <cellStyle name="60% - Accent4 48 4" xfId="50980" xr:uid="{F6E1F540-15D4-4003-BEF0-5473F819E11F}"/>
    <cellStyle name="60% - Accent4 49" xfId="7915" xr:uid="{9E8D3B5A-4A2E-4B05-8749-3D50DDABF556}"/>
    <cellStyle name="60% - Accent4 49 2" xfId="23328" xr:uid="{C5628F8E-BFEC-4F6C-A4D6-9EDE7CD3B02E}"/>
    <cellStyle name="60% - Accent4 49 2 2" xfId="50985" xr:uid="{F0B328C0-BA37-43AA-8AA2-B31A69441FE0}"/>
    <cellStyle name="60% - Accent4 49 3" xfId="50984" xr:uid="{570BE66A-072B-45DD-A185-E2FD590CE2AE}"/>
    <cellStyle name="60% - Accent4 5" xfId="1624" xr:uid="{311272EA-F1D7-46A4-BE91-19993F552020}"/>
    <cellStyle name="60% - Accent4 5 2" xfId="5359" xr:uid="{E832DC54-A073-46AB-9973-52B97D6780EE}"/>
    <cellStyle name="60% - Accent4 5 2 2" xfId="13067" xr:uid="{52361443-4B8A-4D6E-A22A-44402DC7CFA9}"/>
    <cellStyle name="60% - Accent4 5 2 2 2" xfId="28479" xr:uid="{DFC35D47-B9D0-48FB-9D12-B64504788A8C}"/>
    <cellStyle name="60% - Accent4 5 2 2 2 2" xfId="50989" xr:uid="{1C6C061E-02B5-4429-B4F1-A1D26FF47562}"/>
    <cellStyle name="60% - Accent4 5 2 2 3" xfId="50988" xr:uid="{0A08D0D2-3FB7-4E30-B1EC-5A66EAA19B9D}"/>
    <cellStyle name="60% - Accent4 5 2 3" xfId="20774" xr:uid="{66B15C25-8A4D-4BFC-A059-740F7DB079A1}"/>
    <cellStyle name="60% - Accent4 5 2 3 2" xfId="50990" xr:uid="{79D7432C-EFC0-4B02-826F-02588DE94E22}"/>
    <cellStyle name="60% - Accent4 5 2 4" xfId="50987" xr:uid="{C078A9DE-6E71-4D92-A29F-8B46FB048C42}"/>
    <cellStyle name="60% - Accent4 5 3" xfId="9340" xr:uid="{9495494E-B369-40F6-B622-ED009753487B}"/>
    <cellStyle name="60% - Accent4 5 3 2" xfId="24753" xr:uid="{51A790EF-F626-4145-AD60-B6565A9DE142}"/>
    <cellStyle name="60% - Accent4 5 3 2 2" xfId="50992" xr:uid="{AF53E69F-24C1-4323-BAF1-C2497D8AC536}"/>
    <cellStyle name="60% - Accent4 5 3 3" xfId="50991" xr:uid="{510505BB-9E9E-4246-A5A1-9E208D635E6D}"/>
    <cellStyle name="60% - Accent4 5 4" xfId="17048" xr:uid="{BAC4DA74-188B-470C-A0FB-5B9E20D42022}"/>
    <cellStyle name="60% - Accent4 5 4 2" xfId="50993" xr:uid="{384B66E2-8100-4F0F-B1A5-95EBE1177B9B}"/>
    <cellStyle name="60% - Accent4 5 5" xfId="50986" xr:uid="{84C82F7B-BBAE-407A-8173-64F032534CD7}"/>
    <cellStyle name="60% - Accent4 50" xfId="15623" xr:uid="{F9DC89A4-B89C-405F-8F52-8AC7990A2061}"/>
    <cellStyle name="60% - Accent4 50 2" xfId="50994" xr:uid="{16567154-D0ED-451C-A092-D1AA99BB98F6}"/>
    <cellStyle name="60% - Accent4 51" xfId="31001" xr:uid="{B9E56A28-794F-4816-A4FA-AFE5C04A6035}"/>
    <cellStyle name="60% - Accent4 51 2" xfId="50995" xr:uid="{9576DC6E-A469-4DBB-82A5-14554647C530}"/>
    <cellStyle name="60% - Accent4 52" xfId="50634" xr:uid="{E2369433-B064-473C-8EFF-D4BEA0CC5829}"/>
    <cellStyle name="60% - Accent4 53" xfId="61981" xr:uid="{4E14665F-B5F4-4624-B8BC-4ED53C88D10E}"/>
    <cellStyle name="60% - Accent4 54" xfId="62001" xr:uid="{ECF7E364-39EA-4EB6-BDAC-F2BA42B23653}"/>
    <cellStyle name="60% - Accent4 55" xfId="62021" xr:uid="{C8E91AAE-B4AB-45DF-B235-039ECEB3B5A3}"/>
    <cellStyle name="60% - Accent4 56" xfId="62044" xr:uid="{2FE40852-DB6C-42A8-9F97-E23388296717}"/>
    <cellStyle name="60% - Accent4 57" xfId="62067" xr:uid="{E320446A-A1C9-4636-8819-C0EF6FEF8723}"/>
    <cellStyle name="60% - Accent4 58" xfId="62090" xr:uid="{61607925-D893-4ECE-ADE5-A9DD099DBCD5}"/>
    <cellStyle name="60% - Accent4 6" xfId="3307" xr:uid="{DFFFCEAC-7434-4AA4-AE43-C0D21A71655C}"/>
    <cellStyle name="60% - Accent4 6 2" xfId="7039" xr:uid="{A8E20154-7068-4AB6-AD27-979D45F30E5C}"/>
    <cellStyle name="60% - Accent4 6 2 2" xfId="14747" xr:uid="{2EFAFA5A-E0CF-48E1-9208-8EEEE68FB21A}"/>
    <cellStyle name="60% - Accent4 6 2 2 2" xfId="30159" xr:uid="{C1AB5BA7-3616-4A65-90A9-66D0C6F2C3BD}"/>
    <cellStyle name="60% - Accent4 6 2 2 2 2" xfId="50999" xr:uid="{F3D5CA6B-C3F7-457B-ABDE-19B5534FC68C}"/>
    <cellStyle name="60% - Accent4 6 2 2 3" xfId="50998" xr:uid="{E3F72ED1-323C-418E-BF5B-1EEFC84B20E6}"/>
    <cellStyle name="60% - Accent4 6 2 3" xfId="22454" xr:uid="{40033D52-7FA5-4897-99E1-66F7042A3E11}"/>
    <cellStyle name="60% - Accent4 6 2 3 2" xfId="51000" xr:uid="{FF8C34C2-8968-45AC-868A-4808F955A44E}"/>
    <cellStyle name="60% - Accent4 6 2 4" xfId="50997" xr:uid="{AEDF3757-97C2-4168-83E6-E17C643289ED}"/>
    <cellStyle name="60% - Accent4 6 3" xfId="11018" xr:uid="{C671B77A-7660-43B4-8730-A4294A25BB8B}"/>
    <cellStyle name="60% - Accent4 6 3 2" xfId="26431" xr:uid="{4A4B7146-2365-47AC-8385-B2C03A252988}"/>
    <cellStyle name="60% - Accent4 6 3 2 2" xfId="51002" xr:uid="{186C739F-F511-4D80-9904-579597E8B11D}"/>
    <cellStyle name="60% - Accent4 6 3 3" xfId="51001" xr:uid="{05DA9E6D-18F2-4F52-A849-A34AB5AC8E5B}"/>
    <cellStyle name="60% - Accent4 6 4" xfId="18726" xr:uid="{1291AF02-348E-452C-88AE-C00023CBC1CE}"/>
    <cellStyle name="60% - Accent4 6 4 2" xfId="51003" xr:uid="{C9C22FAE-54E6-4272-9980-740066613623}"/>
    <cellStyle name="60% - Accent4 6 5" xfId="50996" xr:uid="{BA482E62-7786-425A-A204-B220E529926B}"/>
    <cellStyle name="60% - Accent4 7" xfId="3327" xr:uid="{382A0F79-49C9-4620-99BE-F728BB21FFF1}"/>
    <cellStyle name="60% - Accent4 7 2" xfId="7059" xr:uid="{3F388D54-274E-47F4-B0BD-0854DCE42048}"/>
    <cellStyle name="60% - Accent4 7 2 2" xfId="14767" xr:uid="{EDA22B64-1672-468B-AC2E-788FF86D887B}"/>
    <cellStyle name="60% - Accent4 7 2 2 2" xfId="30179" xr:uid="{91323CF4-AF13-409F-AFAE-4167C45C3CBF}"/>
    <cellStyle name="60% - Accent4 7 2 2 2 2" xfId="51007" xr:uid="{9A2C50D3-5CE7-422F-9079-02B48D1FF8D3}"/>
    <cellStyle name="60% - Accent4 7 2 2 3" xfId="51006" xr:uid="{0EAE5E2C-7A7A-4EA2-B4E0-93E4DA932ED5}"/>
    <cellStyle name="60% - Accent4 7 2 3" xfId="22474" xr:uid="{BEBBC927-37EC-480C-9415-0F12E8D87B61}"/>
    <cellStyle name="60% - Accent4 7 2 3 2" xfId="51008" xr:uid="{291D9266-2E82-4818-9B46-5EF09ED7C338}"/>
    <cellStyle name="60% - Accent4 7 2 4" xfId="51005" xr:uid="{C6BBCF1D-4DCF-492E-91DE-E86EA06B69DC}"/>
    <cellStyle name="60% - Accent4 7 3" xfId="11038" xr:uid="{ADD477E7-4747-4664-BBF4-388B161828A6}"/>
    <cellStyle name="60% - Accent4 7 3 2" xfId="26451" xr:uid="{214920F4-CA2D-4080-B4B9-A9BFB477DB97}"/>
    <cellStyle name="60% - Accent4 7 3 2 2" xfId="51010" xr:uid="{44C6598A-D1E5-4141-9DBD-79D08AE6C17E}"/>
    <cellStyle name="60% - Accent4 7 3 3" xfId="51009" xr:uid="{50E79B5E-A463-42A3-8604-694DE400B063}"/>
    <cellStyle name="60% - Accent4 7 4" xfId="18746" xr:uid="{64DB4CC0-4A44-44A8-A03D-24D4453E9274}"/>
    <cellStyle name="60% - Accent4 7 4 2" xfId="51011" xr:uid="{A5DDCE4C-BA5D-48CD-A92B-1F1AD4A211E1}"/>
    <cellStyle name="60% - Accent4 7 5" xfId="51004" xr:uid="{01C4B85F-0946-41DB-8201-22AFE9219817}"/>
    <cellStyle name="60% - Accent4 8" xfId="3347" xr:uid="{913427A8-C7DC-47D1-B25B-859BF06AF4BA}"/>
    <cellStyle name="60% - Accent4 8 2" xfId="7079" xr:uid="{EEACD992-98FA-4DD7-ABA8-0E93063A4204}"/>
    <cellStyle name="60% - Accent4 8 2 2" xfId="14787" xr:uid="{719E2C44-3F45-4712-A9DD-237490C3DB6C}"/>
    <cellStyle name="60% - Accent4 8 2 2 2" xfId="30199" xr:uid="{1320C643-3B4C-46C4-B123-1C4287EB8DB2}"/>
    <cellStyle name="60% - Accent4 8 2 2 2 2" xfId="51015" xr:uid="{B2409862-1850-496C-9B41-AAFB4C30130F}"/>
    <cellStyle name="60% - Accent4 8 2 2 3" xfId="51014" xr:uid="{B43D19E8-03E9-4393-B53A-DC224BAA73D1}"/>
    <cellStyle name="60% - Accent4 8 2 3" xfId="22494" xr:uid="{737616C1-A2B6-4C98-86AA-DA569F8F4206}"/>
    <cellStyle name="60% - Accent4 8 2 3 2" xfId="51016" xr:uid="{2649C41A-D7BE-48DD-89DC-CA93027869BA}"/>
    <cellStyle name="60% - Accent4 8 2 4" xfId="51013" xr:uid="{2F9A4556-8DE2-4CC5-9029-7EBA9A1E9630}"/>
    <cellStyle name="60% - Accent4 8 3" xfId="11058" xr:uid="{025935EC-F931-45CD-9893-DBD9180BBEB9}"/>
    <cellStyle name="60% - Accent4 8 3 2" xfId="26471" xr:uid="{84C541B3-D945-47CA-B5E1-25C0D9291AEC}"/>
    <cellStyle name="60% - Accent4 8 3 2 2" xfId="51018" xr:uid="{2B47ED86-9EC6-42EE-9C25-2FA316D94033}"/>
    <cellStyle name="60% - Accent4 8 3 3" xfId="51017" xr:uid="{54AAEAE5-20A2-426F-8100-D667D5D804AD}"/>
    <cellStyle name="60% - Accent4 8 4" xfId="18766" xr:uid="{C8D81D4B-68D9-40D3-8E5B-DB509C0C4118}"/>
    <cellStyle name="60% - Accent4 8 4 2" xfId="51019" xr:uid="{E560DCE1-CBDA-4AAF-B464-410381FAC523}"/>
    <cellStyle name="60% - Accent4 8 5" xfId="51012" xr:uid="{17201BE8-0B1A-439C-8C63-5765F82FF25E}"/>
    <cellStyle name="60% - Accent4 9" xfId="3367" xr:uid="{F9EF0F9B-EB33-4156-B696-14372907C0B7}"/>
    <cellStyle name="60% - Accent4 9 2" xfId="7099" xr:uid="{40B881BF-122B-405E-AA3A-306F0E2422D5}"/>
    <cellStyle name="60% - Accent4 9 2 2" xfId="14807" xr:uid="{7C338CBE-E94E-46BA-82D0-F7C33AC98DF6}"/>
    <cellStyle name="60% - Accent4 9 2 2 2" xfId="30219" xr:uid="{F2BFBBB2-0CEE-41BD-961D-03830B6EBFA2}"/>
    <cellStyle name="60% - Accent4 9 2 2 2 2" xfId="51023" xr:uid="{2B35CC35-8606-449F-BBBC-B1E6B6A5D0D0}"/>
    <cellStyle name="60% - Accent4 9 2 2 3" xfId="51022" xr:uid="{4350AE37-C08D-43B8-A37B-02FFB32721AB}"/>
    <cellStyle name="60% - Accent4 9 2 3" xfId="22514" xr:uid="{A8DCC456-2D99-40C2-9495-A825EC43CAD2}"/>
    <cellStyle name="60% - Accent4 9 2 3 2" xfId="51024" xr:uid="{FCBE1519-2567-4973-BDB7-F53AF099C9A8}"/>
    <cellStyle name="60% - Accent4 9 2 4" xfId="51021" xr:uid="{4111D740-0B85-4775-BABE-7BB8CEA26078}"/>
    <cellStyle name="60% - Accent4 9 3" xfId="11078" xr:uid="{5A6BF7A4-85E2-4E1D-8174-95D771F2EBD0}"/>
    <cellStyle name="60% - Accent4 9 3 2" xfId="26491" xr:uid="{3E233CD5-58DE-4512-AC16-A196CF1C1E98}"/>
    <cellStyle name="60% - Accent4 9 3 2 2" xfId="51026" xr:uid="{CBD8392E-594A-4EC7-8E06-5EC2ADB64A19}"/>
    <cellStyle name="60% - Accent4 9 3 3" xfId="51025" xr:uid="{B8D5F1B0-020D-4678-8196-9D30920CCC70}"/>
    <cellStyle name="60% - Accent4 9 4" xfId="18786" xr:uid="{0C4518F9-5AF4-420C-BEDE-47086E42B8F7}"/>
    <cellStyle name="60% - Accent4 9 4 2" xfId="51027" xr:uid="{5F32311E-B760-4E6E-A14B-8ABAF0BD07E1}"/>
    <cellStyle name="60% - Accent4 9 5" xfId="51020" xr:uid="{46607C0B-97AB-4768-9D6B-09FE18A8AC5E}"/>
    <cellStyle name="60% - Accent5 10" xfId="3390" xr:uid="{FF5B4904-3216-4D69-8D36-8F9C636655E3}"/>
    <cellStyle name="60% - Accent5 10 2" xfId="7122" xr:uid="{67E51ADD-025F-4FAC-8A5D-62964B0FB5FD}"/>
    <cellStyle name="60% - Accent5 10 2 2" xfId="14830" xr:uid="{5DC5669F-72DB-466B-9BEA-A7CEDD65E26F}"/>
    <cellStyle name="60% - Accent5 10 2 2 2" xfId="30242" xr:uid="{5283C782-3431-41C8-8FA3-3466D9042E23}"/>
    <cellStyle name="60% - Accent5 10 2 2 2 2" xfId="51032" xr:uid="{626E97E3-213C-4126-8BE3-2CF0025B5448}"/>
    <cellStyle name="60% - Accent5 10 2 2 3" xfId="51031" xr:uid="{68381914-2EE7-41F7-84A6-202E20EA26A3}"/>
    <cellStyle name="60% - Accent5 10 2 3" xfId="22537" xr:uid="{01E57A12-E281-4135-B43E-562DD9D86AD0}"/>
    <cellStyle name="60% - Accent5 10 2 3 2" xfId="51033" xr:uid="{BFACD65F-9858-47A7-A29E-9D59096443FF}"/>
    <cellStyle name="60% - Accent5 10 2 4" xfId="51030" xr:uid="{F54C3249-F952-4513-98AF-7C41BB34AF2A}"/>
    <cellStyle name="60% - Accent5 10 3" xfId="11101" xr:uid="{FF36600B-52C6-4F4A-BF76-26B0DE6CA3F6}"/>
    <cellStyle name="60% - Accent5 10 3 2" xfId="26514" xr:uid="{46394F29-0638-422D-9A4B-09C98BDED173}"/>
    <cellStyle name="60% - Accent5 10 3 2 2" xfId="51035" xr:uid="{C7CF3EEF-1A64-44D7-A98A-AB8D9F519D5A}"/>
    <cellStyle name="60% - Accent5 10 3 3" xfId="51034" xr:uid="{0D8256F7-436F-4EEE-AF40-296A35F51446}"/>
    <cellStyle name="60% - Accent5 10 4" xfId="18809" xr:uid="{32E014DB-C339-46F4-BA4D-9A4891BAAB92}"/>
    <cellStyle name="60% - Accent5 10 4 2" xfId="51036" xr:uid="{50E1C77B-744F-4A1B-B6C3-9E60E0DC81B9}"/>
    <cellStyle name="60% - Accent5 10 5" xfId="51029" xr:uid="{882F22E1-77A6-49F9-B15C-B2126A68D2FC}"/>
    <cellStyle name="60% - Accent5 11" xfId="3410" xr:uid="{06ACF425-25CB-4570-8697-6356624E4DE8}"/>
    <cellStyle name="60% - Accent5 11 2" xfId="7142" xr:uid="{CF1B545F-8D95-484E-BCC3-B1A9251218F2}"/>
    <cellStyle name="60% - Accent5 11 2 2" xfId="14850" xr:uid="{B5F399E4-B7AE-4C95-9B2D-28532865FB7D}"/>
    <cellStyle name="60% - Accent5 11 2 2 2" xfId="30262" xr:uid="{1B21F423-DF34-42FA-B090-12F26763E3C2}"/>
    <cellStyle name="60% - Accent5 11 2 2 2 2" xfId="51040" xr:uid="{F85EADA0-EE1D-40B9-9609-20C87D34D8FB}"/>
    <cellStyle name="60% - Accent5 11 2 2 3" xfId="51039" xr:uid="{E24EFC69-D428-4570-B75F-C9B6FA51ED97}"/>
    <cellStyle name="60% - Accent5 11 2 3" xfId="22557" xr:uid="{9D11D54B-E097-4CD2-862E-0F28871960BE}"/>
    <cellStyle name="60% - Accent5 11 2 3 2" xfId="51041" xr:uid="{D00FB065-FD95-49EB-B69D-33C12D93EB9A}"/>
    <cellStyle name="60% - Accent5 11 2 4" xfId="51038" xr:uid="{C1DC0731-FB94-4724-9C20-9AB8C22E6881}"/>
    <cellStyle name="60% - Accent5 11 3" xfId="11121" xr:uid="{BDE8796C-85F1-4109-A937-59BCD6EC0128}"/>
    <cellStyle name="60% - Accent5 11 3 2" xfId="26534" xr:uid="{27AB7FE1-D86F-4782-BD27-2C7E245BCDC3}"/>
    <cellStyle name="60% - Accent5 11 3 2 2" xfId="51043" xr:uid="{FE477147-6E23-4223-A7F6-687ED4996C4A}"/>
    <cellStyle name="60% - Accent5 11 3 3" xfId="51042" xr:uid="{BC8C0CDB-F5B2-4A49-95B9-8289AD5C9DAF}"/>
    <cellStyle name="60% - Accent5 11 4" xfId="18829" xr:uid="{35AA34C9-2E07-4B48-9A38-1BA33F83FB81}"/>
    <cellStyle name="60% - Accent5 11 4 2" xfId="51044" xr:uid="{A4924A1C-0B59-4E37-95A6-ADA3E0A4DE40}"/>
    <cellStyle name="60% - Accent5 11 5" xfId="51037" xr:uid="{FC0F5DF1-BAB6-4301-B9E7-BB3373D3223C}"/>
    <cellStyle name="60% - Accent5 12" xfId="3430" xr:uid="{91989DAA-3775-4964-B57E-31A94C7A9C83}"/>
    <cellStyle name="60% - Accent5 12 2" xfId="7162" xr:uid="{3C32D415-725F-45EC-A991-63B2AFC0B661}"/>
    <cellStyle name="60% - Accent5 12 2 2" xfId="14870" xr:uid="{B45754CF-5472-43BB-83A8-AC2CA986C9EA}"/>
    <cellStyle name="60% - Accent5 12 2 2 2" xfId="30282" xr:uid="{DA562BF7-D76C-4EE3-9C3A-5FECBA0063A2}"/>
    <cellStyle name="60% - Accent5 12 2 2 2 2" xfId="51048" xr:uid="{6FB9A5A8-51B6-45AC-A715-9A0F54EBFCDB}"/>
    <cellStyle name="60% - Accent5 12 2 2 3" xfId="51047" xr:uid="{81428D9D-061C-4810-A535-170E6725901E}"/>
    <cellStyle name="60% - Accent5 12 2 3" xfId="22577" xr:uid="{3F6C29DD-6582-4286-BD7F-FBB217BA36F8}"/>
    <cellStyle name="60% - Accent5 12 2 3 2" xfId="51049" xr:uid="{6F9549F0-C78D-4A02-B46D-6B1DCFF896A5}"/>
    <cellStyle name="60% - Accent5 12 2 4" xfId="51046" xr:uid="{CE95140A-B8FB-4CE1-8601-3232B2F192C0}"/>
    <cellStyle name="60% - Accent5 12 3" xfId="11141" xr:uid="{313D3F53-CA0E-41C8-BE65-AC49537377EE}"/>
    <cellStyle name="60% - Accent5 12 3 2" xfId="26554" xr:uid="{F3A6D271-05A2-4B80-88D2-2D4B10154FA0}"/>
    <cellStyle name="60% - Accent5 12 3 2 2" xfId="51051" xr:uid="{8F945291-7048-4182-8157-DC1CFA8FB52B}"/>
    <cellStyle name="60% - Accent5 12 3 3" xfId="51050" xr:uid="{FF1AA03B-F13A-4CB4-B3CE-AD41321FFC5A}"/>
    <cellStyle name="60% - Accent5 12 4" xfId="18849" xr:uid="{768F5683-09DC-4D0D-92BF-5A54514BA23C}"/>
    <cellStyle name="60% - Accent5 12 4 2" xfId="51052" xr:uid="{89AFE0FB-3193-4B90-8EA7-7AEE2C7D3775}"/>
    <cellStyle name="60% - Accent5 12 5" xfId="51045" xr:uid="{95CD7CC0-7D96-42AC-A0C7-7C56C928AA94}"/>
    <cellStyle name="60% - Accent5 13" xfId="3450" xr:uid="{4AA7755F-9B3B-4D5E-9C28-4F92C901674D}"/>
    <cellStyle name="60% - Accent5 13 2" xfId="7182" xr:uid="{0D3513FA-0B3E-4614-B128-11970C2BC474}"/>
    <cellStyle name="60% - Accent5 13 2 2" xfId="14890" xr:uid="{FB60469A-14C9-4EB6-ABE2-8FDE8BEAD769}"/>
    <cellStyle name="60% - Accent5 13 2 2 2" xfId="30302" xr:uid="{61A8D9A2-E49B-4A62-8841-0BAE08DFB124}"/>
    <cellStyle name="60% - Accent5 13 2 2 2 2" xfId="51056" xr:uid="{8A102E02-AED1-48D5-8502-1BBA859B7999}"/>
    <cellStyle name="60% - Accent5 13 2 2 3" xfId="51055" xr:uid="{BE123D9F-70ED-43EE-A7BA-1CDEE100E849}"/>
    <cellStyle name="60% - Accent5 13 2 3" xfId="22597" xr:uid="{AD0CC10F-4033-49FE-905B-ED8A086443DF}"/>
    <cellStyle name="60% - Accent5 13 2 3 2" xfId="51057" xr:uid="{EA2E62C0-2D37-406B-BB85-3FAE8382477D}"/>
    <cellStyle name="60% - Accent5 13 2 4" xfId="51054" xr:uid="{9040B2BA-0C71-44B6-AC38-B44A64AE1C25}"/>
    <cellStyle name="60% - Accent5 13 3" xfId="11161" xr:uid="{93BE08B1-10A4-4D4F-8047-995214F46C71}"/>
    <cellStyle name="60% - Accent5 13 3 2" xfId="26574" xr:uid="{E93A532F-BAEC-4E17-8D06-3973691D3E64}"/>
    <cellStyle name="60% - Accent5 13 3 2 2" xfId="51059" xr:uid="{D1535407-2E0A-4610-9D0C-64A25F0004BB}"/>
    <cellStyle name="60% - Accent5 13 3 3" xfId="51058" xr:uid="{422F85A1-5BA7-4283-9C9B-824466074EBA}"/>
    <cellStyle name="60% - Accent5 13 4" xfId="18869" xr:uid="{BA8AA69C-DBD0-408D-BF69-758897062F84}"/>
    <cellStyle name="60% - Accent5 13 4 2" xfId="51060" xr:uid="{044202EB-668F-4105-92F3-FF36E682887D}"/>
    <cellStyle name="60% - Accent5 13 5" xfId="51053" xr:uid="{29137115-5D63-4243-8856-5D2136C22C9E}"/>
    <cellStyle name="60% - Accent5 14" xfId="3470" xr:uid="{D49CC40E-EE65-41C7-882E-988B2031D153}"/>
    <cellStyle name="60% - Accent5 14 2" xfId="7202" xr:uid="{7F447C3B-141D-4DDE-AB79-49A4B3A19AF4}"/>
    <cellStyle name="60% - Accent5 14 2 2" xfId="14910" xr:uid="{C1BE8ADD-068F-4F4D-830A-320923E90B9A}"/>
    <cellStyle name="60% - Accent5 14 2 2 2" xfId="30322" xr:uid="{3394CB10-4024-499A-8E54-AED9FAA5A74C}"/>
    <cellStyle name="60% - Accent5 14 2 2 2 2" xfId="51064" xr:uid="{3047EF49-46CB-4F04-A00B-A8B4EA1B36FA}"/>
    <cellStyle name="60% - Accent5 14 2 2 3" xfId="51063" xr:uid="{F893C201-1D92-44C3-84F5-DB5813433976}"/>
    <cellStyle name="60% - Accent5 14 2 3" xfId="22617" xr:uid="{06A1918D-1E30-4823-8C27-A50F10B41BA4}"/>
    <cellStyle name="60% - Accent5 14 2 3 2" xfId="51065" xr:uid="{478A4FE4-116E-41B7-B355-1DB2DFF5F1AD}"/>
    <cellStyle name="60% - Accent5 14 2 4" xfId="51062" xr:uid="{BC03071D-642C-4CEA-BA7E-7A6622AAE408}"/>
    <cellStyle name="60% - Accent5 14 3" xfId="11181" xr:uid="{FC2DBC2B-6CAF-4BE6-A0C2-76F3DF6FD372}"/>
    <cellStyle name="60% - Accent5 14 3 2" xfId="26594" xr:uid="{265D1429-E7A6-401F-A38D-B60E8C552FE8}"/>
    <cellStyle name="60% - Accent5 14 3 2 2" xfId="51067" xr:uid="{C154AA2D-42DA-4A69-BF46-119B06E7398C}"/>
    <cellStyle name="60% - Accent5 14 3 3" xfId="51066" xr:uid="{052DDFD9-DEDD-44C1-83C6-0597A6E7B4C5}"/>
    <cellStyle name="60% - Accent5 14 4" xfId="18889" xr:uid="{51DC074B-BCD9-45D4-867E-756F34CFD48D}"/>
    <cellStyle name="60% - Accent5 14 4 2" xfId="51068" xr:uid="{FEDB8781-4E51-41D5-A453-7F7CD89606D6}"/>
    <cellStyle name="60% - Accent5 14 5" xfId="51061" xr:uid="{310F3580-B70E-4A49-A55F-7E90D017F5CA}"/>
    <cellStyle name="60% - Accent5 15" xfId="3490" xr:uid="{D8431F10-1648-4B13-A844-D174137D1B88}"/>
    <cellStyle name="60% - Accent5 15 2" xfId="7222" xr:uid="{E23DB658-8293-4A0E-8359-315EAE934D0D}"/>
    <cellStyle name="60% - Accent5 15 2 2" xfId="14930" xr:uid="{E9E930CC-A3B1-458B-BB7A-63B005128835}"/>
    <cellStyle name="60% - Accent5 15 2 2 2" xfId="30342" xr:uid="{11B27143-BA16-4EDE-A71F-C9F1B3595C6F}"/>
    <cellStyle name="60% - Accent5 15 2 2 2 2" xfId="51072" xr:uid="{B81BFBC6-BABB-4AB9-A0AA-0C7E0E7FFC1A}"/>
    <cellStyle name="60% - Accent5 15 2 2 3" xfId="51071" xr:uid="{B2B9748A-9884-4ACE-B8B1-2AF301AD7F6D}"/>
    <cellStyle name="60% - Accent5 15 2 3" xfId="22637" xr:uid="{1459DDC5-32C4-4F8E-BB8D-9D9982420CEB}"/>
    <cellStyle name="60% - Accent5 15 2 3 2" xfId="51073" xr:uid="{0060F5AD-7BC7-4DA3-A387-72E183DB96CB}"/>
    <cellStyle name="60% - Accent5 15 2 4" xfId="51070" xr:uid="{81AD809E-96DF-4759-BA28-6DF79F101E9B}"/>
    <cellStyle name="60% - Accent5 15 3" xfId="11201" xr:uid="{7050E6E2-4101-4C56-AB56-F59CC859D81A}"/>
    <cellStyle name="60% - Accent5 15 3 2" xfId="26614" xr:uid="{355F75BE-C76E-46FD-8E46-5F24C179FE2A}"/>
    <cellStyle name="60% - Accent5 15 3 2 2" xfId="51075" xr:uid="{AC8E435E-0291-4965-AB46-2D4BE04BEAA9}"/>
    <cellStyle name="60% - Accent5 15 3 3" xfId="51074" xr:uid="{86F699F1-F993-4E87-8D4C-848FC23D69AA}"/>
    <cellStyle name="60% - Accent5 15 4" xfId="18909" xr:uid="{F75A9E4B-C03E-4895-927B-C524B68C6EE5}"/>
    <cellStyle name="60% - Accent5 15 4 2" xfId="51076" xr:uid="{FF5849A8-99A0-4163-A614-CA4CBF060FCC}"/>
    <cellStyle name="60% - Accent5 15 5" xfId="51069" xr:uid="{3395A565-FDC1-4CB7-8258-F81C89989A63}"/>
    <cellStyle name="60% - Accent5 16" xfId="3510" xr:uid="{CA457FDC-1DE9-4D4F-8114-EA03FBC929B7}"/>
    <cellStyle name="60% - Accent5 16 2" xfId="7242" xr:uid="{AA69A9BC-CDDE-4EE5-96B5-647A63B8D6E2}"/>
    <cellStyle name="60% - Accent5 16 2 2" xfId="14950" xr:uid="{3691F8E9-5873-489B-8E5C-2D617C32D8BE}"/>
    <cellStyle name="60% - Accent5 16 2 2 2" xfId="30362" xr:uid="{49E0AB8F-9D6D-480C-A5CB-6AE2E3D4281D}"/>
    <cellStyle name="60% - Accent5 16 2 2 2 2" xfId="51080" xr:uid="{49745CA9-6B0F-4538-B0F8-9846EF8F9A1B}"/>
    <cellStyle name="60% - Accent5 16 2 2 3" xfId="51079" xr:uid="{317C277F-974A-4595-899D-76E3A135254D}"/>
    <cellStyle name="60% - Accent5 16 2 3" xfId="22657" xr:uid="{A31C1364-3303-40FE-A8FF-58E9DBDA1133}"/>
    <cellStyle name="60% - Accent5 16 2 3 2" xfId="51081" xr:uid="{62C14602-F8D3-45AF-9566-7BF011A2DA6A}"/>
    <cellStyle name="60% - Accent5 16 2 4" xfId="51078" xr:uid="{BBB60AE6-EE7D-4906-8404-1C937C329B7E}"/>
    <cellStyle name="60% - Accent5 16 3" xfId="11221" xr:uid="{FDA84BF5-BBDA-4EEA-BFBB-1D365AF27AEE}"/>
    <cellStyle name="60% - Accent5 16 3 2" xfId="26634" xr:uid="{89033177-2A1F-418F-9258-9EA4B9D15528}"/>
    <cellStyle name="60% - Accent5 16 3 2 2" xfId="51083" xr:uid="{E54519E2-650E-4CF5-9C1B-4786B4EAEFA2}"/>
    <cellStyle name="60% - Accent5 16 3 3" xfId="51082" xr:uid="{D096A66A-AB3A-478A-9A2A-650F84536E79}"/>
    <cellStyle name="60% - Accent5 16 4" xfId="18929" xr:uid="{1479FB38-01A8-4FC3-987F-5CE23147060B}"/>
    <cellStyle name="60% - Accent5 16 4 2" xfId="51084" xr:uid="{6739F6D7-7A8D-4C4E-9FCE-DBB0824B041B}"/>
    <cellStyle name="60% - Accent5 16 5" xfId="51077" xr:uid="{EE2E7F16-DA4B-4898-9AB1-86F7B16E039E}"/>
    <cellStyle name="60% - Accent5 17" xfId="3530" xr:uid="{2775ED86-6254-40D2-82CA-864B2CDB4F17}"/>
    <cellStyle name="60% - Accent5 17 2" xfId="7262" xr:uid="{FCD0B8BC-5B1C-40B1-B77C-F3EB01A5C1EA}"/>
    <cellStyle name="60% - Accent5 17 2 2" xfId="14970" xr:uid="{C8919082-04EB-4B1F-8B92-43B140A02E00}"/>
    <cellStyle name="60% - Accent5 17 2 2 2" xfId="30382" xr:uid="{3C2B6F1E-C30F-406A-809D-23CB40388EE7}"/>
    <cellStyle name="60% - Accent5 17 2 2 2 2" xfId="51088" xr:uid="{8D5AAE1A-4180-4367-A524-1E26859C1973}"/>
    <cellStyle name="60% - Accent5 17 2 2 3" xfId="51087" xr:uid="{19799ED8-8224-4691-8F56-D3C370FB317E}"/>
    <cellStyle name="60% - Accent5 17 2 3" xfId="22677" xr:uid="{C90917CF-FCD2-47D8-8325-21AB2D3572AF}"/>
    <cellStyle name="60% - Accent5 17 2 3 2" xfId="51089" xr:uid="{5CE550A8-7499-4FF1-9C91-441BD1578636}"/>
    <cellStyle name="60% - Accent5 17 2 4" xfId="51086" xr:uid="{A10C35E4-8489-470D-9547-C55814A3E6C5}"/>
    <cellStyle name="60% - Accent5 17 3" xfId="11241" xr:uid="{7A748BE0-D410-4854-80BF-C36A6D275193}"/>
    <cellStyle name="60% - Accent5 17 3 2" xfId="26654" xr:uid="{1547F61E-DE1C-4EB5-B6F5-EBA75B764D22}"/>
    <cellStyle name="60% - Accent5 17 3 2 2" xfId="51091" xr:uid="{42667F37-11EC-4908-860D-319785B9784C}"/>
    <cellStyle name="60% - Accent5 17 3 3" xfId="51090" xr:uid="{4700AB42-D87E-4019-A387-D8D2BBFEB344}"/>
    <cellStyle name="60% - Accent5 17 4" xfId="18949" xr:uid="{A92A8DC6-A5E2-4E45-B2F9-CE4FD860422B}"/>
    <cellStyle name="60% - Accent5 17 4 2" xfId="51092" xr:uid="{F904502C-1939-4A66-9B95-443DB21C5114}"/>
    <cellStyle name="60% - Accent5 17 5" xfId="51085" xr:uid="{DE587735-1B68-4217-A81F-92FD9C4948DB}"/>
    <cellStyle name="60% - Accent5 18" xfId="3550" xr:uid="{296AE84B-3A9E-4059-9219-82E0F2D71926}"/>
    <cellStyle name="60% - Accent5 18 2" xfId="7282" xr:uid="{1632A27E-20EA-417F-9313-78FC700AE572}"/>
    <cellStyle name="60% - Accent5 18 2 2" xfId="14990" xr:uid="{64CECFA9-67E3-46B7-A404-136C8F3E7A4F}"/>
    <cellStyle name="60% - Accent5 18 2 2 2" xfId="30402" xr:uid="{2858F563-B462-47DD-BF99-7E6423A20056}"/>
    <cellStyle name="60% - Accent5 18 2 2 2 2" xfId="51096" xr:uid="{70219E8B-5B71-414C-AB8E-6A738EE64D0E}"/>
    <cellStyle name="60% - Accent5 18 2 2 3" xfId="51095" xr:uid="{F4307A8D-BC13-479A-85D6-F0C625321523}"/>
    <cellStyle name="60% - Accent5 18 2 3" xfId="22697" xr:uid="{238B77DC-67C9-4397-B928-53BBED0F2975}"/>
    <cellStyle name="60% - Accent5 18 2 3 2" xfId="51097" xr:uid="{DA42C451-4C0E-4D57-B935-1A39460A3390}"/>
    <cellStyle name="60% - Accent5 18 2 4" xfId="51094" xr:uid="{61E4F409-EBE9-4189-BBBE-0DCC0CFAD649}"/>
    <cellStyle name="60% - Accent5 18 3" xfId="11261" xr:uid="{F1C0274B-55D4-446E-8E1D-585D97709794}"/>
    <cellStyle name="60% - Accent5 18 3 2" xfId="26674" xr:uid="{294DA7B9-A17F-468A-905F-5FCFFBA92B49}"/>
    <cellStyle name="60% - Accent5 18 3 2 2" xfId="51099" xr:uid="{39F30299-FF68-452C-8A2A-05365CE6E5EF}"/>
    <cellStyle name="60% - Accent5 18 3 3" xfId="51098" xr:uid="{FC39316C-92CC-4360-B37A-F8F1BA04B528}"/>
    <cellStyle name="60% - Accent5 18 4" xfId="18969" xr:uid="{E375C6B1-1159-45DB-8D94-4398242BAAC4}"/>
    <cellStyle name="60% - Accent5 18 4 2" xfId="51100" xr:uid="{C565454F-B392-4F07-8094-D67B68C1B13D}"/>
    <cellStyle name="60% - Accent5 18 5" xfId="51093" xr:uid="{A3EBD9F5-1707-4CCA-986B-06AB96ED2B6D}"/>
    <cellStyle name="60% - Accent5 19" xfId="3570" xr:uid="{2E2A0BEC-32BD-47DA-B660-349DA5D76477}"/>
    <cellStyle name="60% - Accent5 19 2" xfId="7302" xr:uid="{DC681543-C09D-4524-A501-5B7E898F86AD}"/>
    <cellStyle name="60% - Accent5 19 2 2" xfId="15010" xr:uid="{260B6FE6-21F6-449C-B83A-78AFE29BAA85}"/>
    <cellStyle name="60% - Accent5 19 2 2 2" xfId="30422" xr:uid="{2E9FC8EC-FA9A-48A4-B7B0-6040847F48CC}"/>
    <cellStyle name="60% - Accent5 19 2 2 2 2" xfId="51104" xr:uid="{FD07DE93-0A20-4021-AB14-1B158470CDB9}"/>
    <cellStyle name="60% - Accent5 19 2 2 3" xfId="51103" xr:uid="{D1914793-676C-4EA5-94CD-F248FFF0C7DF}"/>
    <cellStyle name="60% - Accent5 19 2 3" xfId="22717" xr:uid="{63267C8E-3B9F-4826-81CC-6826876A5AD6}"/>
    <cellStyle name="60% - Accent5 19 2 3 2" xfId="51105" xr:uid="{E70A12A0-4968-4D84-B115-B193153A615A}"/>
    <cellStyle name="60% - Accent5 19 2 4" xfId="51102" xr:uid="{687B255E-B925-47C6-BCF5-D2D86F5287F9}"/>
    <cellStyle name="60% - Accent5 19 3" xfId="11281" xr:uid="{DE2C0FF6-0F52-4604-A213-992AE7A1026C}"/>
    <cellStyle name="60% - Accent5 19 3 2" xfId="26694" xr:uid="{6E9F3CAA-DAD1-429C-BF41-F329F3F116C8}"/>
    <cellStyle name="60% - Accent5 19 3 2 2" xfId="51107" xr:uid="{F6D3C5CA-92C8-4C20-8909-9B93CA49510F}"/>
    <cellStyle name="60% - Accent5 19 3 3" xfId="51106" xr:uid="{CE70E766-A15D-4956-91EC-05834C5BE49B}"/>
    <cellStyle name="60% - Accent5 19 4" xfId="18989" xr:uid="{53359320-AD47-4404-816A-428801B4F4FB}"/>
    <cellStyle name="60% - Accent5 19 4 2" xfId="51108" xr:uid="{099F7661-610C-4CDF-974A-B6A60D72D670}"/>
    <cellStyle name="60% - Accent5 19 5" xfId="51101" xr:uid="{5DDAE954-12F0-4C9B-837A-811B3A7EDB2D}"/>
    <cellStyle name="60% - Accent5 2" xfId="91" xr:uid="{D2E8ADDE-C3AA-40E3-BE9D-FA2B7C447F9E}"/>
    <cellStyle name="60% - Accent5 2 2" xfId="51109" xr:uid="{695E0115-C549-4B6A-8F5D-86184FC7E783}"/>
    <cellStyle name="60% - Accent5 20" xfId="3591" xr:uid="{CDED8C55-96E2-4B5B-B52B-4BBFEE0FC3A0}"/>
    <cellStyle name="60% - Accent5 20 2" xfId="7322" xr:uid="{B48A33EF-3793-4C2D-B098-6EF3F5E372B2}"/>
    <cellStyle name="60% - Accent5 20 2 2" xfId="15030" xr:uid="{0CFAE5AF-41D4-467F-8B02-16A980EB0EAD}"/>
    <cellStyle name="60% - Accent5 20 2 2 2" xfId="30442" xr:uid="{122B629C-2ED7-49D8-807B-300E99803AE6}"/>
    <cellStyle name="60% - Accent5 20 2 2 2 2" xfId="51113" xr:uid="{739089D2-80B8-457B-B407-721D251F9679}"/>
    <cellStyle name="60% - Accent5 20 2 2 3" xfId="51112" xr:uid="{C896E9D4-F3EA-4ABE-8600-794E6CE3DBC5}"/>
    <cellStyle name="60% - Accent5 20 2 3" xfId="22737" xr:uid="{21D8F05E-BFB9-4D86-960A-2AF9B07AC1BB}"/>
    <cellStyle name="60% - Accent5 20 2 3 2" xfId="51114" xr:uid="{A8F1A836-DB8C-4760-8471-5BA61133E848}"/>
    <cellStyle name="60% - Accent5 20 2 4" xfId="51111" xr:uid="{5E3089B1-446F-4E80-AEDE-A30579940AF5}"/>
    <cellStyle name="60% - Accent5 20 3" xfId="11301" xr:uid="{118C6D1D-677C-4411-9C54-7DE2A344D657}"/>
    <cellStyle name="60% - Accent5 20 3 2" xfId="26714" xr:uid="{9BEF59F2-73E8-45A3-B9F6-FA7625D73213}"/>
    <cellStyle name="60% - Accent5 20 3 2 2" xfId="51116" xr:uid="{8E1768FC-891B-47E7-8105-DF303E429EB3}"/>
    <cellStyle name="60% - Accent5 20 3 3" xfId="51115" xr:uid="{B42D1DFC-7957-4A01-8D95-349F08B04E3F}"/>
    <cellStyle name="60% - Accent5 20 4" xfId="19009" xr:uid="{CC7D0940-85EB-4FFF-8C5F-63C48B70625A}"/>
    <cellStyle name="60% - Accent5 20 4 2" xfId="51117" xr:uid="{41961266-9178-40EF-A038-E57A3CEB98E2}"/>
    <cellStyle name="60% - Accent5 20 5" xfId="51110" xr:uid="{0B7E8404-6E21-4E41-A8FA-567B3C746FF7}"/>
    <cellStyle name="60% - Accent5 21" xfId="3611" xr:uid="{9C378823-8514-446D-9CDA-0170A21B0314}"/>
    <cellStyle name="60% - Accent5 21 2" xfId="7342" xr:uid="{220645EE-3693-4ACB-9AC6-42D79A2C2454}"/>
    <cellStyle name="60% - Accent5 21 2 2" xfId="15050" xr:uid="{4CECEFA7-0C3E-4000-8E2D-990DF7BBB35F}"/>
    <cellStyle name="60% - Accent5 21 2 2 2" xfId="30462" xr:uid="{23503978-6328-4BAD-893A-3CF28E314CA0}"/>
    <cellStyle name="60% - Accent5 21 2 2 2 2" xfId="51121" xr:uid="{26E925C7-97CE-4178-8A17-7F95A3ACB6CA}"/>
    <cellStyle name="60% - Accent5 21 2 2 3" xfId="51120" xr:uid="{FFB22530-137B-4900-BFBD-5210E38F988B}"/>
    <cellStyle name="60% - Accent5 21 2 3" xfId="22757" xr:uid="{D7F9BDB3-3A74-4E45-8312-2DED8A25BBE1}"/>
    <cellStyle name="60% - Accent5 21 2 3 2" xfId="51122" xr:uid="{15167859-123E-449B-A193-2728DFA69AB9}"/>
    <cellStyle name="60% - Accent5 21 2 4" xfId="51119" xr:uid="{E880B6E2-F002-49D5-A0E5-87D05DBA5032}"/>
    <cellStyle name="60% - Accent5 21 3" xfId="11321" xr:uid="{B3A1B4E0-DAD8-4D3A-98F3-C44F5069CC20}"/>
    <cellStyle name="60% - Accent5 21 3 2" xfId="26734" xr:uid="{A1E4D9EC-B7D0-4AB1-938B-315642C563C4}"/>
    <cellStyle name="60% - Accent5 21 3 2 2" xfId="51124" xr:uid="{AA57F0A9-93DB-4D96-ADB3-87A79AF0D6AE}"/>
    <cellStyle name="60% - Accent5 21 3 3" xfId="51123" xr:uid="{4DDFC04B-2B0E-4C95-AF06-4784C2F90879}"/>
    <cellStyle name="60% - Accent5 21 4" xfId="19029" xr:uid="{DCE62A3B-A98F-4F1D-9170-4031C78AE8BA}"/>
    <cellStyle name="60% - Accent5 21 4 2" xfId="51125" xr:uid="{FAB93544-B8C5-42E3-B659-65900C900D7D}"/>
    <cellStyle name="60% - Accent5 21 5" xfId="51118" xr:uid="{F1ACE66A-6419-4258-8ED5-5F32B0BAD10F}"/>
    <cellStyle name="60% - Accent5 22" xfId="3631" xr:uid="{F31CFB5B-7FC5-493C-8367-3FD1765E819B}"/>
    <cellStyle name="60% - Accent5 22 2" xfId="7362" xr:uid="{2902E452-8274-4DC5-9CE5-6983B5FE704F}"/>
    <cellStyle name="60% - Accent5 22 2 2" xfId="15070" xr:uid="{EEB2EEAE-50B1-4028-801C-D31182AFAB3D}"/>
    <cellStyle name="60% - Accent5 22 2 2 2" xfId="30482" xr:uid="{CB73704E-A46F-4707-9425-2D2AA64D1260}"/>
    <cellStyle name="60% - Accent5 22 2 2 2 2" xfId="51129" xr:uid="{BC065C4F-A36F-4F3F-A618-1D2F83E14822}"/>
    <cellStyle name="60% - Accent5 22 2 2 3" xfId="51128" xr:uid="{ED62A7E7-2014-417D-8D2F-A2B40351DE40}"/>
    <cellStyle name="60% - Accent5 22 2 3" xfId="22777" xr:uid="{D6F33E78-A636-403A-87DE-7FC17C653665}"/>
    <cellStyle name="60% - Accent5 22 2 3 2" xfId="51130" xr:uid="{BE07F7E4-812E-4312-8DA3-AFD757D94F13}"/>
    <cellStyle name="60% - Accent5 22 2 4" xfId="51127" xr:uid="{E885AD53-63B5-448C-B707-A937628CC1E2}"/>
    <cellStyle name="60% - Accent5 22 3" xfId="11341" xr:uid="{7E50E684-499D-4BCA-8F09-A9D5113E4E43}"/>
    <cellStyle name="60% - Accent5 22 3 2" xfId="26754" xr:uid="{37273C38-52B2-4582-B8AB-6C2B42EEA54C}"/>
    <cellStyle name="60% - Accent5 22 3 2 2" xfId="51132" xr:uid="{087697D4-47EC-4385-A0FB-D8FE4C8A6431}"/>
    <cellStyle name="60% - Accent5 22 3 3" xfId="51131" xr:uid="{128D6D35-BD51-45FB-815A-FBAD13B0B3EC}"/>
    <cellStyle name="60% - Accent5 22 4" xfId="19049" xr:uid="{D2AD528B-8F47-49DD-987C-389E1FB92EFE}"/>
    <cellStyle name="60% - Accent5 22 4 2" xfId="51133" xr:uid="{4F495F6E-8FDC-44E2-B489-F9F18EA88BDB}"/>
    <cellStyle name="60% - Accent5 22 5" xfId="51126" xr:uid="{5B63A589-90CD-41EF-8866-621F1592804F}"/>
    <cellStyle name="60% - Accent5 23" xfId="3651" xr:uid="{0B7F96F1-0A88-4AE5-84B2-D811B06ADBFE}"/>
    <cellStyle name="60% - Accent5 23 2" xfId="7382" xr:uid="{9C60C8EB-9C15-4CE5-87C9-12709E6D7C3D}"/>
    <cellStyle name="60% - Accent5 23 2 2" xfId="15090" xr:uid="{BC55C348-83DD-4174-A276-2F79088C57F5}"/>
    <cellStyle name="60% - Accent5 23 2 2 2" xfId="30502" xr:uid="{93F064A3-2A70-4F61-B9E7-8111BDDB06D5}"/>
    <cellStyle name="60% - Accent5 23 2 2 2 2" xfId="51137" xr:uid="{E288D08F-B9E4-45D4-93AB-2C810C64DF14}"/>
    <cellStyle name="60% - Accent5 23 2 2 3" xfId="51136" xr:uid="{768F07F4-29A9-4447-8682-885ABF736042}"/>
    <cellStyle name="60% - Accent5 23 2 3" xfId="22797" xr:uid="{12522A7A-8C8C-4465-85EA-72F6573A2EC9}"/>
    <cellStyle name="60% - Accent5 23 2 3 2" xfId="51138" xr:uid="{B29CAA19-381B-4E92-A5CF-ED7E9D93D495}"/>
    <cellStyle name="60% - Accent5 23 2 4" xfId="51135" xr:uid="{148F065C-96C4-47BD-A3E5-1AA7544F715F}"/>
    <cellStyle name="60% - Accent5 23 3" xfId="11361" xr:uid="{D5643430-7C5E-4A8F-A544-9D9C1BE5433C}"/>
    <cellStyle name="60% - Accent5 23 3 2" xfId="26774" xr:uid="{8F94A637-9FF7-4123-8020-15BA3A636ED1}"/>
    <cellStyle name="60% - Accent5 23 3 2 2" xfId="51140" xr:uid="{C71BFEF1-1547-4B7F-A420-0FE51D27741A}"/>
    <cellStyle name="60% - Accent5 23 3 3" xfId="51139" xr:uid="{FFF01654-35AC-43EB-B7BC-FCC787ADB0D5}"/>
    <cellStyle name="60% - Accent5 23 4" xfId="19069" xr:uid="{C986D3A3-3C3E-41CE-A156-E08C420D3319}"/>
    <cellStyle name="60% - Accent5 23 4 2" xfId="51141" xr:uid="{13145720-DF6B-42A2-B3CD-AF9C411E51E3}"/>
    <cellStyle name="60% - Accent5 23 5" xfId="51134" xr:uid="{E57ED726-5B65-4C96-B698-71CD5C027BC5}"/>
    <cellStyle name="60% - Accent5 24" xfId="3671" xr:uid="{85041540-E62A-4063-888D-DA8E56415111}"/>
    <cellStyle name="60% - Accent5 24 2" xfId="7402" xr:uid="{2BEC2FC4-FB06-47DB-9212-814C099FD7E3}"/>
    <cellStyle name="60% - Accent5 24 2 2" xfId="15110" xr:uid="{B2FCC534-EE49-47B8-9810-21C69AF8A8F3}"/>
    <cellStyle name="60% - Accent5 24 2 2 2" xfId="30522" xr:uid="{0291E6FD-2E11-4A77-AB5C-9F2EE5292AD1}"/>
    <cellStyle name="60% - Accent5 24 2 2 2 2" xfId="51145" xr:uid="{183219EF-89C9-49B6-BE23-C5B86B7EDAB1}"/>
    <cellStyle name="60% - Accent5 24 2 2 3" xfId="51144" xr:uid="{4CB74739-C6C6-4BB1-B2D3-E334CFA3C8A2}"/>
    <cellStyle name="60% - Accent5 24 2 3" xfId="22817" xr:uid="{C1DE4F90-115E-4BE4-838C-9FC853C701AF}"/>
    <cellStyle name="60% - Accent5 24 2 3 2" xfId="51146" xr:uid="{3259EF4B-CDF3-4550-AC1C-7D268F9C8A95}"/>
    <cellStyle name="60% - Accent5 24 2 4" xfId="51143" xr:uid="{F1D3CF83-AD30-4190-ABB1-2753CCBE281E}"/>
    <cellStyle name="60% - Accent5 24 3" xfId="11381" xr:uid="{139B1D67-59CA-48C3-AAD8-F5A9D7294139}"/>
    <cellStyle name="60% - Accent5 24 3 2" xfId="26794" xr:uid="{56566039-8806-4F1A-850B-C0CED995D396}"/>
    <cellStyle name="60% - Accent5 24 3 2 2" xfId="51148" xr:uid="{529623CF-3D55-4355-BA63-4CCA73507F09}"/>
    <cellStyle name="60% - Accent5 24 3 3" xfId="51147" xr:uid="{32BFC393-BC24-483F-B5E9-427989239B23}"/>
    <cellStyle name="60% - Accent5 24 4" xfId="19089" xr:uid="{BE284337-CD7F-41DA-9D36-FAA57D19120F}"/>
    <cellStyle name="60% - Accent5 24 4 2" xfId="51149" xr:uid="{CCE8E4D1-64A2-426F-AB53-5132237514EC}"/>
    <cellStyle name="60% - Accent5 24 5" xfId="51142" xr:uid="{17015C6F-675F-42EE-9625-E964C01A91BE}"/>
    <cellStyle name="60% - Accent5 25" xfId="3691" xr:uid="{CF466D3E-99BB-4E03-A815-E173B49ACC4A}"/>
    <cellStyle name="60% - Accent5 25 2" xfId="7422" xr:uid="{84862578-E5DB-4610-83AC-7D82F8AD88ED}"/>
    <cellStyle name="60% - Accent5 25 2 2" xfId="15130" xr:uid="{8308B708-F69D-4557-B2F8-7091F8343980}"/>
    <cellStyle name="60% - Accent5 25 2 2 2" xfId="30542" xr:uid="{8112023C-3BE4-4E27-91C8-206F4143B5B8}"/>
    <cellStyle name="60% - Accent5 25 2 2 2 2" xfId="51153" xr:uid="{76DF8821-EBD8-4667-9189-A496D611149D}"/>
    <cellStyle name="60% - Accent5 25 2 2 3" xfId="51152" xr:uid="{75B85239-1F7F-4BCD-82B6-A55D76DD273C}"/>
    <cellStyle name="60% - Accent5 25 2 3" xfId="22837" xr:uid="{0C004DC8-5203-4E39-B88F-15F7939BC329}"/>
    <cellStyle name="60% - Accent5 25 2 3 2" xfId="51154" xr:uid="{24261B9F-95D4-4C8B-B8E5-B5DDF3417F03}"/>
    <cellStyle name="60% - Accent5 25 2 4" xfId="51151" xr:uid="{EA11C72D-4604-44E8-9C67-5A22492FE8DF}"/>
    <cellStyle name="60% - Accent5 25 3" xfId="11401" xr:uid="{512F604E-2A36-4E40-A25C-26EEA641A216}"/>
    <cellStyle name="60% - Accent5 25 3 2" xfId="26814" xr:uid="{BE95D763-1D84-4C47-ADBD-508EAEBCCED5}"/>
    <cellStyle name="60% - Accent5 25 3 2 2" xfId="51156" xr:uid="{871E8F9D-D762-4C93-8AB3-C1D376B81B62}"/>
    <cellStyle name="60% - Accent5 25 3 3" xfId="51155" xr:uid="{08A413E6-E1B2-4E3F-AB3A-2421BD54F5EC}"/>
    <cellStyle name="60% - Accent5 25 4" xfId="19109" xr:uid="{E87F36B8-90A6-4180-BAF2-64ABFA36BE61}"/>
    <cellStyle name="60% - Accent5 25 4 2" xfId="51157" xr:uid="{FA3E76ED-7B3F-4ECB-A838-6642A5D9D7F5}"/>
    <cellStyle name="60% - Accent5 25 5" xfId="51150" xr:uid="{5D623C66-0344-4159-80AA-6ED11510046B}"/>
    <cellStyle name="60% - Accent5 26" xfId="3711" xr:uid="{7262C42D-7770-4ED7-842C-CB948CFD88EE}"/>
    <cellStyle name="60% - Accent5 26 2" xfId="7442" xr:uid="{85E0E8DB-BB79-469C-A9CF-6FFBDBD58B54}"/>
    <cellStyle name="60% - Accent5 26 2 2" xfId="15150" xr:uid="{CC3DF810-C0D8-4C1F-91E4-26AFC804A853}"/>
    <cellStyle name="60% - Accent5 26 2 2 2" xfId="30562" xr:uid="{9E973F14-B5B3-4FA6-93F7-7AF2CE577493}"/>
    <cellStyle name="60% - Accent5 26 2 2 2 2" xfId="51161" xr:uid="{0660A997-4E11-48D5-BF68-CE67B644694D}"/>
    <cellStyle name="60% - Accent5 26 2 2 3" xfId="51160" xr:uid="{8B22F257-872C-47A9-8B13-315868DC77B6}"/>
    <cellStyle name="60% - Accent5 26 2 3" xfId="22857" xr:uid="{E85364D2-0B5B-431A-90E5-7234CA1B80E9}"/>
    <cellStyle name="60% - Accent5 26 2 3 2" xfId="51162" xr:uid="{DD363AF9-B385-400E-8F93-2B0E9E12AEDA}"/>
    <cellStyle name="60% - Accent5 26 2 4" xfId="51159" xr:uid="{A3A1DE42-F90A-42A2-B100-3908305C346C}"/>
    <cellStyle name="60% - Accent5 26 3" xfId="11421" xr:uid="{C5C70B57-05DC-46D0-AD95-24A2946426D5}"/>
    <cellStyle name="60% - Accent5 26 3 2" xfId="26834" xr:uid="{77355DE9-9487-4348-AFB6-D28DFE173253}"/>
    <cellStyle name="60% - Accent5 26 3 2 2" xfId="51164" xr:uid="{46B37191-3040-4D91-9CE5-5DBA301BA322}"/>
    <cellStyle name="60% - Accent5 26 3 3" xfId="51163" xr:uid="{C535DD5B-0149-495F-9B87-005BBDCEE66D}"/>
    <cellStyle name="60% - Accent5 26 4" xfId="19129" xr:uid="{5EC1D777-978A-4A5F-ADCA-6F016684CE19}"/>
    <cellStyle name="60% - Accent5 26 4 2" xfId="51165" xr:uid="{575DAB27-A60C-42C7-9623-E381B8B26285}"/>
    <cellStyle name="60% - Accent5 26 5" xfId="51158" xr:uid="{3A2B633C-078C-40C1-8EDB-A7EFAFDDADDD}"/>
    <cellStyle name="60% - Accent5 27" xfId="3731" xr:uid="{5DAB216A-9675-4B54-BF88-48A348316986}"/>
    <cellStyle name="60% - Accent5 27 2" xfId="7462" xr:uid="{64268DA8-A948-478A-A2EE-60E728D8A129}"/>
    <cellStyle name="60% - Accent5 27 2 2" xfId="15170" xr:uid="{E9D0113F-D43B-439F-A5C4-04A000F2BEAE}"/>
    <cellStyle name="60% - Accent5 27 2 2 2" xfId="30582" xr:uid="{A580450E-1968-4BBD-99DA-C21842D5982C}"/>
    <cellStyle name="60% - Accent5 27 2 2 2 2" xfId="51169" xr:uid="{BB01B132-ADC4-4BD6-82F0-AA00F6E5B13C}"/>
    <cellStyle name="60% - Accent5 27 2 2 3" xfId="51168" xr:uid="{DFDABA0E-AD55-43FF-98BD-EA8198C8AD85}"/>
    <cellStyle name="60% - Accent5 27 2 3" xfId="22877" xr:uid="{FF0D2F8F-852E-400E-9E0D-22784752B77C}"/>
    <cellStyle name="60% - Accent5 27 2 3 2" xfId="51170" xr:uid="{2ECF2A27-6D06-4018-9156-C7B55638D02E}"/>
    <cellStyle name="60% - Accent5 27 2 4" xfId="51167" xr:uid="{509FB603-5873-446A-B18F-74ACCF161F61}"/>
    <cellStyle name="60% - Accent5 27 3" xfId="11441" xr:uid="{B3DC5070-DBD5-4246-99E0-4926B135C790}"/>
    <cellStyle name="60% - Accent5 27 3 2" xfId="26854" xr:uid="{B7C3FA0A-0278-4677-85C9-AC958CD3D45D}"/>
    <cellStyle name="60% - Accent5 27 3 2 2" xfId="51172" xr:uid="{A9470520-7CF2-428A-861D-A416625A8CD3}"/>
    <cellStyle name="60% - Accent5 27 3 3" xfId="51171" xr:uid="{B3EE05B9-318E-4C59-AE86-FE50E3353F0D}"/>
    <cellStyle name="60% - Accent5 27 4" xfId="19149" xr:uid="{469557D7-7918-4EAC-A8A7-FF95C41EAF55}"/>
    <cellStyle name="60% - Accent5 27 4 2" xfId="51173" xr:uid="{9C28CCE5-0DCA-471C-80C4-487CD60FF718}"/>
    <cellStyle name="60% - Accent5 27 5" xfId="51166" xr:uid="{4B9B2152-3EAD-41B9-8C0E-373BAE4280EC}"/>
    <cellStyle name="60% - Accent5 28" xfId="3751" xr:uid="{2DBE6296-2C60-4A50-A78D-067B7BB5069B}"/>
    <cellStyle name="60% - Accent5 28 2" xfId="7482" xr:uid="{47B5A33D-294D-4528-A300-A7B67176AACE}"/>
    <cellStyle name="60% - Accent5 28 2 2" xfId="15190" xr:uid="{C392A1E8-4DC9-4DF3-9E95-C53EFF2FDD94}"/>
    <cellStyle name="60% - Accent5 28 2 2 2" xfId="30602" xr:uid="{58F84EF7-9CC6-4164-AE62-2B12A409B6C7}"/>
    <cellStyle name="60% - Accent5 28 2 2 2 2" xfId="51177" xr:uid="{B3598A8E-4807-4F3A-BDE6-FB50B1E67DC1}"/>
    <cellStyle name="60% - Accent5 28 2 2 3" xfId="51176" xr:uid="{5E33B1EE-C310-49D6-8D28-316FAC1B53FB}"/>
    <cellStyle name="60% - Accent5 28 2 3" xfId="22897" xr:uid="{B3422FCF-24D4-4759-80ED-526BCA3B613E}"/>
    <cellStyle name="60% - Accent5 28 2 3 2" xfId="51178" xr:uid="{FB102388-2D6E-48BD-B829-B873700BFD1E}"/>
    <cellStyle name="60% - Accent5 28 2 4" xfId="51175" xr:uid="{1CC6F835-FF6F-4F99-8822-8D01BF83A750}"/>
    <cellStyle name="60% - Accent5 28 3" xfId="11461" xr:uid="{204FB843-02B2-49FE-9839-4F8D6470B97C}"/>
    <cellStyle name="60% - Accent5 28 3 2" xfId="26874" xr:uid="{A35DC3CD-E087-442D-A023-BA1D388253A4}"/>
    <cellStyle name="60% - Accent5 28 3 2 2" xfId="51180" xr:uid="{8CD13F86-B957-44FB-9EB7-34DC99745F08}"/>
    <cellStyle name="60% - Accent5 28 3 3" xfId="51179" xr:uid="{CAFDD8F7-CC48-499F-A930-34E416ADE4C0}"/>
    <cellStyle name="60% - Accent5 28 4" xfId="19169" xr:uid="{06E81FB7-7026-49FD-A2AF-C6D07C70E836}"/>
    <cellStyle name="60% - Accent5 28 4 2" xfId="51181" xr:uid="{44EE6C47-EF1F-4D4F-BCAB-63CB95481D77}"/>
    <cellStyle name="60% - Accent5 28 5" xfId="51174" xr:uid="{E5B1E413-DEE6-4BC0-9F17-36D5776ED4EE}"/>
    <cellStyle name="60% - Accent5 29" xfId="3771" xr:uid="{C98CE9B1-77DE-4417-95D5-23F84F725C02}"/>
    <cellStyle name="60% - Accent5 29 2" xfId="7502" xr:uid="{6E3F2978-A1F8-4F0C-8A4E-A009CCE29A11}"/>
    <cellStyle name="60% - Accent5 29 2 2" xfId="15210" xr:uid="{1E158E71-BF8B-4DC8-97B5-10764EB09FCF}"/>
    <cellStyle name="60% - Accent5 29 2 2 2" xfId="30622" xr:uid="{0126F3F4-DD60-4480-BC4E-ED24F754B28C}"/>
    <cellStyle name="60% - Accent5 29 2 2 2 2" xfId="51185" xr:uid="{1B2CBA8D-F9F8-463B-A1FF-CF0A492B2A74}"/>
    <cellStyle name="60% - Accent5 29 2 2 3" xfId="51184" xr:uid="{2D590B45-17C6-4B6A-B22C-CBD61BE3C5E6}"/>
    <cellStyle name="60% - Accent5 29 2 3" xfId="22917" xr:uid="{E223AEA1-59C1-4BC9-A89A-364CD5191BCE}"/>
    <cellStyle name="60% - Accent5 29 2 3 2" xfId="51186" xr:uid="{E0074069-D2F4-497D-82A8-08C224F13F51}"/>
    <cellStyle name="60% - Accent5 29 2 4" xfId="51183" xr:uid="{739107F6-291A-4336-AB9E-E1E5E04FDB4A}"/>
    <cellStyle name="60% - Accent5 29 3" xfId="11481" xr:uid="{AA700F6D-44E6-4396-831B-2FF6964C2EB1}"/>
    <cellStyle name="60% - Accent5 29 3 2" xfId="26894" xr:uid="{70F62A9A-E610-48D0-84B0-EDF364197C18}"/>
    <cellStyle name="60% - Accent5 29 3 2 2" xfId="51188" xr:uid="{75E88899-3C31-43EA-B53F-68B0A1A3DA09}"/>
    <cellStyle name="60% - Accent5 29 3 3" xfId="51187" xr:uid="{1AF8E51E-3163-421D-B08F-84FCDB0662D5}"/>
    <cellStyle name="60% - Accent5 29 4" xfId="19189" xr:uid="{63A8C19E-614C-4F1F-96C1-95D5A7341552}"/>
    <cellStyle name="60% - Accent5 29 4 2" xfId="51189" xr:uid="{697A16DC-5FC1-493F-8A29-B8084EBFA6FB}"/>
    <cellStyle name="60% - Accent5 29 5" xfId="51182" xr:uid="{3A21783F-A529-467F-839B-2B763FD23B00}"/>
    <cellStyle name="60% - Accent5 3" xfId="227" xr:uid="{DDFD0EDA-9E4B-4998-92A9-DB5F193AE399}"/>
    <cellStyle name="60% - Accent5 3 2" xfId="430" xr:uid="{8A2B824E-E464-4011-B687-749D6F0C8360}"/>
    <cellStyle name="60% - Accent5 3 2 2" xfId="1092" xr:uid="{980BA93D-7018-4CCF-9A9D-9522D198E4B2}"/>
    <cellStyle name="60% - Accent5 3 2 2 2" xfId="2560" xr:uid="{8B474D10-A044-4207-82DA-D51EC8F1D702}"/>
    <cellStyle name="60% - Accent5 3 2 2 2 2" xfId="6292" xr:uid="{0600BF9D-A415-4D36-8437-7DDDE5A61CBD}"/>
    <cellStyle name="60% - Accent5 3 2 2 2 2 2" xfId="14000" xr:uid="{6CDC24D4-FE54-4FCD-9C57-E46BE173A0D1}"/>
    <cellStyle name="60% - Accent5 3 2 2 2 2 2 2" xfId="29412" xr:uid="{73C05410-0F7A-4BAA-A2A3-B26F618E8C24}"/>
    <cellStyle name="60% - Accent5 3 2 2 2 2 2 2 2" xfId="51196" xr:uid="{A6CAF9DD-78E6-40C0-A002-B658E5E9D2F1}"/>
    <cellStyle name="60% - Accent5 3 2 2 2 2 2 3" xfId="51195" xr:uid="{01655014-0223-4D5A-A83E-75F37C01703E}"/>
    <cellStyle name="60% - Accent5 3 2 2 2 2 3" xfId="21707" xr:uid="{B6CB9C66-B49D-470F-B3BC-F639B3ADE921}"/>
    <cellStyle name="60% - Accent5 3 2 2 2 2 3 2" xfId="51197" xr:uid="{0AC7D7F1-8F9F-4D1D-8B3E-EEDF31C55984}"/>
    <cellStyle name="60% - Accent5 3 2 2 2 2 4" xfId="51194" xr:uid="{80A1AD48-63A4-4ED9-B18B-6032C6210806}"/>
    <cellStyle name="60% - Accent5 3 2 2 2 3" xfId="10271" xr:uid="{A86F8AC8-2857-4082-9F40-2DD96044C792}"/>
    <cellStyle name="60% - Accent5 3 2 2 2 3 2" xfId="25684" xr:uid="{D118CE0A-8FF4-4A7F-9379-007CE4C2BD1B}"/>
    <cellStyle name="60% - Accent5 3 2 2 2 3 2 2" xfId="51199" xr:uid="{1117FAA8-8BF4-42EB-9B8E-F6DBC989ABE6}"/>
    <cellStyle name="60% - Accent5 3 2 2 2 3 3" xfId="51198" xr:uid="{D338F2A2-27A3-4621-AA2D-8E61259EC6C5}"/>
    <cellStyle name="60% - Accent5 3 2 2 2 4" xfId="17979" xr:uid="{7ED8F0D8-587D-477C-B131-9AADB0F6654E}"/>
    <cellStyle name="60% - Accent5 3 2 2 2 4 2" xfId="51200" xr:uid="{F9C0F96E-7248-445A-BAE6-C71621E57CAB}"/>
    <cellStyle name="60% - Accent5 3 2 2 2 5" xfId="51193" xr:uid="{2FB94D0B-A950-455C-A004-B82ED22BA351}"/>
    <cellStyle name="60% - Accent5 3 2 2 3" xfId="4829" xr:uid="{81668AB9-F667-4CFA-8CDA-3FF9ABC51C95}"/>
    <cellStyle name="60% - Accent5 3 2 2 3 2" xfId="12537" xr:uid="{E5C4017B-F521-4F8A-BA0B-11B20519613C}"/>
    <cellStyle name="60% - Accent5 3 2 2 3 2 2" xfId="27949" xr:uid="{03FF3B9B-5AD1-48E8-96DD-7EE192A30467}"/>
    <cellStyle name="60% - Accent5 3 2 2 3 2 2 2" xfId="51203" xr:uid="{34745961-9DFF-49FB-AF9E-415F123E819E}"/>
    <cellStyle name="60% - Accent5 3 2 2 3 2 3" xfId="51202" xr:uid="{0C2104F8-3C73-4778-AB3F-AE328DFFEF95}"/>
    <cellStyle name="60% - Accent5 3 2 2 3 3" xfId="20244" xr:uid="{EE95EEC2-FC43-4D43-8A93-AF6FFAB72617}"/>
    <cellStyle name="60% - Accent5 3 2 2 3 3 2" xfId="51204" xr:uid="{CF2E0CFB-8ACB-4FC4-AFE0-9DE537FFE9E6}"/>
    <cellStyle name="60% - Accent5 3 2 2 3 4" xfId="51201" xr:uid="{27F93C00-98DB-42F1-85CD-1216699AA616}"/>
    <cellStyle name="60% - Accent5 3 2 2 4" xfId="8812" xr:uid="{6F690A88-815B-4028-9309-69114A5066BE}"/>
    <cellStyle name="60% - Accent5 3 2 2 4 2" xfId="24225" xr:uid="{C64905FE-D577-4710-8C52-1DF35CB703B1}"/>
    <cellStyle name="60% - Accent5 3 2 2 4 2 2" xfId="51206" xr:uid="{4BF099B8-064D-406B-BDB8-80847A48CF73}"/>
    <cellStyle name="60% - Accent5 3 2 2 4 3" xfId="51205" xr:uid="{044E7E66-8DD2-4D04-A056-1BB6A724DB14}"/>
    <cellStyle name="60% - Accent5 3 2 2 5" xfId="16520" xr:uid="{75F97B7A-CA52-4A8C-A7DF-0624DFD51E81}"/>
    <cellStyle name="60% - Accent5 3 2 2 5 2" xfId="51207" xr:uid="{81C345BA-A458-4922-A6FF-1212CF5624EF}"/>
    <cellStyle name="60% - Accent5 3 2 2 6" xfId="51192" xr:uid="{5D27CE64-C644-472F-83A0-CAFE272A61EA}"/>
    <cellStyle name="60% - Accent5 3 2 3" xfId="1922" xr:uid="{91B48DA8-136F-48FA-B24D-36EA40ED93DD}"/>
    <cellStyle name="60% - Accent5 3 2 3 2" xfId="5654" xr:uid="{12D89BB2-F717-4BC8-BC88-505A1BAE4694}"/>
    <cellStyle name="60% - Accent5 3 2 3 2 2" xfId="13362" xr:uid="{2A245A14-35F5-4DE0-9AB6-AF670AD42E47}"/>
    <cellStyle name="60% - Accent5 3 2 3 2 2 2" xfId="28774" xr:uid="{443FBCF8-D369-4518-85B9-D29DA76D16DB}"/>
    <cellStyle name="60% - Accent5 3 2 3 2 2 2 2" xfId="51211" xr:uid="{0CB0F54F-2580-4389-9947-092F001D81C0}"/>
    <cellStyle name="60% - Accent5 3 2 3 2 2 3" xfId="51210" xr:uid="{6A284CEE-7C89-45E0-9FCC-84FB2294A5F7}"/>
    <cellStyle name="60% - Accent5 3 2 3 2 3" xfId="21069" xr:uid="{77A1F6D1-FF55-4DE7-97D3-AEFE60D24B38}"/>
    <cellStyle name="60% - Accent5 3 2 3 2 3 2" xfId="51212" xr:uid="{3C7CC48D-3B67-48A1-9BEA-7217E54811CA}"/>
    <cellStyle name="60% - Accent5 3 2 3 2 4" xfId="51209" xr:uid="{25900765-E9B8-4027-BE28-D4F62CB3A1A4}"/>
    <cellStyle name="60% - Accent5 3 2 3 3" xfId="9633" xr:uid="{FBA133D5-3283-4CEE-85EF-3756B37AC33A}"/>
    <cellStyle name="60% - Accent5 3 2 3 3 2" xfId="25046" xr:uid="{55F7A504-C746-47A6-B070-5D78992B0FCD}"/>
    <cellStyle name="60% - Accent5 3 2 3 3 2 2" xfId="51214" xr:uid="{2F33C4FF-7FE4-4552-B90F-FD3C22E4D419}"/>
    <cellStyle name="60% - Accent5 3 2 3 3 3" xfId="51213" xr:uid="{E846E329-4C51-492A-AA91-AC27619711FA}"/>
    <cellStyle name="60% - Accent5 3 2 3 4" xfId="17341" xr:uid="{DC75F7CC-678F-4A4D-8037-784E91C79FDD}"/>
    <cellStyle name="60% - Accent5 3 2 3 4 2" xfId="51215" xr:uid="{E9855D56-BAE1-4641-AC15-07E447312987}"/>
    <cellStyle name="60% - Accent5 3 2 3 5" xfId="51208" xr:uid="{06C4D13E-979B-4CAF-9955-566CF92DE888}"/>
    <cellStyle name="60% - Accent5 3 2 4" xfId="4177" xr:uid="{4BBADD04-F957-4837-A31D-763889A31065}"/>
    <cellStyle name="60% - Accent5 3 2 4 2" xfId="11885" xr:uid="{ECD64441-A721-4813-B5E8-C2F7D009CDAA}"/>
    <cellStyle name="60% - Accent5 3 2 4 2 2" xfId="27297" xr:uid="{DEAA01ED-818C-4872-A320-4E75DD848ABF}"/>
    <cellStyle name="60% - Accent5 3 2 4 2 2 2" xfId="51218" xr:uid="{C4AA4132-EE39-44F7-87AA-6BCE60FEC0A4}"/>
    <cellStyle name="60% - Accent5 3 2 4 2 3" xfId="51217" xr:uid="{FA0767B5-AE8D-450B-97C4-58659856E096}"/>
    <cellStyle name="60% - Accent5 3 2 4 3" xfId="19592" xr:uid="{DB886D6E-4236-449C-9985-ACF4B1BC164B}"/>
    <cellStyle name="60% - Accent5 3 2 4 3 2" xfId="51219" xr:uid="{FA32AC60-1059-42B9-8D59-580063FBA68C}"/>
    <cellStyle name="60% - Accent5 3 2 4 4" xfId="51216" xr:uid="{B2221561-B95F-472C-8FF7-A8D6CAF84018}"/>
    <cellStyle name="60% - Accent5 3 2 5" xfId="8174" xr:uid="{EB18B251-329D-432C-AF71-1AB900701B4E}"/>
    <cellStyle name="60% - Accent5 3 2 5 2" xfId="23587" xr:uid="{727D35E2-B690-450E-8124-60367F9A5F02}"/>
    <cellStyle name="60% - Accent5 3 2 5 2 2" xfId="51221" xr:uid="{5D7F89EF-748B-44FA-9F7F-1277F55A20AD}"/>
    <cellStyle name="60% - Accent5 3 2 5 3" xfId="51220" xr:uid="{FD02610F-9334-42A8-B628-0BD6CD0BD2FB}"/>
    <cellStyle name="60% - Accent5 3 2 6" xfId="15882" xr:uid="{228C93FE-9502-4A04-8788-EBDE828E987B}"/>
    <cellStyle name="60% - Accent5 3 2 6 2" xfId="51222" xr:uid="{F67B4FDC-EE55-4F41-A65B-ED876FF34C9F}"/>
    <cellStyle name="60% - Accent5 3 2 7" xfId="51191" xr:uid="{7E8DAADA-3913-4A36-B4E2-10955ED4ECA2}"/>
    <cellStyle name="60% - Accent5 3 3" xfId="892" xr:uid="{25C65EF3-D14E-475D-A740-DBCCD57AAC5A}"/>
    <cellStyle name="60% - Accent5 3 3 2" xfId="2362" xr:uid="{48F40051-89B2-4689-B9F6-1BF6FA4E76B9}"/>
    <cellStyle name="60% - Accent5 3 3 2 2" xfId="6094" xr:uid="{FBC26031-BC18-4368-8856-EDBFD80AB19D}"/>
    <cellStyle name="60% - Accent5 3 3 2 2 2" xfId="13802" xr:uid="{00B7F82F-8AF2-42A7-A32D-68D83A1F4209}"/>
    <cellStyle name="60% - Accent5 3 3 2 2 2 2" xfId="29214" xr:uid="{B82298CF-DEC5-4DEF-AADC-A9284B50E6CC}"/>
    <cellStyle name="60% - Accent5 3 3 2 2 2 2 2" xfId="51227" xr:uid="{81413917-8A66-4B7F-9DBB-B579F80BB080}"/>
    <cellStyle name="60% - Accent5 3 3 2 2 2 3" xfId="51226" xr:uid="{8E02C8A9-07F1-46CE-8857-5E665AC058CD}"/>
    <cellStyle name="60% - Accent5 3 3 2 2 3" xfId="21509" xr:uid="{B3A34BBC-B932-4B8A-9A70-51B924164992}"/>
    <cellStyle name="60% - Accent5 3 3 2 2 3 2" xfId="51228" xr:uid="{7AE29EDE-792B-431C-8B13-414A7C169954}"/>
    <cellStyle name="60% - Accent5 3 3 2 2 4" xfId="51225" xr:uid="{8C524E70-08E8-4011-AFB6-F56E94E241F9}"/>
    <cellStyle name="60% - Accent5 3 3 2 3" xfId="10073" xr:uid="{7A8B5534-A63B-4020-952C-0C437A645598}"/>
    <cellStyle name="60% - Accent5 3 3 2 3 2" xfId="25486" xr:uid="{14243C7C-D5E7-479B-AC33-23229931E69B}"/>
    <cellStyle name="60% - Accent5 3 3 2 3 2 2" xfId="51230" xr:uid="{17EC139E-3D38-4F80-8946-55CADE27DA4D}"/>
    <cellStyle name="60% - Accent5 3 3 2 3 3" xfId="51229" xr:uid="{9E7B0BA6-23B4-44D9-B449-B3B4628CA1C2}"/>
    <cellStyle name="60% - Accent5 3 3 2 4" xfId="17781" xr:uid="{F360BB7C-B7FB-4C7D-BB31-61B5C4C4CC95}"/>
    <cellStyle name="60% - Accent5 3 3 2 4 2" xfId="51231" xr:uid="{3B94BE2E-17CE-457D-BE2C-97A434AF8E87}"/>
    <cellStyle name="60% - Accent5 3 3 2 5" xfId="51224" xr:uid="{86F8EA20-8CD4-4F84-B970-3C8B2C5032AA}"/>
    <cellStyle name="60% - Accent5 3 3 3" xfId="4629" xr:uid="{8E0E176F-BFE1-4544-89DD-B348DF1CE384}"/>
    <cellStyle name="60% - Accent5 3 3 3 2" xfId="12337" xr:uid="{46AE0A10-A1E4-4A9B-8AB6-39885FCCFB3D}"/>
    <cellStyle name="60% - Accent5 3 3 3 2 2" xfId="27749" xr:uid="{FF168991-0AD1-4851-AF7E-99D1B963381B}"/>
    <cellStyle name="60% - Accent5 3 3 3 2 2 2" xfId="51234" xr:uid="{07158423-65DD-4B7B-A95E-67A264A1E900}"/>
    <cellStyle name="60% - Accent5 3 3 3 2 3" xfId="51233" xr:uid="{C65BF183-B18A-4F61-9494-4E05A09B83B7}"/>
    <cellStyle name="60% - Accent5 3 3 3 3" xfId="20044" xr:uid="{1379A60F-D2ED-441E-90D2-43F5647158F8}"/>
    <cellStyle name="60% - Accent5 3 3 3 3 2" xfId="51235" xr:uid="{79ED089E-C920-4433-8676-BE279192134B}"/>
    <cellStyle name="60% - Accent5 3 3 3 4" xfId="51232" xr:uid="{846C79EB-6B36-4FB5-A5E5-1243C659B523}"/>
    <cellStyle name="60% - Accent5 3 3 4" xfId="8614" xr:uid="{BF95557C-986B-4BE3-A25A-BB64DDBA4B77}"/>
    <cellStyle name="60% - Accent5 3 3 4 2" xfId="24027" xr:uid="{7F65E78F-5564-45B1-A0A8-94F310F35B55}"/>
    <cellStyle name="60% - Accent5 3 3 4 2 2" xfId="51237" xr:uid="{A1727A02-9242-4C61-9233-52275EBF7676}"/>
    <cellStyle name="60% - Accent5 3 3 4 3" xfId="51236" xr:uid="{CDEDEB37-3D3D-423A-A5A4-8396EA2D3C80}"/>
    <cellStyle name="60% - Accent5 3 3 5" xfId="16322" xr:uid="{7BF1F970-2EF3-4C47-9D1B-9E70186FC69E}"/>
    <cellStyle name="60% - Accent5 3 3 5 2" xfId="51238" xr:uid="{48CC82EB-30CA-40C7-84E5-EBFCFED27E38}"/>
    <cellStyle name="60% - Accent5 3 3 6" xfId="51223" xr:uid="{34A856ED-0826-4415-A84A-AFECE740CC2E}"/>
    <cellStyle name="60% - Accent5 3 4" xfId="1724" xr:uid="{354F112E-BC9A-4803-8ADC-5DCBAF63290D}"/>
    <cellStyle name="60% - Accent5 3 4 2" xfId="5456" xr:uid="{ADC67541-F48F-44F7-8AB4-2932A89A68ED}"/>
    <cellStyle name="60% - Accent5 3 4 2 2" xfId="13164" xr:uid="{9FBE0B6D-3435-4D9C-BF5B-0A0259EC3ADA}"/>
    <cellStyle name="60% - Accent5 3 4 2 2 2" xfId="28576" xr:uid="{492D0FED-FCF1-4714-88F5-B5B3914F3947}"/>
    <cellStyle name="60% - Accent5 3 4 2 2 2 2" xfId="51242" xr:uid="{7DF9FB08-84DC-47BA-AC3E-AF6B02B8F201}"/>
    <cellStyle name="60% - Accent5 3 4 2 2 3" xfId="51241" xr:uid="{50C3B951-4B74-446A-B815-D6DC6953D7F8}"/>
    <cellStyle name="60% - Accent5 3 4 2 3" xfId="20871" xr:uid="{F2A47C78-CCA1-4241-AA7A-A0B14CC74344}"/>
    <cellStyle name="60% - Accent5 3 4 2 3 2" xfId="51243" xr:uid="{BD63673A-7887-464C-9F5A-FD63423D8B84}"/>
    <cellStyle name="60% - Accent5 3 4 2 4" xfId="51240" xr:uid="{842D1206-A9D6-4186-A9DA-032F2EA776BA}"/>
    <cellStyle name="60% - Accent5 3 4 3" xfId="9435" xr:uid="{C0F93285-52E1-4C6C-AFF3-79EA10227238}"/>
    <cellStyle name="60% - Accent5 3 4 3 2" xfId="24848" xr:uid="{BD183D8A-90C1-4733-BE3D-65AD31491AFA}"/>
    <cellStyle name="60% - Accent5 3 4 3 2 2" xfId="51245" xr:uid="{DCEDED55-DB2D-4B46-9387-4B19BCCCCC17}"/>
    <cellStyle name="60% - Accent5 3 4 3 3" xfId="51244" xr:uid="{3E0B7A57-3290-4CFD-AC05-10BC8485E87A}"/>
    <cellStyle name="60% - Accent5 3 4 4" xfId="17143" xr:uid="{0524BB55-3CB2-4FE2-ABD6-701C9EAC16D1}"/>
    <cellStyle name="60% - Accent5 3 4 4 2" xfId="51246" xr:uid="{E0F63861-A200-4E46-8F89-40E7B1F53580}"/>
    <cellStyle name="60% - Accent5 3 4 5" xfId="51239" xr:uid="{9F5B07BF-EF57-43A7-ABDC-2DC0C33B2487}"/>
    <cellStyle name="60% - Accent5 3 5" xfId="3977" xr:uid="{18CAA311-A46F-4922-9B59-2E8B7930A912}"/>
    <cellStyle name="60% - Accent5 3 5 2" xfId="11685" xr:uid="{9CD6E4CD-1C8D-4E06-94B4-B638F3B6A079}"/>
    <cellStyle name="60% - Accent5 3 5 2 2" xfId="27097" xr:uid="{A024D628-D8F0-45C4-8834-BB216EC64E4B}"/>
    <cellStyle name="60% - Accent5 3 5 2 2 2" xfId="51249" xr:uid="{7A143437-9808-47BD-83E8-A6D5DFC48FAE}"/>
    <cellStyle name="60% - Accent5 3 5 2 3" xfId="51248" xr:uid="{557AD199-D8BF-41A9-9ADE-95749BF6E2EC}"/>
    <cellStyle name="60% - Accent5 3 5 3" xfId="19392" xr:uid="{1B1FE4D1-A8A5-4498-9D67-7641B66BB33D}"/>
    <cellStyle name="60% - Accent5 3 5 3 2" xfId="51250" xr:uid="{DB894B66-E2E6-4BFA-B245-07A593595E2D}"/>
    <cellStyle name="60% - Accent5 3 5 4" xfId="51247" xr:uid="{BCAA749E-68A4-40F2-98A3-4D2A440EFDEF}"/>
    <cellStyle name="60% - Accent5 3 6" xfId="7976" xr:uid="{FDE6A826-8357-4945-9EEB-CB6C7568D6F9}"/>
    <cellStyle name="60% - Accent5 3 6 2" xfId="23389" xr:uid="{26DA612A-DA07-4C52-9131-218BEF16DA60}"/>
    <cellStyle name="60% - Accent5 3 6 2 2" xfId="51252" xr:uid="{871ABB65-DE7D-46D2-A0F3-82B89E00C443}"/>
    <cellStyle name="60% - Accent5 3 6 3" xfId="51251" xr:uid="{83A40FFA-0CA0-4444-A915-3A46E1DA91ED}"/>
    <cellStyle name="60% - Accent5 3 7" xfId="15684" xr:uid="{7EA45E7F-EB00-49D1-A1F7-0174F9103A54}"/>
    <cellStyle name="60% - Accent5 3 7 2" xfId="51253" xr:uid="{8CE8EE41-DE59-4E03-A412-D74A910B8046}"/>
    <cellStyle name="60% - Accent5 3 8" xfId="51190" xr:uid="{C397EB13-985F-4873-B9D8-110145D82A4F}"/>
    <cellStyle name="60% - Accent5 30" xfId="3791" xr:uid="{BCAD381B-7DAB-4CB6-BA38-87394BADE582}"/>
    <cellStyle name="60% - Accent5 30 2" xfId="7522" xr:uid="{93668886-C613-4D8D-91F8-9CE7011CBF34}"/>
    <cellStyle name="60% - Accent5 30 2 2" xfId="15230" xr:uid="{F997EA4D-5DC6-4A92-BD16-FD6124F156AD}"/>
    <cellStyle name="60% - Accent5 30 2 2 2" xfId="30642" xr:uid="{C2C79063-0EB8-42B3-A6AE-921799842E7F}"/>
    <cellStyle name="60% - Accent5 30 2 2 2 2" xfId="51257" xr:uid="{CFEA48E8-86E2-4D3B-B500-B486A0CB4766}"/>
    <cellStyle name="60% - Accent5 30 2 2 3" xfId="51256" xr:uid="{72DCE8A5-FDE7-4DE3-B7E8-0816FA7D14EC}"/>
    <cellStyle name="60% - Accent5 30 2 3" xfId="22937" xr:uid="{D0AD2E5E-78DB-40B6-ADAA-6B3894F11228}"/>
    <cellStyle name="60% - Accent5 30 2 3 2" xfId="51258" xr:uid="{7DCD9BDB-000E-47A4-B8B1-B57C78230FA2}"/>
    <cellStyle name="60% - Accent5 30 2 4" xfId="51255" xr:uid="{3F7BE06F-AD40-43AB-BA95-FB7220480B09}"/>
    <cellStyle name="60% - Accent5 30 3" xfId="11501" xr:uid="{6A4C2A93-FD7D-457D-A391-D7FC97E77F28}"/>
    <cellStyle name="60% - Accent5 30 3 2" xfId="26914" xr:uid="{B3D4FA0A-566E-4EE0-A1F4-4DCB07338051}"/>
    <cellStyle name="60% - Accent5 30 3 2 2" xfId="51260" xr:uid="{D80DFF85-CF40-4525-802D-E464446C7289}"/>
    <cellStyle name="60% - Accent5 30 3 3" xfId="51259" xr:uid="{C7BDB6E5-FA41-4882-9047-EFE55CC438B9}"/>
    <cellStyle name="60% - Accent5 30 4" xfId="19209" xr:uid="{E92D2219-E0B3-44D1-B34D-F820C22BFBF5}"/>
    <cellStyle name="60% - Accent5 30 4 2" xfId="51261" xr:uid="{E06AAC04-C362-4D6F-AF3F-FEFA127469A1}"/>
    <cellStyle name="60% - Accent5 30 5" xfId="51254" xr:uid="{8B71ECB0-6D3C-4592-A4CB-29CA56DD7923}"/>
    <cellStyle name="60% - Accent5 31" xfId="3811" xr:uid="{74DEEC4E-2FE5-4EDB-A320-10642A573D2A}"/>
    <cellStyle name="60% - Accent5 31 2" xfId="7542" xr:uid="{F5E3D99E-291B-4C5C-A211-2272BC278D8E}"/>
    <cellStyle name="60% - Accent5 31 2 2" xfId="15250" xr:uid="{41E935D2-2519-41FB-A75A-BA59EEB776E8}"/>
    <cellStyle name="60% - Accent5 31 2 2 2" xfId="30662" xr:uid="{B83D5A2B-7020-4DFE-88BB-C3C68901068B}"/>
    <cellStyle name="60% - Accent5 31 2 2 2 2" xfId="51265" xr:uid="{2CDB3B5D-E91D-4CF2-9B08-E3DC87936A93}"/>
    <cellStyle name="60% - Accent5 31 2 2 3" xfId="51264" xr:uid="{5D955041-9125-4973-9F1E-F19DF7412C06}"/>
    <cellStyle name="60% - Accent5 31 2 3" xfId="22957" xr:uid="{CC32B61C-260F-4945-9B71-2734B6C7254D}"/>
    <cellStyle name="60% - Accent5 31 2 3 2" xfId="51266" xr:uid="{08FE5967-4442-4669-A12F-664C312875D3}"/>
    <cellStyle name="60% - Accent5 31 2 4" xfId="51263" xr:uid="{3D014039-474B-4356-8F64-58C6FEE16941}"/>
    <cellStyle name="60% - Accent5 31 3" xfId="11521" xr:uid="{4FAD7B86-998B-4226-8652-38E24E69D918}"/>
    <cellStyle name="60% - Accent5 31 3 2" xfId="26934" xr:uid="{F57DD60B-12F7-469D-8C87-1E00F45B4B9B}"/>
    <cellStyle name="60% - Accent5 31 3 2 2" xfId="51268" xr:uid="{E3A43D3A-03C5-408D-85F3-75C4E543497F}"/>
    <cellStyle name="60% - Accent5 31 3 3" xfId="51267" xr:uid="{680E0E21-E539-4148-9688-37A6E3FC6DD4}"/>
    <cellStyle name="60% - Accent5 31 4" xfId="19229" xr:uid="{E029F966-13D4-40D1-A375-F06545E64C68}"/>
    <cellStyle name="60% - Accent5 31 4 2" xfId="51269" xr:uid="{DDEAFE4A-5F41-41A8-82A9-4E1D1F418271}"/>
    <cellStyle name="60% - Accent5 31 5" xfId="51262" xr:uid="{38D17BD5-5580-4F8B-9FF7-59C5F7B47CA4}"/>
    <cellStyle name="60% - Accent5 32" xfId="3831" xr:uid="{24A986E0-9099-4148-8007-0FFEDDC44F5B}"/>
    <cellStyle name="60% - Accent5 32 2" xfId="7562" xr:uid="{126373EB-86D9-4A71-9F95-6398E9355229}"/>
    <cellStyle name="60% - Accent5 32 2 2" xfId="15270" xr:uid="{DEC10640-6D8D-4945-B348-6E688FE55670}"/>
    <cellStyle name="60% - Accent5 32 2 2 2" xfId="30682" xr:uid="{679C7BAC-29AA-4199-915F-6DDE46631715}"/>
    <cellStyle name="60% - Accent5 32 2 2 2 2" xfId="51273" xr:uid="{52F9F63C-EEEE-4457-80C8-5AE57F03BEF4}"/>
    <cellStyle name="60% - Accent5 32 2 2 3" xfId="51272" xr:uid="{54E7D501-257D-4AE5-8CBD-13A1E41BF6A0}"/>
    <cellStyle name="60% - Accent5 32 2 3" xfId="22977" xr:uid="{A5A6876A-7058-49F0-8552-4648AB403C4C}"/>
    <cellStyle name="60% - Accent5 32 2 3 2" xfId="51274" xr:uid="{493D0F69-78ED-49C3-829E-3803ABC08F8D}"/>
    <cellStyle name="60% - Accent5 32 2 4" xfId="51271" xr:uid="{9DD14BFA-CC17-4570-821A-2DFC5A47D15B}"/>
    <cellStyle name="60% - Accent5 32 3" xfId="11541" xr:uid="{E6DF54A8-422B-4372-BB19-BF75479EDAD4}"/>
    <cellStyle name="60% - Accent5 32 3 2" xfId="26954" xr:uid="{7BBED203-11EA-4F84-84A1-6DC5B7B3D6C1}"/>
    <cellStyle name="60% - Accent5 32 3 2 2" xfId="51276" xr:uid="{12856F8B-E6F0-4D28-BF19-86200E938E59}"/>
    <cellStyle name="60% - Accent5 32 3 3" xfId="51275" xr:uid="{363C6C6F-C652-4C6E-B52F-B2289D3A0AB9}"/>
    <cellStyle name="60% - Accent5 32 4" xfId="19249" xr:uid="{0C1795B7-6394-47D1-A3AE-F2F20B1E0CF9}"/>
    <cellStyle name="60% - Accent5 32 4 2" xfId="51277" xr:uid="{7CEE2ACF-5E8B-4F13-A142-8DCFD7A30EAC}"/>
    <cellStyle name="60% - Accent5 32 5" xfId="51270" xr:uid="{CA5F0AE8-C1C7-408A-BBF1-9C650BB3F643}"/>
    <cellStyle name="60% - Accent5 33" xfId="3852" xr:uid="{967FDCC8-0CE7-4548-A178-8A831DFAD471}"/>
    <cellStyle name="60% - Accent5 33 2" xfId="7582" xr:uid="{F497171E-812D-4FD2-B587-BEB6418F2330}"/>
    <cellStyle name="60% - Accent5 33 2 2" xfId="15290" xr:uid="{0E7F42F7-CC63-4576-85F6-A4FD90428072}"/>
    <cellStyle name="60% - Accent5 33 2 2 2" xfId="30702" xr:uid="{051C224F-7CF5-4B31-88D8-B56715AF51FF}"/>
    <cellStyle name="60% - Accent5 33 2 2 2 2" xfId="51281" xr:uid="{D6CDC9D9-2163-4419-B8CF-A09B9A7F61E0}"/>
    <cellStyle name="60% - Accent5 33 2 2 3" xfId="51280" xr:uid="{5933CE69-E272-45EF-9113-EF2C214825E8}"/>
    <cellStyle name="60% - Accent5 33 2 3" xfId="22997" xr:uid="{D1E99640-0D63-4125-B984-34FD1CEF2F4F}"/>
    <cellStyle name="60% - Accent5 33 2 3 2" xfId="51282" xr:uid="{6AD9D881-AB3E-48C9-9B4C-F0E4087D2096}"/>
    <cellStyle name="60% - Accent5 33 2 4" xfId="51279" xr:uid="{A1A9E802-DC4F-4CF1-A4D2-8328BABCE824}"/>
    <cellStyle name="60% - Accent5 33 3" xfId="11562" xr:uid="{22D39B19-16FB-4920-B0B4-D5B5F7463856}"/>
    <cellStyle name="60% - Accent5 33 3 2" xfId="26974" xr:uid="{1AC9B898-A970-4910-8342-943324BA81E2}"/>
    <cellStyle name="60% - Accent5 33 3 2 2" xfId="51284" xr:uid="{193486E9-8561-400A-B299-FD922FE79058}"/>
    <cellStyle name="60% - Accent5 33 3 3" xfId="51283" xr:uid="{5DB34387-0A5A-4084-8488-DDE5C97B55F1}"/>
    <cellStyle name="60% - Accent5 33 4" xfId="19269" xr:uid="{E4AE5CCB-C03F-4E30-A042-2FE6FE9760E0}"/>
    <cellStyle name="60% - Accent5 33 4 2" xfId="51285" xr:uid="{C22DE1C7-11E2-4394-9095-402E0A46D279}"/>
    <cellStyle name="60% - Accent5 33 5" xfId="51278" xr:uid="{3CE20618-C2DB-4FF3-8070-4B541DCAFF48}"/>
    <cellStyle name="60% - Accent5 34" xfId="3871" xr:uid="{5B4567B7-90EE-499E-8AA2-D6731E34A027}"/>
    <cellStyle name="60% - Accent5 34 2" xfId="11581" xr:uid="{7C50C237-4F97-4586-B26F-4666DE77403D}"/>
    <cellStyle name="60% - Accent5 34 2 2" xfId="26993" xr:uid="{38D17FAC-1B0F-40B4-9477-C32268C20E74}"/>
    <cellStyle name="60% - Accent5 34 2 2 2" xfId="51288" xr:uid="{0D7627F6-DC23-4417-B85A-3DA0CEF3ABC0}"/>
    <cellStyle name="60% - Accent5 34 2 3" xfId="51287" xr:uid="{6C4FB718-4D6B-44A3-A61E-9788BC2F8006}"/>
    <cellStyle name="60% - Accent5 34 3" xfId="19288" xr:uid="{94AD95B3-1AB2-40FC-942D-70A36AF406CC}"/>
    <cellStyle name="60% - Accent5 34 3 2" xfId="51289" xr:uid="{4171865D-EBBA-41E4-B3CA-1B5065DF5241}"/>
    <cellStyle name="60% - Accent5 34 4" xfId="51286" xr:uid="{64F60B50-FAC0-43F0-860B-E262B8B6371B}"/>
    <cellStyle name="60% - Accent5 35" xfId="7602" xr:uid="{E2C06036-F77F-4DCD-AE79-020BF2C8746E}"/>
    <cellStyle name="60% - Accent5 35 2" xfId="15310" xr:uid="{378FC07C-AD96-4AAF-9F4D-EA775E13A106}"/>
    <cellStyle name="60% - Accent5 35 2 2" xfId="30722" xr:uid="{8C820BD0-DAA4-42FE-938F-4BD0E04DE0E1}"/>
    <cellStyle name="60% - Accent5 35 2 2 2" xfId="51292" xr:uid="{B5B3AC57-912C-48F8-849F-23584A88E171}"/>
    <cellStyle name="60% - Accent5 35 2 3" xfId="51291" xr:uid="{31249FD7-0DE1-4E97-ADF2-3CA1F8466696}"/>
    <cellStyle name="60% - Accent5 35 3" xfId="23017" xr:uid="{00E56789-4DDA-41E5-A484-2503113D68DB}"/>
    <cellStyle name="60% - Accent5 35 3 2" xfId="51293" xr:uid="{039161C7-9FC9-4662-ADA9-D22DFB5EDF0C}"/>
    <cellStyle name="60% - Accent5 35 4" xfId="51290" xr:uid="{0E24F713-BF10-4631-BCAF-685BD6E294A4}"/>
    <cellStyle name="60% - Accent5 36" xfId="7622" xr:uid="{12EAAEA7-C794-4D03-8ECB-56B964173643}"/>
    <cellStyle name="60% - Accent5 36 2" xfId="15330" xr:uid="{E52DC6D9-E7F5-454E-978B-48DA22FB147F}"/>
    <cellStyle name="60% - Accent5 36 2 2" xfId="30742" xr:uid="{7BDDB715-1DE3-43FE-8997-716FFAD81E47}"/>
    <cellStyle name="60% - Accent5 36 2 2 2" xfId="51296" xr:uid="{AC60E508-E145-4B5B-A741-29A90DF91CD4}"/>
    <cellStyle name="60% - Accent5 36 2 3" xfId="51295" xr:uid="{D4C00A77-D4F4-4C37-B4CB-346ACD29CA0E}"/>
    <cellStyle name="60% - Accent5 36 3" xfId="23037" xr:uid="{73437193-2A4F-47D7-A960-EEB9BBDE06F5}"/>
    <cellStyle name="60% - Accent5 36 3 2" xfId="51297" xr:uid="{06AA7AF0-A2D2-4909-94A4-AA813E1815AD}"/>
    <cellStyle name="60% - Accent5 36 4" xfId="51294" xr:uid="{6A59D6FA-9B71-4F4D-9C51-4E79888CF862}"/>
    <cellStyle name="60% - Accent5 37" xfId="7642" xr:uid="{55DA8247-0F8C-4205-96C2-AF36B9DDB155}"/>
    <cellStyle name="60% - Accent5 37 2" xfId="15350" xr:uid="{5F687342-5F87-4BAD-A2F5-86564A4082F9}"/>
    <cellStyle name="60% - Accent5 37 2 2" xfId="30762" xr:uid="{6992A04E-7BC5-44EA-A086-18B127E3C3B5}"/>
    <cellStyle name="60% - Accent5 37 2 2 2" xfId="51300" xr:uid="{EDEEDC40-6686-4E79-AE3D-1C8778CEFE01}"/>
    <cellStyle name="60% - Accent5 37 2 3" xfId="51299" xr:uid="{43A87386-F3E8-4D32-BB51-E043B905F0E9}"/>
    <cellStyle name="60% - Accent5 37 3" xfId="23057" xr:uid="{E699ADDE-0247-4296-B01A-CFDA9ED82601}"/>
    <cellStyle name="60% - Accent5 37 3 2" xfId="51301" xr:uid="{CD3BD6F6-EAB9-4B35-A1BF-0E2FF27A56C7}"/>
    <cellStyle name="60% - Accent5 37 4" xfId="51298" xr:uid="{15AE420C-158C-42C8-9B55-53C1A8E189FA}"/>
    <cellStyle name="60% - Accent5 38" xfId="7662" xr:uid="{92E5C5E0-DD2B-4C6D-A5E7-B62859C23DC0}"/>
    <cellStyle name="60% - Accent5 38 2" xfId="15370" xr:uid="{DD0C9C40-6A0B-4538-965A-7068C60B5B52}"/>
    <cellStyle name="60% - Accent5 38 2 2" xfId="30782" xr:uid="{AB58E4F3-5769-424A-B22A-BE010488FB88}"/>
    <cellStyle name="60% - Accent5 38 2 2 2" xfId="51304" xr:uid="{4F34E7BF-D581-439A-8081-703B294B9D03}"/>
    <cellStyle name="60% - Accent5 38 2 3" xfId="51303" xr:uid="{4A70CD78-76D8-432B-8AFB-4D4955D9ED69}"/>
    <cellStyle name="60% - Accent5 38 3" xfId="23077" xr:uid="{93FA99CB-5F56-49D6-90AB-03C068EDCD1D}"/>
    <cellStyle name="60% - Accent5 38 3 2" xfId="51305" xr:uid="{78F99762-48D1-42BF-881D-A7022B4A3924}"/>
    <cellStyle name="60% - Accent5 38 4" xfId="51302" xr:uid="{68911629-C95B-4E19-A653-7E189DD903EA}"/>
    <cellStyle name="60% - Accent5 39" xfId="7682" xr:uid="{112EE8AA-7CD9-4317-AE0D-39604E407A4B}"/>
    <cellStyle name="60% - Accent5 39 2" xfId="15390" xr:uid="{A7724701-4200-4D46-B47C-9F6300FF9FE6}"/>
    <cellStyle name="60% - Accent5 39 2 2" xfId="30802" xr:uid="{C0D2A9F9-9F38-49CE-B58D-DDD070997181}"/>
    <cellStyle name="60% - Accent5 39 2 2 2" xfId="51308" xr:uid="{4B3AC1B5-67E5-481E-B2A1-6D14CB288737}"/>
    <cellStyle name="60% - Accent5 39 2 3" xfId="51307" xr:uid="{D550ADBB-D682-4ACB-A670-FC2674CC09B8}"/>
    <cellStyle name="60% - Accent5 39 3" xfId="23097" xr:uid="{896E8ECD-88DA-42F4-B639-02CDA042110B}"/>
    <cellStyle name="60% - Accent5 39 3 2" xfId="51309" xr:uid="{82AB931B-3C29-41C7-BAA9-337EAF2F4A90}"/>
    <cellStyle name="60% - Accent5 39 4" xfId="51306" xr:uid="{146EBE95-1D40-410A-A33D-0A3EB49FD490}"/>
    <cellStyle name="60% - Accent5 4" xfId="334" xr:uid="{E015F443-D486-4CAF-B875-99F98C9881E9}"/>
    <cellStyle name="60% - Accent5 4 2" xfId="998" xr:uid="{9D5FEF71-063B-4B03-BFCE-1230B890BE2E}"/>
    <cellStyle name="60% - Accent5 4 2 2" xfId="2468" xr:uid="{1A877E1E-E570-4022-A10F-FCCDA20A3D7A}"/>
    <cellStyle name="60% - Accent5 4 2 2 2" xfId="6200" xr:uid="{8FB7A947-F6DF-4D9B-810B-B86190E068E9}"/>
    <cellStyle name="60% - Accent5 4 2 2 2 2" xfId="13908" xr:uid="{5F2CBFF2-EA45-4F87-BB8D-FE368617E916}"/>
    <cellStyle name="60% - Accent5 4 2 2 2 2 2" xfId="29320" xr:uid="{A506FC21-B236-49E4-8C6E-E38B7C02CDAA}"/>
    <cellStyle name="60% - Accent5 4 2 2 2 2 2 2" xfId="51315" xr:uid="{29111699-CD76-4333-9018-80D60AE92437}"/>
    <cellStyle name="60% - Accent5 4 2 2 2 2 3" xfId="51314" xr:uid="{2BED8B3F-CC48-488A-BB3C-88CC6D6BBA44}"/>
    <cellStyle name="60% - Accent5 4 2 2 2 3" xfId="21615" xr:uid="{982945D7-185E-4856-ACC3-3B20F9E65C33}"/>
    <cellStyle name="60% - Accent5 4 2 2 2 3 2" xfId="51316" xr:uid="{1F3E258A-7AB0-41F7-A944-A19E8F990801}"/>
    <cellStyle name="60% - Accent5 4 2 2 2 4" xfId="51313" xr:uid="{35912089-38D2-4FBF-B9C6-30A95C0DD23D}"/>
    <cellStyle name="60% - Accent5 4 2 2 3" xfId="10179" xr:uid="{ED079C9A-024A-426E-8196-724400CC69AC}"/>
    <cellStyle name="60% - Accent5 4 2 2 3 2" xfId="25592" xr:uid="{90697934-AC3A-4D3B-9202-F6D648917D94}"/>
    <cellStyle name="60% - Accent5 4 2 2 3 2 2" xfId="51318" xr:uid="{BBF0363E-F43F-4741-9981-EC6F3F2DC413}"/>
    <cellStyle name="60% - Accent5 4 2 2 3 3" xfId="51317" xr:uid="{DD456740-9EB0-426B-B787-6CAD9CF82886}"/>
    <cellStyle name="60% - Accent5 4 2 2 4" xfId="17887" xr:uid="{17A6E1F9-C821-4348-B6CF-ED63AB81138E}"/>
    <cellStyle name="60% - Accent5 4 2 2 4 2" xfId="51319" xr:uid="{D0CB2668-F0B2-4967-ABE6-A950DDFEC59E}"/>
    <cellStyle name="60% - Accent5 4 2 2 5" xfId="51312" xr:uid="{E2DD9D36-DBA9-4970-B4A5-04083097BF24}"/>
    <cellStyle name="60% - Accent5 4 2 3" xfId="4735" xr:uid="{198FA2BD-E4ED-4E62-ABDD-8AD24F3D497D}"/>
    <cellStyle name="60% - Accent5 4 2 3 2" xfId="12443" xr:uid="{A3C6251E-09CA-43FA-8FAA-76ADEA6894FB}"/>
    <cellStyle name="60% - Accent5 4 2 3 2 2" xfId="27855" xr:uid="{AA402837-E842-4E1D-B9F1-7C293A09B936}"/>
    <cellStyle name="60% - Accent5 4 2 3 2 2 2" xfId="51322" xr:uid="{172AC25A-E3E3-43F4-A8CF-E891E9F20484}"/>
    <cellStyle name="60% - Accent5 4 2 3 2 3" xfId="51321" xr:uid="{54CDD903-2226-4AC9-B079-B4E30B329B5E}"/>
    <cellStyle name="60% - Accent5 4 2 3 3" xfId="20150" xr:uid="{EB51F737-E954-48CD-A942-8C54DD2A23BD}"/>
    <cellStyle name="60% - Accent5 4 2 3 3 2" xfId="51323" xr:uid="{095246B3-83B2-4B3C-8CAA-65044EF5D820}"/>
    <cellStyle name="60% - Accent5 4 2 3 4" xfId="51320" xr:uid="{694DB6EA-3F63-41FF-8922-5B2DBEC76F4A}"/>
    <cellStyle name="60% - Accent5 4 2 4" xfId="8720" xr:uid="{C6B53B66-43EC-45A0-8E33-23F2C119B3EE}"/>
    <cellStyle name="60% - Accent5 4 2 4 2" xfId="24133" xr:uid="{354EFDBE-2796-438A-BF0D-A9014D6CF348}"/>
    <cellStyle name="60% - Accent5 4 2 4 2 2" xfId="51325" xr:uid="{B8C72C18-2045-4C46-957F-A1AD0CB8744A}"/>
    <cellStyle name="60% - Accent5 4 2 4 3" xfId="51324" xr:uid="{07BE9856-20B8-48BA-BACB-749A5A65CF91}"/>
    <cellStyle name="60% - Accent5 4 2 5" xfId="16428" xr:uid="{82D13268-42DE-4D90-A7DC-FB08762B98F6}"/>
    <cellStyle name="60% - Accent5 4 2 5 2" xfId="51326" xr:uid="{C55A2AFF-44D5-40B0-986A-54B23F25125F}"/>
    <cellStyle name="60% - Accent5 4 2 6" xfId="51311" xr:uid="{8A2EB7F5-714E-4ACA-BF0C-7A170F6B40A6}"/>
    <cellStyle name="60% - Accent5 4 3" xfId="1830" xr:uid="{4556B8D5-1C8A-4DB2-904D-6ECA49E228BF}"/>
    <cellStyle name="60% - Accent5 4 3 2" xfId="5562" xr:uid="{64A89A78-D960-4565-9B63-0F95A97A6A71}"/>
    <cellStyle name="60% - Accent5 4 3 2 2" xfId="13270" xr:uid="{780B94AE-2BEA-4DEF-8E7D-EA7159106C6B}"/>
    <cellStyle name="60% - Accent5 4 3 2 2 2" xfId="28682" xr:uid="{A1A6BFFE-4D8F-4BE1-B7D9-400CC9342810}"/>
    <cellStyle name="60% - Accent5 4 3 2 2 2 2" xfId="51330" xr:uid="{0B2B4B48-6C94-4FDE-B286-1F5AC3DEAF48}"/>
    <cellStyle name="60% - Accent5 4 3 2 2 3" xfId="51329" xr:uid="{3D6A076C-A5EB-4178-9A46-6A27BD9DCE93}"/>
    <cellStyle name="60% - Accent5 4 3 2 3" xfId="20977" xr:uid="{9041A229-5C81-4537-AA79-8DE022F2EDD2}"/>
    <cellStyle name="60% - Accent5 4 3 2 3 2" xfId="51331" xr:uid="{6A320354-BC97-4CE1-BB6D-16D9183450A2}"/>
    <cellStyle name="60% - Accent5 4 3 2 4" xfId="51328" xr:uid="{FFC6A17A-1F71-4576-AAE8-245B7C70E898}"/>
    <cellStyle name="60% - Accent5 4 3 3" xfId="9541" xr:uid="{546C0EF1-133D-4206-8011-57417AA2D12A}"/>
    <cellStyle name="60% - Accent5 4 3 3 2" xfId="24954" xr:uid="{0B43DD89-2206-4202-96BE-CEEA00A303FA}"/>
    <cellStyle name="60% - Accent5 4 3 3 2 2" xfId="51333" xr:uid="{CF67DE16-E3C2-47FB-9B0E-E94F451FFDD6}"/>
    <cellStyle name="60% - Accent5 4 3 3 3" xfId="51332" xr:uid="{E0D22C91-9D7A-4161-8A81-00C407A72BD3}"/>
    <cellStyle name="60% - Accent5 4 3 4" xfId="17249" xr:uid="{A81E5789-CD0E-4584-A0A7-114135A28264}"/>
    <cellStyle name="60% - Accent5 4 3 4 2" xfId="51334" xr:uid="{E20F5D10-A958-42FF-A947-E98F059C0DEB}"/>
    <cellStyle name="60% - Accent5 4 3 5" xfId="51327" xr:uid="{5B5EB751-782C-41B9-B6DF-96691F87BE10}"/>
    <cellStyle name="60% - Accent5 4 4" xfId="4083" xr:uid="{013A0C22-3730-4839-A913-32CB39B816CF}"/>
    <cellStyle name="60% - Accent5 4 4 2" xfId="11791" xr:uid="{063A8A50-A1F5-4149-A368-FD6F72B4D9A0}"/>
    <cellStyle name="60% - Accent5 4 4 2 2" xfId="27203" xr:uid="{9A7DBB4A-9DFA-4AEE-8BBF-DE5F3EF176B9}"/>
    <cellStyle name="60% - Accent5 4 4 2 2 2" xfId="51337" xr:uid="{E5EA5248-0C44-4ED8-80F6-ADA8D878295D}"/>
    <cellStyle name="60% - Accent5 4 4 2 3" xfId="51336" xr:uid="{CCA674EC-F616-4B5F-85A9-BCA9D949DAD5}"/>
    <cellStyle name="60% - Accent5 4 4 3" xfId="19498" xr:uid="{60561D72-D545-416A-BC20-01241E7B5BFB}"/>
    <cellStyle name="60% - Accent5 4 4 3 2" xfId="51338" xr:uid="{9F0A069A-CE6B-4326-9C71-44C6176F3752}"/>
    <cellStyle name="60% - Accent5 4 4 4" xfId="51335" xr:uid="{20E61BD7-5C13-4109-B38C-2363469FE6DE}"/>
    <cellStyle name="60% - Accent5 4 5" xfId="8082" xr:uid="{0582CE9D-43ED-4230-8DCC-F447A5A32975}"/>
    <cellStyle name="60% - Accent5 4 5 2" xfId="23495" xr:uid="{704C0099-C231-47E1-B6B0-CDED029699A4}"/>
    <cellStyle name="60% - Accent5 4 5 2 2" xfId="51340" xr:uid="{B1B2669D-0899-4529-B362-312AA3611E8E}"/>
    <cellStyle name="60% - Accent5 4 5 3" xfId="51339" xr:uid="{0C9C418F-E539-4C49-995E-D903AABA9D03}"/>
    <cellStyle name="60% - Accent5 4 6" xfId="15790" xr:uid="{FFA7D580-D4DC-4FE1-9889-64C0B3718AAE}"/>
    <cellStyle name="60% - Accent5 4 6 2" xfId="51341" xr:uid="{9C2E13B2-F005-4D3A-A58D-8333DB4996C1}"/>
    <cellStyle name="60% - Accent5 4 7" xfId="51310" xr:uid="{6E4C283C-068E-44A7-8BDD-EB2D13E8DCC0}"/>
    <cellStyle name="60% - Accent5 40" xfId="7702" xr:uid="{38D6866F-197E-449D-A56E-352F1E152115}"/>
    <cellStyle name="60% - Accent5 40 2" xfId="15410" xr:uid="{97EE054A-DF9C-4933-A562-C146E9B41197}"/>
    <cellStyle name="60% - Accent5 40 2 2" xfId="30822" xr:uid="{1CC2339F-258A-4044-90D3-DAF3874D7963}"/>
    <cellStyle name="60% - Accent5 40 2 2 2" xfId="51344" xr:uid="{BF0557CC-3870-432B-A5FC-405FCFCEB499}"/>
    <cellStyle name="60% - Accent5 40 2 3" xfId="51343" xr:uid="{6070F036-2FC3-48FE-A5D1-AA770AEDDF1E}"/>
    <cellStyle name="60% - Accent5 40 3" xfId="23117" xr:uid="{2BD227CA-3B44-44DB-9A9F-37AC830C01C5}"/>
    <cellStyle name="60% - Accent5 40 3 2" xfId="51345" xr:uid="{EE697742-2881-4632-9953-4609858C4895}"/>
    <cellStyle name="60% - Accent5 40 4" xfId="51342" xr:uid="{AD32EA0E-F856-4859-ACA9-84F68D6707C9}"/>
    <cellStyle name="60% - Accent5 41" xfId="7722" xr:uid="{46AA0E52-AF17-4024-99E7-5D8E270880F8}"/>
    <cellStyle name="60% - Accent5 41 2" xfId="15430" xr:uid="{D1B2D93E-FA8C-4008-99FD-1754A65B2DD1}"/>
    <cellStyle name="60% - Accent5 41 2 2" xfId="30842" xr:uid="{0789D595-3F07-4DB9-83CA-DC50F967C553}"/>
    <cellStyle name="60% - Accent5 41 2 2 2" xfId="51348" xr:uid="{265E2ED5-8FAE-4DC4-B0A4-24B117B31440}"/>
    <cellStyle name="60% - Accent5 41 2 3" xfId="51347" xr:uid="{7C2C0211-B040-4A48-B566-46B31115972A}"/>
    <cellStyle name="60% - Accent5 41 3" xfId="23137" xr:uid="{95317BAD-16EC-4A9C-8B77-DE17EF24EC93}"/>
    <cellStyle name="60% - Accent5 41 3 2" xfId="51349" xr:uid="{F68C5EAC-3E82-4540-819F-A9813DFF8D27}"/>
    <cellStyle name="60% - Accent5 41 4" xfId="51346" xr:uid="{A260E4BB-E94D-4E87-9D7A-390CE4EF8C1E}"/>
    <cellStyle name="60% - Accent5 42" xfId="7742" xr:uid="{5357F6C9-58FE-4CF8-B367-DF80609FCF56}"/>
    <cellStyle name="60% - Accent5 42 2" xfId="15450" xr:uid="{939B3DEF-3160-4CEF-AC85-C73E6CFF2627}"/>
    <cellStyle name="60% - Accent5 42 2 2" xfId="30862" xr:uid="{1B060D57-AEE9-4932-A86B-F0DB8A59C49B}"/>
    <cellStyle name="60% - Accent5 42 2 2 2" xfId="51352" xr:uid="{6D845B0F-4C88-4F71-AD84-F127A0CFBA29}"/>
    <cellStyle name="60% - Accent5 42 2 3" xfId="51351" xr:uid="{E15C4327-6469-4406-9A6B-11FEA93C3690}"/>
    <cellStyle name="60% - Accent5 42 3" xfId="23157" xr:uid="{F0568E0A-43AE-4E22-8349-5965D9C15D5F}"/>
    <cellStyle name="60% - Accent5 42 3 2" xfId="51353" xr:uid="{175CF6E6-5A23-4813-B410-7229FA8A49B2}"/>
    <cellStyle name="60% - Accent5 42 4" xfId="51350" xr:uid="{C5831634-BBFF-4705-9F42-1E5C21C83745}"/>
    <cellStyle name="60% - Accent5 43" xfId="7762" xr:uid="{A511DC84-0346-427D-9C84-E60837CB3C93}"/>
    <cellStyle name="60% - Accent5 43 2" xfId="15470" xr:uid="{51DFF560-8C13-45E4-B1CC-B1F85FFB0F21}"/>
    <cellStyle name="60% - Accent5 43 2 2" xfId="30882" xr:uid="{545123EB-E23B-4A15-BCB9-87C0B801B7C1}"/>
    <cellStyle name="60% - Accent5 43 2 2 2" xfId="51356" xr:uid="{DD7F2370-B4EE-4BE7-92EE-688FDF67BECD}"/>
    <cellStyle name="60% - Accent5 43 2 3" xfId="51355" xr:uid="{A1332B94-D8DE-4D6D-9780-444DC9693065}"/>
    <cellStyle name="60% - Accent5 43 3" xfId="23177" xr:uid="{80C62DDD-F677-40B6-87B9-F5D4D2F7270C}"/>
    <cellStyle name="60% - Accent5 43 3 2" xfId="51357" xr:uid="{484F2055-08BC-423F-9899-E0ACBA10E114}"/>
    <cellStyle name="60% - Accent5 43 4" xfId="51354" xr:uid="{A3A8EC41-6F0B-4807-9F74-A1ED2AD31EF5}"/>
    <cellStyle name="60% - Accent5 44" xfId="7782" xr:uid="{5849F600-D1C0-46FC-9140-3A156D567CFB}"/>
    <cellStyle name="60% - Accent5 44 2" xfId="15490" xr:uid="{50D33783-8438-406C-A771-87AFC500CF20}"/>
    <cellStyle name="60% - Accent5 44 2 2" xfId="30902" xr:uid="{F9D97D91-B354-497C-BD46-E217B40EABE2}"/>
    <cellStyle name="60% - Accent5 44 2 2 2" xfId="51360" xr:uid="{BEAB6E15-5AC7-4D2B-A3FA-02E55B470CB7}"/>
    <cellStyle name="60% - Accent5 44 2 3" xfId="51359" xr:uid="{2D31B72E-1B2E-412E-909E-F7F22FAAFEE0}"/>
    <cellStyle name="60% - Accent5 44 3" xfId="23197" xr:uid="{24800C5C-E2B5-46D9-A616-519C9D199B88}"/>
    <cellStyle name="60% - Accent5 44 3 2" xfId="51361" xr:uid="{6B5F6520-13C8-468C-A458-07AFDF61A0DA}"/>
    <cellStyle name="60% - Accent5 44 4" xfId="51358" xr:uid="{93641FC0-4D64-4E0B-A3E6-0FF80F7990BC}"/>
    <cellStyle name="60% - Accent5 45" xfId="7802" xr:uid="{8A2AFB0E-74E2-4B2F-B316-2EAFA0D66B93}"/>
    <cellStyle name="60% - Accent5 45 2" xfId="15510" xr:uid="{D17E002D-245C-4165-AADE-85FC4AC19A40}"/>
    <cellStyle name="60% - Accent5 45 2 2" xfId="30922" xr:uid="{37475D9B-13AC-41CF-B7A5-C7B0139CA6B5}"/>
    <cellStyle name="60% - Accent5 45 2 2 2" xfId="51364" xr:uid="{F8823A1B-17B2-4238-9E28-3FABF0C82F8E}"/>
    <cellStyle name="60% - Accent5 45 2 3" xfId="51363" xr:uid="{15429075-02A7-449F-A7F1-DB66236DC310}"/>
    <cellStyle name="60% - Accent5 45 3" xfId="23217" xr:uid="{2CD77CFB-FAAD-42B8-BAD7-50BE8F275218}"/>
    <cellStyle name="60% - Accent5 45 3 2" xfId="51365" xr:uid="{9D8B97BE-68D6-4AE3-9C0D-7BBABFB62F04}"/>
    <cellStyle name="60% - Accent5 45 4" xfId="51362" xr:uid="{B027BC65-BD6D-4918-9E71-16CACEF58F85}"/>
    <cellStyle name="60% - Accent5 46" xfId="7824" xr:uid="{30329D5D-32FB-4926-9737-18F7236C35FB}"/>
    <cellStyle name="60% - Accent5 46 2" xfId="15532" xr:uid="{47B0D8F4-4C65-41B4-9CF9-1DC2F620BC96}"/>
    <cellStyle name="60% - Accent5 46 2 2" xfId="30944" xr:uid="{151CA623-EC92-43D5-8997-687070A57AC1}"/>
    <cellStyle name="60% - Accent5 46 2 2 2" xfId="51368" xr:uid="{609BF789-816A-4102-9A2C-281F51668332}"/>
    <cellStyle name="60% - Accent5 46 2 3" xfId="51367" xr:uid="{73AC59F3-43E9-4EB6-A7FD-7F68059DEF2A}"/>
    <cellStyle name="60% - Accent5 46 3" xfId="23239" xr:uid="{17122B3A-105A-4367-8763-09C47AE69B68}"/>
    <cellStyle name="60% - Accent5 46 3 2" xfId="51369" xr:uid="{1ED80C8D-8A92-4F75-9D30-64655B5DF01B}"/>
    <cellStyle name="60% - Accent5 46 4" xfId="51366" xr:uid="{5321DF41-004D-45F5-80D0-595A8886E743}"/>
    <cellStyle name="60% - Accent5 47" xfId="7845" xr:uid="{BEADA919-B190-4E42-8E17-533DAD6B6068}"/>
    <cellStyle name="60% - Accent5 47 2" xfId="15553" xr:uid="{C731637A-279B-4661-811C-DF53BCB6909A}"/>
    <cellStyle name="60% - Accent5 47 2 2" xfId="30964" xr:uid="{673AB761-8C5F-495E-B2CB-2F4E75D436F8}"/>
    <cellStyle name="60% - Accent5 47 2 2 2" xfId="51372" xr:uid="{B2D1675A-5FDA-42E3-93C7-490D6B98C8AE}"/>
    <cellStyle name="60% - Accent5 47 2 3" xfId="51371" xr:uid="{D67734C9-D44A-4B5D-A1D8-EA614E39FB75}"/>
    <cellStyle name="60% - Accent5 47 3" xfId="23259" xr:uid="{2587CB27-54CC-40CE-936C-C7A986108018}"/>
    <cellStyle name="60% - Accent5 47 3 2" xfId="51373" xr:uid="{6AEAFE67-A1F3-44B5-BA9E-BB8EDFA1C90F}"/>
    <cellStyle name="60% - Accent5 47 4" xfId="51370" xr:uid="{351E2176-BCE1-4354-9F34-651F1850FC78}"/>
    <cellStyle name="60% - Accent5 48" xfId="7865" xr:uid="{3F282ED7-BA73-4874-86C9-7137D7DD8EA0}"/>
    <cellStyle name="60% - Accent5 48 2" xfId="15573" xr:uid="{24610A3A-CD8E-4D04-B16B-D98716AC255E}"/>
    <cellStyle name="60% - Accent5 48 2 2" xfId="30984" xr:uid="{A58886A8-FF18-4C1F-92C9-5EBBA62C039F}"/>
    <cellStyle name="60% - Accent5 48 2 2 2" xfId="51376" xr:uid="{BDF92408-8555-41D2-8035-6A9025C59EA8}"/>
    <cellStyle name="60% - Accent5 48 2 3" xfId="51375" xr:uid="{BD55869C-6601-4835-8B01-AA3CFCF2374B}"/>
    <cellStyle name="60% - Accent5 48 3" xfId="23279" xr:uid="{DDE2ADBB-6740-4E45-BD6A-4B663BADD0CF}"/>
    <cellStyle name="60% - Accent5 48 3 2" xfId="51377" xr:uid="{0DDA2060-77AA-43FE-B7EC-5AC077B32416}"/>
    <cellStyle name="60% - Accent5 48 4" xfId="51374" xr:uid="{AFBAB615-864A-4011-9645-5D2B4C51BB08}"/>
    <cellStyle name="60% - Accent5 49" xfId="7918" xr:uid="{44E07F9F-4969-4B77-93DA-B28CAD69CF40}"/>
    <cellStyle name="60% - Accent5 49 2" xfId="23331" xr:uid="{626F0101-F889-45C3-811C-D49693D45B21}"/>
    <cellStyle name="60% - Accent5 49 2 2" xfId="51379" xr:uid="{453A4D05-518D-4CF2-AD17-6CB0404ABD5E}"/>
    <cellStyle name="60% - Accent5 49 3" xfId="51378" xr:uid="{05B5E846-7328-42E4-8702-953D70025A48}"/>
    <cellStyle name="60% - Accent5 5" xfId="1627" xr:uid="{BE2958E4-3D71-4643-B6D7-1B129E883C62}"/>
    <cellStyle name="60% - Accent5 5 2" xfId="5362" xr:uid="{CD56AE50-7207-4E8A-BEFF-7CE761C618AA}"/>
    <cellStyle name="60% - Accent5 5 2 2" xfId="13070" xr:uid="{17BDAEF9-98FA-43C1-B6C6-5F90138BABC7}"/>
    <cellStyle name="60% - Accent5 5 2 2 2" xfId="28482" xr:uid="{AE288C6E-044E-4F26-AAD7-53DB92BDE672}"/>
    <cellStyle name="60% - Accent5 5 2 2 2 2" xfId="51383" xr:uid="{9538E48A-1C8C-4C38-9E5A-276EFD3357DA}"/>
    <cellStyle name="60% - Accent5 5 2 2 3" xfId="51382" xr:uid="{173C1CAE-E66F-4920-8A57-5A7D02D9E148}"/>
    <cellStyle name="60% - Accent5 5 2 3" xfId="20777" xr:uid="{C5D541F2-539D-4760-AB94-7603AE8322BC}"/>
    <cellStyle name="60% - Accent5 5 2 3 2" xfId="51384" xr:uid="{B41354A1-44B1-480C-B37A-960CB8A88996}"/>
    <cellStyle name="60% - Accent5 5 2 4" xfId="51381" xr:uid="{8C411B82-24BD-43A6-8C48-0C74FA984297}"/>
    <cellStyle name="60% - Accent5 5 3" xfId="9343" xr:uid="{7C806C1A-08A7-4CED-9100-03202D24DD27}"/>
    <cellStyle name="60% - Accent5 5 3 2" xfId="24756" xr:uid="{6D50C507-E716-4F79-9E2E-068D9725D0AB}"/>
    <cellStyle name="60% - Accent5 5 3 2 2" xfId="51386" xr:uid="{0946558A-6F12-41DA-907E-24A26574AB5F}"/>
    <cellStyle name="60% - Accent5 5 3 3" xfId="51385" xr:uid="{58EE2345-DCE3-422A-BC24-FE2389113AB0}"/>
    <cellStyle name="60% - Accent5 5 4" xfId="17051" xr:uid="{01C1803B-BB84-4E00-B556-BCF13582CED4}"/>
    <cellStyle name="60% - Accent5 5 4 2" xfId="51387" xr:uid="{A31681D8-43E7-4D55-9DD8-09B273A2E257}"/>
    <cellStyle name="60% - Accent5 5 5" xfId="51380" xr:uid="{FA455B74-D6F1-4D45-8A13-F2B7A4A13016}"/>
    <cellStyle name="60% - Accent5 50" xfId="15626" xr:uid="{DCBF4B9C-01CB-4EB8-8686-923FD5C752BE}"/>
    <cellStyle name="60% - Accent5 50 2" xfId="51388" xr:uid="{01673B44-95C9-4651-B376-28A6E240EAD2}"/>
    <cellStyle name="60% - Accent5 51" xfId="31004" xr:uid="{5009D25E-C48E-496C-9EB1-E4882F18AF87}"/>
    <cellStyle name="60% - Accent5 51 2" xfId="51389" xr:uid="{2C31A40B-7013-49E5-B1D7-E5A52553C928}"/>
    <cellStyle name="60% - Accent5 52" xfId="51028" xr:uid="{93D4B3F5-CE04-49DF-9A19-121F59F9320E}"/>
    <cellStyle name="60% - Accent5 53" xfId="61984" xr:uid="{D34EBFD4-61E1-4420-9DE7-29587EEC7761}"/>
    <cellStyle name="60% - Accent5 54" xfId="62004" xr:uid="{1FCE8B87-FF05-46EF-B454-CF992317C124}"/>
    <cellStyle name="60% - Accent5 55" xfId="62024" xr:uid="{D8357777-395D-4A79-99B2-F01618D15738}"/>
    <cellStyle name="60% - Accent5 56" xfId="62045" xr:uid="{6A7FE1BF-4338-4992-B72F-9669E9C22483}"/>
    <cellStyle name="60% - Accent5 57" xfId="62068" xr:uid="{1D6386D3-C655-4966-823E-09E656DDE56A}"/>
    <cellStyle name="60% - Accent5 58" xfId="62093" xr:uid="{2741E526-2E71-4DF5-86B3-54DDC3963A12}"/>
    <cellStyle name="60% - Accent5 6" xfId="3310" xr:uid="{E009A6A8-6952-41DD-BB05-26172CC5A6E6}"/>
    <cellStyle name="60% - Accent5 6 2" xfId="7042" xr:uid="{34F55137-22F1-4633-88CE-C4F9D8D4837D}"/>
    <cellStyle name="60% - Accent5 6 2 2" xfId="14750" xr:uid="{3260F66A-37A9-41D9-9E30-DFE5EA180CC6}"/>
    <cellStyle name="60% - Accent5 6 2 2 2" xfId="30162" xr:uid="{B2ECCAC5-9EC6-4065-A6B5-81CC3C6A86AE}"/>
    <cellStyle name="60% - Accent5 6 2 2 2 2" xfId="51393" xr:uid="{75ED6D05-4744-4F88-AF13-F6F2E2B66EAE}"/>
    <cellStyle name="60% - Accent5 6 2 2 3" xfId="51392" xr:uid="{F0C16F16-3AE2-460E-9216-CC9DF1FF46F1}"/>
    <cellStyle name="60% - Accent5 6 2 3" xfId="22457" xr:uid="{5134C75D-6B9D-43ED-B232-71EE38CEC63D}"/>
    <cellStyle name="60% - Accent5 6 2 3 2" xfId="51394" xr:uid="{E0434471-7A99-464A-9DE9-46DC22A8380C}"/>
    <cellStyle name="60% - Accent5 6 2 4" xfId="51391" xr:uid="{A518F018-C638-40B5-8B8F-D0D741F82ADE}"/>
    <cellStyle name="60% - Accent5 6 3" xfId="11021" xr:uid="{1F32605F-E6B2-4F65-AF34-F3005D7AAFC2}"/>
    <cellStyle name="60% - Accent5 6 3 2" xfId="26434" xr:uid="{67D939A4-BD72-453F-81DB-9F085CC2E8D3}"/>
    <cellStyle name="60% - Accent5 6 3 2 2" xfId="51396" xr:uid="{90BD6C79-114F-4A47-AC44-3C96D7564D34}"/>
    <cellStyle name="60% - Accent5 6 3 3" xfId="51395" xr:uid="{C406F7D1-2E66-4E03-93B8-0DF0102FD34B}"/>
    <cellStyle name="60% - Accent5 6 4" xfId="18729" xr:uid="{A08D261B-0CA3-4A4B-8A59-9E89B62B5BE7}"/>
    <cellStyle name="60% - Accent5 6 4 2" xfId="51397" xr:uid="{C64010E4-106F-4829-859C-2A49372D04F8}"/>
    <cellStyle name="60% - Accent5 6 5" xfId="51390" xr:uid="{D1A84E2B-7929-4BC2-80AA-516052137861}"/>
    <cellStyle name="60% - Accent5 7" xfId="3330" xr:uid="{5A81F90A-1DA6-4EE2-8659-F18A9DD92E68}"/>
    <cellStyle name="60% - Accent5 7 2" xfId="7062" xr:uid="{3C5EFC3A-7CC6-4B0C-A13B-0CF0F4B8B057}"/>
    <cellStyle name="60% - Accent5 7 2 2" xfId="14770" xr:uid="{65ACE6FB-D4BB-4DF7-A48E-B510C0B1C071}"/>
    <cellStyle name="60% - Accent5 7 2 2 2" xfId="30182" xr:uid="{10FFDE5D-D309-4E6D-9343-9CCD7300902E}"/>
    <cellStyle name="60% - Accent5 7 2 2 2 2" xfId="51401" xr:uid="{E69D8564-5D83-432C-AC48-7F3C89CF8F56}"/>
    <cellStyle name="60% - Accent5 7 2 2 3" xfId="51400" xr:uid="{15CB654E-2349-426E-AE09-F32FEA135511}"/>
    <cellStyle name="60% - Accent5 7 2 3" xfId="22477" xr:uid="{6381516F-77E4-4101-8813-63D99E15E2F4}"/>
    <cellStyle name="60% - Accent5 7 2 3 2" xfId="51402" xr:uid="{E57DCED9-5791-41FC-9FC9-BB2E05A10D1D}"/>
    <cellStyle name="60% - Accent5 7 2 4" xfId="51399" xr:uid="{E2BF5563-9075-4A90-9A0B-542C6115B931}"/>
    <cellStyle name="60% - Accent5 7 3" xfId="11041" xr:uid="{E8CD2A48-DB6C-4B30-A5CE-00D19447ED50}"/>
    <cellStyle name="60% - Accent5 7 3 2" xfId="26454" xr:uid="{A22D93D3-5A2A-471F-9499-482AA8E1831B}"/>
    <cellStyle name="60% - Accent5 7 3 2 2" xfId="51404" xr:uid="{B4985220-CD18-461A-83B1-3E29BC41C6E5}"/>
    <cellStyle name="60% - Accent5 7 3 3" xfId="51403" xr:uid="{635973B1-3C19-4398-8A9F-162872EF6507}"/>
    <cellStyle name="60% - Accent5 7 4" xfId="18749" xr:uid="{2EF1679F-FCCF-4DE5-8AC9-B6061EE5F6E3}"/>
    <cellStyle name="60% - Accent5 7 4 2" xfId="51405" xr:uid="{4447BE66-8FB2-471C-9597-6E649648C6F9}"/>
    <cellStyle name="60% - Accent5 7 5" xfId="51398" xr:uid="{8971B3FB-7414-4144-9110-6D002AC20E58}"/>
    <cellStyle name="60% - Accent5 8" xfId="3350" xr:uid="{0716FF85-DF12-4ABD-A457-65D2643FD339}"/>
    <cellStyle name="60% - Accent5 8 2" xfId="7082" xr:uid="{A330056B-76DA-451B-B8C4-C152B6DE9CF2}"/>
    <cellStyle name="60% - Accent5 8 2 2" xfId="14790" xr:uid="{1C95772B-6538-4653-8BD2-EB32CE7482F2}"/>
    <cellStyle name="60% - Accent5 8 2 2 2" xfId="30202" xr:uid="{72EE216F-07C9-4902-8646-4A76FBDB1B27}"/>
    <cellStyle name="60% - Accent5 8 2 2 2 2" xfId="51409" xr:uid="{C0BBCAC5-4230-4D10-B776-048015C77AE8}"/>
    <cellStyle name="60% - Accent5 8 2 2 3" xfId="51408" xr:uid="{F24A657C-044F-4B9C-868F-BB7FA662AD9E}"/>
    <cellStyle name="60% - Accent5 8 2 3" xfId="22497" xr:uid="{B37B5ACD-47CF-41B6-AE23-9B50498D860B}"/>
    <cellStyle name="60% - Accent5 8 2 3 2" xfId="51410" xr:uid="{F6863A83-D52E-4F04-BA93-4DD479A15958}"/>
    <cellStyle name="60% - Accent5 8 2 4" xfId="51407" xr:uid="{FAB05BBD-8E13-44B5-8651-7BF907E48701}"/>
    <cellStyle name="60% - Accent5 8 3" xfId="11061" xr:uid="{6C558A97-EB33-4C60-A422-E18CD1A6D253}"/>
    <cellStyle name="60% - Accent5 8 3 2" xfId="26474" xr:uid="{16C5A5CF-93B1-41C6-A8EE-8CB6CDF02880}"/>
    <cellStyle name="60% - Accent5 8 3 2 2" xfId="51412" xr:uid="{925EB9CC-15E8-4508-B135-2218F61C7887}"/>
    <cellStyle name="60% - Accent5 8 3 3" xfId="51411" xr:uid="{B14FB5FA-E4AE-4915-A2BE-B7A67BC0F107}"/>
    <cellStyle name="60% - Accent5 8 4" xfId="18769" xr:uid="{11658E30-5DEE-4F51-9A04-E8E1E160AFBF}"/>
    <cellStyle name="60% - Accent5 8 4 2" xfId="51413" xr:uid="{C03FF8BB-DFC3-4466-A08F-89D5EF9AC87E}"/>
    <cellStyle name="60% - Accent5 8 5" xfId="51406" xr:uid="{47EFD9A7-E1AC-4812-ABAE-328F519E0439}"/>
    <cellStyle name="60% - Accent5 9" xfId="3370" xr:uid="{82B70F3E-BF0A-4E3F-9B4D-DCC5FB6622AE}"/>
    <cellStyle name="60% - Accent5 9 2" xfId="7102" xr:uid="{E468B49D-FA73-4D9B-81E4-21CE4DFF32AF}"/>
    <cellStyle name="60% - Accent5 9 2 2" xfId="14810" xr:uid="{2B8DED0E-D4FB-4D40-A114-8AC7EAF5836F}"/>
    <cellStyle name="60% - Accent5 9 2 2 2" xfId="30222" xr:uid="{FC57E12D-CEBF-40AE-BE27-662BEB87C8A7}"/>
    <cellStyle name="60% - Accent5 9 2 2 2 2" xfId="51417" xr:uid="{B941A728-8A91-4FBD-9EC3-091F43E24480}"/>
    <cellStyle name="60% - Accent5 9 2 2 3" xfId="51416" xr:uid="{99EB2846-A18E-4B49-AD37-D5D9F6C74BE0}"/>
    <cellStyle name="60% - Accent5 9 2 3" xfId="22517" xr:uid="{6233843D-26A3-4A9F-9845-97F0C96E2205}"/>
    <cellStyle name="60% - Accent5 9 2 3 2" xfId="51418" xr:uid="{15EB73CF-19B9-4C69-80AF-C8EF05C30062}"/>
    <cellStyle name="60% - Accent5 9 2 4" xfId="51415" xr:uid="{660E61D4-E805-437E-B9FC-444E4A5A8379}"/>
    <cellStyle name="60% - Accent5 9 3" xfId="11081" xr:uid="{0A44AA48-5AEE-463A-BFDD-B5A858650A00}"/>
    <cellStyle name="60% - Accent5 9 3 2" xfId="26494" xr:uid="{3A98420C-9DAD-4934-8120-7A534F64E7DC}"/>
    <cellStyle name="60% - Accent5 9 3 2 2" xfId="51420" xr:uid="{D58507F2-E686-4377-9CC7-2DB4F6B696A3}"/>
    <cellStyle name="60% - Accent5 9 3 3" xfId="51419" xr:uid="{3172988B-FDC5-482E-ABBC-E44E789ECD07}"/>
    <cellStyle name="60% - Accent5 9 4" xfId="18789" xr:uid="{E062F663-2D0B-480E-AC2E-4D647C26E94F}"/>
    <cellStyle name="60% - Accent5 9 4 2" xfId="51421" xr:uid="{6AC5F4FC-C809-404E-A693-D4D7A952A4E9}"/>
    <cellStyle name="60% - Accent5 9 5" xfId="51414" xr:uid="{F3AE2B51-0918-4CF2-B451-975FD57F0897}"/>
    <cellStyle name="60% - Accent6 10" xfId="3393" xr:uid="{88E73A35-F3B4-49A8-9A7F-E4ADB759BA5F}"/>
    <cellStyle name="60% - Accent6 10 2" xfId="7125" xr:uid="{49A00920-3EB7-4461-9750-1B935539A212}"/>
    <cellStyle name="60% - Accent6 10 2 2" xfId="14833" xr:uid="{695E2421-A46A-4241-AAC7-25A2821CB270}"/>
    <cellStyle name="60% - Accent6 10 2 2 2" xfId="30245" xr:uid="{27358D44-1ACB-4748-96FF-32C2DB70DB6F}"/>
    <cellStyle name="60% - Accent6 10 2 2 2 2" xfId="51426" xr:uid="{4DE9042C-3559-41F1-8C1D-071DC57432AE}"/>
    <cellStyle name="60% - Accent6 10 2 2 3" xfId="51425" xr:uid="{B84E04A4-4D11-447C-A45B-A9C1365108D7}"/>
    <cellStyle name="60% - Accent6 10 2 3" xfId="22540" xr:uid="{AEDC9E81-8993-49D1-A904-B903B790F98C}"/>
    <cellStyle name="60% - Accent6 10 2 3 2" xfId="51427" xr:uid="{FD6710A3-4F42-4A1E-BA36-EE2D3FB1D59A}"/>
    <cellStyle name="60% - Accent6 10 2 4" xfId="51424" xr:uid="{8EDD5481-6011-4099-81AC-0FA46F80F5B5}"/>
    <cellStyle name="60% - Accent6 10 3" xfId="11104" xr:uid="{C1DCF496-942C-439B-AD1C-9E7841E42DCD}"/>
    <cellStyle name="60% - Accent6 10 3 2" xfId="26517" xr:uid="{38CA1B71-4E7C-40DD-94E9-B36732D5987F}"/>
    <cellStyle name="60% - Accent6 10 3 2 2" xfId="51429" xr:uid="{3A3E64A6-432E-4972-BE37-2ADF3DCAF713}"/>
    <cellStyle name="60% - Accent6 10 3 3" xfId="51428" xr:uid="{88D0E5A3-5437-4C4F-9F33-5BF40F048301}"/>
    <cellStyle name="60% - Accent6 10 4" xfId="18812" xr:uid="{B3C43DB9-2B86-49C9-A727-1DC9F09B4FE3}"/>
    <cellStyle name="60% - Accent6 10 4 2" xfId="51430" xr:uid="{D75467A0-4A0F-46DA-BA54-0AE9022391F9}"/>
    <cellStyle name="60% - Accent6 10 5" xfId="51423" xr:uid="{BA4AC8B3-B66F-4FE5-8F87-E621CCCCF5BC}"/>
    <cellStyle name="60% - Accent6 11" xfId="3413" xr:uid="{2665E696-9878-4602-A0CB-877B9CD75448}"/>
    <cellStyle name="60% - Accent6 11 2" xfId="7145" xr:uid="{7026708A-283F-47E6-B7BD-5CC1C19126D8}"/>
    <cellStyle name="60% - Accent6 11 2 2" xfId="14853" xr:uid="{03A4ADCD-14A5-4101-85C9-221720968BA7}"/>
    <cellStyle name="60% - Accent6 11 2 2 2" xfId="30265" xr:uid="{285DDA1F-6381-44DF-BF60-E35E5538E822}"/>
    <cellStyle name="60% - Accent6 11 2 2 2 2" xfId="51434" xr:uid="{2CADDE36-BBE5-4501-91E4-D0CF69AB18ED}"/>
    <cellStyle name="60% - Accent6 11 2 2 3" xfId="51433" xr:uid="{DFBE8F96-B7D2-4F07-A205-4CCD61A6D532}"/>
    <cellStyle name="60% - Accent6 11 2 3" xfId="22560" xr:uid="{BB17CF63-3BAF-41A2-9C7E-7CF33F739C12}"/>
    <cellStyle name="60% - Accent6 11 2 3 2" xfId="51435" xr:uid="{5F47D713-29E3-4267-B1BC-93C6A40D4FB5}"/>
    <cellStyle name="60% - Accent6 11 2 4" xfId="51432" xr:uid="{FBD3AF69-68FB-4DC1-A713-3F6A658A68CA}"/>
    <cellStyle name="60% - Accent6 11 3" xfId="11124" xr:uid="{AB6875BF-9C63-4C71-AE77-941412A74B99}"/>
    <cellStyle name="60% - Accent6 11 3 2" xfId="26537" xr:uid="{D491C0BC-836E-4F8E-836B-F7E2CBB6BDBF}"/>
    <cellStyle name="60% - Accent6 11 3 2 2" xfId="51437" xr:uid="{2268B0E5-CABC-41AB-918E-984429E07A97}"/>
    <cellStyle name="60% - Accent6 11 3 3" xfId="51436" xr:uid="{46A5E4DD-3D01-4E39-8B58-797F7F2801E7}"/>
    <cellStyle name="60% - Accent6 11 4" xfId="18832" xr:uid="{604ED663-1933-45F9-917E-5D8E0A6E4CDA}"/>
    <cellStyle name="60% - Accent6 11 4 2" xfId="51438" xr:uid="{1C8AD586-E1BE-4364-A2B4-01076EB09415}"/>
    <cellStyle name="60% - Accent6 11 5" xfId="51431" xr:uid="{1AA3F590-F3D3-4AA3-A58B-3329DEDF19BA}"/>
    <cellStyle name="60% - Accent6 12" xfId="3433" xr:uid="{65FAB13F-AA4A-4020-936D-BB170CD42FC3}"/>
    <cellStyle name="60% - Accent6 12 2" xfId="7165" xr:uid="{F1E8FBC7-2793-47E6-BBD3-E656F02153C5}"/>
    <cellStyle name="60% - Accent6 12 2 2" xfId="14873" xr:uid="{6E414D7F-2818-4D6B-BAD6-F821BF022722}"/>
    <cellStyle name="60% - Accent6 12 2 2 2" xfId="30285" xr:uid="{ACD5A441-1174-497C-82FD-257AA78E05F2}"/>
    <cellStyle name="60% - Accent6 12 2 2 2 2" xfId="51442" xr:uid="{87199FDD-666D-47C5-AAD8-A28649235513}"/>
    <cellStyle name="60% - Accent6 12 2 2 3" xfId="51441" xr:uid="{3070450F-FD2E-4905-832A-56B597A9935D}"/>
    <cellStyle name="60% - Accent6 12 2 3" xfId="22580" xr:uid="{60FBCCF4-50E9-4A9F-AD12-9D99548BBE2A}"/>
    <cellStyle name="60% - Accent6 12 2 3 2" xfId="51443" xr:uid="{9D1094BC-AC6A-4B6B-A9AC-10D1C2329306}"/>
    <cellStyle name="60% - Accent6 12 2 4" xfId="51440" xr:uid="{D52673F8-ADBC-4A49-A147-FD74FF449229}"/>
    <cellStyle name="60% - Accent6 12 3" xfId="11144" xr:uid="{CD950807-FE10-4AF2-8A10-8111029C89E9}"/>
    <cellStyle name="60% - Accent6 12 3 2" xfId="26557" xr:uid="{C0753EEB-19E4-42D7-BA4C-23E644657933}"/>
    <cellStyle name="60% - Accent6 12 3 2 2" xfId="51445" xr:uid="{48B5671D-3B4C-4EA4-B91C-ABEE45933746}"/>
    <cellStyle name="60% - Accent6 12 3 3" xfId="51444" xr:uid="{4BCC914F-8D29-4E9F-9112-3E5C53E735A6}"/>
    <cellStyle name="60% - Accent6 12 4" xfId="18852" xr:uid="{23808102-6553-4C72-BB7F-8FD8786D0A17}"/>
    <cellStyle name="60% - Accent6 12 4 2" xfId="51446" xr:uid="{BBE0CD99-0FFE-4825-8D8B-8F072300BB6E}"/>
    <cellStyle name="60% - Accent6 12 5" xfId="51439" xr:uid="{0F94E382-3699-4B31-83D8-D91F8ECA3DD6}"/>
    <cellStyle name="60% - Accent6 13" xfId="3453" xr:uid="{4467978E-915C-429E-A071-02BC2F175399}"/>
    <cellStyle name="60% - Accent6 13 2" xfId="7185" xr:uid="{B3B979A3-B3D2-4B07-958A-1B83E9A7EC63}"/>
    <cellStyle name="60% - Accent6 13 2 2" xfId="14893" xr:uid="{C04EFDEC-7ED2-4598-813C-5BA004A874B5}"/>
    <cellStyle name="60% - Accent6 13 2 2 2" xfId="30305" xr:uid="{0D68EDEF-2DE1-493E-BC0F-53371EDB0BA1}"/>
    <cellStyle name="60% - Accent6 13 2 2 2 2" xfId="51450" xr:uid="{DDD19FE8-74D1-4D62-AAB7-73BC765253AE}"/>
    <cellStyle name="60% - Accent6 13 2 2 3" xfId="51449" xr:uid="{C5A81808-CC96-40CC-B248-7CA2EEABEDEC}"/>
    <cellStyle name="60% - Accent6 13 2 3" xfId="22600" xr:uid="{56CA11A3-EBA3-41A6-890E-1B01E79CDD01}"/>
    <cellStyle name="60% - Accent6 13 2 3 2" xfId="51451" xr:uid="{B538D55D-BA0E-483C-B1DB-890814AEEA86}"/>
    <cellStyle name="60% - Accent6 13 2 4" xfId="51448" xr:uid="{7CA55EF0-6F84-4B37-8BB3-546EA7DCCBD5}"/>
    <cellStyle name="60% - Accent6 13 3" xfId="11164" xr:uid="{C6AD654A-2C3E-427D-8C79-D4973603D127}"/>
    <cellStyle name="60% - Accent6 13 3 2" xfId="26577" xr:uid="{54976A9D-D140-4025-A2C6-E2E20076D5AA}"/>
    <cellStyle name="60% - Accent6 13 3 2 2" xfId="51453" xr:uid="{E66B2FE7-7B04-4CB3-B8B2-62CDD667DB24}"/>
    <cellStyle name="60% - Accent6 13 3 3" xfId="51452" xr:uid="{93382422-621D-4C38-8ADB-14586C2F3CF5}"/>
    <cellStyle name="60% - Accent6 13 4" xfId="18872" xr:uid="{376F9C71-591B-449C-A11E-385C8754FAE7}"/>
    <cellStyle name="60% - Accent6 13 4 2" xfId="51454" xr:uid="{0A019B48-A54E-4EE9-99B2-63F69ADE58D6}"/>
    <cellStyle name="60% - Accent6 13 5" xfId="51447" xr:uid="{B12661D3-D0E7-44ED-A098-143DEA098A58}"/>
    <cellStyle name="60% - Accent6 14" xfId="3473" xr:uid="{AFB35C60-425C-4E8A-BA8C-4943F20F5992}"/>
    <cellStyle name="60% - Accent6 14 2" xfId="7205" xr:uid="{3D439D1A-41E3-47CB-A80D-0CEB0A43EBF4}"/>
    <cellStyle name="60% - Accent6 14 2 2" xfId="14913" xr:uid="{214DA53E-DFBF-4191-97B8-2D8E5E8FCFC5}"/>
    <cellStyle name="60% - Accent6 14 2 2 2" xfId="30325" xr:uid="{E7E9E2E7-A386-4898-B60E-C2B6B6662E08}"/>
    <cellStyle name="60% - Accent6 14 2 2 2 2" xfId="51458" xr:uid="{6E66803E-1A3D-4DA7-9A35-4C6385D1D581}"/>
    <cellStyle name="60% - Accent6 14 2 2 3" xfId="51457" xr:uid="{BA02FDFE-AD7B-452B-8039-D43FCE96AA8D}"/>
    <cellStyle name="60% - Accent6 14 2 3" xfId="22620" xr:uid="{6A4B4E2B-B7E5-4842-8ED0-970AD829977C}"/>
    <cellStyle name="60% - Accent6 14 2 3 2" xfId="51459" xr:uid="{4A829E0D-A2A0-4283-8411-DC292579973E}"/>
    <cellStyle name="60% - Accent6 14 2 4" xfId="51456" xr:uid="{DF69F62B-0C03-4D67-9F1F-E6E1BDDDEACE}"/>
    <cellStyle name="60% - Accent6 14 3" xfId="11184" xr:uid="{41FE4D17-CAF2-4C21-899F-289F3D3890AF}"/>
    <cellStyle name="60% - Accent6 14 3 2" xfId="26597" xr:uid="{96A6DCE1-BF0F-4EC5-98FD-05BAFD0D7D25}"/>
    <cellStyle name="60% - Accent6 14 3 2 2" xfId="51461" xr:uid="{8800B6B2-5E9E-4098-8A71-3620EB0BD482}"/>
    <cellStyle name="60% - Accent6 14 3 3" xfId="51460" xr:uid="{5D0472E3-54ED-46DD-9FE4-E114ACCD509B}"/>
    <cellStyle name="60% - Accent6 14 4" xfId="18892" xr:uid="{20917DC9-3B67-4C06-8F87-4E59F8A25BE4}"/>
    <cellStyle name="60% - Accent6 14 4 2" xfId="51462" xr:uid="{A4E8EBB4-8EA0-4199-9E89-6F78CAEFD74F}"/>
    <cellStyle name="60% - Accent6 14 5" xfId="51455" xr:uid="{7899734F-7035-4A38-BB7F-4BFFC46DE21A}"/>
    <cellStyle name="60% - Accent6 15" xfId="3493" xr:uid="{80042D9B-6EC0-42A0-B222-D258D6644AEE}"/>
    <cellStyle name="60% - Accent6 15 2" xfId="7225" xr:uid="{1FC748A9-6BF9-42E6-BDEB-DB2D2AEB3450}"/>
    <cellStyle name="60% - Accent6 15 2 2" xfId="14933" xr:uid="{7E91F750-6BED-48D6-AA8D-ACF8AC72FFA4}"/>
    <cellStyle name="60% - Accent6 15 2 2 2" xfId="30345" xr:uid="{265B79B3-490E-441E-A883-18CC3604A2BE}"/>
    <cellStyle name="60% - Accent6 15 2 2 2 2" xfId="51466" xr:uid="{6F7E98FF-889D-4465-A59A-8C9445F1CA77}"/>
    <cellStyle name="60% - Accent6 15 2 2 3" xfId="51465" xr:uid="{BAA52A0C-0FA2-4808-8080-063F069AE776}"/>
    <cellStyle name="60% - Accent6 15 2 3" xfId="22640" xr:uid="{46CF5B60-35C1-46E6-A6E6-D574EDB090D4}"/>
    <cellStyle name="60% - Accent6 15 2 3 2" xfId="51467" xr:uid="{13FDEC56-E9E7-4A2B-BACD-DBA103182449}"/>
    <cellStyle name="60% - Accent6 15 2 4" xfId="51464" xr:uid="{D2E51596-5206-4A60-8AE7-DB5A005D10B3}"/>
    <cellStyle name="60% - Accent6 15 3" xfId="11204" xr:uid="{DCA700F2-5468-40E5-BD26-9B6C5F2E1557}"/>
    <cellStyle name="60% - Accent6 15 3 2" xfId="26617" xr:uid="{9384A338-9E1E-4995-ABED-4B328C69865C}"/>
    <cellStyle name="60% - Accent6 15 3 2 2" xfId="51469" xr:uid="{04F3DFA9-7F6A-479A-8BC6-700F837B2167}"/>
    <cellStyle name="60% - Accent6 15 3 3" xfId="51468" xr:uid="{50FC091F-6F10-4321-B8C2-51D0827C4DFD}"/>
    <cellStyle name="60% - Accent6 15 4" xfId="18912" xr:uid="{1336A178-AEFE-490C-97BB-3D1FC16C8C74}"/>
    <cellStyle name="60% - Accent6 15 4 2" xfId="51470" xr:uid="{C3DF086C-8A50-4243-8C2B-C8873C2A7DCA}"/>
    <cellStyle name="60% - Accent6 15 5" xfId="51463" xr:uid="{EC753B68-AC00-4222-ABF4-421E6628E016}"/>
    <cellStyle name="60% - Accent6 16" xfId="3513" xr:uid="{C2E0628E-A3EC-4285-A07E-9FFD39CE206A}"/>
    <cellStyle name="60% - Accent6 16 2" xfId="7245" xr:uid="{1181AD1F-0C00-4E8C-A74C-5EBB22455A9B}"/>
    <cellStyle name="60% - Accent6 16 2 2" xfId="14953" xr:uid="{6E922CC1-2551-4B39-9737-8DF04DF3AFEA}"/>
    <cellStyle name="60% - Accent6 16 2 2 2" xfId="30365" xr:uid="{D159FDF5-CA00-4450-B714-D569B14B0BD7}"/>
    <cellStyle name="60% - Accent6 16 2 2 2 2" xfId="51474" xr:uid="{072FA9F4-882E-46DD-AC87-886A8830FFF7}"/>
    <cellStyle name="60% - Accent6 16 2 2 3" xfId="51473" xr:uid="{66CF0441-3C55-493F-8AF5-D6E1EC06D4AF}"/>
    <cellStyle name="60% - Accent6 16 2 3" xfId="22660" xr:uid="{335D3393-BC8C-4938-B6DA-8E7530B92BC5}"/>
    <cellStyle name="60% - Accent6 16 2 3 2" xfId="51475" xr:uid="{5CF181FA-06EC-4357-92BC-62DA742979DA}"/>
    <cellStyle name="60% - Accent6 16 2 4" xfId="51472" xr:uid="{35CDBB56-EDAB-4076-864D-80D1C4A4C0F2}"/>
    <cellStyle name="60% - Accent6 16 3" xfId="11224" xr:uid="{2F9B3F6E-53B8-4EE4-9A41-E8A4675FCADF}"/>
    <cellStyle name="60% - Accent6 16 3 2" xfId="26637" xr:uid="{972AE78F-BEF6-461D-9964-297A1FBC9D12}"/>
    <cellStyle name="60% - Accent6 16 3 2 2" xfId="51477" xr:uid="{988448FF-D3D4-4FA0-A40F-BA83610C2141}"/>
    <cellStyle name="60% - Accent6 16 3 3" xfId="51476" xr:uid="{A748009C-F2FF-47EF-A002-8E6BB6700B29}"/>
    <cellStyle name="60% - Accent6 16 4" xfId="18932" xr:uid="{FE8BA329-9B7D-4E62-B2B4-65AE59BD4192}"/>
    <cellStyle name="60% - Accent6 16 4 2" xfId="51478" xr:uid="{89D58FB1-F30D-4EB2-984E-3B4B0203C19C}"/>
    <cellStyle name="60% - Accent6 16 5" xfId="51471" xr:uid="{231C9C0B-A411-4226-B823-2110EDBECFF5}"/>
    <cellStyle name="60% - Accent6 17" xfId="3533" xr:uid="{12BF37CC-B6DA-4E2D-86E7-4C44886E2A1E}"/>
    <cellStyle name="60% - Accent6 17 2" xfId="7265" xr:uid="{D3DC7D76-A2DC-410B-AE1E-60E702FD0BD0}"/>
    <cellStyle name="60% - Accent6 17 2 2" xfId="14973" xr:uid="{FEEABD7B-CBED-45A9-93BF-8062578F5E9E}"/>
    <cellStyle name="60% - Accent6 17 2 2 2" xfId="30385" xr:uid="{9C0B7466-AB7F-41BA-9A7A-095CE9D20FD3}"/>
    <cellStyle name="60% - Accent6 17 2 2 2 2" xfId="51482" xr:uid="{7EECBBB7-8816-4ACC-AE9E-E67625F66EB8}"/>
    <cellStyle name="60% - Accent6 17 2 2 3" xfId="51481" xr:uid="{51E93395-1C21-451C-9C31-81BFB7F26748}"/>
    <cellStyle name="60% - Accent6 17 2 3" xfId="22680" xr:uid="{A1B424A9-BAB8-45AA-9DBA-9ECE28CCCFA1}"/>
    <cellStyle name="60% - Accent6 17 2 3 2" xfId="51483" xr:uid="{BE857CC1-8066-4D2B-8FE7-BDCA54FF385E}"/>
    <cellStyle name="60% - Accent6 17 2 4" xfId="51480" xr:uid="{AAD9A631-E797-428E-964D-9AA5668EC69C}"/>
    <cellStyle name="60% - Accent6 17 3" xfId="11244" xr:uid="{2ED46DE0-F054-4D43-99C1-5ACAE6BEC6EA}"/>
    <cellStyle name="60% - Accent6 17 3 2" xfId="26657" xr:uid="{4026DDFF-6899-43F7-9B31-B72E6752ECD0}"/>
    <cellStyle name="60% - Accent6 17 3 2 2" xfId="51485" xr:uid="{CE7B7BD2-F4E3-4154-BDCF-362FF08F6C73}"/>
    <cellStyle name="60% - Accent6 17 3 3" xfId="51484" xr:uid="{29324192-0226-467B-8483-83AEC5B4A1AB}"/>
    <cellStyle name="60% - Accent6 17 4" xfId="18952" xr:uid="{66E82AB7-4AB4-4FEB-A02D-D4FE1C15299D}"/>
    <cellStyle name="60% - Accent6 17 4 2" xfId="51486" xr:uid="{6E7FCA8D-666F-45A0-9825-3CF9B5383C47}"/>
    <cellStyle name="60% - Accent6 17 5" xfId="51479" xr:uid="{E8B73163-76E4-48F6-BC11-29F7342B1A87}"/>
    <cellStyle name="60% - Accent6 18" xfId="3553" xr:uid="{3C58A43F-F582-44BC-8C03-14E1A388BA09}"/>
    <cellStyle name="60% - Accent6 18 2" xfId="7285" xr:uid="{2CBBE14E-E4E0-460B-ABEB-B160DA860597}"/>
    <cellStyle name="60% - Accent6 18 2 2" xfId="14993" xr:uid="{73A7C628-EF04-4022-834E-DC6396CF4EB7}"/>
    <cellStyle name="60% - Accent6 18 2 2 2" xfId="30405" xr:uid="{6C17B5EC-35A9-40E0-ACF7-46D43DE374BF}"/>
    <cellStyle name="60% - Accent6 18 2 2 2 2" xfId="51490" xr:uid="{F67B61A7-70C8-451D-AFDE-752507A5E8ED}"/>
    <cellStyle name="60% - Accent6 18 2 2 3" xfId="51489" xr:uid="{C9F5AD93-D8FA-48CC-B26B-99E8A528C1AC}"/>
    <cellStyle name="60% - Accent6 18 2 3" xfId="22700" xr:uid="{65813346-82A0-425B-AA08-4AF2E53384F6}"/>
    <cellStyle name="60% - Accent6 18 2 3 2" xfId="51491" xr:uid="{A3733F5D-B7EB-40D4-9D11-A4126C23032C}"/>
    <cellStyle name="60% - Accent6 18 2 4" xfId="51488" xr:uid="{249A9AB2-3D8E-41A3-B4B5-71C9F8645DFE}"/>
    <cellStyle name="60% - Accent6 18 3" xfId="11264" xr:uid="{794901CD-DCD8-45D9-A15B-7330DB88E7A4}"/>
    <cellStyle name="60% - Accent6 18 3 2" xfId="26677" xr:uid="{2E12DD65-F248-416F-8A5A-C574F3DDE4EE}"/>
    <cellStyle name="60% - Accent6 18 3 2 2" xfId="51493" xr:uid="{56E25E28-BF44-435C-81AA-704AF32ECFF6}"/>
    <cellStyle name="60% - Accent6 18 3 3" xfId="51492" xr:uid="{DD6D7AAA-70DE-496A-B23B-574CCE7A6A3C}"/>
    <cellStyle name="60% - Accent6 18 4" xfId="18972" xr:uid="{1CCE0A9F-299F-489B-B96C-454A90551E53}"/>
    <cellStyle name="60% - Accent6 18 4 2" xfId="51494" xr:uid="{480E5D50-24A6-4888-BC53-EB73729645B5}"/>
    <cellStyle name="60% - Accent6 18 5" xfId="51487" xr:uid="{22D50AF8-2A6E-41DB-827C-C90E8246B3DB}"/>
    <cellStyle name="60% - Accent6 19" xfId="3573" xr:uid="{2A2299CF-AF5C-439F-B34A-62004CA4A0E3}"/>
    <cellStyle name="60% - Accent6 19 2" xfId="7305" xr:uid="{B46C87C1-30A5-42BE-B657-F065268E8FB1}"/>
    <cellStyle name="60% - Accent6 19 2 2" xfId="15013" xr:uid="{BE857CA0-2924-4C88-8B8C-AC1B175D41B1}"/>
    <cellStyle name="60% - Accent6 19 2 2 2" xfId="30425" xr:uid="{430D08A4-253F-4662-8D66-DEE18F433E7A}"/>
    <cellStyle name="60% - Accent6 19 2 2 2 2" xfId="51498" xr:uid="{3873B941-0E54-4520-B812-9EED5BAACC61}"/>
    <cellStyle name="60% - Accent6 19 2 2 3" xfId="51497" xr:uid="{16F55069-4D06-46B3-B9B2-CE738022EA1E}"/>
    <cellStyle name="60% - Accent6 19 2 3" xfId="22720" xr:uid="{EC78E4E3-BFA9-41ED-8BAD-01A94BD2825C}"/>
    <cellStyle name="60% - Accent6 19 2 3 2" xfId="51499" xr:uid="{06EC5CD5-A14A-44AF-93DC-353603D25C8C}"/>
    <cellStyle name="60% - Accent6 19 2 4" xfId="51496" xr:uid="{28FDB5C5-C4E8-43DF-8AAC-99671CC10923}"/>
    <cellStyle name="60% - Accent6 19 3" xfId="11284" xr:uid="{FF8D99FD-B2DC-45E2-B827-F12D162DC4BF}"/>
    <cellStyle name="60% - Accent6 19 3 2" xfId="26697" xr:uid="{5D51BB17-3165-40A3-9274-DE7C6689BE9B}"/>
    <cellStyle name="60% - Accent6 19 3 2 2" xfId="51501" xr:uid="{B3602727-7527-4787-9797-B614FC048D46}"/>
    <cellStyle name="60% - Accent6 19 3 3" xfId="51500" xr:uid="{25D46F97-855D-43B1-9493-4E786488E757}"/>
    <cellStyle name="60% - Accent6 19 4" xfId="18992" xr:uid="{7DDEDCEF-954C-43D1-A1AD-789386E6A88F}"/>
    <cellStyle name="60% - Accent6 19 4 2" xfId="51502" xr:uid="{4DEF481B-A5AF-4B92-950F-C1A32639B07F}"/>
    <cellStyle name="60% - Accent6 19 5" xfId="51495" xr:uid="{A387FAD9-C2BF-41DE-9996-263192B96E55}"/>
    <cellStyle name="60% - Accent6 2" xfId="92" xr:uid="{E5794DA8-C66E-471C-8542-8E2F3DAAB2EC}"/>
    <cellStyle name="60% - Accent6 2 2" xfId="51503" xr:uid="{8123B5A5-DF3C-4AE4-97D2-4632C4B49370}"/>
    <cellStyle name="60% - Accent6 20" xfId="3594" xr:uid="{50133D92-FAAB-4980-9F76-B1D9A52B62B7}"/>
    <cellStyle name="60% - Accent6 20 2" xfId="7325" xr:uid="{DB40A1CC-A643-4B2F-9C8C-C5085AE9137F}"/>
    <cellStyle name="60% - Accent6 20 2 2" xfId="15033" xr:uid="{5318F934-75B6-4D5B-BA21-32418D3E8DCC}"/>
    <cellStyle name="60% - Accent6 20 2 2 2" xfId="30445" xr:uid="{9B5BEB2B-01FC-41C1-B04C-BCDEA9954E36}"/>
    <cellStyle name="60% - Accent6 20 2 2 2 2" xfId="51507" xr:uid="{83BFAFF8-B9DF-49F9-993C-CFE5DBDA83F2}"/>
    <cellStyle name="60% - Accent6 20 2 2 3" xfId="51506" xr:uid="{3312946E-92F5-4BEA-B2C0-B2A78D0A0B78}"/>
    <cellStyle name="60% - Accent6 20 2 3" xfId="22740" xr:uid="{BC9F232E-E316-4D3B-ADD3-54F9111953E0}"/>
    <cellStyle name="60% - Accent6 20 2 3 2" xfId="51508" xr:uid="{7DF67B84-D241-4344-854C-BCE4FFD4E8C1}"/>
    <cellStyle name="60% - Accent6 20 2 4" xfId="51505" xr:uid="{D625D2E3-FC5F-4807-8A8B-A08224D84627}"/>
    <cellStyle name="60% - Accent6 20 3" xfId="11304" xr:uid="{E0F158F4-2E9D-4332-BCEF-6D8FE5529BDB}"/>
    <cellStyle name="60% - Accent6 20 3 2" xfId="26717" xr:uid="{869269E0-A567-494C-853B-120B4373E3D6}"/>
    <cellStyle name="60% - Accent6 20 3 2 2" xfId="51510" xr:uid="{D49FD5D5-075D-4F9B-B925-53B29DA34AF2}"/>
    <cellStyle name="60% - Accent6 20 3 3" xfId="51509" xr:uid="{8DCC96E8-707A-452C-BB85-ABFC4B2C1A31}"/>
    <cellStyle name="60% - Accent6 20 4" xfId="19012" xr:uid="{14E92B2D-E4A7-4A96-A9D3-E26614DD7AAB}"/>
    <cellStyle name="60% - Accent6 20 4 2" xfId="51511" xr:uid="{6007CF30-209C-4626-BE56-27C4C47129C7}"/>
    <cellStyle name="60% - Accent6 20 5" xfId="51504" xr:uid="{D4BBD108-AA62-4BFB-AA6F-FCA748C13226}"/>
    <cellStyle name="60% - Accent6 21" xfId="3614" xr:uid="{3CBDFAF8-2F2F-49E2-A071-8592FF79F1AB}"/>
    <cellStyle name="60% - Accent6 21 2" xfId="7345" xr:uid="{BBD84CA1-9649-442D-B766-446442491E24}"/>
    <cellStyle name="60% - Accent6 21 2 2" xfId="15053" xr:uid="{FA24B6AF-39CE-4A32-B341-F8B0758B5A89}"/>
    <cellStyle name="60% - Accent6 21 2 2 2" xfId="30465" xr:uid="{D7FBA134-2D3D-4DFC-B5A0-5DBAF331AF33}"/>
    <cellStyle name="60% - Accent6 21 2 2 2 2" xfId="51515" xr:uid="{4D826A9B-5480-42FF-AC36-6CDB88F088EC}"/>
    <cellStyle name="60% - Accent6 21 2 2 3" xfId="51514" xr:uid="{2E9099FD-AEEF-4B0A-B38E-F231D6C4C5C6}"/>
    <cellStyle name="60% - Accent6 21 2 3" xfId="22760" xr:uid="{ADB24A68-0A0F-48C3-9545-593F60D4039B}"/>
    <cellStyle name="60% - Accent6 21 2 3 2" xfId="51516" xr:uid="{3145F631-3281-40B8-AEDC-D4935AF4C9CC}"/>
    <cellStyle name="60% - Accent6 21 2 4" xfId="51513" xr:uid="{2975F538-E8FE-4147-B029-9934DC5446AD}"/>
    <cellStyle name="60% - Accent6 21 3" xfId="11324" xr:uid="{32D6EE65-31B4-4CDE-B5A9-F239E807323F}"/>
    <cellStyle name="60% - Accent6 21 3 2" xfId="26737" xr:uid="{C52F2459-D4F8-4491-BB31-40E6A6F6DFB5}"/>
    <cellStyle name="60% - Accent6 21 3 2 2" xfId="51518" xr:uid="{EBF02F79-C010-4C41-ACA5-BDD4BA2AF382}"/>
    <cellStyle name="60% - Accent6 21 3 3" xfId="51517" xr:uid="{ABED597F-DC15-4C4A-9023-4942FA029152}"/>
    <cellStyle name="60% - Accent6 21 4" xfId="19032" xr:uid="{09854C7E-8556-4C2A-9DC2-DBD77BCEE7A4}"/>
    <cellStyle name="60% - Accent6 21 4 2" xfId="51519" xr:uid="{2AD618CC-3CFD-444A-8140-364E97A306B5}"/>
    <cellStyle name="60% - Accent6 21 5" xfId="51512" xr:uid="{A7E25D1D-D084-4262-9271-034C93F87581}"/>
    <cellStyle name="60% - Accent6 22" xfId="3634" xr:uid="{CDEF8F87-7BAA-469F-82ED-6F9260FB3A55}"/>
    <cellStyle name="60% - Accent6 22 2" xfId="7365" xr:uid="{192F7373-2490-4E55-B8F3-32825E8E9821}"/>
    <cellStyle name="60% - Accent6 22 2 2" xfId="15073" xr:uid="{7FD3E5B6-EE14-4094-A950-0B0624961558}"/>
    <cellStyle name="60% - Accent6 22 2 2 2" xfId="30485" xr:uid="{4A92439A-281E-44AA-B145-BAF1325C60DC}"/>
    <cellStyle name="60% - Accent6 22 2 2 2 2" xfId="51523" xr:uid="{4F069D0D-1EAB-42C2-A553-3C2946C8D38F}"/>
    <cellStyle name="60% - Accent6 22 2 2 3" xfId="51522" xr:uid="{553E5521-9203-41A7-A693-D43B6E44AD3F}"/>
    <cellStyle name="60% - Accent6 22 2 3" xfId="22780" xr:uid="{5D6F55E2-4A91-48F2-B035-6D50BCF4EA0D}"/>
    <cellStyle name="60% - Accent6 22 2 3 2" xfId="51524" xr:uid="{EBFCABC6-BF30-4830-8889-485183AF2076}"/>
    <cellStyle name="60% - Accent6 22 2 4" xfId="51521" xr:uid="{4E5BB0ED-1D3A-471C-9DF5-179215DF2312}"/>
    <cellStyle name="60% - Accent6 22 3" xfId="11344" xr:uid="{BC2E7380-38B9-466F-A5C6-B0E784483024}"/>
    <cellStyle name="60% - Accent6 22 3 2" xfId="26757" xr:uid="{F44DAE98-75CF-46D2-83DE-E6B368885ABA}"/>
    <cellStyle name="60% - Accent6 22 3 2 2" xfId="51526" xr:uid="{EFFD893E-BC63-41E3-8302-1F0DF334A49E}"/>
    <cellStyle name="60% - Accent6 22 3 3" xfId="51525" xr:uid="{7BD6D13C-60AB-49D2-9BC4-BABAF9D1F556}"/>
    <cellStyle name="60% - Accent6 22 4" xfId="19052" xr:uid="{034E3CE7-0546-451A-BCED-837E6D970AED}"/>
    <cellStyle name="60% - Accent6 22 4 2" xfId="51527" xr:uid="{2514516F-EEB1-4C62-8684-54BFF64DFF1E}"/>
    <cellStyle name="60% - Accent6 22 5" xfId="51520" xr:uid="{74B1AC55-B403-468C-BC5A-6CB9AE44A677}"/>
    <cellStyle name="60% - Accent6 23" xfId="3654" xr:uid="{669D720D-5115-472B-87DC-4DC9998EE67A}"/>
    <cellStyle name="60% - Accent6 23 2" xfId="7385" xr:uid="{0F492665-70FC-4C23-B9FE-B2A8D7609A17}"/>
    <cellStyle name="60% - Accent6 23 2 2" xfId="15093" xr:uid="{20135777-1E0A-45C6-AE9D-9C1B41ED336F}"/>
    <cellStyle name="60% - Accent6 23 2 2 2" xfId="30505" xr:uid="{F2699185-EA9C-4868-94BF-2178239D3552}"/>
    <cellStyle name="60% - Accent6 23 2 2 2 2" xfId="51531" xr:uid="{F675F9DC-8AB3-46E0-9B1F-CF29AF97E0B0}"/>
    <cellStyle name="60% - Accent6 23 2 2 3" xfId="51530" xr:uid="{F0EB8E0C-CE6E-461A-8789-0B46118AE1E3}"/>
    <cellStyle name="60% - Accent6 23 2 3" xfId="22800" xr:uid="{31029556-9915-4DE3-BF9B-887DDE130AD2}"/>
    <cellStyle name="60% - Accent6 23 2 3 2" xfId="51532" xr:uid="{5B64F499-AD08-475D-BDC1-9FEF466947AA}"/>
    <cellStyle name="60% - Accent6 23 2 4" xfId="51529" xr:uid="{FB3B17B6-6FF8-48FE-95A8-D6226729A45E}"/>
    <cellStyle name="60% - Accent6 23 3" xfId="11364" xr:uid="{F9EA816A-BDA0-4CED-B5F2-B17228467982}"/>
    <cellStyle name="60% - Accent6 23 3 2" xfId="26777" xr:uid="{8631BE31-82CB-4863-B59B-3659C7248163}"/>
    <cellStyle name="60% - Accent6 23 3 2 2" xfId="51534" xr:uid="{0C8EBB27-CC5B-4CCD-93A0-0E927781AFEB}"/>
    <cellStyle name="60% - Accent6 23 3 3" xfId="51533" xr:uid="{3F8ADBBB-C89D-47EA-B955-B68B1B9E32ED}"/>
    <cellStyle name="60% - Accent6 23 4" xfId="19072" xr:uid="{7F797B1E-695D-46D2-A677-BE9E5C18F3E9}"/>
    <cellStyle name="60% - Accent6 23 4 2" xfId="51535" xr:uid="{7295E6E2-FAE9-4637-BD39-C678E411D3FC}"/>
    <cellStyle name="60% - Accent6 23 5" xfId="51528" xr:uid="{903B0241-11AD-481A-906D-0B8332DF199E}"/>
    <cellStyle name="60% - Accent6 24" xfId="3674" xr:uid="{442A8B57-3D46-4864-AB8E-6073B8A7DE63}"/>
    <cellStyle name="60% - Accent6 24 2" xfId="7405" xr:uid="{0E2F0336-DA28-4291-A83B-0D07E509F61F}"/>
    <cellStyle name="60% - Accent6 24 2 2" xfId="15113" xr:uid="{518297D1-D931-4663-BBA4-98903E1377C0}"/>
    <cellStyle name="60% - Accent6 24 2 2 2" xfId="30525" xr:uid="{57DDDE05-52CC-4E81-8294-EEDE7A2BC105}"/>
    <cellStyle name="60% - Accent6 24 2 2 2 2" xfId="51539" xr:uid="{0BF08439-5610-43B1-8712-44E3B2B5CFB1}"/>
    <cellStyle name="60% - Accent6 24 2 2 3" xfId="51538" xr:uid="{051A2CEF-A665-400D-8E3E-078A99AC1B8F}"/>
    <cellStyle name="60% - Accent6 24 2 3" xfId="22820" xr:uid="{3FDB3A02-CBB4-49B1-862C-8EB8B0FB8CBE}"/>
    <cellStyle name="60% - Accent6 24 2 3 2" xfId="51540" xr:uid="{4029B26A-FCB6-4B02-A70D-C04A8DB41CD7}"/>
    <cellStyle name="60% - Accent6 24 2 4" xfId="51537" xr:uid="{07221790-D867-4AF5-B10F-CBE64B905B71}"/>
    <cellStyle name="60% - Accent6 24 3" xfId="11384" xr:uid="{77F76B53-3A33-4C12-85C0-4E0DED7DDE6D}"/>
    <cellStyle name="60% - Accent6 24 3 2" xfId="26797" xr:uid="{C46FCF54-46C0-4C8F-AC75-8F78407C2F19}"/>
    <cellStyle name="60% - Accent6 24 3 2 2" xfId="51542" xr:uid="{DF935739-02E0-42F3-9145-8AA5743EC058}"/>
    <cellStyle name="60% - Accent6 24 3 3" xfId="51541" xr:uid="{F38FD68E-6371-4D5E-9ADE-913348C1E312}"/>
    <cellStyle name="60% - Accent6 24 4" xfId="19092" xr:uid="{D73C94D1-742B-4C67-804F-FBADE5E2716E}"/>
    <cellStyle name="60% - Accent6 24 4 2" xfId="51543" xr:uid="{B6CA0F77-CA7C-427E-A89F-6F9A6A0357CB}"/>
    <cellStyle name="60% - Accent6 24 5" xfId="51536" xr:uid="{28650D4D-29C2-4C93-837C-281561450307}"/>
    <cellStyle name="60% - Accent6 25" xfId="3694" xr:uid="{758D8A6E-0CB9-4195-AB57-4D3030AA3AF1}"/>
    <cellStyle name="60% - Accent6 25 2" xfId="7425" xr:uid="{EDF540D4-B69C-40A6-8BAE-0A148C0CE999}"/>
    <cellStyle name="60% - Accent6 25 2 2" xfId="15133" xr:uid="{D9117711-D169-4DD8-A355-7012D79B8920}"/>
    <cellStyle name="60% - Accent6 25 2 2 2" xfId="30545" xr:uid="{BF050E41-6C2A-41CF-AFB1-98F1A94BDF5E}"/>
    <cellStyle name="60% - Accent6 25 2 2 2 2" xfId="51547" xr:uid="{97BD3400-7976-4926-B199-EE23AE96B90C}"/>
    <cellStyle name="60% - Accent6 25 2 2 3" xfId="51546" xr:uid="{16D01D91-3218-4864-A276-8F522A9133EC}"/>
    <cellStyle name="60% - Accent6 25 2 3" xfId="22840" xr:uid="{40CD50D8-A623-44E4-B806-D8709327155B}"/>
    <cellStyle name="60% - Accent6 25 2 3 2" xfId="51548" xr:uid="{772B27FB-F510-47B0-B2D4-BAD4C297AA1F}"/>
    <cellStyle name="60% - Accent6 25 2 4" xfId="51545" xr:uid="{4FEF315E-2C5A-45FB-BBDC-410212D6EB93}"/>
    <cellStyle name="60% - Accent6 25 3" xfId="11404" xr:uid="{C8478A0B-73DD-4B83-A7EE-2440FA41AF6D}"/>
    <cellStyle name="60% - Accent6 25 3 2" xfId="26817" xr:uid="{078D95ED-DD3F-4E90-B1D6-FE1BD42B6840}"/>
    <cellStyle name="60% - Accent6 25 3 2 2" xfId="51550" xr:uid="{9BE11E6D-6B88-4BD4-B278-95B91156B6A5}"/>
    <cellStyle name="60% - Accent6 25 3 3" xfId="51549" xr:uid="{C40DEAE3-B33B-4C49-8F0F-E1CDABDCB667}"/>
    <cellStyle name="60% - Accent6 25 4" xfId="19112" xr:uid="{840C0766-AFE0-4C57-AB5B-C81FD565B803}"/>
    <cellStyle name="60% - Accent6 25 4 2" xfId="51551" xr:uid="{69E0BF2C-B491-498B-B135-2154609330DC}"/>
    <cellStyle name="60% - Accent6 25 5" xfId="51544" xr:uid="{298A17E4-F583-442C-898C-1E98FCEABF3E}"/>
    <cellStyle name="60% - Accent6 26" xfId="3714" xr:uid="{2CD3C6CE-B111-4CCF-8CB7-0195B85888BD}"/>
    <cellStyle name="60% - Accent6 26 2" xfId="7445" xr:uid="{F58733B2-D0E8-41A7-918D-F0A8ADDFBDD5}"/>
    <cellStyle name="60% - Accent6 26 2 2" xfId="15153" xr:uid="{DD01CF83-CDA1-469E-B87E-FF4655A0E1B5}"/>
    <cellStyle name="60% - Accent6 26 2 2 2" xfId="30565" xr:uid="{F03ECD12-0E67-4F3A-98DB-1F3CB6F10CD5}"/>
    <cellStyle name="60% - Accent6 26 2 2 2 2" xfId="51555" xr:uid="{42DBB5C4-088C-4780-A094-9EB04EDA9B8F}"/>
    <cellStyle name="60% - Accent6 26 2 2 3" xfId="51554" xr:uid="{A4607332-875C-4A74-B42B-966B474FF4E9}"/>
    <cellStyle name="60% - Accent6 26 2 3" xfId="22860" xr:uid="{22800780-5368-46EC-B8E3-6142A7670B35}"/>
    <cellStyle name="60% - Accent6 26 2 3 2" xfId="51556" xr:uid="{3590BED1-43A4-4C75-8A51-FE50417377E9}"/>
    <cellStyle name="60% - Accent6 26 2 4" xfId="51553" xr:uid="{E6427ECC-CD8C-4303-9A52-706C41C130A9}"/>
    <cellStyle name="60% - Accent6 26 3" xfId="11424" xr:uid="{219C6527-DC4D-4D4C-8EC0-F55A63E0B2E8}"/>
    <cellStyle name="60% - Accent6 26 3 2" xfId="26837" xr:uid="{D486101F-66D4-4D9C-9AA6-E607A6ECF688}"/>
    <cellStyle name="60% - Accent6 26 3 2 2" xfId="51558" xr:uid="{EF10A813-9B0B-4BDA-968F-44A769E03B03}"/>
    <cellStyle name="60% - Accent6 26 3 3" xfId="51557" xr:uid="{86F74B7A-9D95-4771-A3DF-3140F439B9C8}"/>
    <cellStyle name="60% - Accent6 26 4" xfId="19132" xr:uid="{2D6EA758-6CC7-4096-BF8C-D2229F15E22E}"/>
    <cellStyle name="60% - Accent6 26 4 2" xfId="51559" xr:uid="{93C4C2F5-8A68-4DF1-BE01-2AD315B52549}"/>
    <cellStyle name="60% - Accent6 26 5" xfId="51552" xr:uid="{30978CD6-17D8-4542-8E75-2C9A64B9853C}"/>
    <cellStyle name="60% - Accent6 27" xfId="3734" xr:uid="{77C73763-3B63-4B1F-B8E1-160F446DDAE9}"/>
    <cellStyle name="60% - Accent6 27 2" xfId="7465" xr:uid="{99E36A70-7DCA-49FD-ADCC-A77CF43F4B33}"/>
    <cellStyle name="60% - Accent6 27 2 2" xfId="15173" xr:uid="{ABFE6262-A56A-466D-A8AE-E09DBC8093AA}"/>
    <cellStyle name="60% - Accent6 27 2 2 2" xfId="30585" xr:uid="{44C10C7A-F148-416B-A9A6-E05C88C14DD8}"/>
    <cellStyle name="60% - Accent6 27 2 2 2 2" xfId="51563" xr:uid="{04FDBBB2-8DA8-45B0-ACC9-E712868D7B9A}"/>
    <cellStyle name="60% - Accent6 27 2 2 3" xfId="51562" xr:uid="{EE5CB1F2-8EAD-47E5-9CED-740389A38B47}"/>
    <cellStyle name="60% - Accent6 27 2 3" xfId="22880" xr:uid="{16254DDC-B798-4998-A797-3D97BAC94B8B}"/>
    <cellStyle name="60% - Accent6 27 2 3 2" xfId="51564" xr:uid="{7D52732E-F786-4ACC-A8D8-151DE8BFBC2E}"/>
    <cellStyle name="60% - Accent6 27 2 4" xfId="51561" xr:uid="{7EC0EFE6-A693-45D1-8CCA-C95E60ADA214}"/>
    <cellStyle name="60% - Accent6 27 3" xfId="11444" xr:uid="{29D66A8E-018E-4D50-B3CE-85EC831D7BE6}"/>
    <cellStyle name="60% - Accent6 27 3 2" xfId="26857" xr:uid="{BBDBFED2-0182-45FA-88A8-9180B6060657}"/>
    <cellStyle name="60% - Accent6 27 3 2 2" xfId="51566" xr:uid="{B39FAD04-0021-42B6-902D-F342CBAD9641}"/>
    <cellStyle name="60% - Accent6 27 3 3" xfId="51565" xr:uid="{2FECEA87-005F-4736-8B60-AD54E55BBBEC}"/>
    <cellStyle name="60% - Accent6 27 4" xfId="19152" xr:uid="{A2687F74-25C3-4C33-BB03-5E4B2F25769A}"/>
    <cellStyle name="60% - Accent6 27 4 2" xfId="51567" xr:uid="{CD2F6571-C00A-4DDD-B823-5168797EBEDE}"/>
    <cellStyle name="60% - Accent6 27 5" xfId="51560" xr:uid="{C961F835-F44E-41AC-87A3-44776C4D3824}"/>
    <cellStyle name="60% - Accent6 28" xfId="3754" xr:uid="{4661A627-F715-4EC0-8ECA-3208D56BA5F9}"/>
    <cellStyle name="60% - Accent6 28 2" xfId="7485" xr:uid="{99FBE1BD-306B-4FBB-B1BF-539D38818DE3}"/>
    <cellStyle name="60% - Accent6 28 2 2" xfId="15193" xr:uid="{2594FA26-F621-4E0A-8C25-62C611FF8020}"/>
    <cellStyle name="60% - Accent6 28 2 2 2" xfId="30605" xr:uid="{AE25BF10-B5D0-40A0-B083-F5EDA9640FB3}"/>
    <cellStyle name="60% - Accent6 28 2 2 2 2" xfId="51571" xr:uid="{D088B543-3C22-463E-9F73-9DC3CE037351}"/>
    <cellStyle name="60% - Accent6 28 2 2 3" xfId="51570" xr:uid="{C46DE681-2501-4C4C-9D44-B83222D8CC21}"/>
    <cellStyle name="60% - Accent6 28 2 3" xfId="22900" xr:uid="{D6D1B8BE-1A6A-4A86-B2C8-1D78A0637F21}"/>
    <cellStyle name="60% - Accent6 28 2 3 2" xfId="51572" xr:uid="{C4D61ED5-0F21-4E6B-9B75-1891FA487BE2}"/>
    <cellStyle name="60% - Accent6 28 2 4" xfId="51569" xr:uid="{C5E37A9F-339E-4DA2-B1FE-203D39BF8491}"/>
    <cellStyle name="60% - Accent6 28 3" xfId="11464" xr:uid="{BB356A3E-D04C-4658-A928-CA7C7DDF5AA5}"/>
    <cellStyle name="60% - Accent6 28 3 2" xfId="26877" xr:uid="{3F996B87-BC72-489C-9799-A9C7C7D5EE5C}"/>
    <cellStyle name="60% - Accent6 28 3 2 2" xfId="51574" xr:uid="{C0AF5F4D-1E75-4408-8818-E579BD847F7A}"/>
    <cellStyle name="60% - Accent6 28 3 3" xfId="51573" xr:uid="{2927650B-0545-4D65-A0D8-F624221272DA}"/>
    <cellStyle name="60% - Accent6 28 4" xfId="19172" xr:uid="{8076BB1F-D439-416B-807E-4DC8BDC93768}"/>
    <cellStyle name="60% - Accent6 28 4 2" xfId="51575" xr:uid="{0162BB49-74FA-4922-88D8-C10162B0382D}"/>
    <cellStyle name="60% - Accent6 28 5" xfId="51568" xr:uid="{F32D6683-D1EE-4984-BD3B-F52023F646D0}"/>
    <cellStyle name="60% - Accent6 29" xfId="3774" xr:uid="{F559A07E-C073-4431-BEC8-8BD45D6CE0D7}"/>
    <cellStyle name="60% - Accent6 29 2" xfId="7505" xr:uid="{5B877F13-9CAF-4D25-A2EE-60C3F4DDE0D6}"/>
    <cellStyle name="60% - Accent6 29 2 2" xfId="15213" xr:uid="{7153F84B-50B7-4162-ABEC-1294DAEE9DA3}"/>
    <cellStyle name="60% - Accent6 29 2 2 2" xfId="30625" xr:uid="{B3D2875B-1A5B-45C2-8DE6-05A6FD133EAF}"/>
    <cellStyle name="60% - Accent6 29 2 2 2 2" xfId="51579" xr:uid="{8A87C0F6-0CCC-46A4-9A11-A9A50D6E4E25}"/>
    <cellStyle name="60% - Accent6 29 2 2 3" xfId="51578" xr:uid="{F913D868-1287-4A9D-B4B6-22F0248B7F02}"/>
    <cellStyle name="60% - Accent6 29 2 3" xfId="22920" xr:uid="{94A95326-2A4C-4CE6-BA15-42B978E26A77}"/>
    <cellStyle name="60% - Accent6 29 2 3 2" xfId="51580" xr:uid="{2EC4DD62-9FD4-478D-A2F0-39B76286C610}"/>
    <cellStyle name="60% - Accent6 29 2 4" xfId="51577" xr:uid="{4A526ADC-9440-49DD-92EC-93F54144C43A}"/>
    <cellStyle name="60% - Accent6 29 3" xfId="11484" xr:uid="{0D523068-B853-4937-9E84-5099B8EE6C5B}"/>
    <cellStyle name="60% - Accent6 29 3 2" xfId="26897" xr:uid="{854858A7-1D21-478B-93A6-69B7D21DFF58}"/>
    <cellStyle name="60% - Accent6 29 3 2 2" xfId="51582" xr:uid="{0595B69E-B3D0-46BD-9B0C-52FFE550F6B4}"/>
    <cellStyle name="60% - Accent6 29 3 3" xfId="51581" xr:uid="{D53A4821-8979-4398-B2DE-98997539234E}"/>
    <cellStyle name="60% - Accent6 29 4" xfId="19192" xr:uid="{31AFDBF4-D8C0-456E-AC59-5953BA65568B}"/>
    <cellStyle name="60% - Accent6 29 4 2" xfId="51583" xr:uid="{A452ECF0-FD8E-4DC3-8FE8-E62D7620DCE7}"/>
    <cellStyle name="60% - Accent6 29 5" xfId="51576" xr:uid="{1150A08D-F372-41A7-AF1C-85C2F96204E0}"/>
    <cellStyle name="60% - Accent6 3" xfId="228" xr:uid="{520BAB81-36DA-423E-B3DF-F4A14FF1F3D2}"/>
    <cellStyle name="60% - Accent6 3 2" xfId="431" xr:uid="{775048C6-4382-4B93-9557-CF7B7A33F3AB}"/>
    <cellStyle name="60% - Accent6 3 2 2" xfId="1093" xr:uid="{E27AAE21-DBAF-4017-94D5-2F99FF120EDC}"/>
    <cellStyle name="60% - Accent6 3 2 2 2" xfId="2561" xr:uid="{E6C6DC4E-32AE-4D61-9A30-F5F1C3399510}"/>
    <cellStyle name="60% - Accent6 3 2 2 2 2" xfId="6293" xr:uid="{742ED531-3052-4D3B-9786-45959A01D116}"/>
    <cellStyle name="60% - Accent6 3 2 2 2 2 2" xfId="14001" xr:uid="{F6A1F265-B9F9-4422-8135-94E829870352}"/>
    <cellStyle name="60% - Accent6 3 2 2 2 2 2 2" xfId="29413" xr:uid="{A079B32F-54CF-434B-A941-74BBE06D129E}"/>
    <cellStyle name="60% - Accent6 3 2 2 2 2 2 2 2" xfId="51590" xr:uid="{661D4B94-C00D-4802-92D0-F6ED46183730}"/>
    <cellStyle name="60% - Accent6 3 2 2 2 2 2 3" xfId="51589" xr:uid="{AA024301-3144-4657-9A52-6364D01139AD}"/>
    <cellStyle name="60% - Accent6 3 2 2 2 2 3" xfId="21708" xr:uid="{BF96718B-DAAF-4CCA-BB3C-9A2618650733}"/>
    <cellStyle name="60% - Accent6 3 2 2 2 2 3 2" xfId="51591" xr:uid="{B17B14BD-7F95-4A2C-938A-1C71D8EAFAE3}"/>
    <cellStyle name="60% - Accent6 3 2 2 2 2 4" xfId="51588" xr:uid="{02F641C9-0664-4CBC-969F-EAEB1A84FD0C}"/>
    <cellStyle name="60% - Accent6 3 2 2 2 3" xfId="10272" xr:uid="{2C6F0748-56B7-49D0-8CE3-CA6E54CA2D71}"/>
    <cellStyle name="60% - Accent6 3 2 2 2 3 2" xfId="25685" xr:uid="{A1B5D073-4772-4F51-82D4-AB134712D2A0}"/>
    <cellStyle name="60% - Accent6 3 2 2 2 3 2 2" xfId="51593" xr:uid="{42AE3D45-3AE3-4FCE-BAA7-E487E0C66E6E}"/>
    <cellStyle name="60% - Accent6 3 2 2 2 3 3" xfId="51592" xr:uid="{ED1E2FD2-B084-453B-8D83-69A8F3BB6B47}"/>
    <cellStyle name="60% - Accent6 3 2 2 2 4" xfId="17980" xr:uid="{F9A36D4F-72B5-4B3B-BD86-848C4C569F0D}"/>
    <cellStyle name="60% - Accent6 3 2 2 2 4 2" xfId="51594" xr:uid="{0DCFD1E3-4F8F-4924-9A4D-CD6A03691FD7}"/>
    <cellStyle name="60% - Accent6 3 2 2 2 5" xfId="51587" xr:uid="{03824428-AA4C-4BB0-AF69-3F295E49C3D9}"/>
    <cellStyle name="60% - Accent6 3 2 2 3" xfId="4830" xr:uid="{D5A54F48-5D54-4FE6-AAC7-B4FDD44BF5EE}"/>
    <cellStyle name="60% - Accent6 3 2 2 3 2" xfId="12538" xr:uid="{F2964DEA-554F-48C6-8FD0-F8F79FC621D7}"/>
    <cellStyle name="60% - Accent6 3 2 2 3 2 2" xfId="27950" xr:uid="{00B2ABD8-393A-4EA5-916A-993CE32CC8D0}"/>
    <cellStyle name="60% - Accent6 3 2 2 3 2 2 2" xfId="51597" xr:uid="{20692450-4F22-4935-9ED7-62A5E1CC7709}"/>
    <cellStyle name="60% - Accent6 3 2 2 3 2 3" xfId="51596" xr:uid="{1416C144-6738-4818-A17F-C41A18E1FF0D}"/>
    <cellStyle name="60% - Accent6 3 2 2 3 3" xfId="20245" xr:uid="{D69B6DBF-A5E3-42FD-A717-394F439C4598}"/>
    <cellStyle name="60% - Accent6 3 2 2 3 3 2" xfId="51598" xr:uid="{9C8AC507-4F87-4C07-8753-60F50C167033}"/>
    <cellStyle name="60% - Accent6 3 2 2 3 4" xfId="51595" xr:uid="{F3BD07E8-B95A-4CC2-B095-8EDC1CAC2F4F}"/>
    <cellStyle name="60% - Accent6 3 2 2 4" xfId="8813" xr:uid="{B701243B-ECD1-4B51-8ABC-1CDDC6E5D422}"/>
    <cellStyle name="60% - Accent6 3 2 2 4 2" xfId="24226" xr:uid="{A000BE04-1ECD-46A5-815E-FB8BFF7D600B}"/>
    <cellStyle name="60% - Accent6 3 2 2 4 2 2" xfId="51600" xr:uid="{8146AC68-56E0-4498-8C48-29B21BD7C280}"/>
    <cellStyle name="60% - Accent6 3 2 2 4 3" xfId="51599" xr:uid="{6C79EF98-94B4-4D4A-BBE9-D9919D55B4B5}"/>
    <cellStyle name="60% - Accent6 3 2 2 5" xfId="16521" xr:uid="{3860DF6C-1C17-4934-8AF9-F11006E85A9B}"/>
    <cellStyle name="60% - Accent6 3 2 2 5 2" xfId="51601" xr:uid="{5E12BB0A-8E1A-49F8-9D72-22F79A1FD438}"/>
    <cellStyle name="60% - Accent6 3 2 2 6" xfId="51586" xr:uid="{5B90F7FE-386F-4757-BCC7-CF068F18A2F6}"/>
    <cellStyle name="60% - Accent6 3 2 3" xfId="1923" xr:uid="{00D0CA9E-3FE1-4CCF-AA0B-10FBD22D62B2}"/>
    <cellStyle name="60% - Accent6 3 2 3 2" xfId="5655" xr:uid="{9DA4D729-7DF2-4503-87F9-C723FE6DD942}"/>
    <cellStyle name="60% - Accent6 3 2 3 2 2" xfId="13363" xr:uid="{ED82A578-EFB1-40E4-BDF1-E4DCE334768D}"/>
    <cellStyle name="60% - Accent6 3 2 3 2 2 2" xfId="28775" xr:uid="{7EE6535E-0418-455C-A9BC-9BFDF6D2BDC4}"/>
    <cellStyle name="60% - Accent6 3 2 3 2 2 2 2" xfId="51605" xr:uid="{03D17993-789C-4930-B72C-CEA044F4D951}"/>
    <cellStyle name="60% - Accent6 3 2 3 2 2 3" xfId="51604" xr:uid="{853C6CAE-E8C7-4DF1-9FF3-C7F9FC51EEC3}"/>
    <cellStyle name="60% - Accent6 3 2 3 2 3" xfId="21070" xr:uid="{3E9F0061-6004-4EB8-BBFB-B3EE52130271}"/>
    <cellStyle name="60% - Accent6 3 2 3 2 3 2" xfId="51606" xr:uid="{233AE3F8-8BDD-4A1D-98BB-9CFAF9A3D6EB}"/>
    <cellStyle name="60% - Accent6 3 2 3 2 4" xfId="51603" xr:uid="{EDED3E16-1DC9-427D-B4A0-A810B097982E}"/>
    <cellStyle name="60% - Accent6 3 2 3 3" xfId="9634" xr:uid="{28D0311A-47E3-4A86-B621-7BC08345D0BA}"/>
    <cellStyle name="60% - Accent6 3 2 3 3 2" xfId="25047" xr:uid="{23F17BB0-35E3-483C-B99D-3D52857CCADD}"/>
    <cellStyle name="60% - Accent6 3 2 3 3 2 2" xfId="51608" xr:uid="{5E8BBA1E-4F86-4844-8A91-D88D7AFE00FA}"/>
    <cellStyle name="60% - Accent6 3 2 3 3 3" xfId="51607" xr:uid="{AC98DE95-9BED-4CFF-94EC-9FFE3D71687C}"/>
    <cellStyle name="60% - Accent6 3 2 3 4" xfId="17342" xr:uid="{80DD3B71-ADF8-46EB-B4D8-5BC5FB00AD33}"/>
    <cellStyle name="60% - Accent6 3 2 3 4 2" xfId="51609" xr:uid="{33FF21EE-A298-440B-8C74-17F41953F89B}"/>
    <cellStyle name="60% - Accent6 3 2 3 5" xfId="51602" xr:uid="{C3034FF7-81FD-4391-A446-5B1B00E7F723}"/>
    <cellStyle name="60% - Accent6 3 2 4" xfId="4178" xr:uid="{F2339EFC-E18B-4199-891B-495E5A2FFEBE}"/>
    <cellStyle name="60% - Accent6 3 2 4 2" xfId="11886" xr:uid="{B8271FD9-8A9A-409B-AFDE-6C4450A7A7A0}"/>
    <cellStyle name="60% - Accent6 3 2 4 2 2" xfId="27298" xr:uid="{C8AECE77-CDF3-43EF-8690-5F27992BFE29}"/>
    <cellStyle name="60% - Accent6 3 2 4 2 2 2" xfId="51612" xr:uid="{C2C71310-77CF-4F5B-B33A-F14D6A49A219}"/>
    <cellStyle name="60% - Accent6 3 2 4 2 3" xfId="51611" xr:uid="{459748E1-16B7-4E4C-A54E-4B3858174FE9}"/>
    <cellStyle name="60% - Accent6 3 2 4 3" xfId="19593" xr:uid="{0485E214-10D2-4559-83CC-5F59378CFDB1}"/>
    <cellStyle name="60% - Accent6 3 2 4 3 2" xfId="51613" xr:uid="{EA901032-BA4F-4340-B675-CAF0BFC9C9A1}"/>
    <cellStyle name="60% - Accent6 3 2 4 4" xfId="51610" xr:uid="{225F3550-6EB0-462A-B3AB-E7785B0E6E6C}"/>
    <cellStyle name="60% - Accent6 3 2 5" xfId="8175" xr:uid="{CB8F60E0-C85F-4FF7-B20A-DC7BA7ADCB48}"/>
    <cellStyle name="60% - Accent6 3 2 5 2" xfId="23588" xr:uid="{7F3E7D7A-8973-465B-B83E-AA19EF5B1789}"/>
    <cellStyle name="60% - Accent6 3 2 5 2 2" xfId="51615" xr:uid="{2F718589-DF28-4703-8452-665260B9A9A8}"/>
    <cellStyle name="60% - Accent6 3 2 5 3" xfId="51614" xr:uid="{97D131CB-5C9A-4C92-9419-FCC582A94AB7}"/>
    <cellStyle name="60% - Accent6 3 2 6" xfId="15883" xr:uid="{30DE36DF-1F6C-4384-84E3-884DA05ECA07}"/>
    <cellStyle name="60% - Accent6 3 2 6 2" xfId="51616" xr:uid="{C91B9F67-5AB4-4271-920D-A7383B796E47}"/>
    <cellStyle name="60% - Accent6 3 2 7" xfId="51585" xr:uid="{8CCCFDA9-D550-478E-BD12-E474AFAFA25D}"/>
    <cellStyle name="60% - Accent6 3 3" xfId="893" xr:uid="{72A97CD9-C398-424B-BAF5-82D835B43447}"/>
    <cellStyle name="60% - Accent6 3 3 2" xfId="2363" xr:uid="{8FE4A61D-BE29-46E9-B73A-6B5B4004C425}"/>
    <cellStyle name="60% - Accent6 3 3 2 2" xfId="6095" xr:uid="{5BE7FDEB-E9E8-4FCD-8E4F-08C8DFE634C6}"/>
    <cellStyle name="60% - Accent6 3 3 2 2 2" xfId="13803" xr:uid="{29A0B940-6C1D-4815-8E94-BE72DA6917B1}"/>
    <cellStyle name="60% - Accent6 3 3 2 2 2 2" xfId="29215" xr:uid="{5E85D789-9E1D-409E-8F67-BB990ECB2EA0}"/>
    <cellStyle name="60% - Accent6 3 3 2 2 2 2 2" xfId="51621" xr:uid="{ABB53ED5-F012-4C91-85CF-56A4D40C2A57}"/>
    <cellStyle name="60% - Accent6 3 3 2 2 2 3" xfId="51620" xr:uid="{CD8AB5C6-76BE-4459-B58C-7D31B4CC834F}"/>
    <cellStyle name="60% - Accent6 3 3 2 2 3" xfId="21510" xr:uid="{DC973721-360A-4980-A6FE-22946922D218}"/>
    <cellStyle name="60% - Accent6 3 3 2 2 3 2" xfId="51622" xr:uid="{FB83933D-B0C7-4E69-82A1-FEC0250D8AF4}"/>
    <cellStyle name="60% - Accent6 3 3 2 2 4" xfId="51619" xr:uid="{5E90E2F4-7B81-44A5-BD61-98DB7AE9036B}"/>
    <cellStyle name="60% - Accent6 3 3 2 3" xfId="10074" xr:uid="{6AEBBFB8-B6D6-47AD-AB38-710F5BFA86EE}"/>
    <cellStyle name="60% - Accent6 3 3 2 3 2" xfId="25487" xr:uid="{470B627B-6301-488F-ABC5-42963DE0E49C}"/>
    <cellStyle name="60% - Accent6 3 3 2 3 2 2" xfId="51624" xr:uid="{470294F6-8D1B-4D18-8121-860A166028D3}"/>
    <cellStyle name="60% - Accent6 3 3 2 3 3" xfId="51623" xr:uid="{DDE7B413-78E4-4226-9375-8F6CC1BEE4FF}"/>
    <cellStyle name="60% - Accent6 3 3 2 4" xfId="17782" xr:uid="{F8D85862-F90C-45FB-94BE-679FF41631F3}"/>
    <cellStyle name="60% - Accent6 3 3 2 4 2" xfId="51625" xr:uid="{3A7B16B1-250D-4B8E-86F8-38B8B38CE792}"/>
    <cellStyle name="60% - Accent6 3 3 2 5" xfId="51618" xr:uid="{F5B8FB94-C473-47C0-A440-1CD53F380FA5}"/>
    <cellStyle name="60% - Accent6 3 3 3" xfId="4630" xr:uid="{0245A7E3-E716-4E3C-942A-F478EF49CA57}"/>
    <cellStyle name="60% - Accent6 3 3 3 2" xfId="12338" xr:uid="{258A2CEC-C1D0-4C2A-99B0-5AB85F212680}"/>
    <cellStyle name="60% - Accent6 3 3 3 2 2" xfId="27750" xr:uid="{AFBC37FF-DE98-48CF-95AC-3507BCD2DC65}"/>
    <cellStyle name="60% - Accent6 3 3 3 2 2 2" xfId="51628" xr:uid="{57AF1A6B-54EA-43A7-8C80-49FD1B447790}"/>
    <cellStyle name="60% - Accent6 3 3 3 2 3" xfId="51627" xr:uid="{4416A230-E1BA-4263-B3EF-30963057A5C4}"/>
    <cellStyle name="60% - Accent6 3 3 3 3" xfId="20045" xr:uid="{A4746D53-84BF-45EB-BCA2-7A1B149E533F}"/>
    <cellStyle name="60% - Accent6 3 3 3 3 2" xfId="51629" xr:uid="{AEB3B2C8-A1BF-4D10-9038-ECE7A3EEF98F}"/>
    <cellStyle name="60% - Accent6 3 3 3 4" xfId="51626" xr:uid="{49E1A17F-1B0A-4568-942F-E89F9F4DF1F1}"/>
    <cellStyle name="60% - Accent6 3 3 4" xfId="8615" xr:uid="{5C8FEC89-6240-4A88-97CD-C099AE7E3A62}"/>
    <cellStyle name="60% - Accent6 3 3 4 2" xfId="24028" xr:uid="{F7D0FF0F-16F0-46ED-82D9-4B794E5D26C1}"/>
    <cellStyle name="60% - Accent6 3 3 4 2 2" xfId="51631" xr:uid="{A06BD69E-BC21-4193-A09A-88FC9DDB143B}"/>
    <cellStyle name="60% - Accent6 3 3 4 3" xfId="51630" xr:uid="{A34D8CCC-3942-426A-A870-AAE73AF2DFAE}"/>
    <cellStyle name="60% - Accent6 3 3 5" xfId="16323" xr:uid="{B6F88441-2512-4F17-B32D-00832A084C60}"/>
    <cellStyle name="60% - Accent6 3 3 5 2" xfId="51632" xr:uid="{C3D42C1A-B93B-4CCC-BB90-231B878D3FD5}"/>
    <cellStyle name="60% - Accent6 3 3 6" xfId="51617" xr:uid="{206CC524-10BD-4830-84A4-F59F7FF4CFCA}"/>
    <cellStyle name="60% - Accent6 3 4" xfId="1725" xr:uid="{B95F1481-B26E-482E-9268-725085475FA9}"/>
    <cellStyle name="60% - Accent6 3 4 2" xfId="5457" xr:uid="{904F02E4-286A-4ABD-B9EA-5B7C1590B3A1}"/>
    <cellStyle name="60% - Accent6 3 4 2 2" xfId="13165" xr:uid="{6A3130F8-AA02-4A3E-88BD-07A72A2A3D72}"/>
    <cellStyle name="60% - Accent6 3 4 2 2 2" xfId="28577" xr:uid="{689F2AA0-AC03-4E95-BA3A-F5416D2022F9}"/>
    <cellStyle name="60% - Accent6 3 4 2 2 2 2" xfId="51636" xr:uid="{C0ECBEBF-6952-49D6-AE3A-FB17071323A5}"/>
    <cellStyle name="60% - Accent6 3 4 2 2 3" xfId="51635" xr:uid="{2FC5D923-A05D-4638-B8D6-22BC43969EAA}"/>
    <cellStyle name="60% - Accent6 3 4 2 3" xfId="20872" xr:uid="{18FF3DF8-879D-40B2-99F4-AA237A6B58EE}"/>
    <cellStyle name="60% - Accent6 3 4 2 3 2" xfId="51637" xr:uid="{E7D8AB9B-43FE-47E3-B0A2-3A0D76BC89DC}"/>
    <cellStyle name="60% - Accent6 3 4 2 4" xfId="51634" xr:uid="{6812A5AE-7CD0-4D89-B2B5-5646726272C9}"/>
    <cellStyle name="60% - Accent6 3 4 3" xfId="9436" xr:uid="{E402610D-F3B9-4D1C-B21A-54EFB5223E69}"/>
    <cellStyle name="60% - Accent6 3 4 3 2" xfId="24849" xr:uid="{842301A6-53A3-4E83-AAE1-4F580A00BA1F}"/>
    <cellStyle name="60% - Accent6 3 4 3 2 2" xfId="51639" xr:uid="{6BD1160A-BC3D-47C9-8724-BB822F1FF431}"/>
    <cellStyle name="60% - Accent6 3 4 3 3" xfId="51638" xr:uid="{DE96D04A-0FC1-42B4-AC77-4734DA5DFA71}"/>
    <cellStyle name="60% - Accent6 3 4 4" xfId="17144" xr:uid="{F73F5E97-826F-42DB-B24A-AB68C76842B2}"/>
    <cellStyle name="60% - Accent6 3 4 4 2" xfId="51640" xr:uid="{B4523F49-44DE-4023-BBBC-B5DAA4D217DF}"/>
    <cellStyle name="60% - Accent6 3 4 5" xfId="51633" xr:uid="{1F126459-E462-47C6-AEA4-74E948DE0242}"/>
    <cellStyle name="60% - Accent6 3 5" xfId="3978" xr:uid="{AB07E3B6-DC76-4A49-AC92-60D25860537B}"/>
    <cellStyle name="60% - Accent6 3 5 2" xfId="11686" xr:uid="{28AA3C78-B8D2-47B3-91B8-047067DB19F4}"/>
    <cellStyle name="60% - Accent6 3 5 2 2" xfId="27098" xr:uid="{670CC94C-7731-4EF8-9389-C4D088D7D5E8}"/>
    <cellStyle name="60% - Accent6 3 5 2 2 2" xfId="51643" xr:uid="{0AA4C69A-AEA7-4B95-BEAB-0A8CC65F2A33}"/>
    <cellStyle name="60% - Accent6 3 5 2 3" xfId="51642" xr:uid="{BCA4174B-F36F-4EBD-89CE-A89FA100C785}"/>
    <cellStyle name="60% - Accent6 3 5 3" xfId="19393" xr:uid="{473FB075-4F32-4882-845B-51B3EB732BD6}"/>
    <cellStyle name="60% - Accent6 3 5 3 2" xfId="51644" xr:uid="{4B2F7EE9-337B-4F83-8FE0-F8387A8BF4A6}"/>
    <cellStyle name="60% - Accent6 3 5 4" xfId="51641" xr:uid="{40E4B401-2842-4059-843B-A685B5AFF4D9}"/>
    <cellStyle name="60% - Accent6 3 6" xfId="7977" xr:uid="{0E40467E-680E-4A5B-9137-E246E279E737}"/>
    <cellStyle name="60% - Accent6 3 6 2" xfId="23390" xr:uid="{8488AC33-450E-4D64-BBB6-56FFFDDE2820}"/>
    <cellStyle name="60% - Accent6 3 6 2 2" xfId="51646" xr:uid="{FFE3857B-AA70-4323-ADF3-D34B58F283FB}"/>
    <cellStyle name="60% - Accent6 3 6 3" xfId="51645" xr:uid="{8447BD46-1659-4E55-A052-969562849506}"/>
    <cellStyle name="60% - Accent6 3 7" xfId="15685" xr:uid="{B8C66C40-604E-45C7-9660-4705A7573689}"/>
    <cellStyle name="60% - Accent6 3 7 2" xfId="51647" xr:uid="{62142866-6241-4BDD-B794-BE57B8AE4498}"/>
    <cellStyle name="60% - Accent6 3 8" xfId="51584" xr:uid="{0053B8BE-7B0C-4825-A04B-EC67A168068D}"/>
    <cellStyle name="60% - Accent6 30" xfId="3794" xr:uid="{A9D4E4CD-4197-49C9-A322-58C1CC37F73F}"/>
    <cellStyle name="60% - Accent6 30 2" xfId="7525" xr:uid="{656E9098-CDDB-42CD-AB08-AC5E42499F25}"/>
    <cellStyle name="60% - Accent6 30 2 2" xfId="15233" xr:uid="{C65CD85A-9122-4A9D-88FA-45F6203B0EDB}"/>
    <cellStyle name="60% - Accent6 30 2 2 2" xfId="30645" xr:uid="{6E88A970-3C58-4429-A882-B9C23ABE1BCB}"/>
    <cellStyle name="60% - Accent6 30 2 2 2 2" xfId="51651" xr:uid="{1C091B4B-5B39-49FA-9C7E-ACFB67D2F683}"/>
    <cellStyle name="60% - Accent6 30 2 2 3" xfId="51650" xr:uid="{55884CB0-3983-4EC6-85B8-F939778D10EE}"/>
    <cellStyle name="60% - Accent6 30 2 3" xfId="22940" xr:uid="{3969D43D-B306-4490-90EA-E3D84DD82599}"/>
    <cellStyle name="60% - Accent6 30 2 3 2" xfId="51652" xr:uid="{77133E57-E58B-47E4-9D5F-4C2CBBAAB27A}"/>
    <cellStyle name="60% - Accent6 30 2 4" xfId="51649" xr:uid="{9C0F591C-EA6B-4CA5-ADC7-D726F8254258}"/>
    <cellStyle name="60% - Accent6 30 3" xfId="11504" xr:uid="{716C3D16-8405-4C15-8108-93ECB7B3A2C0}"/>
    <cellStyle name="60% - Accent6 30 3 2" xfId="26917" xr:uid="{2241EE26-1047-4E25-BF93-7799D6318F78}"/>
    <cellStyle name="60% - Accent6 30 3 2 2" xfId="51654" xr:uid="{0B798952-1322-4F18-89D5-9C9B27B86D67}"/>
    <cellStyle name="60% - Accent6 30 3 3" xfId="51653" xr:uid="{AE69C675-19D1-4EB8-B04E-293AA0245852}"/>
    <cellStyle name="60% - Accent6 30 4" xfId="19212" xr:uid="{615E5809-218B-4C15-B9A8-BA7D7FFCC0DD}"/>
    <cellStyle name="60% - Accent6 30 4 2" xfId="51655" xr:uid="{27B46C22-947D-4EDC-B44D-45D34262C3F2}"/>
    <cellStyle name="60% - Accent6 30 5" xfId="51648" xr:uid="{81BD3185-E007-46BB-B48B-0D5FB9FBDB3F}"/>
    <cellStyle name="60% - Accent6 31" xfId="3814" xr:uid="{0B60248E-BBA9-4E78-B111-521242AED768}"/>
    <cellStyle name="60% - Accent6 31 2" xfId="7545" xr:uid="{9668C63A-9F5B-4CCB-8482-A2E3233E35E5}"/>
    <cellStyle name="60% - Accent6 31 2 2" xfId="15253" xr:uid="{AEF8DAC2-45C5-412E-B22D-A5548B60C044}"/>
    <cellStyle name="60% - Accent6 31 2 2 2" xfId="30665" xr:uid="{699AC55D-5AD6-4C6A-87F1-A3FCBA7A4FC4}"/>
    <cellStyle name="60% - Accent6 31 2 2 2 2" xfId="51659" xr:uid="{AD33DDBD-DC0F-43CF-ACBD-7779B84D4BB8}"/>
    <cellStyle name="60% - Accent6 31 2 2 3" xfId="51658" xr:uid="{D7DFE458-6873-4CFF-8A26-3E6226DBF7E5}"/>
    <cellStyle name="60% - Accent6 31 2 3" xfId="22960" xr:uid="{09B3A37B-8711-4FE8-8F24-AA8EB97CDB83}"/>
    <cellStyle name="60% - Accent6 31 2 3 2" xfId="51660" xr:uid="{DA669D48-B6F0-456A-894F-F4CB616261D4}"/>
    <cellStyle name="60% - Accent6 31 2 4" xfId="51657" xr:uid="{23AB65CF-9ED7-4EFF-9F28-0ABED613B1C8}"/>
    <cellStyle name="60% - Accent6 31 3" xfId="11524" xr:uid="{5B29D9CC-7495-432A-80F0-C0F67B11033E}"/>
    <cellStyle name="60% - Accent6 31 3 2" xfId="26937" xr:uid="{AEF7629C-D6E6-45C4-9923-CAF8D38DAA63}"/>
    <cellStyle name="60% - Accent6 31 3 2 2" xfId="51662" xr:uid="{33C93258-6C3F-4D16-9650-D7AE4E307F21}"/>
    <cellStyle name="60% - Accent6 31 3 3" xfId="51661" xr:uid="{0C7E72E9-82B8-4995-998B-3304D3D8CEAD}"/>
    <cellStyle name="60% - Accent6 31 4" xfId="19232" xr:uid="{CE2E3EED-586F-4D02-81CA-064705C55A0D}"/>
    <cellStyle name="60% - Accent6 31 4 2" xfId="51663" xr:uid="{5F7A9C64-CC23-4036-AB12-D8261741FD14}"/>
    <cellStyle name="60% - Accent6 31 5" xfId="51656" xr:uid="{74BECABE-CB21-481B-A271-7D423E9F8B60}"/>
    <cellStyle name="60% - Accent6 32" xfId="3834" xr:uid="{00636B34-2828-4940-8CFC-7292423F95F7}"/>
    <cellStyle name="60% - Accent6 32 2" xfId="7565" xr:uid="{073C7BC9-8DD2-49DC-96E7-6ED63C6C04FB}"/>
    <cellStyle name="60% - Accent6 32 2 2" xfId="15273" xr:uid="{7F6FB47D-1C84-4986-8476-4FB509367A8E}"/>
    <cellStyle name="60% - Accent6 32 2 2 2" xfId="30685" xr:uid="{05F39F3B-6EAA-483C-836A-67A64319382C}"/>
    <cellStyle name="60% - Accent6 32 2 2 2 2" xfId="51667" xr:uid="{910150A0-A1BA-474B-AA60-68A345276D1F}"/>
    <cellStyle name="60% - Accent6 32 2 2 3" xfId="51666" xr:uid="{51DC99E6-C294-474E-A7A9-F1BB19F6C3BE}"/>
    <cellStyle name="60% - Accent6 32 2 3" xfId="22980" xr:uid="{33C7772F-F326-400A-8265-65D66FFBAF54}"/>
    <cellStyle name="60% - Accent6 32 2 3 2" xfId="51668" xr:uid="{8ECA1E8E-31E0-4219-ADD1-B05A38FB314C}"/>
    <cellStyle name="60% - Accent6 32 2 4" xfId="51665" xr:uid="{4431B2E3-1C69-482C-86B3-86B3CFCDEAD7}"/>
    <cellStyle name="60% - Accent6 32 3" xfId="11544" xr:uid="{1A8032B8-6677-495B-83BB-AA227F784422}"/>
    <cellStyle name="60% - Accent6 32 3 2" xfId="26957" xr:uid="{E965DF33-762F-4FCC-85E6-AF0666A4F62B}"/>
    <cellStyle name="60% - Accent6 32 3 2 2" xfId="51670" xr:uid="{8AFFBF29-BD58-4CA7-9F3E-4943214D6346}"/>
    <cellStyle name="60% - Accent6 32 3 3" xfId="51669" xr:uid="{FE3431C1-8B37-4AAD-950B-29638BA73A53}"/>
    <cellStyle name="60% - Accent6 32 4" xfId="19252" xr:uid="{C6A562B2-2D7C-4E30-8CB6-61C5443C7F48}"/>
    <cellStyle name="60% - Accent6 32 4 2" xfId="51671" xr:uid="{4B65ABCC-EF2D-4DD4-8345-67EA2510AEBF}"/>
    <cellStyle name="60% - Accent6 32 5" xfId="51664" xr:uid="{BFDB8AED-E3DD-4646-9C6B-D160831865E3}"/>
    <cellStyle name="60% - Accent6 33" xfId="3855" xr:uid="{B3197C42-83FD-4012-8B0F-1C9446DC11AA}"/>
    <cellStyle name="60% - Accent6 33 2" xfId="7585" xr:uid="{740B8670-B909-4DCB-BD8F-517DF2BF63C1}"/>
    <cellStyle name="60% - Accent6 33 2 2" xfId="15293" xr:uid="{B41B5922-AC47-4F92-A38A-EF1C2891EE5A}"/>
    <cellStyle name="60% - Accent6 33 2 2 2" xfId="30705" xr:uid="{789675C5-D1F0-4D18-9A1B-EAAA2C8C1C08}"/>
    <cellStyle name="60% - Accent6 33 2 2 2 2" xfId="51675" xr:uid="{9331EEA3-D0AE-474F-8222-36C32E0D3F48}"/>
    <cellStyle name="60% - Accent6 33 2 2 3" xfId="51674" xr:uid="{8AAF3DDF-8CA4-4A08-99A5-C15D13459B64}"/>
    <cellStyle name="60% - Accent6 33 2 3" xfId="23000" xr:uid="{0BC316F1-C67F-45FD-8ADA-D5293D819F0E}"/>
    <cellStyle name="60% - Accent6 33 2 3 2" xfId="51676" xr:uid="{716FB803-59D1-437B-86FF-ECD6E45A9E3C}"/>
    <cellStyle name="60% - Accent6 33 2 4" xfId="51673" xr:uid="{5538EDFE-9F3D-4471-AB74-C76DDF1B4A0B}"/>
    <cellStyle name="60% - Accent6 33 3" xfId="11565" xr:uid="{71DB5B72-1954-4F94-852A-978D83CE7CEF}"/>
    <cellStyle name="60% - Accent6 33 3 2" xfId="26977" xr:uid="{3C09AE87-3654-4BDE-9DD4-C10834F78E8B}"/>
    <cellStyle name="60% - Accent6 33 3 2 2" xfId="51678" xr:uid="{45604948-6A5E-43AD-8131-FE610CD2B78A}"/>
    <cellStyle name="60% - Accent6 33 3 3" xfId="51677" xr:uid="{C44BF67E-CB11-4CCC-9C27-DBAEA38FE8D0}"/>
    <cellStyle name="60% - Accent6 33 4" xfId="19272" xr:uid="{D01BA438-88C5-4737-A761-5E64DF835DF3}"/>
    <cellStyle name="60% - Accent6 33 4 2" xfId="51679" xr:uid="{1BBB815D-8CB3-46D9-BF34-DB76E7BFBD95}"/>
    <cellStyle name="60% - Accent6 33 5" xfId="51672" xr:uid="{773BE039-559F-4C30-8606-3C21BC4470D9}"/>
    <cellStyle name="60% - Accent6 34" xfId="3874" xr:uid="{35969136-0392-4599-9C52-043D4DEAA33C}"/>
    <cellStyle name="60% - Accent6 34 2" xfId="11584" xr:uid="{5DA5585C-779D-43B3-B58F-E183104D918F}"/>
    <cellStyle name="60% - Accent6 34 2 2" xfId="26996" xr:uid="{C5FDE77F-508A-4116-8415-9F457A215DDC}"/>
    <cellStyle name="60% - Accent6 34 2 2 2" xfId="51682" xr:uid="{32C5C452-26C4-44FD-838E-47748C2D57BB}"/>
    <cellStyle name="60% - Accent6 34 2 3" xfId="51681" xr:uid="{F81FA73C-3ADB-4C58-ACDB-2D5E4C2E2E97}"/>
    <cellStyle name="60% - Accent6 34 3" xfId="19291" xr:uid="{52A133FE-C760-4325-8AAB-BA0468691996}"/>
    <cellStyle name="60% - Accent6 34 3 2" xfId="51683" xr:uid="{0BEEC8AB-456D-4EFD-91C0-7656CCA3725E}"/>
    <cellStyle name="60% - Accent6 34 4" xfId="51680" xr:uid="{4987B248-B1DE-4C69-9FC3-F4C4ABB3FD6D}"/>
    <cellStyle name="60% - Accent6 35" xfId="7605" xr:uid="{8479D0E2-86CC-4008-AC3F-CB67569AF9D2}"/>
    <cellStyle name="60% - Accent6 35 2" xfId="15313" xr:uid="{701C393E-E2A6-4B5C-8544-B599F722D0AB}"/>
    <cellStyle name="60% - Accent6 35 2 2" xfId="30725" xr:uid="{F9496FB1-7F46-4261-AD7E-494D6FD0D8CF}"/>
    <cellStyle name="60% - Accent6 35 2 2 2" xfId="51686" xr:uid="{9EABB20E-4E32-4BF2-A7AD-22CD9FEBA316}"/>
    <cellStyle name="60% - Accent6 35 2 3" xfId="51685" xr:uid="{B0A2F6D8-C185-4FC0-914E-16CAE0631314}"/>
    <cellStyle name="60% - Accent6 35 3" xfId="23020" xr:uid="{8BCA3A7D-A928-4695-88F0-A6958A78448D}"/>
    <cellStyle name="60% - Accent6 35 3 2" xfId="51687" xr:uid="{46E4EB96-1D99-4BCB-9118-B8A02D76933E}"/>
    <cellStyle name="60% - Accent6 35 4" xfId="51684" xr:uid="{C2E480A6-CC6F-4BB2-8293-1C4853E15884}"/>
    <cellStyle name="60% - Accent6 36" xfId="7625" xr:uid="{69A5CC45-D676-4660-80FD-8807FD56A6B5}"/>
    <cellStyle name="60% - Accent6 36 2" xfId="15333" xr:uid="{03E2786A-E766-407C-BB9A-8822F6BBE02B}"/>
    <cellStyle name="60% - Accent6 36 2 2" xfId="30745" xr:uid="{F1763B7C-974D-4C68-B83C-AC8883C97E62}"/>
    <cellStyle name="60% - Accent6 36 2 2 2" xfId="51690" xr:uid="{8DA7521E-A465-4413-9743-EC7CF033BD85}"/>
    <cellStyle name="60% - Accent6 36 2 3" xfId="51689" xr:uid="{05E4E0D2-5D28-411F-B9CE-EF3326564BE7}"/>
    <cellStyle name="60% - Accent6 36 3" xfId="23040" xr:uid="{47021CC6-2F99-49C7-AA25-9DB758B69FA9}"/>
    <cellStyle name="60% - Accent6 36 3 2" xfId="51691" xr:uid="{5AA883DD-1EBD-4174-97FD-F2C0B2002B6A}"/>
    <cellStyle name="60% - Accent6 36 4" xfId="51688" xr:uid="{52FACE0A-0E4B-43FD-9667-B591053384E7}"/>
    <cellStyle name="60% - Accent6 37" xfId="7645" xr:uid="{E7B093B4-A407-4FA1-855E-BDDBA2B098B9}"/>
    <cellStyle name="60% - Accent6 37 2" xfId="15353" xr:uid="{408A9458-FC4E-478F-8667-DCFD8872EB34}"/>
    <cellStyle name="60% - Accent6 37 2 2" xfId="30765" xr:uid="{DCB79354-2EC9-4AB0-8EDB-61AAEFBFD215}"/>
    <cellStyle name="60% - Accent6 37 2 2 2" xfId="51694" xr:uid="{0C704FD3-80B1-4C17-B3DC-CE6C5C411999}"/>
    <cellStyle name="60% - Accent6 37 2 3" xfId="51693" xr:uid="{2879114A-905A-4D24-B40D-5240C116CFDC}"/>
    <cellStyle name="60% - Accent6 37 3" xfId="23060" xr:uid="{BC7DF5F5-8E96-4545-AE2F-50A9307AA7B8}"/>
    <cellStyle name="60% - Accent6 37 3 2" xfId="51695" xr:uid="{E4C2EC97-7B42-4763-9C51-2A37D804F9E6}"/>
    <cellStyle name="60% - Accent6 37 4" xfId="51692" xr:uid="{546551D8-70EE-4ECE-9C55-240861BAA6D8}"/>
    <cellStyle name="60% - Accent6 38" xfId="7665" xr:uid="{C7DBE035-23B2-4F03-8395-04C11C17FF22}"/>
    <cellStyle name="60% - Accent6 38 2" xfId="15373" xr:uid="{BCC87B12-97BD-467F-9E80-5EA62819AF98}"/>
    <cellStyle name="60% - Accent6 38 2 2" xfId="30785" xr:uid="{9407BF2B-22F0-4060-8B0C-D47770076584}"/>
    <cellStyle name="60% - Accent6 38 2 2 2" xfId="51698" xr:uid="{2AD1195E-B2AF-45C2-AC08-1A7B7386DA24}"/>
    <cellStyle name="60% - Accent6 38 2 3" xfId="51697" xr:uid="{7129CA03-130F-422C-B2ED-575A931B802F}"/>
    <cellStyle name="60% - Accent6 38 3" xfId="23080" xr:uid="{4F2C64A1-8CC9-4847-9992-D3C71054C858}"/>
    <cellStyle name="60% - Accent6 38 3 2" xfId="51699" xr:uid="{50544EAE-CA23-4BE5-93E8-C5F1E2AFF479}"/>
    <cellStyle name="60% - Accent6 38 4" xfId="51696" xr:uid="{1F302022-40E8-4795-A8D6-B03835B6D352}"/>
    <cellStyle name="60% - Accent6 39" xfId="7685" xr:uid="{B2071E06-404F-459D-8E8C-EA4E451B83BA}"/>
    <cellStyle name="60% - Accent6 39 2" xfId="15393" xr:uid="{E98C8DC9-D03F-42B9-8630-1A4E4D602F7B}"/>
    <cellStyle name="60% - Accent6 39 2 2" xfId="30805" xr:uid="{77514C65-CBA5-4CB9-A2B4-C4CF13B37FFC}"/>
    <cellStyle name="60% - Accent6 39 2 2 2" xfId="51702" xr:uid="{F7DE24A4-F8E6-402B-A7EB-F950DD32D5E4}"/>
    <cellStyle name="60% - Accent6 39 2 3" xfId="51701" xr:uid="{6D0B5A58-D819-4475-BE2E-9A5C6EC4A695}"/>
    <cellStyle name="60% - Accent6 39 3" xfId="23100" xr:uid="{86AAB0EC-C728-43C8-A06F-F8F4A6BFF6F3}"/>
    <cellStyle name="60% - Accent6 39 3 2" xfId="51703" xr:uid="{CE625026-8E13-4940-A722-2C30E9AB3998}"/>
    <cellStyle name="60% - Accent6 39 4" xfId="51700" xr:uid="{C7916891-35E3-46C0-982A-C7A1048B18C3}"/>
    <cellStyle name="60% - Accent6 4" xfId="337" xr:uid="{87751711-06B2-42EC-A626-5321D731D7AD}"/>
    <cellStyle name="60% - Accent6 4 2" xfId="1001" xr:uid="{C1646771-26EA-4BD8-8029-55D5CF2F709A}"/>
    <cellStyle name="60% - Accent6 4 2 2" xfId="2471" xr:uid="{BFF3FB45-0691-421A-9AFB-1A5E5CE48FFD}"/>
    <cellStyle name="60% - Accent6 4 2 2 2" xfId="6203" xr:uid="{5A8EF5EA-AC35-491C-87B7-58808BC0FB6A}"/>
    <cellStyle name="60% - Accent6 4 2 2 2 2" xfId="13911" xr:uid="{46649836-202C-4D24-B5A1-FF746AC09BAE}"/>
    <cellStyle name="60% - Accent6 4 2 2 2 2 2" xfId="29323" xr:uid="{05F90B88-BBAC-4CCE-916F-3F1FB512BA62}"/>
    <cellStyle name="60% - Accent6 4 2 2 2 2 2 2" xfId="51709" xr:uid="{5E1DA296-8375-4A23-8556-3F80E68DDE3F}"/>
    <cellStyle name="60% - Accent6 4 2 2 2 2 3" xfId="51708" xr:uid="{AC7F41AB-886F-4C67-86D9-E0A6FE7EF06A}"/>
    <cellStyle name="60% - Accent6 4 2 2 2 3" xfId="21618" xr:uid="{A80644A0-4E9D-4374-81B4-B07FE8876AF7}"/>
    <cellStyle name="60% - Accent6 4 2 2 2 3 2" xfId="51710" xr:uid="{8F64D68C-B0B2-4207-86BF-501594117A4C}"/>
    <cellStyle name="60% - Accent6 4 2 2 2 4" xfId="51707" xr:uid="{D5B3BB73-F2CB-4991-B0D1-A8A7C3E19BAD}"/>
    <cellStyle name="60% - Accent6 4 2 2 3" xfId="10182" xr:uid="{938C490D-673B-442B-A2A2-B00A2CE3895E}"/>
    <cellStyle name="60% - Accent6 4 2 2 3 2" xfId="25595" xr:uid="{CD1B64C1-5007-4BD4-ADEA-478341B81252}"/>
    <cellStyle name="60% - Accent6 4 2 2 3 2 2" xfId="51712" xr:uid="{0089F09B-EB02-4490-B25B-4A8151752F2D}"/>
    <cellStyle name="60% - Accent6 4 2 2 3 3" xfId="51711" xr:uid="{2A5C2937-27B4-4F50-A6DB-5A33980C2FB2}"/>
    <cellStyle name="60% - Accent6 4 2 2 4" xfId="17890" xr:uid="{41E116D0-1048-4BD6-99A2-E8F8A2493926}"/>
    <cellStyle name="60% - Accent6 4 2 2 4 2" xfId="51713" xr:uid="{BAE63D8C-DB85-448C-9B0E-C29A9BC50BFF}"/>
    <cellStyle name="60% - Accent6 4 2 2 5" xfId="51706" xr:uid="{F73B76EF-46E7-4282-A5B0-747A96AC8897}"/>
    <cellStyle name="60% - Accent6 4 2 3" xfId="4738" xr:uid="{B3B093FD-CF5C-4B01-A3C9-587AD89A801F}"/>
    <cellStyle name="60% - Accent6 4 2 3 2" xfId="12446" xr:uid="{3C18166A-FD9C-4F7D-8091-15184BEACE66}"/>
    <cellStyle name="60% - Accent6 4 2 3 2 2" xfId="27858" xr:uid="{94982FEC-2AD3-488C-8E89-60066762B8AC}"/>
    <cellStyle name="60% - Accent6 4 2 3 2 2 2" xfId="51716" xr:uid="{D8AED406-FE33-464F-899A-9D84381CDE8A}"/>
    <cellStyle name="60% - Accent6 4 2 3 2 3" xfId="51715" xr:uid="{147050C1-7569-460E-A946-B47F5190DF98}"/>
    <cellStyle name="60% - Accent6 4 2 3 3" xfId="20153" xr:uid="{1CF1D870-3237-4A76-B811-3D9EA0C04499}"/>
    <cellStyle name="60% - Accent6 4 2 3 3 2" xfId="51717" xr:uid="{537211CD-BD25-4F24-A6AF-168296513FE3}"/>
    <cellStyle name="60% - Accent6 4 2 3 4" xfId="51714" xr:uid="{A2602FFC-9CEE-430D-B1CC-AB675718D574}"/>
    <cellStyle name="60% - Accent6 4 2 4" xfId="8723" xr:uid="{80A63F82-E79C-4CAC-9714-CB2A993563E4}"/>
    <cellStyle name="60% - Accent6 4 2 4 2" xfId="24136" xr:uid="{E88B4D54-AB74-44FC-AC50-C1F3CC468A04}"/>
    <cellStyle name="60% - Accent6 4 2 4 2 2" xfId="51719" xr:uid="{2DA9DC80-84A8-4D01-AE53-5C1AFC337CF3}"/>
    <cellStyle name="60% - Accent6 4 2 4 3" xfId="51718" xr:uid="{6FE728FC-EE62-4128-BFA1-6DBBE2B75BB5}"/>
    <cellStyle name="60% - Accent6 4 2 5" xfId="16431" xr:uid="{C9DBC2DC-F94D-45FD-9397-95579C449921}"/>
    <cellStyle name="60% - Accent6 4 2 5 2" xfId="51720" xr:uid="{44948B49-1E25-4178-A230-2350BD721AC8}"/>
    <cellStyle name="60% - Accent6 4 2 6" xfId="51705" xr:uid="{E40317C7-639C-4DF6-B674-EC323B45E2DA}"/>
    <cellStyle name="60% - Accent6 4 3" xfId="1833" xr:uid="{9F27A72A-365E-4D8D-995C-939127D34A38}"/>
    <cellStyle name="60% - Accent6 4 3 2" xfId="5565" xr:uid="{09DC7262-CAB9-49BA-B9F0-A04E5A8743C8}"/>
    <cellStyle name="60% - Accent6 4 3 2 2" xfId="13273" xr:uid="{655E14D0-FE9B-457D-8DB9-B78D0553AA7D}"/>
    <cellStyle name="60% - Accent6 4 3 2 2 2" xfId="28685" xr:uid="{A565638E-EC8E-4492-BBD1-4FEE82152A47}"/>
    <cellStyle name="60% - Accent6 4 3 2 2 2 2" xfId="51724" xr:uid="{A2F73C6F-FA29-4BA8-9B17-0CA5BE00E2F5}"/>
    <cellStyle name="60% - Accent6 4 3 2 2 3" xfId="51723" xr:uid="{C3948F6A-CA96-4360-AE75-581954B51D0A}"/>
    <cellStyle name="60% - Accent6 4 3 2 3" xfId="20980" xr:uid="{54EFE1AF-4FB5-4E71-9FC0-51F719D580D2}"/>
    <cellStyle name="60% - Accent6 4 3 2 3 2" xfId="51725" xr:uid="{D5509826-41C8-45F6-A6E4-889B75053E12}"/>
    <cellStyle name="60% - Accent6 4 3 2 4" xfId="51722" xr:uid="{5A0F130B-96D2-4E88-82E6-859C34406B29}"/>
    <cellStyle name="60% - Accent6 4 3 3" xfId="9544" xr:uid="{D9FCBEF9-439C-4610-B185-7F18A5154FEB}"/>
    <cellStyle name="60% - Accent6 4 3 3 2" xfId="24957" xr:uid="{306AD63B-C6A2-4A84-A395-AE7FD1AA7E68}"/>
    <cellStyle name="60% - Accent6 4 3 3 2 2" xfId="51727" xr:uid="{D0FD7D21-1238-4768-B31A-68BE644A1878}"/>
    <cellStyle name="60% - Accent6 4 3 3 3" xfId="51726" xr:uid="{C01A2F7F-5786-4716-86EB-8C14550CCB45}"/>
    <cellStyle name="60% - Accent6 4 3 4" xfId="17252" xr:uid="{4151436D-E557-4285-90F7-193F4E77D427}"/>
    <cellStyle name="60% - Accent6 4 3 4 2" xfId="51728" xr:uid="{507A163F-8C4F-40C7-ADBE-70EBDC68A86D}"/>
    <cellStyle name="60% - Accent6 4 3 5" xfId="51721" xr:uid="{665E594B-ECE0-4AE4-9289-2900A9CA1FF3}"/>
    <cellStyle name="60% - Accent6 4 4" xfId="4086" xr:uid="{5FEEB36C-F271-48F4-A41D-EDDF77A5E744}"/>
    <cellStyle name="60% - Accent6 4 4 2" xfId="11794" xr:uid="{60E0B0FE-8664-420A-AEF3-52FC9F9EDB2C}"/>
    <cellStyle name="60% - Accent6 4 4 2 2" xfId="27206" xr:uid="{14CEFDC7-4DA4-46CA-BBF1-34DC55B31F33}"/>
    <cellStyle name="60% - Accent6 4 4 2 2 2" xfId="51731" xr:uid="{EA02E163-0C37-44D6-885F-8BACFEFE4413}"/>
    <cellStyle name="60% - Accent6 4 4 2 3" xfId="51730" xr:uid="{48FA1393-42F0-4945-9330-13E645A8136C}"/>
    <cellStyle name="60% - Accent6 4 4 3" xfId="19501" xr:uid="{701FAE54-A85A-42F4-A628-49A86B116966}"/>
    <cellStyle name="60% - Accent6 4 4 3 2" xfId="51732" xr:uid="{D9921390-AEB1-42A5-BF7C-F132A90C961D}"/>
    <cellStyle name="60% - Accent6 4 4 4" xfId="51729" xr:uid="{8B0B1A19-4946-4B38-9945-B991C3CFED45}"/>
    <cellStyle name="60% - Accent6 4 5" xfId="8085" xr:uid="{D12F2142-8ADC-4B53-8BAD-4163839177DC}"/>
    <cellStyle name="60% - Accent6 4 5 2" xfId="23498" xr:uid="{2BC892FB-4EC9-475F-9F82-02EDBF31DDAB}"/>
    <cellStyle name="60% - Accent6 4 5 2 2" xfId="51734" xr:uid="{D672C9EF-3DDA-4C5D-B33D-78BB1B0DB0D7}"/>
    <cellStyle name="60% - Accent6 4 5 3" xfId="51733" xr:uid="{230AA93B-6239-467F-9695-B458381CDA2F}"/>
    <cellStyle name="60% - Accent6 4 6" xfId="15793" xr:uid="{6D0DD272-8C6B-4620-B1A0-C396E524A778}"/>
    <cellStyle name="60% - Accent6 4 6 2" xfId="51735" xr:uid="{872BA7CF-68B6-4FE9-8DFC-25887E9B60A8}"/>
    <cellStyle name="60% - Accent6 4 7" xfId="51704" xr:uid="{1A6BC5AF-604F-4407-81BF-330DF1C3C7F0}"/>
    <cellStyle name="60% - Accent6 40" xfId="7705" xr:uid="{FD8D8135-6B8A-4ECE-9200-2499CD80E142}"/>
    <cellStyle name="60% - Accent6 40 2" xfId="15413" xr:uid="{05F0E7B2-ECFD-4BE2-BD56-974DC15AF6F8}"/>
    <cellStyle name="60% - Accent6 40 2 2" xfId="30825" xr:uid="{02E22F87-A074-41FB-A3DD-5275C8BFB5C4}"/>
    <cellStyle name="60% - Accent6 40 2 2 2" xfId="51738" xr:uid="{5C650CDC-5603-4E75-9C69-CB31456B3590}"/>
    <cellStyle name="60% - Accent6 40 2 3" xfId="51737" xr:uid="{A848665E-CE51-4A97-88DF-72012A70638E}"/>
    <cellStyle name="60% - Accent6 40 3" xfId="23120" xr:uid="{CF62EF6F-27AE-4CD4-B62C-48BE0A391A3F}"/>
    <cellStyle name="60% - Accent6 40 3 2" xfId="51739" xr:uid="{38848C43-CD87-4D6F-86F8-57AF8FA09FA4}"/>
    <cellStyle name="60% - Accent6 40 4" xfId="51736" xr:uid="{18B5901A-39FC-4702-AFB7-F06DCB3DD38C}"/>
    <cellStyle name="60% - Accent6 41" xfId="7725" xr:uid="{BBA235BA-2C8A-4566-8238-D2A6018615CB}"/>
    <cellStyle name="60% - Accent6 41 2" xfId="15433" xr:uid="{B3A8ACB8-9A17-4702-A8CC-7B7E2FF4FBBC}"/>
    <cellStyle name="60% - Accent6 41 2 2" xfId="30845" xr:uid="{8452DF0E-96B9-4675-9479-91045EB186F6}"/>
    <cellStyle name="60% - Accent6 41 2 2 2" xfId="51742" xr:uid="{27FF8CB6-8AE1-4422-A3D3-61BA817CD0C8}"/>
    <cellStyle name="60% - Accent6 41 2 3" xfId="51741" xr:uid="{DE0E9EC6-3D05-457A-AE71-61F7E59AB3B8}"/>
    <cellStyle name="60% - Accent6 41 3" xfId="23140" xr:uid="{BF42DEB4-85FE-49DF-9227-6D1D8F0460F8}"/>
    <cellStyle name="60% - Accent6 41 3 2" xfId="51743" xr:uid="{69D15C4A-DB8D-49CA-8F2A-FA31AC5EA54A}"/>
    <cellStyle name="60% - Accent6 41 4" xfId="51740" xr:uid="{130B455D-0D8A-43FE-8B2B-C83AF10CA72B}"/>
    <cellStyle name="60% - Accent6 42" xfId="7745" xr:uid="{D844042F-1678-408C-9C19-5A3125EEEFE6}"/>
    <cellStyle name="60% - Accent6 42 2" xfId="15453" xr:uid="{09969DAF-D62A-49E2-A256-6908533B178A}"/>
    <cellStyle name="60% - Accent6 42 2 2" xfId="30865" xr:uid="{66082FFA-1A49-4808-A724-9A2AE0FA4D53}"/>
    <cellStyle name="60% - Accent6 42 2 2 2" xfId="51746" xr:uid="{6B368CAD-CDA4-47FA-BBE3-5007DFF730F1}"/>
    <cellStyle name="60% - Accent6 42 2 3" xfId="51745" xr:uid="{25B156DA-7754-4371-A7FB-2012B3B3115B}"/>
    <cellStyle name="60% - Accent6 42 3" xfId="23160" xr:uid="{DF8B5CC1-B399-4648-84E6-B30D4EF8EDD6}"/>
    <cellStyle name="60% - Accent6 42 3 2" xfId="51747" xr:uid="{C141F3AE-FD38-4E1B-A8D2-97104FCAAAD8}"/>
    <cellStyle name="60% - Accent6 42 4" xfId="51744" xr:uid="{3C76C785-F234-43AC-97A5-9F72FA727F6D}"/>
    <cellStyle name="60% - Accent6 43" xfId="7765" xr:uid="{D3BB2436-8E22-4EFF-B2CE-679DCD5FA4F1}"/>
    <cellStyle name="60% - Accent6 43 2" xfId="15473" xr:uid="{1A5F2366-49B5-4E08-9537-FE0F126803E3}"/>
    <cellStyle name="60% - Accent6 43 2 2" xfId="30885" xr:uid="{7485D5CF-9FFF-422E-840C-7D376B0C9B39}"/>
    <cellStyle name="60% - Accent6 43 2 2 2" xfId="51750" xr:uid="{EBDB50E0-2AEE-4AA9-B6DD-D5E6274DF6FA}"/>
    <cellStyle name="60% - Accent6 43 2 3" xfId="51749" xr:uid="{01F4997D-D035-49B8-AF9D-043C40EA0E4D}"/>
    <cellStyle name="60% - Accent6 43 3" xfId="23180" xr:uid="{A5C50AF2-159B-4B0F-9C1E-6B38E447FEA2}"/>
    <cellStyle name="60% - Accent6 43 3 2" xfId="51751" xr:uid="{281BAAC4-01C8-440F-B685-F89E0696621E}"/>
    <cellStyle name="60% - Accent6 43 4" xfId="51748" xr:uid="{2FC13C82-BB06-4426-8629-325E3DCCF6E8}"/>
    <cellStyle name="60% - Accent6 44" xfId="7785" xr:uid="{63D6F81E-F99E-4965-83BA-B827DCD230C4}"/>
    <cellStyle name="60% - Accent6 44 2" xfId="15493" xr:uid="{513909C3-DF80-427E-A08E-6FC7BB78647E}"/>
    <cellStyle name="60% - Accent6 44 2 2" xfId="30905" xr:uid="{37E4EF55-CFD9-4666-8A32-221E46ECD33D}"/>
    <cellStyle name="60% - Accent6 44 2 2 2" xfId="51754" xr:uid="{173BC2EB-F13F-4577-88BC-18EAACA9D23C}"/>
    <cellStyle name="60% - Accent6 44 2 3" xfId="51753" xr:uid="{7D847A82-3906-4670-9A20-B8D5900B951D}"/>
    <cellStyle name="60% - Accent6 44 3" xfId="23200" xr:uid="{62E3CA1C-DC43-48C5-B0CB-4232FC49DC3D}"/>
    <cellStyle name="60% - Accent6 44 3 2" xfId="51755" xr:uid="{4C079143-9585-4219-A288-467CE4E99DE0}"/>
    <cellStyle name="60% - Accent6 44 4" xfId="51752" xr:uid="{2DDC0527-A22D-4025-A163-A3217304D5BF}"/>
    <cellStyle name="60% - Accent6 45" xfId="7805" xr:uid="{1C56CFAE-7532-4E31-BD70-03A3135E40B1}"/>
    <cellStyle name="60% - Accent6 45 2" xfId="15513" xr:uid="{99779686-CFDD-4DFA-B8F6-BA2D7361D3CE}"/>
    <cellStyle name="60% - Accent6 45 2 2" xfId="30925" xr:uid="{AD423487-F342-455A-8C4D-231B01B8BED6}"/>
    <cellStyle name="60% - Accent6 45 2 2 2" xfId="51758" xr:uid="{C4D6A341-5E23-4586-8C27-AF6F28D0E134}"/>
    <cellStyle name="60% - Accent6 45 2 3" xfId="51757" xr:uid="{9AD27381-04EC-43FD-BF49-15EC7432DDEB}"/>
    <cellStyle name="60% - Accent6 45 3" xfId="23220" xr:uid="{FD72A8E4-2C69-4B6C-BB64-1C63E2C9CD99}"/>
    <cellStyle name="60% - Accent6 45 3 2" xfId="51759" xr:uid="{9C284059-87BF-454D-BB59-F34819ECF637}"/>
    <cellStyle name="60% - Accent6 45 4" xfId="51756" xr:uid="{9F8D047F-5F0D-4178-845E-D09FEBBBE85C}"/>
    <cellStyle name="60% - Accent6 46" xfId="7827" xr:uid="{420C87EC-9EAA-4909-9D06-5069AFDE7F33}"/>
    <cellStyle name="60% - Accent6 46 2" xfId="15535" xr:uid="{EDCD8EFE-67FC-4E93-BA17-C1E673E9CF4F}"/>
    <cellStyle name="60% - Accent6 46 2 2" xfId="30947" xr:uid="{788BF9FF-F67C-4A92-BC47-0EBF056F446C}"/>
    <cellStyle name="60% - Accent6 46 2 2 2" xfId="51762" xr:uid="{5A41B182-7C4E-4DED-B868-329BC1CA889F}"/>
    <cellStyle name="60% - Accent6 46 2 3" xfId="51761" xr:uid="{A5A2FE8A-EAB5-4F89-82F7-01BBEC19C148}"/>
    <cellStyle name="60% - Accent6 46 3" xfId="23242" xr:uid="{FCC89C8D-98C3-40BD-BA96-1EA3C8B06A42}"/>
    <cellStyle name="60% - Accent6 46 3 2" xfId="51763" xr:uid="{294CCF42-60AA-46B8-B453-1F27E1B86589}"/>
    <cellStyle name="60% - Accent6 46 4" xfId="51760" xr:uid="{E58983EB-912F-42B0-A6FE-2A75CDA07F74}"/>
    <cellStyle name="60% - Accent6 47" xfId="7848" xr:uid="{D1C4DE35-0059-4852-8C32-063ABCB9BB4C}"/>
    <cellStyle name="60% - Accent6 47 2" xfId="15556" xr:uid="{87581BDB-837D-4781-9338-13D07071850B}"/>
    <cellStyle name="60% - Accent6 47 2 2" xfId="30967" xr:uid="{705E11FC-D23D-44DA-9A08-B6CFC84D2A1B}"/>
    <cellStyle name="60% - Accent6 47 2 2 2" xfId="51766" xr:uid="{6BFF239A-A4DB-4992-BCCD-89D5D6748B38}"/>
    <cellStyle name="60% - Accent6 47 2 3" xfId="51765" xr:uid="{4366AA6E-9C16-47FF-BD08-FFD1FD0408A9}"/>
    <cellStyle name="60% - Accent6 47 3" xfId="23262" xr:uid="{C45AF348-60A9-4942-A547-461FD9E9205E}"/>
    <cellStyle name="60% - Accent6 47 3 2" xfId="51767" xr:uid="{F116BE91-1DD6-4486-978D-FD6955088FA7}"/>
    <cellStyle name="60% - Accent6 47 4" xfId="51764" xr:uid="{886B11E9-B631-40FC-8871-C8C22810EAE6}"/>
    <cellStyle name="60% - Accent6 48" xfId="7868" xr:uid="{574CE875-A2EA-4C98-88EF-ADA30875414C}"/>
    <cellStyle name="60% - Accent6 48 2" xfId="15576" xr:uid="{345D021B-AA6C-45B8-A248-E30F14FF4657}"/>
    <cellStyle name="60% - Accent6 48 2 2" xfId="30987" xr:uid="{A237115C-E9E4-41E9-9DB5-9A8D325D288B}"/>
    <cellStyle name="60% - Accent6 48 2 2 2" xfId="51770" xr:uid="{BE7A9A4F-A3BB-4763-8DC6-827F08D2E9C1}"/>
    <cellStyle name="60% - Accent6 48 2 3" xfId="51769" xr:uid="{BB186DC7-0A93-4F3C-B6F4-389A4B7BEF02}"/>
    <cellStyle name="60% - Accent6 48 3" xfId="23282" xr:uid="{E4795A9B-FF7F-4A75-B96B-1F32CC3BAD9C}"/>
    <cellStyle name="60% - Accent6 48 3 2" xfId="51771" xr:uid="{CA8D5E6D-08C2-42D8-B449-B040CD1D3A6C}"/>
    <cellStyle name="60% - Accent6 48 4" xfId="51768" xr:uid="{44C3F993-1B12-4B6F-BD06-304C9992C4D5}"/>
    <cellStyle name="60% - Accent6 49" xfId="7921" xr:uid="{9C9A83BA-0467-4CD5-B5D7-F1531A072F11}"/>
    <cellStyle name="60% - Accent6 49 2" xfId="23334" xr:uid="{FC3905AD-EA47-4461-9A43-08F0F5765C75}"/>
    <cellStyle name="60% - Accent6 49 2 2" xfId="51773" xr:uid="{2ED5EC0E-8D5D-4A33-B409-1FBF8124FD84}"/>
    <cellStyle name="60% - Accent6 49 3" xfId="51772" xr:uid="{9ABAA804-E2C3-474E-9CBB-E68483B0EB3C}"/>
    <cellStyle name="60% - Accent6 5" xfId="1630" xr:uid="{A5EB7CF9-C745-4D7C-88F3-800BE0EF842F}"/>
    <cellStyle name="60% - Accent6 5 2" xfId="5365" xr:uid="{00FED94C-F345-499B-8187-51EA24FAEE7A}"/>
    <cellStyle name="60% - Accent6 5 2 2" xfId="13073" xr:uid="{46E3E72E-5421-4BD2-BEBF-B20596AFC0D6}"/>
    <cellStyle name="60% - Accent6 5 2 2 2" xfId="28485" xr:uid="{2D04B23F-4636-4D12-B863-7EF8917F6760}"/>
    <cellStyle name="60% - Accent6 5 2 2 2 2" xfId="51777" xr:uid="{C7351941-92BC-4E0D-9D38-6153801C26E7}"/>
    <cellStyle name="60% - Accent6 5 2 2 3" xfId="51776" xr:uid="{2D38957E-24A8-4B97-8E6C-869CA6FDC0C8}"/>
    <cellStyle name="60% - Accent6 5 2 3" xfId="20780" xr:uid="{95FBB4B6-2153-4DB8-98DF-E259B994B67B}"/>
    <cellStyle name="60% - Accent6 5 2 3 2" xfId="51778" xr:uid="{75BC1F62-6EAD-4608-9E96-D0FE730D30BB}"/>
    <cellStyle name="60% - Accent6 5 2 4" xfId="51775" xr:uid="{8EDDB3BA-D55C-42C4-A0BF-A1A6581FA92A}"/>
    <cellStyle name="60% - Accent6 5 3" xfId="9346" xr:uid="{DC814548-494D-4A13-9FC7-B88C1E159E14}"/>
    <cellStyle name="60% - Accent6 5 3 2" xfId="24759" xr:uid="{E649A634-2DAB-4B4C-9F44-1CFEB27C3B1D}"/>
    <cellStyle name="60% - Accent6 5 3 2 2" xfId="51780" xr:uid="{5047093F-0EC7-4274-9334-B757BB70FE55}"/>
    <cellStyle name="60% - Accent6 5 3 3" xfId="51779" xr:uid="{D04FC122-1A4C-4536-AC82-55FEBA89993C}"/>
    <cellStyle name="60% - Accent6 5 4" xfId="17054" xr:uid="{EA2273C8-3883-4DBC-811C-0E41AE3A47B0}"/>
    <cellStyle name="60% - Accent6 5 4 2" xfId="51781" xr:uid="{259FA3AA-C673-4F58-95A8-02EF74545C3E}"/>
    <cellStyle name="60% - Accent6 5 5" xfId="51774" xr:uid="{6B1BA77D-DB74-432D-8103-C45A573EFE2B}"/>
    <cellStyle name="60% - Accent6 50" xfId="15629" xr:uid="{9B744336-60BF-47AC-B669-44A8C024659A}"/>
    <cellStyle name="60% - Accent6 50 2" xfId="51782" xr:uid="{64B0C2A9-58DE-4347-A506-77B254B93906}"/>
    <cellStyle name="60% - Accent6 51" xfId="31007" xr:uid="{5BB34B81-A066-4C4F-986B-175001ABC2AE}"/>
    <cellStyle name="60% - Accent6 51 2" xfId="51783" xr:uid="{2144B6E1-F6FB-4330-8EEC-B42D542DAB15}"/>
    <cellStyle name="60% - Accent6 52" xfId="51422" xr:uid="{B0E94B78-E14B-4EB1-8516-21F19C991FBE}"/>
    <cellStyle name="60% - Accent6 53" xfId="61987" xr:uid="{BAEA244D-B503-467E-9AC8-4141E55D4FDF}"/>
    <cellStyle name="60% - Accent6 54" xfId="62007" xr:uid="{060BC4C7-3D85-43D0-92C2-D65E0E349338}"/>
    <cellStyle name="60% - Accent6 55" xfId="62027" xr:uid="{E4E8F732-D994-4292-8A5D-23E084D2FD68}"/>
    <cellStyle name="60% - Accent6 56" xfId="62046" xr:uid="{DCAEB832-769B-4490-AF53-0BE126FBFCD0}"/>
    <cellStyle name="60% - Accent6 57" xfId="62069" xr:uid="{A89E93F8-BDB9-4B07-945C-E8E79316D81C}"/>
    <cellStyle name="60% - Accent6 58" xfId="62096" xr:uid="{1D9EC07C-19E8-49AA-9380-F02276AC5DFD}"/>
    <cellStyle name="60% - Accent6 6" xfId="3313" xr:uid="{D350BA92-F321-40DA-8C21-82BB8C1A8DC3}"/>
    <cellStyle name="60% - Accent6 6 2" xfId="7045" xr:uid="{A8F792F8-485E-484B-A127-5A1AFB3CB179}"/>
    <cellStyle name="60% - Accent6 6 2 2" xfId="14753" xr:uid="{9D5E8B55-0EAF-4715-B852-5F3887BD6A3D}"/>
    <cellStyle name="60% - Accent6 6 2 2 2" xfId="30165" xr:uid="{B77C6430-9F97-4F0F-8751-C78D043DADFB}"/>
    <cellStyle name="60% - Accent6 6 2 2 2 2" xfId="51787" xr:uid="{DDE61897-60A6-4B9C-8876-B2DA80548795}"/>
    <cellStyle name="60% - Accent6 6 2 2 3" xfId="51786" xr:uid="{4A13C2D3-DAB5-47DA-BC04-1BBD24957B07}"/>
    <cellStyle name="60% - Accent6 6 2 3" xfId="22460" xr:uid="{5B9127B9-9641-4F9B-A955-7677E57820D1}"/>
    <cellStyle name="60% - Accent6 6 2 3 2" xfId="51788" xr:uid="{309845E8-639F-434F-81C2-D3775CAE7201}"/>
    <cellStyle name="60% - Accent6 6 2 4" xfId="51785" xr:uid="{B5D280DB-F962-4462-AD7E-CCB00925E252}"/>
    <cellStyle name="60% - Accent6 6 3" xfId="11024" xr:uid="{B0DEE16A-CD31-4608-88BF-BD2B77D4D1F6}"/>
    <cellStyle name="60% - Accent6 6 3 2" xfId="26437" xr:uid="{162C4591-17DF-4B3E-A585-3A514793BF8F}"/>
    <cellStyle name="60% - Accent6 6 3 2 2" xfId="51790" xr:uid="{82A48A1A-707D-4D38-97B6-A377514D0B93}"/>
    <cellStyle name="60% - Accent6 6 3 3" xfId="51789" xr:uid="{10548379-4D98-40AB-BC37-407CF63A6563}"/>
    <cellStyle name="60% - Accent6 6 4" xfId="18732" xr:uid="{B0A34B80-6FC5-4DCA-94EF-CB58785D6305}"/>
    <cellStyle name="60% - Accent6 6 4 2" xfId="51791" xr:uid="{D37220DD-596D-4BB4-A3DF-81F5A037A1DE}"/>
    <cellStyle name="60% - Accent6 6 5" xfId="51784" xr:uid="{1E412DA1-529F-4DD8-AA2A-1CE86ED15457}"/>
    <cellStyle name="60% - Accent6 7" xfId="3333" xr:uid="{0862C04A-4702-4AB8-A9CC-3CD168055E00}"/>
    <cellStyle name="60% - Accent6 7 2" xfId="7065" xr:uid="{C8D6FF7F-7EE4-4E2C-8413-BE325AB3C744}"/>
    <cellStyle name="60% - Accent6 7 2 2" xfId="14773" xr:uid="{66E03013-736A-41D8-8367-0330391544B5}"/>
    <cellStyle name="60% - Accent6 7 2 2 2" xfId="30185" xr:uid="{87BCE9B5-8AD7-49A1-8BC8-8E5FAED7F1B9}"/>
    <cellStyle name="60% - Accent6 7 2 2 2 2" xfId="51795" xr:uid="{17C04736-A4EE-4419-89CD-21D6D1A4C018}"/>
    <cellStyle name="60% - Accent6 7 2 2 3" xfId="51794" xr:uid="{BB3D2C73-775C-4EFF-B6E9-EC73ADEC7950}"/>
    <cellStyle name="60% - Accent6 7 2 3" xfId="22480" xr:uid="{B19411E5-A901-4507-B417-57E814288258}"/>
    <cellStyle name="60% - Accent6 7 2 3 2" xfId="51796" xr:uid="{D29B4D81-9527-4243-B1E5-F8C61245E71F}"/>
    <cellStyle name="60% - Accent6 7 2 4" xfId="51793" xr:uid="{F8EBBA5F-A3D0-4CB8-BF93-5BC1FC759C1A}"/>
    <cellStyle name="60% - Accent6 7 3" xfId="11044" xr:uid="{A311A76A-226C-4404-BFA8-4870991B1255}"/>
    <cellStyle name="60% - Accent6 7 3 2" xfId="26457" xr:uid="{7DD0ECB4-BFF8-4A02-A0E3-780CD8945AD1}"/>
    <cellStyle name="60% - Accent6 7 3 2 2" xfId="51798" xr:uid="{53FCF720-8754-4E68-B7A4-24ECA43FF562}"/>
    <cellStyle name="60% - Accent6 7 3 3" xfId="51797" xr:uid="{AC447CA1-F5BE-476D-8C84-29E41B62A98F}"/>
    <cellStyle name="60% - Accent6 7 4" xfId="18752" xr:uid="{29F8C279-0C90-4C34-9A0D-121A92D1EAF7}"/>
    <cellStyle name="60% - Accent6 7 4 2" xfId="51799" xr:uid="{C8AE74ED-1656-440A-AAF7-EF4C41EF4A2B}"/>
    <cellStyle name="60% - Accent6 7 5" xfId="51792" xr:uid="{FD12E3FD-EAB5-47E0-BCEA-37C18A3D2E36}"/>
    <cellStyle name="60% - Accent6 8" xfId="3353" xr:uid="{40F4A387-0C06-4F22-B43B-789E75971358}"/>
    <cellStyle name="60% - Accent6 8 2" xfId="7085" xr:uid="{09B58944-1B6D-4DCE-8633-F3A5D956EC6C}"/>
    <cellStyle name="60% - Accent6 8 2 2" xfId="14793" xr:uid="{C232C5F2-4C86-4A4B-AD08-0F9EA2634877}"/>
    <cellStyle name="60% - Accent6 8 2 2 2" xfId="30205" xr:uid="{6F8C71F4-51F0-4564-A709-E8CA6DD6C3AC}"/>
    <cellStyle name="60% - Accent6 8 2 2 2 2" xfId="51803" xr:uid="{C9BF0570-7C17-40D7-A1F3-99E81490A060}"/>
    <cellStyle name="60% - Accent6 8 2 2 3" xfId="51802" xr:uid="{33AF1FB3-DF8D-411A-A127-333EC9339B89}"/>
    <cellStyle name="60% - Accent6 8 2 3" xfId="22500" xr:uid="{27035FE9-28C8-4FAF-8AD4-42BA5C98E0C2}"/>
    <cellStyle name="60% - Accent6 8 2 3 2" xfId="51804" xr:uid="{04C4C9B2-9C1E-45E3-BB9F-85AE0A1708B2}"/>
    <cellStyle name="60% - Accent6 8 2 4" xfId="51801" xr:uid="{CAB14C04-52FF-40E8-8FC4-DBF1DA201445}"/>
    <cellStyle name="60% - Accent6 8 3" xfId="11064" xr:uid="{650B84F9-24F0-45D4-BEB2-5E2A2055C97A}"/>
    <cellStyle name="60% - Accent6 8 3 2" xfId="26477" xr:uid="{2BF9F9B4-D6B8-4384-9B7E-0C4FB2FE626A}"/>
    <cellStyle name="60% - Accent6 8 3 2 2" xfId="51806" xr:uid="{DE0E6EC1-EAEA-47F1-893A-909739CC3C97}"/>
    <cellStyle name="60% - Accent6 8 3 3" xfId="51805" xr:uid="{55548955-D6EF-46C6-82BA-BE80D7C779C9}"/>
    <cellStyle name="60% - Accent6 8 4" xfId="18772" xr:uid="{2D924007-620E-414E-BCFC-CAA9A811041F}"/>
    <cellStyle name="60% - Accent6 8 4 2" xfId="51807" xr:uid="{2A0E543B-5E2B-4794-93F2-A98D925A6C18}"/>
    <cellStyle name="60% - Accent6 8 5" xfId="51800" xr:uid="{896730DA-70FA-44DF-8091-2E269D61FC20}"/>
    <cellStyle name="60% - Accent6 9" xfId="3373" xr:uid="{E02D4526-FED2-46CF-99FD-47D39F055229}"/>
    <cellStyle name="60% - Accent6 9 2" xfId="7105" xr:uid="{65182BB1-3E82-40A6-8E5C-5177B877F81B}"/>
    <cellStyle name="60% - Accent6 9 2 2" xfId="14813" xr:uid="{18051DB1-B895-4518-93D2-3EFEA98D63F5}"/>
    <cellStyle name="60% - Accent6 9 2 2 2" xfId="30225" xr:uid="{24B60D59-AF1F-4C5B-81B7-36A54DA759BF}"/>
    <cellStyle name="60% - Accent6 9 2 2 2 2" xfId="51811" xr:uid="{53CFC224-C6C8-4E1F-A6CD-3940E6EE0E44}"/>
    <cellStyle name="60% - Accent6 9 2 2 3" xfId="51810" xr:uid="{9714046A-8E98-4B49-B9DA-0583B04E5D2B}"/>
    <cellStyle name="60% - Accent6 9 2 3" xfId="22520" xr:uid="{01289ADF-6375-439E-B628-B4CEA765D37E}"/>
    <cellStyle name="60% - Accent6 9 2 3 2" xfId="51812" xr:uid="{822905C1-4B12-48D2-BFE7-BC80CE033331}"/>
    <cellStyle name="60% - Accent6 9 2 4" xfId="51809" xr:uid="{C9D3736E-B0C3-492D-9894-0C8556E3AD84}"/>
    <cellStyle name="60% - Accent6 9 3" xfId="11084" xr:uid="{179C1098-864A-44D2-ACF6-CD038DD4C4F7}"/>
    <cellStyle name="60% - Accent6 9 3 2" xfId="26497" xr:uid="{AF98AE3E-2248-45F1-B197-C05A2C18A2B9}"/>
    <cellStyle name="60% - Accent6 9 3 2 2" xfId="51814" xr:uid="{C44D38EB-4B2F-4154-BC1E-C1281D64F52E}"/>
    <cellStyle name="60% - Accent6 9 3 3" xfId="51813" xr:uid="{3F440442-0A79-4FEF-8B35-8038BE589150}"/>
    <cellStyle name="60% - Accent6 9 4" xfId="18792" xr:uid="{71CFF766-CBED-42DD-B9A8-128148486570}"/>
    <cellStyle name="60% - Accent6 9 4 2" xfId="51815" xr:uid="{0B0E6AD5-EBA1-4091-8370-BE12CDC9EFEC}"/>
    <cellStyle name="60% - Accent6 9 5" xfId="51808" xr:uid="{9E1384DD-B30A-4E0A-AED6-B6E26FFE3345}"/>
    <cellStyle name="60% - Énfasis1" xfId="48" builtinId="32" customBuiltin="1"/>
    <cellStyle name="60% - Énfasis1 10" xfId="607" xr:uid="{EFBA54B9-99CF-4FC7-BAD0-1E03C8332A28}"/>
    <cellStyle name="60% - Énfasis1 10 2" xfId="1268" xr:uid="{AB76E5F0-57A1-49BA-A42B-A0DC21DC6BA6}"/>
    <cellStyle name="60% - Énfasis1 10 2 2" xfId="2735" xr:uid="{867A0249-46C8-4D6D-AB5D-1C09A2976BCC}"/>
    <cellStyle name="60% - Énfasis1 10 2 2 2" xfId="6467" xr:uid="{A27D9C9B-6283-4AE9-9A34-9C15BBFADC77}"/>
    <cellStyle name="60% - Énfasis1 10 2 2 2 2" xfId="14175" xr:uid="{29044212-03DF-45E8-AF99-18F5A51D20D2}"/>
    <cellStyle name="60% - Énfasis1 10 2 2 2 2 2" xfId="29587" xr:uid="{E9F12959-C9FF-4C7F-BCE9-8B1A751087CE}"/>
    <cellStyle name="60% - Énfasis1 10 2 2 2 2 2 2" xfId="51821" xr:uid="{707A6709-17E5-46B3-81E9-5870EF5809BA}"/>
    <cellStyle name="60% - Énfasis1 10 2 2 2 2 3" xfId="51820" xr:uid="{83ADCC64-729F-4D0E-A2FC-DE7FF1553D13}"/>
    <cellStyle name="60% - Énfasis1 10 2 2 2 3" xfId="21882" xr:uid="{DDCFED85-389B-4631-9CAF-63A7E032D3E4}"/>
    <cellStyle name="60% - Énfasis1 10 2 2 2 3 2" xfId="51822" xr:uid="{0E9E037F-4182-4BE5-AE6F-6BB5EFE83545}"/>
    <cellStyle name="60% - Énfasis1 10 2 2 2 4" xfId="51819" xr:uid="{20656447-E5C2-4794-8651-9F550A11A192}"/>
    <cellStyle name="60% - Énfasis1 10 2 2 3" xfId="10446" xr:uid="{28417CFC-7F87-41F3-81A0-5F80A9726A82}"/>
    <cellStyle name="60% - Énfasis1 10 2 2 3 2" xfId="25859" xr:uid="{D2AAAFD8-34A5-466D-8691-104C43665A80}"/>
    <cellStyle name="60% - Énfasis1 10 2 2 3 2 2" xfId="51824" xr:uid="{34EB49EA-ED21-4B3F-B791-926470B906F2}"/>
    <cellStyle name="60% - Énfasis1 10 2 2 3 3" xfId="51823" xr:uid="{F3498029-BA47-4A51-910B-1D15CD5C338D}"/>
    <cellStyle name="60% - Énfasis1 10 2 2 4" xfId="18154" xr:uid="{9CA9DD6B-F749-4060-BE48-6114C7CD502F}"/>
    <cellStyle name="60% - Énfasis1 10 2 2 4 2" xfId="51825" xr:uid="{7DC1FB82-7F18-461E-BC6B-C8351BA45EAE}"/>
    <cellStyle name="60% - Énfasis1 10 2 2 5" xfId="51818" xr:uid="{4A595B18-35F8-4A5D-AA06-0779CF0240BA}"/>
    <cellStyle name="60% - Énfasis1 10 2 3" xfId="5004" xr:uid="{0D8B44C3-1B67-4D36-B651-D1CF407262F6}"/>
    <cellStyle name="60% - Énfasis1 10 2 3 2" xfId="12712" xr:uid="{11549C6A-D150-4AF5-8791-B9A26775A9C5}"/>
    <cellStyle name="60% - Énfasis1 10 2 3 2 2" xfId="28124" xr:uid="{83C64987-0506-4336-BCCE-0A95EA3EBCC0}"/>
    <cellStyle name="60% - Énfasis1 10 2 3 2 2 2" xfId="51828" xr:uid="{F8E9A281-F2D2-4B4F-803A-F13340FE8459}"/>
    <cellStyle name="60% - Énfasis1 10 2 3 2 3" xfId="51827" xr:uid="{C09B2C4E-3C9A-4473-B5B1-5E344A0D9402}"/>
    <cellStyle name="60% - Énfasis1 10 2 3 3" xfId="20419" xr:uid="{00E19C02-115A-465E-A1C7-93195A16C690}"/>
    <cellStyle name="60% - Énfasis1 10 2 3 3 2" xfId="51829" xr:uid="{092BD512-A584-4D8B-9C07-27AE69B03BF2}"/>
    <cellStyle name="60% - Énfasis1 10 2 3 4" xfId="51826" xr:uid="{B5D32C06-8130-47E3-86F1-EA2D7AEA2E91}"/>
    <cellStyle name="60% - Énfasis1 10 2 4" xfId="8987" xr:uid="{E7DE5447-C696-4772-B17A-DE15BA175BE5}"/>
    <cellStyle name="60% - Énfasis1 10 2 4 2" xfId="24400" xr:uid="{84B8BAF9-1D06-4574-9A61-4446494E14EA}"/>
    <cellStyle name="60% - Énfasis1 10 2 4 2 2" xfId="51831" xr:uid="{E32FED0E-40BB-4D90-BE81-6E513AAFCCD7}"/>
    <cellStyle name="60% - Énfasis1 10 2 4 3" xfId="51830" xr:uid="{49E3428F-0C22-438A-B576-D5B9E2FCFDE3}"/>
    <cellStyle name="60% - Énfasis1 10 2 5" xfId="16695" xr:uid="{10A9C415-D382-484E-B8D9-676D14704599}"/>
    <cellStyle name="60% - Énfasis1 10 2 5 2" xfId="51832" xr:uid="{C8348143-476D-4363-AC99-241F2FC98976}"/>
    <cellStyle name="60% - Énfasis1 10 2 6" xfId="51817" xr:uid="{9D78607A-686A-4DF4-AF0D-692207E1E8AD}"/>
    <cellStyle name="60% - Énfasis1 10 3" xfId="2097" xr:uid="{68CF8882-DEA8-4FE0-8B51-8F38D408B6A3}"/>
    <cellStyle name="60% - Énfasis1 10 3 2" xfId="5829" xr:uid="{94DECC13-9B6F-45ED-880D-398556DE9269}"/>
    <cellStyle name="60% - Énfasis1 10 3 2 2" xfId="13537" xr:uid="{E77E9E33-A619-48C5-8A43-DB311FC3BC7B}"/>
    <cellStyle name="60% - Énfasis1 10 3 2 2 2" xfId="28949" xr:uid="{0DC6F29C-660F-4DDE-89C9-0D04808AB3BF}"/>
    <cellStyle name="60% - Énfasis1 10 3 2 2 2 2" xfId="51836" xr:uid="{24B6499C-54B8-4B6E-BB27-925718303DD5}"/>
    <cellStyle name="60% - Énfasis1 10 3 2 2 3" xfId="51835" xr:uid="{22285BD8-640D-42F8-9275-12678E9E5D06}"/>
    <cellStyle name="60% - Énfasis1 10 3 2 3" xfId="21244" xr:uid="{D57F2815-B14F-419B-BA43-0647E7D61CDD}"/>
    <cellStyle name="60% - Énfasis1 10 3 2 3 2" xfId="51837" xr:uid="{6629A774-AC1B-4B61-820F-E4EB5FD7BC0D}"/>
    <cellStyle name="60% - Énfasis1 10 3 2 4" xfId="51834" xr:uid="{1EA60944-41EA-4D65-87D1-542ADD6E4E2F}"/>
    <cellStyle name="60% - Énfasis1 10 3 3" xfId="9808" xr:uid="{77AC9FFF-8ABD-4CA5-A593-4814E6051CFD}"/>
    <cellStyle name="60% - Énfasis1 10 3 3 2" xfId="25221" xr:uid="{BDA0C177-4A0A-4E51-A919-A25B8EDC9067}"/>
    <cellStyle name="60% - Énfasis1 10 3 3 2 2" xfId="51839" xr:uid="{B14F4B35-E55F-4444-BB4F-B93D934B24FA}"/>
    <cellStyle name="60% - Énfasis1 10 3 3 3" xfId="51838" xr:uid="{87FCB5BA-B118-4BC9-B37C-4E7CC3B140D2}"/>
    <cellStyle name="60% - Énfasis1 10 3 4" xfId="17516" xr:uid="{A8BF6640-ED4F-4E6D-BF73-9ABBFFF4E710}"/>
    <cellStyle name="60% - Énfasis1 10 3 4 2" xfId="51840" xr:uid="{88E58936-96D3-4F7E-BB48-F3158C00BE1C}"/>
    <cellStyle name="60% - Énfasis1 10 3 5" xfId="51833" xr:uid="{684E8F78-7121-438C-A98C-C524DEAE1C0E}"/>
    <cellStyle name="60% - Énfasis1 10 4" xfId="4352" xr:uid="{D910B4A3-6FDB-4CAB-8E90-F2DB5BB25E65}"/>
    <cellStyle name="60% - Énfasis1 10 4 2" xfId="12060" xr:uid="{45D4B5EE-6CA7-4C48-8F84-A1D853066FB9}"/>
    <cellStyle name="60% - Énfasis1 10 4 2 2" xfId="27472" xr:uid="{96B89CC7-47F2-4F89-B21C-19B2A5EED203}"/>
    <cellStyle name="60% - Énfasis1 10 4 2 2 2" xfId="51843" xr:uid="{31C3EA39-3916-4D9A-ADDF-C1BDFE05B7D3}"/>
    <cellStyle name="60% - Énfasis1 10 4 2 3" xfId="51842" xr:uid="{DAF0D75D-19D1-44C1-BFC1-8B69C9665ECB}"/>
    <cellStyle name="60% - Énfasis1 10 4 3" xfId="19767" xr:uid="{AEACACB3-45C6-4DAB-994C-25ED904BCEA2}"/>
    <cellStyle name="60% - Énfasis1 10 4 3 2" xfId="51844" xr:uid="{CFC0DE63-B1DF-4646-B995-60670D27DC1F}"/>
    <cellStyle name="60% - Énfasis1 10 4 4" xfId="51841" xr:uid="{DA856532-622E-4025-98D6-7C48916E02D2}"/>
    <cellStyle name="60% - Énfasis1 10 5" xfId="8349" xr:uid="{C9B2787B-4E9D-481B-9DC6-A0FEDE5A72A9}"/>
    <cellStyle name="60% - Énfasis1 10 5 2" xfId="23762" xr:uid="{0865A220-0077-4DBA-AC36-E39581EE360F}"/>
    <cellStyle name="60% - Énfasis1 10 5 2 2" xfId="51846" xr:uid="{93991FC5-57FD-4A66-954E-D845C569B7CD}"/>
    <cellStyle name="60% - Énfasis1 10 5 3" xfId="51845" xr:uid="{AE062C5B-6A5E-485F-85FE-A9FD27D21306}"/>
    <cellStyle name="60% - Énfasis1 10 6" xfId="16057" xr:uid="{EAE0E453-5E55-4EC7-9036-14909C6EC302}"/>
    <cellStyle name="60% - Énfasis1 10 6 2" xfId="51847" xr:uid="{4D3456E6-5335-4658-AB1B-5735987D3BC1}"/>
    <cellStyle name="60% - Énfasis1 10 7" xfId="51816" xr:uid="{58135E90-FA14-4908-BF84-CF0A062425B8}"/>
    <cellStyle name="60% - Énfasis1 11" xfId="627" xr:uid="{61A06695-8303-4783-86A0-63A5D19CC511}"/>
    <cellStyle name="60% - Énfasis1 11 2" xfId="1288" xr:uid="{263EF87E-1A60-4543-A86C-29F9086E87D5}"/>
    <cellStyle name="60% - Énfasis1 11 2 2" xfId="2755" xr:uid="{2A3E31C2-9F49-4DB6-A070-A45AD1312153}"/>
    <cellStyle name="60% - Énfasis1 11 2 2 2" xfId="6487" xr:uid="{1B8229C4-7A67-48E0-8479-C25FC7B1D94F}"/>
    <cellStyle name="60% - Énfasis1 11 2 2 2 2" xfId="14195" xr:uid="{9806381C-462E-4D25-B1BC-0D1B562BFFB6}"/>
    <cellStyle name="60% - Énfasis1 11 2 2 2 2 2" xfId="29607" xr:uid="{E3B5908D-910E-42EA-8EE6-9C491BF3B05A}"/>
    <cellStyle name="60% - Énfasis1 11 2 2 2 2 2 2" xfId="51853" xr:uid="{A57EC0F6-4771-4558-8C68-DD97BCACF0A6}"/>
    <cellStyle name="60% - Énfasis1 11 2 2 2 2 3" xfId="51852" xr:uid="{2458E711-FC80-4FC3-8BBC-C778FFB26811}"/>
    <cellStyle name="60% - Énfasis1 11 2 2 2 3" xfId="21902" xr:uid="{F56E4616-6F28-46BD-B3EF-E2D83C5E576D}"/>
    <cellStyle name="60% - Énfasis1 11 2 2 2 3 2" xfId="51854" xr:uid="{A926C82A-7320-41BD-9050-D9E044B659A5}"/>
    <cellStyle name="60% - Énfasis1 11 2 2 2 4" xfId="51851" xr:uid="{E9D5556C-96DF-49EF-B240-2EC4A27274DF}"/>
    <cellStyle name="60% - Énfasis1 11 2 2 3" xfId="10466" xr:uid="{5CCDB1B2-BCF9-47B3-9B42-6A5679B2C77D}"/>
    <cellStyle name="60% - Énfasis1 11 2 2 3 2" xfId="25879" xr:uid="{CC6F797C-B3EE-4564-B59E-FA51AD9AB99E}"/>
    <cellStyle name="60% - Énfasis1 11 2 2 3 2 2" xfId="51856" xr:uid="{39CFF913-AB70-4209-8ADE-4BA7960D035F}"/>
    <cellStyle name="60% - Énfasis1 11 2 2 3 3" xfId="51855" xr:uid="{6ED9F455-1814-442B-9B87-4EECA604B3C8}"/>
    <cellStyle name="60% - Énfasis1 11 2 2 4" xfId="18174" xr:uid="{2A7CC0AE-FAAE-43E5-A410-C1B4587783DD}"/>
    <cellStyle name="60% - Énfasis1 11 2 2 4 2" xfId="51857" xr:uid="{0806BEEB-51AB-4A92-981D-C05922D198B5}"/>
    <cellStyle name="60% - Énfasis1 11 2 2 5" xfId="51850" xr:uid="{E9B237F7-AB74-40AD-A940-A993250D7C53}"/>
    <cellStyle name="60% - Énfasis1 11 2 3" xfId="5024" xr:uid="{DD61A94F-0160-40CA-B5DD-0B5CCDF91DFF}"/>
    <cellStyle name="60% - Énfasis1 11 2 3 2" xfId="12732" xr:uid="{A6DBC7E8-40D6-4449-AA29-C67CD2B67A52}"/>
    <cellStyle name="60% - Énfasis1 11 2 3 2 2" xfId="28144" xr:uid="{B7122D73-94B1-4124-BD5E-3E33E25ECE5E}"/>
    <cellStyle name="60% - Énfasis1 11 2 3 2 2 2" xfId="51860" xr:uid="{065176B1-F25A-47AF-B052-2CB8D85653B9}"/>
    <cellStyle name="60% - Énfasis1 11 2 3 2 3" xfId="51859" xr:uid="{39C3DF2B-0DA0-407B-82AC-30A46B3DAD0C}"/>
    <cellStyle name="60% - Énfasis1 11 2 3 3" xfId="20439" xr:uid="{C3E30273-50FF-42EC-9EA3-175C9612A08E}"/>
    <cellStyle name="60% - Énfasis1 11 2 3 3 2" xfId="51861" xr:uid="{DB65093E-80E3-4994-88FC-4CC2D0CA50BA}"/>
    <cellStyle name="60% - Énfasis1 11 2 3 4" xfId="51858" xr:uid="{E673581D-D03B-4D5B-922E-3D295B59222F}"/>
    <cellStyle name="60% - Énfasis1 11 2 4" xfId="9007" xr:uid="{D209866A-1A99-4CAA-B715-94E7D6F3B5A2}"/>
    <cellStyle name="60% - Énfasis1 11 2 4 2" xfId="24420" xr:uid="{E2370FE4-81F5-45D1-9AFC-7E0B57679C03}"/>
    <cellStyle name="60% - Énfasis1 11 2 4 2 2" xfId="51863" xr:uid="{E85FEE26-B937-48F4-8DC2-2B2073270D5B}"/>
    <cellStyle name="60% - Énfasis1 11 2 4 3" xfId="51862" xr:uid="{976D2F36-D897-4EE5-B59B-843357F3BC92}"/>
    <cellStyle name="60% - Énfasis1 11 2 5" xfId="16715" xr:uid="{7683F0DD-0EA1-4734-9E12-1EC4CEA7434E}"/>
    <cellStyle name="60% - Énfasis1 11 2 5 2" xfId="51864" xr:uid="{D4C71CFC-46D5-4ECB-86D7-723AC766CDC8}"/>
    <cellStyle name="60% - Énfasis1 11 2 6" xfId="51849" xr:uid="{2FADD44F-3DC4-44A3-ABA4-30D1A16B7F69}"/>
    <cellStyle name="60% - Énfasis1 11 3" xfId="2117" xr:uid="{61A30655-5E40-4E67-A7AC-0B7EF8578B24}"/>
    <cellStyle name="60% - Énfasis1 11 3 2" xfId="5849" xr:uid="{B3D20777-3D18-4043-B67E-AB856BE2BCD9}"/>
    <cellStyle name="60% - Énfasis1 11 3 2 2" xfId="13557" xr:uid="{AD9B7FE6-ED27-4C4D-9730-CAFBE666C31E}"/>
    <cellStyle name="60% - Énfasis1 11 3 2 2 2" xfId="28969" xr:uid="{EFCD98FB-46F4-460B-B66D-022369BA8EBC}"/>
    <cellStyle name="60% - Énfasis1 11 3 2 2 2 2" xfId="51868" xr:uid="{B497ED4C-681C-494E-8897-4BDB2B7207A5}"/>
    <cellStyle name="60% - Énfasis1 11 3 2 2 3" xfId="51867" xr:uid="{0D9BEAD1-2922-46AE-BB39-20FE932CCA96}"/>
    <cellStyle name="60% - Énfasis1 11 3 2 3" xfId="21264" xr:uid="{AD46935D-81E4-4D99-A4FD-65AB0A45D6CE}"/>
    <cellStyle name="60% - Énfasis1 11 3 2 3 2" xfId="51869" xr:uid="{42EE453F-C243-4229-8F1B-7B93C4668EB4}"/>
    <cellStyle name="60% - Énfasis1 11 3 2 4" xfId="51866" xr:uid="{8621DBBF-843F-4046-898A-D0D4B235DA77}"/>
    <cellStyle name="60% - Énfasis1 11 3 3" xfId="9828" xr:uid="{ED82F5EA-CB22-4568-9EED-59CE61784DB4}"/>
    <cellStyle name="60% - Énfasis1 11 3 3 2" xfId="25241" xr:uid="{2722B17F-2D77-458D-8AE6-FFEF64FE67B1}"/>
    <cellStyle name="60% - Énfasis1 11 3 3 2 2" xfId="51871" xr:uid="{06D6567B-702F-41C1-A1B0-EA8D192C9C48}"/>
    <cellStyle name="60% - Énfasis1 11 3 3 3" xfId="51870" xr:uid="{5249E788-1BD9-4242-89EC-6D932508F223}"/>
    <cellStyle name="60% - Énfasis1 11 3 4" xfId="17536" xr:uid="{1C2C6674-B66F-47E5-AEB9-E7F76A32B94E}"/>
    <cellStyle name="60% - Énfasis1 11 3 4 2" xfId="51872" xr:uid="{371E3A9A-EB57-44DC-A78B-B2401BCC3B41}"/>
    <cellStyle name="60% - Énfasis1 11 3 5" xfId="51865" xr:uid="{7D4EA9C4-8903-4666-8534-022342249F4F}"/>
    <cellStyle name="60% - Énfasis1 11 4" xfId="4372" xr:uid="{8EB1946C-BE93-408E-AF6D-BCFD3D32864D}"/>
    <cellStyle name="60% - Énfasis1 11 4 2" xfId="12080" xr:uid="{F43465AE-C192-40BF-801D-39025B585495}"/>
    <cellStyle name="60% - Énfasis1 11 4 2 2" xfId="27492" xr:uid="{DDB92F5C-7520-4386-8C05-7A93FB8BDF0D}"/>
    <cellStyle name="60% - Énfasis1 11 4 2 2 2" xfId="51875" xr:uid="{7261241B-240E-4B7A-9C01-30E5859259CF}"/>
    <cellStyle name="60% - Énfasis1 11 4 2 3" xfId="51874" xr:uid="{1439E218-3DBA-466A-8C0C-D05218C325C0}"/>
    <cellStyle name="60% - Énfasis1 11 4 3" xfId="19787" xr:uid="{E20B056F-9733-4E86-85F1-470A89EC6BC6}"/>
    <cellStyle name="60% - Énfasis1 11 4 3 2" xfId="51876" xr:uid="{846B18C2-9493-432E-9448-931635E884F8}"/>
    <cellStyle name="60% - Énfasis1 11 4 4" xfId="51873" xr:uid="{CA61DEF1-BC3D-4521-B095-D54323B1DA94}"/>
    <cellStyle name="60% - Énfasis1 11 5" xfId="8369" xr:uid="{33DD2F84-ADC7-409F-A37A-8BC9E41D83AA}"/>
    <cellStyle name="60% - Énfasis1 11 5 2" xfId="23782" xr:uid="{F2C2D100-EF7C-4F14-A48C-36037743AE48}"/>
    <cellStyle name="60% - Énfasis1 11 5 2 2" xfId="51878" xr:uid="{66B8451C-3835-464A-BF7D-8420D8BDEF7C}"/>
    <cellStyle name="60% - Énfasis1 11 5 3" xfId="51877" xr:uid="{1C1DEE08-6621-4D26-8403-C76973A62FEA}"/>
    <cellStyle name="60% - Énfasis1 11 6" xfId="16077" xr:uid="{345E5472-F04A-4708-B756-888E951982C7}"/>
    <cellStyle name="60% - Énfasis1 11 6 2" xfId="51879" xr:uid="{F8ABC8B3-0B34-49FF-9485-17DEE24F7E3E}"/>
    <cellStyle name="60% - Énfasis1 11 7" xfId="51848" xr:uid="{6E3314A5-BC1D-4752-A1EC-B2DDA13EC362}"/>
    <cellStyle name="60% - Énfasis1 12" xfId="648" xr:uid="{4AB65EAC-FF00-43F9-8263-2A3B0C2FB9FF}"/>
    <cellStyle name="60% - Énfasis1 12 2" xfId="1309" xr:uid="{A4517846-76E9-4E47-9051-A7B6D4DC02A9}"/>
    <cellStyle name="60% - Énfasis1 12 2 2" xfId="2776" xr:uid="{E8AE7681-1EC9-43F7-9BC5-4EC1B713DC13}"/>
    <cellStyle name="60% - Énfasis1 12 2 2 2" xfId="6508" xr:uid="{A0C1D859-FD48-47AC-9813-F2AC01A1462D}"/>
    <cellStyle name="60% - Énfasis1 12 2 2 2 2" xfId="14216" xr:uid="{BEF32DB9-44D5-4936-84A3-3EDAB3C5564E}"/>
    <cellStyle name="60% - Énfasis1 12 2 2 2 2 2" xfId="29628" xr:uid="{7A7D1816-A496-4E3D-8825-8BD5707ED686}"/>
    <cellStyle name="60% - Énfasis1 12 2 2 2 2 2 2" xfId="51885" xr:uid="{85C81981-34A1-412F-BF2C-EE2D49B4D977}"/>
    <cellStyle name="60% - Énfasis1 12 2 2 2 2 3" xfId="51884" xr:uid="{6D121705-0C52-41D0-951C-6FB4F073DECD}"/>
    <cellStyle name="60% - Énfasis1 12 2 2 2 3" xfId="21923" xr:uid="{DC193F1E-D4B8-4F7E-B5F2-A75EEA061631}"/>
    <cellStyle name="60% - Énfasis1 12 2 2 2 3 2" xfId="51886" xr:uid="{1DD312A8-2B67-4EBB-9F15-799FE8FA7BB9}"/>
    <cellStyle name="60% - Énfasis1 12 2 2 2 4" xfId="51883" xr:uid="{63C628DD-BFDF-4392-B8CD-F7A119EE358C}"/>
    <cellStyle name="60% - Énfasis1 12 2 2 3" xfId="10487" xr:uid="{216A35E8-9799-4925-8346-4D08806C8083}"/>
    <cellStyle name="60% - Énfasis1 12 2 2 3 2" xfId="25900" xr:uid="{AC1C7D4C-219E-411F-9584-8A66AD8F2397}"/>
    <cellStyle name="60% - Énfasis1 12 2 2 3 2 2" xfId="51888" xr:uid="{9BF392FE-E618-4C67-9A03-337DE7FE5FA3}"/>
    <cellStyle name="60% - Énfasis1 12 2 2 3 3" xfId="51887" xr:uid="{F97772B7-E453-4D46-8FB4-EF84B68B68E5}"/>
    <cellStyle name="60% - Énfasis1 12 2 2 4" xfId="18195" xr:uid="{E2DD0029-E8A3-4323-9B70-DB50C17DED99}"/>
    <cellStyle name="60% - Énfasis1 12 2 2 4 2" xfId="51889" xr:uid="{5E22FCEF-977F-445D-9EFC-558700646C7B}"/>
    <cellStyle name="60% - Énfasis1 12 2 2 5" xfId="51882" xr:uid="{5D4F3BA0-7FA4-49F5-8304-060BAF4ACDA9}"/>
    <cellStyle name="60% - Énfasis1 12 2 3" xfId="5045" xr:uid="{A839C305-AB94-4D27-9F5D-683D25435909}"/>
    <cellStyle name="60% - Énfasis1 12 2 3 2" xfId="12753" xr:uid="{912375E8-2506-45FD-90AD-943CF7C4A5E3}"/>
    <cellStyle name="60% - Énfasis1 12 2 3 2 2" xfId="28165" xr:uid="{C0DE4B10-E55D-484F-972D-8421C4125DB9}"/>
    <cellStyle name="60% - Énfasis1 12 2 3 2 2 2" xfId="51892" xr:uid="{99066FDE-91A1-431E-8F38-ECFC8152E4DE}"/>
    <cellStyle name="60% - Énfasis1 12 2 3 2 3" xfId="51891" xr:uid="{99BAFACA-5B8D-4648-86AB-C02F381569D0}"/>
    <cellStyle name="60% - Énfasis1 12 2 3 3" xfId="20460" xr:uid="{6A6586DC-3243-4220-8DCF-082C18D0E696}"/>
    <cellStyle name="60% - Énfasis1 12 2 3 3 2" xfId="51893" xr:uid="{F3DACE48-2D81-4538-85EB-54AC77DA15BB}"/>
    <cellStyle name="60% - Énfasis1 12 2 3 4" xfId="51890" xr:uid="{8440210A-AC9B-4C7A-8BB0-1078958DBFFF}"/>
    <cellStyle name="60% - Énfasis1 12 2 4" xfId="9028" xr:uid="{7BB717B1-23F7-42B2-8B7D-EEA44E207245}"/>
    <cellStyle name="60% - Énfasis1 12 2 4 2" xfId="24441" xr:uid="{AE697103-F872-4E31-8136-43456F8D7FCF}"/>
    <cellStyle name="60% - Énfasis1 12 2 4 2 2" xfId="51895" xr:uid="{494F7076-44B1-4964-A132-ECECB9D4C096}"/>
    <cellStyle name="60% - Énfasis1 12 2 4 3" xfId="51894" xr:uid="{EEAB397E-5B0A-4135-99C1-32DFBCD55500}"/>
    <cellStyle name="60% - Énfasis1 12 2 5" xfId="16736" xr:uid="{4F9A2971-F9C7-49C7-98EB-DBAE5FF76707}"/>
    <cellStyle name="60% - Énfasis1 12 2 5 2" xfId="51896" xr:uid="{B5B1229C-0707-4476-AE75-4C4591F68CB4}"/>
    <cellStyle name="60% - Énfasis1 12 2 6" xfId="51881" xr:uid="{001F7AA9-78E2-4C5F-B778-F6B923085AFF}"/>
    <cellStyle name="60% - Énfasis1 12 3" xfId="2138" xr:uid="{53ABE5A8-CB87-4555-BBEA-A658675BF988}"/>
    <cellStyle name="60% - Énfasis1 12 3 2" xfId="5870" xr:uid="{78CB0BBE-FBF8-4285-B68E-BB8CECB43456}"/>
    <cellStyle name="60% - Énfasis1 12 3 2 2" xfId="13578" xr:uid="{AA0BF998-9C54-4D68-9D71-E8822F265000}"/>
    <cellStyle name="60% - Énfasis1 12 3 2 2 2" xfId="28990" xr:uid="{19D04E60-6585-4A5C-91F7-F97C810CB909}"/>
    <cellStyle name="60% - Énfasis1 12 3 2 2 2 2" xfId="51900" xr:uid="{54A23E15-2C43-4C49-864D-05BA50A153E6}"/>
    <cellStyle name="60% - Énfasis1 12 3 2 2 3" xfId="51899" xr:uid="{D1068D0F-03C5-45BC-B654-DFCE20C688F3}"/>
    <cellStyle name="60% - Énfasis1 12 3 2 3" xfId="21285" xr:uid="{09B03170-716B-43E4-B54B-E6C86F5FDB13}"/>
    <cellStyle name="60% - Énfasis1 12 3 2 3 2" xfId="51901" xr:uid="{EAEF9249-1C08-4D73-A490-961ED82BE133}"/>
    <cellStyle name="60% - Énfasis1 12 3 2 4" xfId="51898" xr:uid="{CDFA69D8-AB3A-43D9-A120-F25F574AFA81}"/>
    <cellStyle name="60% - Énfasis1 12 3 3" xfId="9849" xr:uid="{1D741C83-12C9-48F7-BA5A-89CEC72CB7FC}"/>
    <cellStyle name="60% - Énfasis1 12 3 3 2" xfId="25262" xr:uid="{4A4F2B63-2338-44A2-8263-C65521B12032}"/>
    <cellStyle name="60% - Énfasis1 12 3 3 2 2" xfId="51903" xr:uid="{FCACDCF6-8982-4774-B8ED-121E963450A5}"/>
    <cellStyle name="60% - Énfasis1 12 3 3 3" xfId="51902" xr:uid="{62F88056-2BC8-4E71-B200-367A615A2F4D}"/>
    <cellStyle name="60% - Énfasis1 12 3 4" xfId="17557" xr:uid="{79F39A96-1101-477F-9136-1149707F5208}"/>
    <cellStyle name="60% - Énfasis1 12 3 4 2" xfId="51904" xr:uid="{03753242-CA58-4E2C-863B-5AEC884EAED9}"/>
    <cellStyle name="60% - Énfasis1 12 3 5" xfId="51897" xr:uid="{A2CBD3A7-5C2F-4933-8F8B-E0CF209FFDF4}"/>
    <cellStyle name="60% - Énfasis1 12 4" xfId="4393" xr:uid="{43D6E1BF-C6BA-4131-902B-8E44F31F4EBF}"/>
    <cellStyle name="60% - Énfasis1 12 4 2" xfId="12101" xr:uid="{07B2348E-C7D4-4B60-90E4-9025A1A8DAE8}"/>
    <cellStyle name="60% - Énfasis1 12 4 2 2" xfId="27513" xr:uid="{06064236-1693-4933-A27A-E436F401B902}"/>
    <cellStyle name="60% - Énfasis1 12 4 2 2 2" xfId="51907" xr:uid="{5729C708-59F2-483B-9F9A-AE9B0EACA2DA}"/>
    <cellStyle name="60% - Énfasis1 12 4 2 3" xfId="51906" xr:uid="{F15D997B-CB7A-478A-8D9E-17360E872641}"/>
    <cellStyle name="60% - Énfasis1 12 4 3" xfId="19808" xr:uid="{F1CF8075-F783-45A9-BB72-9E8BB078C1B3}"/>
    <cellStyle name="60% - Énfasis1 12 4 3 2" xfId="51908" xr:uid="{9BFB439F-53E6-4909-B838-4B426ADDF33D}"/>
    <cellStyle name="60% - Énfasis1 12 4 4" xfId="51905" xr:uid="{F18C1EB2-74CF-45BF-B571-4863567A90CA}"/>
    <cellStyle name="60% - Énfasis1 12 5" xfId="8390" xr:uid="{C67B01C7-4906-4348-90AA-23C274169331}"/>
    <cellStyle name="60% - Énfasis1 12 5 2" xfId="23803" xr:uid="{291FCEB8-9A08-4341-A74B-BCCDAA607D56}"/>
    <cellStyle name="60% - Énfasis1 12 5 2 2" xfId="51910" xr:uid="{38E76EAA-79AA-4946-9C8C-12D52E00F966}"/>
    <cellStyle name="60% - Énfasis1 12 5 3" xfId="51909" xr:uid="{06B3728D-BC86-4754-9BC4-54C711451BC0}"/>
    <cellStyle name="60% - Énfasis1 12 6" xfId="16098" xr:uid="{DE010622-91E3-4012-833E-2DEA9F3AE267}"/>
    <cellStyle name="60% - Énfasis1 12 6 2" xfId="51911" xr:uid="{54FE0655-7EBE-423B-A125-F8F8FD3D3ECD}"/>
    <cellStyle name="60% - Énfasis1 12 7" xfId="51880" xr:uid="{7E7DF1BB-5D3B-415D-8FCE-B335233AEA79}"/>
    <cellStyle name="60% - Énfasis1 13" xfId="668" xr:uid="{33DFEBA7-728D-4B27-9982-62EC871B2C06}"/>
    <cellStyle name="60% - Énfasis1 13 2" xfId="1329" xr:uid="{B5E2D3F0-39E4-4BA8-B520-F40EEFF1910E}"/>
    <cellStyle name="60% - Énfasis1 13 2 2" xfId="2796" xr:uid="{70F8EBC5-36A1-46CB-93E7-7985C346D504}"/>
    <cellStyle name="60% - Énfasis1 13 2 2 2" xfId="6528" xr:uid="{6C09AC5A-2BE4-4F36-8D6B-F33F2F63B29D}"/>
    <cellStyle name="60% - Énfasis1 13 2 2 2 2" xfId="14236" xr:uid="{4933D6B1-9F87-4C18-A34E-122533A0C751}"/>
    <cellStyle name="60% - Énfasis1 13 2 2 2 2 2" xfId="29648" xr:uid="{1665BDE3-DF6E-4ABF-852E-16C239EC7E36}"/>
    <cellStyle name="60% - Énfasis1 13 2 2 2 2 2 2" xfId="51917" xr:uid="{3BA38337-E733-4BF2-807F-BE77FEB49479}"/>
    <cellStyle name="60% - Énfasis1 13 2 2 2 2 3" xfId="51916" xr:uid="{D7151E86-B6AA-438B-80B2-544F3C8A38F0}"/>
    <cellStyle name="60% - Énfasis1 13 2 2 2 3" xfId="21943" xr:uid="{FCD99CEB-354A-4DAD-BD9C-5F376AF873B5}"/>
    <cellStyle name="60% - Énfasis1 13 2 2 2 3 2" xfId="51918" xr:uid="{6FA7F730-1213-42C5-9994-FECBA5A5112B}"/>
    <cellStyle name="60% - Énfasis1 13 2 2 2 4" xfId="51915" xr:uid="{5DB1D87B-9E27-4994-BE91-51B438E6BE6C}"/>
    <cellStyle name="60% - Énfasis1 13 2 2 3" xfId="10507" xr:uid="{43E3696D-63A9-47E7-A3A3-A7A82449DC5F}"/>
    <cellStyle name="60% - Énfasis1 13 2 2 3 2" xfId="25920" xr:uid="{90211C5C-F0CE-4338-BA68-3F374D5D829F}"/>
    <cellStyle name="60% - Énfasis1 13 2 2 3 2 2" xfId="51920" xr:uid="{8AC5C6F2-986C-420C-980F-5A6A7158767F}"/>
    <cellStyle name="60% - Énfasis1 13 2 2 3 3" xfId="51919" xr:uid="{9642D52C-3454-46DC-A5C2-39E22D4407C2}"/>
    <cellStyle name="60% - Énfasis1 13 2 2 4" xfId="18215" xr:uid="{EBF1C5D5-2296-419B-981F-8529AB9EC3B5}"/>
    <cellStyle name="60% - Énfasis1 13 2 2 4 2" xfId="51921" xr:uid="{63242C23-D549-4F3D-955F-5635D7547838}"/>
    <cellStyle name="60% - Énfasis1 13 2 2 5" xfId="51914" xr:uid="{A1C3732F-6F7A-464B-834E-D22802F49562}"/>
    <cellStyle name="60% - Énfasis1 13 2 3" xfId="5065" xr:uid="{5FA532D9-B21F-4FF0-9AAF-A548BA90A55D}"/>
    <cellStyle name="60% - Énfasis1 13 2 3 2" xfId="12773" xr:uid="{ECFFB6B2-2595-4AF9-828F-9FD3AE528074}"/>
    <cellStyle name="60% - Énfasis1 13 2 3 2 2" xfId="28185" xr:uid="{3C2E5690-C089-484E-8172-1DE344DE853D}"/>
    <cellStyle name="60% - Énfasis1 13 2 3 2 2 2" xfId="51924" xr:uid="{F797210D-4E41-45C6-B1FD-6C68A9C5E634}"/>
    <cellStyle name="60% - Énfasis1 13 2 3 2 3" xfId="51923" xr:uid="{2648BE6B-7C8D-4C0D-8528-5163D614244B}"/>
    <cellStyle name="60% - Énfasis1 13 2 3 3" xfId="20480" xr:uid="{C823784E-EF73-4641-AE05-4A591F72A60E}"/>
    <cellStyle name="60% - Énfasis1 13 2 3 3 2" xfId="51925" xr:uid="{BDF6DC6C-5FD7-4458-936C-F2D3F7DAC1D1}"/>
    <cellStyle name="60% - Énfasis1 13 2 3 4" xfId="51922" xr:uid="{AC66DF81-DCC7-4A75-88DB-5A27CBA28570}"/>
    <cellStyle name="60% - Énfasis1 13 2 4" xfId="9048" xr:uid="{456D1828-758F-4B87-85C7-CD7319AEC8F1}"/>
    <cellStyle name="60% - Énfasis1 13 2 4 2" xfId="24461" xr:uid="{C7A1B90A-9384-42E9-962B-469559281D28}"/>
    <cellStyle name="60% - Énfasis1 13 2 4 2 2" xfId="51927" xr:uid="{D591EFD5-780C-41C1-9903-54BEA0219E12}"/>
    <cellStyle name="60% - Énfasis1 13 2 4 3" xfId="51926" xr:uid="{BF4B75F1-E9BF-472A-9846-145F04C12588}"/>
    <cellStyle name="60% - Énfasis1 13 2 5" xfId="16756" xr:uid="{9FED5670-5F43-46C3-8C42-74B688A96D13}"/>
    <cellStyle name="60% - Énfasis1 13 2 5 2" xfId="51928" xr:uid="{BAE15EDC-0A09-4D68-BE5D-6FF59B3C4CF1}"/>
    <cellStyle name="60% - Énfasis1 13 2 6" xfId="51913" xr:uid="{736FF36B-25BF-4E62-8A8E-3099B5C962E4}"/>
    <cellStyle name="60% - Énfasis1 13 3" xfId="2158" xr:uid="{5A4CB4D8-D167-4ECE-AB09-52F32989FBB5}"/>
    <cellStyle name="60% - Énfasis1 13 3 2" xfId="5890" xr:uid="{14F9046A-77C5-41E1-972D-2B719192B537}"/>
    <cellStyle name="60% - Énfasis1 13 3 2 2" xfId="13598" xr:uid="{360A7070-A961-480C-9D1C-D4DA2A3B46D2}"/>
    <cellStyle name="60% - Énfasis1 13 3 2 2 2" xfId="29010" xr:uid="{ABA85E86-4B71-4A49-ADCA-4F8B6F27ED49}"/>
    <cellStyle name="60% - Énfasis1 13 3 2 2 2 2" xfId="51932" xr:uid="{955A915D-2804-41FE-BDCB-D7F5CFFD9C3F}"/>
    <cellStyle name="60% - Énfasis1 13 3 2 2 3" xfId="51931" xr:uid="{B38D9758-A2B5-4CD4-802B-54B8DFFD7A88}"/>
    <cellStyle name="60% - Énfasis1 13 3 2 3" xfId="21305" xr:uid="{0D1E35C3-78C6-455B-94CD-4597FB5E8C8F}"/>
    <cellStyle name="60% - Énfasis1 13 3 2 3 2" xfId="51933" xr:uid="{FE860720-4B2D-4F02-9444-98C1AA07B0C3}"/>
    <cellStyle name="60% - Énfasis1 13 3 2 4" xfId="51930" xr:uid="{A6C9EEF2-3656-481D-8140-A67F5E5305B5}"/>
    <cellStyle name="60% - Énfasis1 13 3 3" xfId="9869" xr:uid="{51AA8C3A-5941-46FC-B8F8-FBA39CB756C9}"/>
    <cellStyle name="60% - Énfasis1 13 3 3 2" xfId="25282" xr:uid="{E26BA0E8-7CBC-4A6C-B73F-E75E48040F51}"/>
    <cellStyle name="60% - Énfasis1 13 3 3 2 2" xfId="51935" xr:uid="{9BB55F50-7DB2-4D45-BD9D-EED15A860662}"/>
    <cellStyle name="60% - Énfasis1 13 3 3 3" xfId="51934" xr:uid="{9D950F04-FF19-4B17-BEC8-6F2C470F6EB4}"/>
    <cellStyle name="60% - Énfasis1 13 3 4" xfId="17577" xr:uid="{29855D21-CE74-4F9B-BC3F-1AF81C3512C2}"/>
    <cellStyle name="60% - Énfasis1 13 3 4 2" xfId="51936" xr:uid="{A6F110DA-3246-4BB9-A7A8-5798BC7F1A77}"/>
    <cellStyle name="60% - Énfasis1 13 3 5" xfId="51929" xr:uid="{E13DAE85-EEFF-4712-A762-290F31FFE616}"/>
    <cellStyle name="60% - Énfasis1 13 4" xfId="4413" xr:uid="{951DCA22-A49E-4BCC-8A15-0B75FA402E8F}"/>
    <cellStyle name="60% - Énfasis1 13 4 2" xfId="12121" xr:uid="{B6E5B219-75DC-4305-A225-B1A6996DACCD}"/>
    <cellStyle name="60% - Énfasis1 13 4 2 2" xfId="27533" xr:uid="{9F8AE173-F781-4B67-9CE3-D5FAA8A90FF4}"/>
    <cellStyle name="60% - Énfasis1 13 4 2 2 2" xfId="51939" xr:uid="{8DB27BA5-863C-4DB9-A96F-B2D264D53715}"/>
    <cellStyle name="60% - Énfasis1 13 4 2 3" xfId="51938" xr:uid="{2DA8E719-A7F8-44E9-95A4-18BCA19B38A7}"/>
    <cellStyle name="60% - Énfasis1 13 4 3" xfId="19828" xr:uid="{4046E466-0D52-4D14-AB71-AD193BA05C14}"/>
    <cellStyle name="60% - Énfasis1 13 4 3 2" xfId="51940" xr:uid="{4D50BEE2-DA4A-4E5A-9DD5-10A5484D219C}"/>
    <cellStyle name="60% - Énfasis1 13 4 4" xfId="51937" xr:uid="{C64BE687-9ED9-4AD7-865C-B40D267745B7}"/>
    <cellStyle name="60% - Énfasis1 13 5" xfId="8410" xr:uid="{12299F3C-23FD-400A-994B-F722C5A753CC}"/>
    <cellStyle name="60% - Énfasis1 13 5 2" xfId="23823" xr:uid="{ACF951C1-616E-418D-A8D5-770824BE518B}"/>
    <cellStyle name="60% - Énfasis1 13 5 2 2" xfId="51942" xr:uid="{9CB064B3-D3C1-4C4A-9A18-4479D749B861}"/>
    <cellStyle name="60% - Énfasis1 13 5 3" xfId="51941" xr:uid="{8A0C4257-694A-458C-BBA5-49FB49C41DCD}"/>
    <cellStyle name="60% - Énfasis1 13 6" xfId="16118" xr:uid="{BE983ADB-A5D3-4B9B-BA32-2AF04738D39F}"/>
    <cellStyle name="60% - Énfasis1 13 6 2" xfId="51943" xr:uid="{A10B9D4E-5348-4FC9-9B9A-181DAE335290}"/>
    <cellStyle name="60% - Énfasis1 13 7" xfId="51912" xr:uid="{7AE2918C-0DEA-48FE-B556-BF41C28FEEE5}"/>
    <cellStyle name="60% - Énfasis1 14" xfId="688" xr:uid="{C0F5B484-07B5-41F2-B75B-3A932BFF5530}"/>
    <cellStyle name="60% - Énfasis1 14 2" xfId="1349" xr:uid="{DAFA8EFF-41AD-4022-987F-4FC7EAB47DC5}"/>
    <cellStyle name="60% - Énfasis1 14 2 2" xfId="2816" xr:uid="{3342CF1D-5C0F-46FC-AA7C-EECEA3F423CC}"/>
    <cellStyle name="60% - Énfasis1 14 2 2 2" xfId="6548" xr:uid="{5CFB2F71-E620-42D4-B3C2-6C232C87E0AF}"/>
    <cellStyle name="60% - Énfasis1 14 2 2 2 2" xfId="14256" xr:uid="{48E3B5C4-B65C-4290-840B-8849FBB9B639}"/>
    <cellStyle name="60% - Énfasis1 14 2 2 2 2 2" xfId="29668" xr:uid="{7F5DD96A-0972-4C51-B970-5FD697324A7B}"/>
    <cellStyle name="60% - Énfasis1 14 2 2 2 2 2 2" xfId="51949" xr:uid="{E69AA6E7-71FF-456F-906D-8A7317279C55}"/>
    <cellStyle name="60% - Énfasis1 14 2 2 2 2 3" xfId="51948" xr:uid="{2B955D05-BE46-463D-99A9-FA258B66AD7F}"/>
    <cellStyle name="60% - Énfasis1 14 2 2 2 3" xfId="21963" xr:uid="{D1794D5B-5FC4-4B12-B70D-BCEBF21D92D2}"/>
    <cellStyle name="60% - Énfasis1 14 2 2 2 3 2" xfId="51950" xr:uid="{8DA81538-6659-44B7-912F-7610A3F9D897}"/>
    <cellStyle name="60% - Énfasis1 14 2 2 2 4" xfId="51947" xr:uid="{0C5C6485-0DC8-4520-9F36-419D1066E971}"/>
    <cellStyle name="60% - Énfasis1 14 2 2 3" xfId="10527" xr:uid="{F62025F0-FDAF-4A56-B4BE-8B4A549FF6A0}"/>
    <cellStyle name="60% - Énfasis1 14 2 2 3 2" xfId="25940" xr:uid="{F69207BD-4F16-495E-B7D9-4FE6B1E55A07}"/>
    <cellStyle name="60% - Énfasis1 14 2 2 3 2 2" xfId="51952" xr:uid="{C9816C49-3030-4F0F-AA40-B38F16A6BF53}"/>
    <cellStyle name="60% - Énfasis1 14 2 2 3 3" xfId="51951" xr:uid="{65730E37-C5D5-477E-B44D-6C71E4FF08E4}"/>
    <cellStyle name="60% - Énfasis1 14 2 2 4" xfId="18235" xr:uid="{7DCF9153-BC48-4B42-9EA5-99F0D2701B2D}"/>
    <cellStyle name="60% - Énfasis1 14 2 2 4 2" xfId="51953" xr:uid="{58D08C1F-7FF6-4F66-A8E0-733B37F8B66B}"/>
    <cellStyle name="60% - Énfasis1 14 2 2 5" xfId="51946" xr:uid="{D33CC9A7-17A4-4FC4-B7A5-A6D5BC2BEFB9}"/>
    <cellStyle name="60% - Énfasis1 14 2 3" xfId="5085" xr:uid="{7B225699-7C28-45DF-B9A1-82B139CC3900}"/>
    <cellStyle name="60% - Énfasis1 14 2 3 2" xfId="12793" xr:uid="{6C204AAB-C8E3-4300-8615-3BFEAEDA8667}"/>
    <cellStyle name="60% - Énfasis1 14 2 3 2 2" xfId="28205" xr:uid="{93F27A44-7AB8-4DA7-9542-EF10CBC623F9}"/>
    <cellStyle name="60% - Énfasis1 14 2 3 2 2 2" xfId="51956" xr:uid="{87DDD7B0-CADD-40F9-8239-A8BFB6627A59}"/>
    <cellStyle name="60% - Énfasis1 14 2 3 2 3" xfId="51955" xr:uid="{85746A32-812A-4A1D-B5ED-461BB1580CCC}"/>
    <cellStyle name="60% - Énfasis1 14 2 3 3" xfId="20500" xr:uid="{04D174B9-EC4E-422F-8BE5-707431765A02}"/>
    <cellStyle name="60% - Énfasis1 14 2 3 3 2" xfId="51957" xr:uid="{E16A1727-989D-47B7-83BC-C3F9B90ED877}"/>
    <cellStyle name="60% - Énfasis1 14 2 3 4" xfId="51954" xr:uid="{DD5B268A-5C6F-4307-922B-AEC5A4670643}"/>
    <cellStyle name="60% - Énfasis1 14 2 4" xfId="9068" xr:uid="{279A8A58-220E-4996-9605-F2D776990C82}"/>
    <cellStyle name="60% - Énfasis1 14 2 4 2" xfId="24481" xr:uid="{68FB9714-CD62-499E-AC0C-ED3B81A45E79}"/>
    <cellStyle name="60% - Énfasis1 14 2 4 2 2" xfId="51959" xr:uid="{6CB645EE-A4F3-4178-B2A1-C70B21C5EE36}"/>
    <cellStyle name="60% - Énfasis1 14 2 4 3" xfId="51958" xr:uid="{6E771BDE-4C11-4A48-A9F6-0AB7486EEE77}"/>
    <cellStyle name="60% - Énfasis1 14 2 5" xfId="16776" xr:uid="{ABED7DBE-F5B3-4B90-8A9D-C6C2A6CFEED0}"/>
    <cellStyle name="60% - Énfasis1 14 2 5 2" xfId="51960" xr:uid="{ADC84D4F-6031-4AD3-A7FC-17E9743AFE18}"/>
    <cellStyle name="60% - Énfasis1 14 2 6" xfId="51945" xr:uid="{9742C8D9-64D3-4503-9EE5-E13C389D050B}"/>
    <cellStyle name="60% - Énfasis1 14 3" xfId="2178" xr:uid="{43AFE216-DA3A-49E0-8934-50BE8F10F264}"/>
    <cellStyle name="60% - Énfasis1 14 3 2" xfId="5910" xr:uid="{BDAB9BCA-2588-4135-BBEA-F01378DD1045}"/>
    <cellStyle name="60% - Énfasis1 14 3 2 2" xfId="13618" xr:uid="{B0AD0071-E83B-4402-AA61-262E4FF8A12F}"/>
    <cellStyle name="60% - Énfasis1 14 3 2 2 2" xfId="29030" xr:uid="{4A08F45C-5ECC-43D3-AD90-545F0DF73173}"/>
    <cellStyle name="60% - Énfasis1 14 3 2 2 2 2" xfId="51964" xr:uid="{039AA96F-A82C-45A8-9F51-7A721416C707}"/>
    <cellStyle name="60% - Énfasis1 14 3 2 2 3" xfId="51963" xr:uid="{AEA0FE3D-E448-4B0B-9376-E801583CE453}"/>
    <cellStyle name="60% - Énfasis1 14 3 2 3" xfId="21325" xr:uid="{F07094BC-12CC-4307-9764-BE5ACB5537E8}"/>
    <cellStyle name="60% - Énfasis1 14 3 2 3 2" xfId="51965" xr:uid="{ACDC5217-1583-4A8A-B98E-24CD9CFE6DD1}"/>
    <cellStyle name="60% - Énfasis1 14 3 2 4" xfId="51962" xr:uid="{22BA385A-E76E-40C2-AC1E-8501826461FD}"/>
    <cellStyle name="60% - Énfasis1 14 3 3" xfId="9889" xr:uid="{E47005E0-A078-4B16-9E26-4926B0FB958B}"/>
    <cellStyle name="60% - Énfasis1 14 3 3 2" xfId="25302" xr:uid="{A5018FAF-2CCA-4DBB-884F-E9566CDB6737}"/>
    <cellStyle name="60% - Énfasis1 14 3 3 2 2" xfId="51967" xr:uid="{9648EC0D-839D-4BBD-835D-F7383591346C}"/>
    <cellStyle name="60% - Énfasis1 14 3 3 3" xfId="51966" xr:uid="{65ACAA71-F3A9-43E7-B3E5-0E07312DA78C}"/>
    <cellStyle name="60% - Énfasis1 14 3 4" xfId="17597" xr:uid="{D370B957-51A4-4653-B5D1-9B1A19829B81}"/>
    <cellStyle name="60% - Énfasis1 14 3 4 2" xfId="51968" xr:uid="{FBB8DCC7-928D-4B65-B057-6C5FF4594E6F}"/>
    <cellStyle name="60% - Énfasis1 14 3 5" xfId="51961" xr:uid="{D2CE2D3A-C812-475D-B7BB-DE3A5539CCB6}"/>
    <cellStyle name="60% - Énfasis1 14 4" xfId="4433" xr:uid="{E410F28D-A6D4-4D5D-A864-6F128447AD0C}"/>
    <cellStyle name="60% - Énfasis1 14 4 2" xfId="12141" xr:uid="{F547AEBB-1066-4277-AD7C-9ECD45588731}"/>
    <cellStyle name="60% - Énfasis1 14 4 2 2" xfId="27553" xr:uid="{93BA7E73-0768-4721-B45A-C7920F17151E}"/>
    <cellStyle name="60% - Énfasis1 14 4 2 2 2" xfId="51971" xr:uid="{BCDB866E-7B3E-4B15-96E7-BD1C8C8CABB0}"/>
    <cellStyle name="60% - Énfasis1 14 4 2 3" xfId="51970" xr:uid="{78CC40E4-DD5B-4DDE-A5F3-A42BAB0C3053}"/>
    <cellStyle name="60% - Énfasis1 14 4 3" xfId="19848" xr:uid="{7582EC5D-B4B2-4EEC-BAC5-73F0DE4E708C}"/>
    <cellStyle name="60% - Énfasis1 14 4 3 2" xfId="51972" xr:uid="{F67B6F24-5207-46A4-B573-21EE50711ADD}"/>
    <cellStyle name="60% - Énfasis1 14 4 4" xfId="51969" xr:uid="{9ED7DFAF-501A-4606-BAF9-9EC6E07D59FF}"/>
    <cellStyle name="60% - Énfasis1 14 5" xfId="8430" xr:uid="{05745EC0-8F56-424F-B9AE-FDD3A00A7492}"/>
    <cellStyle name="60% - Énfasis1 14 5 2" xfId="23843" xr:uid="{0F39BD90-028F-4B29-A4DB-309958D9F89E}"/>
    <cellStyle name="60% - Énfasis1 14 5 2 2" xfId="51974" xr:uid="{5402DE78-86E2-4053-8535-1A473B4EBD7F}"/>
    <cellStyle name="60% - Énfasis1 14 5 3" xfId="51973" xr:uid="{B9ECC32E-98DE-4A64-83B0-99303006DFE9}"/>
    <cellStyle name="60% - Énfasis1 14 6" xfId="16138" xr:uid="{7CDF7869-6F64-4DDA-A53E-6CAFB76D7D4A}"/>
    <cellStyle name="60% - Énfasis1 14 6 2" xfId="51975" xr:uid="{6F4AB94A-4924-431E-915B-CE9C68DD9849}"/>
    <cellStyle name="60% - Énfasis1 14 7" xfId="51944" xr:uid="{A90479AE-0AB0-450A-96E0-68241B815D3B}"/>
    <cellStyle name="60% - Énfasis1 15" xfId="709" xr:uid="{B8621500-520E-4B78-9EBA-B09879CC258C}"/>
    <cellStyle name="60% - Énfasis1 15 2" xfId="1370" xr:uid="{8434A715-AE0B-46FB-871D-3CF167B355A7}"/>
    <cellStyle name="60% - Énfasis1 15 2 2" xfId="2837" xr:uid="{52DD87F5-08FC-4E93-BDB8-3BB5193E2BA5}"/>
    <cellStyle name="60% - Énfasis1 15 2 2 2" xfId="6569" xr:uid="{4861C825-8355-41CC-9336-00B5508FAA5D}"/>
    <cellStyle name="60% - Énfasis1 15 2 2 2 2" xfId="14277" xr:uid="{8FBF3A4F-10CB-4958-95CF-F7E5EB5631E6}"/>
    <cellStyle name="60% - Énfasis1 15 2 2 2 2 2" xfId="29689" xr:uid="{FD5A03BA-B561-4191-A8E2-6B4AD317A4CC}"/>
    <cellStyle name="60% - Énfasis1 15 2 2 2 2 2 2" xfId="51981" xr:uid="{A23F18F7-2A83-4577-91C2-A5C593862503}"/>
    <cellStyle name="60% - Énfasis1 15 2 2 2 2 3" xfId="51980" xr:uid="{14ECB4C7-EE99-45ED-BF17-8300C62E92D8}"/>
    <cellStyle name="60% - Énfasis1 15 2 2 2 3" xfId="21984" xr:uid="{A6BF3B53-3FCF-4EA1-A37B-05ED6E22E3C3}"/>
    <cellStyle name="60% - Énfasis1 15 2 2 2 3 2" xfId="51982" xr:uid="{72676C35-2578-46F8-8FB5-58B3D2A5B92E}"/>
    <cellStyle name="60% - Énfasis1 15 2 2 2 4" xfId="51979" xr:uid="{75A0783B-72BB-486A-B9B5-F523A5E25AFB}"/>
    <cellStyle name="60% - Énfasis1 15 2 2 3" xfId="10548" xr:uid="{03D348A5-2128-4531-A856-9BA77D5E6D8B}"/>
    <cellStyle name="60% - Énfasis1 15 2 2 3 2" xfId="25961" xr:uid="{FBA753E6-BF73-43CF-9175-D6FA8290EC86}"/>
    <cellStyle name="60% - Énfasis1 15 2 2 3 2 2" xfId="51984" xr:uid="{BF4EA038-4485-47A7-9863-6B5BF000016A}"/>
    <cellStyle name="60% - Énfasis1 15 2 2 3 3" xfId="51983" xr:uid="{4C6B90F8-3FFF-4666-99BD-A7DAD95E91BE}"/>
    <cellStyle name="60% - Énfasis1 15 2 2 4" xfId="18256" xr:uid="{0C661F97-56CD-4C15-A287-23256375AB37}"/>
    <cellStyle name="60% - Énfasis1 15 2 2 4 2" xfId="51985" xr:uid="{B1CE339C-5F6B-4B1C-AE3F-E0A4C32B31C3}"/>
    <cellStyle name="60% - Énfasis1 15 2 2 5" xfId="51978" xr:uid="{9D60EF82-53CE-4C73-B063-E9753F336C5A}"/>
    <cellStyle name="60% - Énfasis1 15 2 3" xfId="5106" xr:uid="{84B4365E-BAC6-4FDE-9D5B-AB6EB493F515}"/>
    <cellStyle name="60% - Énfasis1 15 2 3 2" xfId="12814" xr:uid="{8CD0D5AD-0198-4E03-A99E-A8AFA6D49F93}"/>
    <cellStyle name="60% - Énfasis1 15 2 3 2 2" xfId="28226" xr:uid="{959531E2-E47F-4232-BF06-AF96567000F3}"/>
    <cellStyle name="60% - Énfasis1 15 2 3 2 2 2" xfId="51988" xr:uid="{0D9B384D-747D-43BB-8C8F-413D65AFF984}"/>
    <cellStyle name="60% - Énfasis1 15 2 3 2 3" xfId="51987" xr:uid="{FE3616F8-42F7-43B7-8CE0-1048BE66AE93}"/>
    <cellStyle name="60% - Énfasis1 15 2 3 3" xfId="20521" xr:uid="{82BE6DDB-3786-4040-A237-955F81529270}"/>
    <cellStyle name="60% - Énfasis1 15 2 3 3 2" xfId="51989" xr:uid="{5F235111-9033-4555-B63E-6B87C8E8440A}"/>
    <cellStyle name="60% - Énfasis1 15 2 3 4" xfId="51986" xr:uid="{6658CAD2-1EC2-429E-AD0F-15F8E6A23F93}"/>
    <cellStyle name="60% - Énfasis1 15 2 4" xfId="9089" xr:uid="{5C79C7CE-9E62-474E-BAAD-A715A78F4461}"/>
    <cellStyle name="60% - Énfasis1 15 2 4 2" xfId="24502" xr:uid="{7365EA36-519A-46F4-A5DE-D06C04868A9B}"/>
    <cellStyle name="60% - Énfasis1 15 2 4 2 2" xfId="51991" xr:uid="{4FD0BBB4-2D08-4E9D-B8D4-7A3D1FF13EFF}"/>
    <cellStyle name="60% - Énfasis1 15 2 4 3" xfId="51990" xr:uid="{64E12492-D8D4-4091-BB5C-45325359F1E5}"/>
    <cellStyle name="60% - Énfasis1 15 2 5" xfId="16797" xr:uid="{F3B6C131-3235-4F88-BD0D-0256E9CA9A53}"/>
    <cellStyle name="60% - Énfasis1 15 2 5 2" xfId="51992" xr:uid="{85CA982D-FDF6-4F75-BE3B-164C17C5602E}"/>
    <cellStyle name="60% - Énfasis1 15 2 6" xfId="51977" xr:uid="{D5A011A2-9DA1-426C-8EA7-AF471D719ECB}"/>
    <cellStyle name="60% - Énfasis1 15 3" xfId="2199" xr:uid="{4DA7329A-1CD0-47DC-AAAE-4C13ACDD06DF}"/>
    <cellStyle name="60% - Énfasis1 15 3 2" xfId="5931" xr:uid="{D04260FB-7D58-4698-BA5A-A47B8DAF6AB1}"/>
    <cellStyle name="60% - Énfasis1 15 3 2 2" xfId="13639" xr:uid="{EB579D7A-A05C-48CB-984A-5123FC7DEE83}"/>
    <cellStyle name="60% - Énfasis1 15 3 2 2 2" xfId="29051" xr:uid="{95931881-6D54-4AC4-92B5-9279F3C376E6}"/>
    <cellStyle name="60% - Énfasis1 15 3 2 2 2 2" xfId="51996" xr:uid="{BB338FFA-5394-4120-B6E2-DADBEED571CE}"/>
    <cellStyle name="60% - Énfasis1 15 3 2 2 3" xfId="51995" xr:uid="{43B2F7FF-FB27-46D4-B198-A8B4C38C6059}"/>
    <cellStyle name="60% - Énfasis1 15 3 2 3" xfId="21346" xr:uid="{193CE2F2-EBBD-4F56-AEE6-D832925C8B1E}"/>
    <cellStyle name="60% - Énfasis1 15 3 2 3 2" xfId="51997" xr:uid="{2F3E566B-21ED-4335-8C10-EEDBC1E2482E}"/>
    <cellStyle name="60% - Énfasis1 15 3 2 4" xfId="51994" xr:uid="{6458C7E3-A6A4-444D-94BD-0663DA7DF0FD}"/>
    <cellStyle name="60% - Énfasis1 15 3 3" xfId="9910" xr:uid="{DBE31832-F0E1-43E3-A8CF-6A590236A3A5}"/>
    <cellStyle name="60% - Énfasis1 15 3 3 2" xfId="25323" xr:uid="{2F60ADE4-604E-4FF5-BEBE-60FCAF9D33A6}"/>
    <cellStyle name="60% - Énfasis1 15 3 3 2 2" xfId="51999" xr:uid="{685C2808-DC4C-4420-B633-51E34336ABA0}"/>
    <cellStyle name="60% - Énfasis1 15 3 3 3" xfId="51998" xr:uid="{ED247D69-1F08-4557-9E62-80FF234AFE29}"/>
    <cellStyle name="60% - Énfasis1 15 3 4" xfId="17618" xr:uid="{8DAA66DE-9608-4E93-B349-9E83FFE24DC4}"/>
    <cellStyle name="60% - Énfasis1 15 3 4 2" xfId="52000" xr:uid="{BB2C8AB6-73D7-4AF8-AA13-5A2396F439BF}"/>
    <cellStyle name="60% - Énfasis1 15 3 5" xfId="51993" xr:uid="{45241DBE-6064-4681-AE1A-F7E5758C3AF1}"/>
    <cellStyle name="60% - Énfasis1 15 4" xfId="4454" xr:uid="{F7D9FDFC-CDF0-44E9-B116-9A12AE7C7374}"/>
    <cellStyle name="60% - Énfasis1 15 4 2" xfId="12162" xr:uid="{A5A73059-F28F-4BEA-88E4-C6E3D66CE0E2}"/>
    <cellStyle name="60% - Énfasis1 15 4 2 2" xfId="27574" xr:uid="{E1A84AAD-6012-4B38-B608-12A67C01D562}"/>
    <cellStyle name="60% - Énfasis1 15 4 2 2 2" xfId="52003" xr:uid="{0DDBBC61-FA27-45BE-9E6E-A30500A30FB0}"/>
    <cellStyle name="60% - Énfasis1 15 4 2 3" xfId="52002" xr:uid="{B5D88652-C0CA-490C-89F1-FA1A458D5F2C}"/>
    <cellStyle name="60% - Énfasis1 15 4 3" xfId="19869" xr:uid="{6C9077DE-A81C-411F-8D87-2D155EF5B005}"/>
    <cellStyle name="60% - Énfasis1 15 4 3 2" xfId="52004" xr:uid="{0903D233-3EF8-4A90-A309-59E27E23BC23}"/>
    <cellStyle name="60% - Énfasis1 15 4 4" xfId="52001" xr:uid="{7F2778DA-8A0B-4AAB-AE96-EF6AFFF88336}"/>
    <cellStyle name="60% - Énfasis1 15 5" xfId="8451" xr:uid="{908CD25B-CEB4-425D-9118-212B7AAA1908}"/>
    <cellStyle name="60% - Énfasis1 15 5 2" xfId="23864" xr:uid="{5205C5FE-9598-47AE-8670-25DB1A32E9EA}"/>
    <cellStyle name="60% - Énfasis1 15 5 2 2" xfId="52006" xr:uid="{304B621B-FEA7-46DB-8733-3C6EB45948F8}"/>
    <cellStyle name="60% - Énfasis1 15 5 3" xfId="52005" xr:uid="{6B3C306A-CE36-41C7-B2B8-EA50C9A92F04}"/>
    <cellStyle name="60% - Énfasis1 15 6" xfId="16159" xr:uid="{82F6BC86-81F2-4784-8A10-C29B2508F62E}"/>
    <cellStyle name="60% - Énfasis1 15 6 2" xfId="52007" xr:uid="{0993737C-94C9-42C7-92A0-492E11519387}"/>
    <cellStyle name="60% - Énfasis1 15 7" xfId="51976" xr:uid="{5C0E2ED9-95E9-4EA2-B9F4-0950FFDAF5E0}"/>
    <cellStyle name="60% - Énfasis1 16" xfId="729" xr:uid="{3EFD4FCC-E6AF-47F6-937E-62B709949688}"/>
    <cellStyle name="60% - Énfasis1 16 2" xfId="1390" xr:uid="{582EBDE9-9686-48B9-8964-D48301B10A6F}"/>
    <cellStyle name="60% - Énfasis1 16 2 2" xfId="2857" xr:uid="{E49F0320-0E41-413A-8723-C9F6B29B75BB}"/>
    <cellStyle name="60% - Énfasis1 16 2 2 2" xfId="6589" xr:uid="{92A1B1F4-41D7-47E9-8275-FA6B46182182}"/>
    <cellStyle name="60% - Énfasis1 16 2 2 2 2" xfId="14297" xr:uid="{D620EFCD-68AF-44CF-8B0A-DA5CEB7E1071}"/>
    <cellStyle name="60% - Énfasis1 16 2 2 2 2 2" xfId="29709" xr:uid="{4DDD5FA2-8CE9-4059-828E-51AE0D1313E0}"/>
    <cellStyle name="60% - Énfasis1 16 2 2 2 2 2 2" xfId="52013" xr:uid="{04D5E49E-3A9B-4ACC-9CB1-1904D630459A}"/>
    <cellStyle name="60% - Énfasis1 16 2 2 2 2 3" xfId="52012" xr:uid="{AEE0E440-08B7-4AC8-B1B8-818324F99776}"/>
    <cellStyle name="60% - Énfasis1 16 2 2 2 3" xfId="22004" xr:uid="{383F8408-2619-406B-93DF-3B65094D77B6}"/>
    <cellStyle name="60% - Énfasis1 16 2 2 2 3 2" xfId="52014" xr:uid="{21237C6D-FA91-402F-9D96-ABCFC7C77FE0}"/>
    <cellStyle name="60% - Énfasis1 16 2 2 2 4" xfId="52011" xr:uid="{F8037485-C722-4787-B32E-77BB070402DC}"/>
    <cellStyle name="60% - Énfasis1 16 2 2 3" xfId="10568" xr:uid="{C06DEA03-164B-43ED-944F-F13A0AD3FDCF}"/>
    <cellStyle name="60% - Énfasis1 16 2 2 3 2" xfId="25981" xr:uid="{3B84D54F-983D-4C14-89A8-B5C0AE2E287A}"/>
    <cellStyle name="60% - Énfasis1 16 2 2 3 2 2" xfId="52016" xr:uid="{E9195CD1-37A0-4A9D-A4AF-34CDE852618E}"/>
    <cellStyle name="60% - Énfasis1 16 2 2 3 3" xfId="52015" xr:uid="{7DDC1002-4C86-4A3B-A662-D29084CC3666}"/>
    <cellStyle name="60% - Énfasis1 16 2 2 4" xfId="18276" xr:uid="{DA685E52-F7FC-476D-AF56-254540D482A7}"/>
    <cellStyle name="60% - Énfasis1 16 2 2 4 2" xfId="52017" xr:uid="{3211FD22-E489-4B50-9938-77EA9E36C65A}"/>
    <cellStyle name="60% - Énfasis1 16 2 2 5" xfId="52010" xr:uid="{44A0682B-88BD-4479-BF9E-4C1416C50F62}"/>
    <cellStyle name="60% - Énfasis1 16 2 3" xfId="5126" xr:uid="{B6077B19-DA28-472E-9A1B-62010D395DA3}"/>
    <cellStyle name="60% - Énfasis1 16 2 3 2" xfId="12834" xr:uid="{7BDBAF41-8451-4D80-9C3A-C2AED9B03DE2}"/>
    <cellStyle name="60% - Énfasis1 16 2 3 2 2" xfId="28246" xr:uid="{5CA9935D-A545-4329-B66E-C60712153A46}"/>
    <cellStyle name="60% - Énfasis1 16 2 3 2 2 2" xfId="52020" xr:uid="{FB7E429B-BAE4-4E04-8558-F0B8C59DC97D}"/>
    <cellStyle name="60% - Énfasis1 16 2 3 2 3" xfId="52019" xr:uid="{A0A31C0E-8D7D-4E5F-9730-4B1110E24B0A}"/>
    <cellStyle name="60% - Énfasis1 16 2 3 3" xfId="20541" xr:uid="{E3A7A966-453F-4750-A2FC-27A7BB5F8437}"/>
    <cellStyle name="60% - Énfasis1 16 2 3 3 2" xfId="52021" xr:uid="{34257010-F1BE-4106-AF77-CE1E564F974B}"/>
    <cellStyle name="60% - Énfasis1 16 2 3 4" xfId="52018" xr:uid="{F5244F8C-ACE3-4739-9451-4E31D1A15F94}"/>
    <cellStyle name="60% - Énfasis1 16 2 4" xfId="9109" xr:uid="{54F2C958-F1BD-41F2-AFCD-FF836966C3AB}"/>
    <cellStyle name="60% - Énfasis1 16 2 4 2" xfId="24522" xr:uid="{94AD513C-C419-471D-8BCA-2349C87A0D52}"/>
    <cellStyle name="60% - Énfasis1 16 2 4 2 2" xfId="52023" xr:uid="{BA96F1DF-B3DC-4D54-B86F-A5327BFDDFD5}"/>
    <cellStyle name="60% - Énfasis1 16 2 4 3" xfId="52022" xr:uid="{0AC1ADB9-C31D-4CAD-B5DA-6367519D1055}"/>
    <cellStyle name="60% - Énfasis1 16 2 5" xfId="16817" xr:uid="{4D5E3758-2C81-4065-84B0-3202333A3A98}"/>
    <cellStyle name="60% - Énfasis1 16 2 5 2" xfId="52024" xr:uid="{CCC360E5-3D2A-4B7F-BBDA-868868BCE000}"/>
    <cellStyle name="60% - Énfasis1 16 2 6" xfId="52009" xr:uid="{5DC0F115-8CD8-429E-A90E-4AAF71140446}"/>
    <cellStyle name="60% - Énfasis1 16 3" xfId="2219" xr:uid="{385DE581-7B85-4CE9-95B7-4D40BAAA2069}"/>
    <cellStyle name="60% - Énfasis1 16 3 2" xfId="5951" xr:uid="{DECF5E2A-9DDE-4EB3-87B0-EF47B7D6ADC3}"/>
    <cellStyle name="60% - Énfasis1 16 3 2 2" xfId="13659" xr:uid="{23332594-BAA9-4C42-8B22-8FEC0E0567D2}"/>
    <cellStyle name="60% - Énfasis1 16 3 2 2 2" xfId="29071" xr:uid="{032F53C3-4BE8-4705-AB77-3B6994444F49}"/>
    <cellStyle name="60% - Énfasis1 16 3 2 2 2 2" xfId="52028" xr:uid="{9DC94461-8904-4AC2-89B2-C63217AE8D1E}"/>
    <cellStyle name="60% - Énfasis1 16 3 2 2 3" xfId="52027" xr:uid="{0FBA114B-F297-4027-98E0-A28D4E2729E2}"/>
    <cellStyle name="60% - Énfasis1 16 3 2 3" xfId="21366" xr:uid="{F2BA77C1-4B6B-4B95-BA64-5C52D907D18A}"/>
    <cellStyle name="60% - Énfasis1 16 3 2 3 2" xfId="52029" xr:uid="{1358917F-E8BC-430A-9C88-2C0D48A9B1BF}"/>
    <cellStyle name="60% - Énfasis1 16 3 2 4" xfId="52026" xr:uid="{04801A0E-675D-454C-B279-1BD47168497D}"/>
    <cellStyle name="60% - Énfasis1 16 3 3" xfId="9930" xr:uid="{C523C76C-42F2-44BF-A150-70A5AF92EF2E}"/>
    <cellStyle name="60% - Énfasis1 16 3 3 2" xfId="25343" xr:uid="{27E65FFA-3152-46D3-B98B-6F0915A58A1A}"/>
    <cellStyle name="60% - Énfasis1 16 3 3 2 2" xfId="52031" xr:uid="{EA23C04B-F9C5-4016-8997-A7BA31E5CC03}"/>
    <cellStyle name="60% - Énfasis1 16 3 3 3" xfId="52030" xr:uid="{5587C07A-817C-4B11-8D00-E47E82353AF1}"/>
    <cellStyle name="60% - Énfasis1 16 3 4" xfId="17638" xr:uid="{1A9D2012-B3CC-41A0-B9DB-ED7F690AD3B8}"/>
    <cellStyle name="60% - Énfasis1 16 3 4 2" xfId="52032" xr:uid="{62A44D2F-ECD1-4969-AA07-B0340B57E0FF}"/>
    <cellStyle name="60% - Énfasis1 16 3 5" xfId="52025" xr:uid="{F3F0B33B-A560-49C5-89FC-D5DF29DF255F}"/>
    <cellStyle name="60% - Énfasis1 16 4" xfId="4474" xr:uid="{0E82AD8E-7936-42A7-8B23-018B6DA5C8D7}"/>
    <cellStyle name="60% - Énfasis1 16 4 2" xfId="12182" xr:uid="{6F4D9E15-7FE5-4C31-8F36-348249AB63BD}"/>
    <cellStyle name="60% - Énfasis1 16 4 2 2" xfId="27594" xr:uid="{EE0F3F34-D662-4BB9-95D5-5DA5A8B53578}"/>
    <cellStyle name="60% - Énfasis1 16 4 2 2 2" xfId="52035" xr:uid="{FEB6BD20-B665-4496-90F7-1BF717F62125}"/>
    <cellStyle name="60% - Énfasis1 16 4 2 3" xfId="52034" xr:uid="{5A667C96-B5AF-4A03-A7EE-2EE04790A7AA}"/>
    <cellStyle name="60% - Énfasis1 16 4 3" xfId="19889" xr:uid="{0B7A5250-9293-40A8-B68A-D06BA76EFE39}"/>
    <cellStyle name="60% - Énfasis1 16 4 3 2" xfId="52036" xr:uid="{BED64CB6-D98F-45D9-BB28-BC0F8DF0CF9D}"/>
    <cellStyle name="60% - Énfasis1 16 4 4" xfId="52033" xr:uid="{564AAD20-41D3-49FA-89B6-66AF3C5DAC6E}"/>
    <cellStyle name="60% - Énfasis1 16 5" xfId="8471" xr:uid="{4D808494-F358-42BB-90B9-489BE0569DDC}"/>
    <cellStyle name="60% - Énfasis1 16 5 2" xfId="23884" xr:uid="{65A1C14F-1450-415D-8E76-3BC6EE24D1A8}"/>
    <cellStyle name="60% - Énfasis1 16 5 2 2" xfId="52038" xr:uid="{B81EBD2C-E5B4-4F19-B550-D75B3F204E4F}"/>
    <cellStyle name="60% - Énfasis1 16 5 3" xfId="52037" xr:uid="{45CF40A2-A6B3-48DE-89B0-89A7401B9B7F}"/>
    <cellStyle name="60% - Énfasis1 16 6" xfId="16179" xr:uid="{A6A83B54-D18F-4D31-ACD2-0E0EF889E6A3}"/>
    <cellStyle name="60% - Énfasis1 16 6 2" xfId="52039" xr:uid="{D3017F3C-919E-4CF9-B069-C6C7E2757545}"/>
    <cellStyle name="60% - Énfasis1 16 7" xfId="52008" xr:uid="{0A0D5E1D-63AD-471B-9766-FC05540802AA}"/>
    <cellStyle name="60% - Énfasis1 17" xfId="749" xr:uid="{E571263D-51F3-45A6-BC40-9ECF62E03E20}"/>
    <cellStyle name="60% - Énfasis1 17 2" xfId="1410" xr:uid="{587EE3FC-61E8-4469-A6E3-500BEC1B99C0}"/>
    <cellStyle name="60% - Énfasis1 17 2 2" xfId="2877" xr:uid="{93E76F61-740D-41B3-B326-351F1ACB978F}"/>
    <cellStyle name="60% - Énfasis1 17 2 2 2" xfId="6609" xr:uid="{7E265717-97B3-4616-A1E7-96B25DE5E577}"/>
    <cellStyle name="60% - Énfasis1 17 2 2 2 2" xfId="14317" xr:uid="{CF4467C9-7182-4F47-B46B-0B0F83ADEDBE}"/>
    <cellStyle name="60% - Énfasis1 17 2 2 2 2 2" xfId="29729" xr:uid="{7A0DBCDA-F7EB-4098-B71E-63686D1140F8}"/>
    <cellStyle name="60% - Énfasis1 17 2 2 2 2 2 2" xfId="52045" xr:uid="{1D0A8556-544D-4714-A8FF-7A67689BDE6E}"/>
    <cellStyle name="60% - Énfasis1 17 2 2 2 2 3" xfId="52044" xr:uid="{768626EF-41B3-4F33-A8D6-3A917052E753}"/>
    <cellStyle name="60% - Énfasis1 17 2 2 2 3" xfId="22024" xr:uid="{52C515A4-9E98-4B07-B035-F200F2B7A3D2}"/>
    <cellStyle name="60% - Énfasis1 17 2 2 2 3 2" xfId="52046" xr:uid="{3C74CDDD-2976-4AA3-8549-0B0EAE328A2F}"/>
    <cellStyle name="60% - Énfasis1 17 2 2 2 4" xfId="52043" xr:uid="{0EB04C58-8203-45F5-AEE4-2EEC40386657}"/>
    <cellStyle name="60% - Énfasis1 17 2 2 3" xfId="10588" xr:uid="{9A2BBE7F-DABC-4DB5-A7DC-7B38D3D5D156}"/>
    <cellStyle name="60% - Énfasis1 17 2 2 3 2" xfId="26001" xr:uid="{47EE5D03-92DD-48A1-AFE7-48F6E678D0C7}"/>
    <cellStyle name="60% - Énfasis1 17 2 2 3 2 2" xfId="52048" xr:uid="{7E876840-EB7D-4ADE-8969-23E3826E6AD6}"/>
    <cellStyle name="60% - Énfasis1 17 2 2 3 3" xfId="52047" xr:uid="{993A65ED-541C-496B-9ECB-669F911BC095}"/>
    <cellStyle name="60% - Énfasis1 17 2 2 4" xfId="18296" xr:uid="{69C58A58-9A63-477E-BEA1-16968DD02D1D}"/>
    <cellStyle name="60% - Énfasis1 17 2 2 4 2" xfId="52049" xr:uid="{1AFDD7B8-FDC9-49BD-AC0B-BD0829327AF0}"/>
    <cellStyle name="60% - Énfasis1 17 2 2 5" xfId="52042" xr:uid="{8D2BB19E-097F-40B7-AB4E-68288E241118}"/>
    <cellStyle name="60% - Énfasis1 17 2 3" xfId="5146" xr:uid="{ED0993AB-E011-47CC-A0D9-F7111159B4E5}"/>
    <cellStyle name="60% - Énfasis1 17 2 3 2" xfId="12854" xr:uid="{2972B953-B943-40D5-96B8-68F97117F6DC}"/>
    <cellStyle name="60% - Énfasis1 17 2 3 2 2" xfId="28266" xr:uid="{FE547857-9B58-40AE-BD46-B752A008C07E}"/>
    <cellStyle name="60% - Énfasis1 17 2 3 2 2 2" xfId="52052" xr:uid="{E4B1AB6E-F523-41DE-A5A4-66DFAFF0E3CD}"/>
    <cellStyle name="60% - Énfasis1 17 2 3 2 3" xfId="52051" xr:uid="{F518A77E-233A-46AE-A704-FB5436EAB11D}"/>
    <cellStyle name="60% - Énfasis1 17 2 3 3" xfId="20561" xr:uid="{70D2E456-AAE7-435F-ACE5-2E1F4E861BB0}"/>
    <cellStyle name="60% - Énfasis1 17 2 3 3 2" xfId="52053" xr:uid="{4FA42B0E-A710-418D-BAFE-EB4F6A7225C7}"/>
    <cellStyle name="60% - Énfasis1 17 2 3 4" xfId="52050" xr:uid="{BA758027-5183-4210-A5B4-0DC98EF52763}"/>
    <cellStyle name="60% - Énfasis1 17 2 4" xfId="9129" xr:uid="{6A1C0141-8C40-4215-936A-9796C14553E5}"/>
    <cellStyle name="60% - Énfasis1 17 2 4 2" xfId="24542" xr:uid="{09CD9DA2-95AD-46A9-B3FB-3EB8A325F126}"/>
    <cellStyle name="60% - Énfasis1 17 2 4 2 2" xfId="52055" xr:uid="{1031A8AF-62A9-407F-A8E0-A3F5730F244B}"/>
    <cellStyle name="60% - Énfasis1 17 2 4 3" xfId="52054" xr:uid="{3895BB0E-AEB0-482F-97F6-0710A92F2360}"/>
    <cellStyle name="60% - Énfasis1 17 2 5" xfId="16837" xr:uid="{996C8A7A-39F0-41B2-865D-D530D41F4D2E}"/>
    <cellStyle name="60% - Énfasis1 17 2 5 2" xfId="52056" xr:uid="{E896B8F4-027A-4376-A0D5-B127D85C3F15}"/>
    <cellStyle name="60% - Énfasis1 17 2 6" xfId="52041" xr:uid="{2C1B259A-90E0-4059-937A-C3A39E9DEBEC}"/>
    <cellStyle name="60% - Énfasis1 17 3" xfId="2239" xr:uid="{D35795C2-9A4F-4EF7-9347-0BB2C21C4B7B}"/>
    <cellStyle name="60% - Énfasis1 17 3 2" xfId="5971" xr:uid="{2E728AB3-849A-430D-BF49-4AC6ACC9C235}"/>
    <cellStyle name="60% - Énfasis1 17 3 2 2" xfId="13679" xr:uid="{D074AA79-C6A4-4ADD-824F-BF7A3199EC6F}"/>
    <cellStyle name="60% - Énfasis1 17 3 2 2 2" xfId="29091" xr:uid="{FF4AE580-97A1-4E0C-B75C-B41008FB211B}"/>
    <cellStyle name="60% - Énfasis1 17 3 2 2 2 2" xfId="52060" xr:uid="{D01905C4-C5A1-4655-B7A3-5F5775A0A378}"/>
    <cellStyle name="60% - Énfasis1 17 3 2 2 3" xfId="52059" xr:uid="{5B01C53C-1154-48F6-B8BA-2BB8FFECC6D2}"/>
    <cellStyle name="60% - Énfasis1 17 3 2 3" xfId="21386" xr:uid="{F0B8C4A0-6CA1-4780-8C7D-B4FE168FDA57}"/>
    <cellStyle name="60% - Énfasis1 17 3 2 3 2" xfId="52061" xr:uid="{C40289DC-7340-427F-B7E7-CD86C5CDA23B}"/>
    <cellStyle name="60% - Énfasis1 17 3 2 4" xfId="52058" xr:uid="{C9529F29-972A-4B9B-AF19-A2A686713A9E}"/>
    <cellStyle name="60% - Énfasis1 17 3 3" xfId="9950" xr:uid="{835486ED-1749-49CE-8647-588A24A38C67}"/>
    <cellStyle name="60% - Énfasis1 17 3 3 2" xfId="25363" xr:uid="{F7672085-6812-425A-AAB4-1BC6F2EAB1E3}"/>
    <cellStyle name="60% - Énfasis1 17 3 3 2 2" xfId="52063" xr:uid="{9A355B78-A188-4113-81F8-4B7C65634784}"/>
    <cellStyle name="60% - Énfasis1 17 3 3 3" xfId="52062" xr:uid="{982AD73A-3C72-4C2D-80E3-8966DCE68159}"/>
    <cellStyle name="60% - Énfasis1 17 3 4" xfId="17658" xr:uid="{4AAA2C27-AC5A-4219-9DE6-E4D494E5958F}"/>
    <cellStyle name="60% - Énfasis1 17 3 4 2" xfId="52064" xr:uid="{00D4F32C-474B-4650-BD24-50E490D7E4A9}"/>
    <cellStyle name="60% - Énfasis1 17 3 5" xfId="52057" xr:uid="{F195341A-93EF-4267-B055-62784422DD71}"/>
    <cellStyle name="60% - Énfasis1 17 4" xfId="4494" xr:uid="{20DD6B90-32CA-4414-A36A-CBBD964E4385}"/>
    <cellStyle name="60% - Énfasis1 17 4 2" xfId="12202" xr:uid="{81CCDD57-86DA-4D42-BE0C-723DB77DE6E3}"/>
    <cellStyle name="60% - Énfasis1 17 4 2 2" xfId="27614" xr:uid="{07B30CB8-7C43-482F-8ECC-7A41C2D229DD}"/>
    <cellStyle name="60% - Énfasis1 17 4 2 2 2" xfId="52067" xr:uid="{6DE11E67-C2B2-4D38-9DB6-809701C5C73A}"/>
    <cellStyle name="60% - Énfasis1 17 4 2 3" xfId="52066" xr:uid="{3DFEFE3A-2A58-4159-9C09-19FF632477E7}"/>
    <cellStyle name="60% - Énfasis1 17 4 3" xfId="19909" xr:uid="{6EFBACC2-3E3E-4C92-84E6-1A36925C9611}"/>
    <cellStyle name="60% - Énfasis1 17 4 3 2" xfId="52068" xr:uid="{1DF3BB86-CAA3-4750-84C9-9E1BD2FACFF3}"/>
    <cellStyle name="60% - Énfasis1 17 4 4" xfId="52065" xr:uid="{9A473102-6D73-4C55-A2C7-A476A71D8DD5}"/>
    <cellStyle name="60% - Énfasis1 17 5" xfId="8491" xr:uid="{81CA222D-EE61-4831-B3F3-DDB6C0EDCC08}"/>
    <cellStyle name="60% - Énfasis1 17 5 2" xfId="23904" xr:uid="{641D6B86-7651-440D-95F6-0C1A5C52E296}"/>
    <cellStyle name="60% - Énfasis1 17 5 2 2" xfId="52070" xr:uid="{2BC7314D-EAFA-4959-B41B-3A27F4AEC6E5}"/>
    <cellStyle name="60% - Énfasis1 17 5 3" xfId="52069" xr:uid="{6DDD5589-2C2F-4F66-AB88-653D28E6E440}"/>
    <cellStyle name="60% - Énfasis1 17 6" xfId="16199" xr:uid="{C798C5C7-025A-454F-9773-3DF43CFD9BD6}"/>
    <cellStyle name="60% - Énfasis1 17 6 2" xfId="52071" xr:uid="{0EB6D990-46ED-4BB1-B0B7-564114B5331C}"/>
    <cellStyle name="60% - Énfasis1 17 7" xfId="52040" xr:uid="{D3334C1E-65D1-4CDD-8998-9752DB1D68CF}"/>
    <cellStyle name="60% - Énfasis1 18" xfId="768" xr:uid="{368E39FE-B186-406C-BDDF-4E94D46718CE}"/>
    <cellStyle name="60% - Énfasis1 18 2" xfId="2258" xr:uid="{F88B3D1F-FAE7-4D27-87DC-1DB5C8E681EE}"/>
    <cellStyle name="60% - Énfasis1 18 2 2" xfId="5990" xr:uid="{0AA0F65B-9BE6-48C7-9D8E-4A34E52A403E}"/>
    <cellStyle name="60% - Énfasis1 18 2 2 2" xfId="13698" xr:uid="{4FDC9C3D-279B-41D9-AF64-257FA50450FB}"/>
    <cellStyle name="60% - Énfasis1 18 2 2 2 2" xfId="29110" xr:uid="{C7F6F2C4-83A8-40E3-A094-054B55048F93}"/>
    <cellStyle name="60% - Énfasis1 18 2 2 2 2 2" xfId="52076" xr:uid="{187C0DA7-7DB8-48D0-B4C3-2694F83BED11}"/>
    <cellStyle name="60% - Énfasis1 18 2 2 2 3" xfId="52075" xr:uid="{933F461F-59CD-4D1C-9CC5-CE6CF89118C0}"/>
    <cellStyle name="60% - Énfasis1 18 2 2 3" xfId="21405" xr:uid="{3F7F9321-5DCD-4647-8AC6-14284ACF8D8C}"/>
    <cellStyle name="60% - Énfasis1 18 2 2 3 2" xfId="52077" xr:uid="{C60F174A-2C4E-4D3C-AC18-89307FE5350D}"/>
    <cellStyle name="60% - Énfasis1 18 2 2 4" xfId="52074" xr:uid="{BD50206C-FCDC-4832-AC7E-6AE19A6F2DB7}"/>
    <cellStyle name="60% - Énfasis1 18 2 3" xfId="9969" xr:uid="{523C8977-D247-47F9-8D9A-82A281D98959}"/>
    <cellStyle name="60% - Énfasis1 18 2 3 2" xfId="25382" xr:uid="{DA366716-B19D-455B-9BAD-64C8EF805E65}"/>
    <cellStyle name="60% - Énfasis1 18 2 3 2 2" xfId="52079" xr:uid="{07E5A301-FC76-4CE1-A3D5-015034449609}"/>
    <cellStyle name="60% - Énfasis1 18 2 3 3" xfId="52078" xr:uid="{BCC1EE08-B969-4246-8DF7-338860CD19D8}"/>
    <cellStyle name="60% - Énfasis1 18 2 4" xfId="17677" xr:uid="{1126CABC-1763-4275-86E0-E0835D02039B}"/>
    <cellStyle name="60% - Énfasis1 18 2 4 2" xfId="52080" xr:uid="{D602B4A0-2CBF-45F3-9784-3AE3C2BCEDEE}"/>
    <cellStyle name="60% - Énfasis1 18 2 5" xfId="52073" xr:uid="{7AA09EDD-0AA4-4479-A6B1-46E0309F254D}"/>
    <cellStyle name="60% - Énfasis1 18 3" xfId="4513" xr:uid="{88FD2FC4-A8DB-4A3C-9E63-31F97BF1E36D}"/>
    <cellStyle name="60% - Énfasis1 18 3 2" xfId="12221" xr:uid="{E6995224-7ABA-4B3E-9A39-E391450F5CA6}"/>
    <cellStyle name="60% - Énfasis1 18 3 2 2" xfId="27633" xr:uid="{B48EDF77-F0FB-4BCB-B261-190E7BD1E896}"/>
    <cellStyle name="60% - Énfasis1 18 3 2 2 2" xfId="52083" xr:uid="{4D4D8080-5477-4842-8111-CC28198DCBA2}"/>
    <cellStyle name="60% - Énfasis1 18 3 2 3" xfId="52082" xr:uid="{CB638A1B-5F54-416E-AA65-891C57A86F33}"/>
    <cellStyle name="60% - Énfasis1 18 3 3" xfId="19928" xr:uid="{2497A673-9B3B-472B-8501-E32AD7BEB4E5}"/>
    <cellStyle name="60% - Énfasis1 18 3 3 2" xfId="52084" xr:uid="{7913F0E0-FD9E-46DC-8F2C-11975C7EBAFE}"/>
    <cellStyle name="60% - Énfasis1 18 3 4" xfId="52081" xr:uid="{002FDE42-0E0A-47A2-AB96-AC8E9E7171E8}"/>
    <cellStyle name="60% - Énfasis1 18 4" xfId="8510" xr:uid="{F0AED54F-E740-4299-886B-7CA7ABA1A5F2}"/>
    <cellStyle name="60% - Énfasis1 18 4 2" xfId="23923" xr:uid="{12D72DB9-C167-4D62-BD2D-BA5DFE567C3A}"/>
    <cellStyle name="60% - Énfasis1 18 4 2 2" xfId="52086" xr:uid="{6E9CB136-3BD8-4A75-9161-2D0E25929308}"/>
    <cellStyle name="60% - Énfasis1 18 4 3" xfId="52085" xr:uid="{A39AE1F2-0E8F-4AC5-A1CF-C7DA53609924}"/>
    <cellStyle name="60% - Énfasis1 18 5" xfId="16218" xr:uid="{2F8F354E-0900-4A76-96A8-499E2923E104}"/>
    <cellStyle name="60% - Énfasis1 18 5 2" xfId="52087" xr:uid="{FEC88734-20D3-4113-8EBC-20B92E89B2DB}"/>
    <cellStyle name="60% - Énfasis1 18 6" xfId="52072" xr:uid="{5BE69EF7-3E13-4189-B877-6A94DB2C773C}"/>
    <cellStyle name="60% - Énfasis1 19" xfId="1432" xr:uid="{5B6B5D1C-7F6D-4B21-A010-4F971E6D8260}"/>
    <cellStyle name="60% - Énfasis1 19 2" xfId="2897" xr:uid="{80737EF7-D21D-49AF-BBD0-3E8A92ADE535}"/>
    <cellStyle name="60% - Énfasis1 19 2 2" xfId="6629" xr:uid="{6F701C3D-8C0D-43ED-AD90-C7022D17B5CD}"/>
    <cellStyle name="60% - Énfasis1 19 2 2 2" xfId="14337" xr:uid="{3B06DC7D-5D42-411F-B27C-46AB32FDD5EF}"/>
    <cellStyle name="60% - Énfasis1 19 2 2 2 2" xfId="29749" xr:uid="{269F739A-1AEA-49F6-9768-CA4D94109670}"/>
    <cellStyle name="60% - Énfasis1 19 2 2 2 2 2" xfId="52092" xr:uid="{76301AB8-407C-4B57-8E49-7E031EB383B0}"/>
    <cellStyle name="60% - Énfasis1 19 2 2 2 3" xfId="52091" xr:uid="{9AED50D1-53DD-4D53-B332-6AD762ADA4AB}"/>
    <cellStyle name="60% - Énfasis1 19 2 2 3" xfId="22044" xr:uid="{7807BA70-3BB5-4A0F-91FE-C03F2C4E33BF}"/>
    <cellStyle name="60% - Énfasis1 19 2 2 3 2" xfId="52093" xr:uid="{AA231552-2D1B-4F7C-B044-3F5FC2C054BE}"/>
    <cellStyle name="60% - Énfasis1 19 2 2 4" xfId="52090" xr:uid="{D77188BA-CB91-4618-9E69-B729110A2716}"/>
    <cellStyle name="60% - Énfasis1 19 2 3" xfId="10608" xr:uid="{85C5E0D9-7799-4252-9ADF-A03D61B36F1D}"/>
    <cellStyle name="60% - Énfasis1 19 2 3 2" xfId="26021" xr:uid="{239253A8-E979-4CD0-868F-D9FEBF00EA6A}"/>
    <cellStyle name="60% - Énfasis1 19 2 3 2 2" xfId="52095" xr:uid="{A6941F0E-AAFB-461E-A926-23167179FBE7}"/>
    <cellStyle name="60% - Énfasis1 19 2 3 3" xfId="52094" xr:uid="{92647CB0-0E17-4E4B-8521-74F26921BF91}"/>
    <cellStyle name="60% - Énfasis1 19 2 4" xfId="18316" xr:uid="{98E90034-6668-413A-8415-DF79D9D7512D}"/>
    <cellStyle name="60% - Énfasis1 19 2 4 2" xfId="52096" xr:uid="{EFAE56DD-42DD-4BFB-A7A8-254E6715E59E}"/>
    <cellStyle name="60% - Énfasis1 19 2 5" xfId="52089" xr:uid="{DCB237AC-5350-4935-BADE-4D6B0C6768C8}"/>
    <cellStyle name="60% - Énfasis1 19 3" xfId="5168" xr:uid="{DC923279-2A7F-44A9-9C65-868C7A28552C}"/>
    <cellStyle name="60% - Énfasis1 19 3 2" xfId="12876" xr:uid="{B6EEC9DA-0AC6-44D0-BE66-08C6FF62AEE3}"/>
    <cellStyle name="60% - Énfasis1 19 3 2 2" xfId="28288" xr:uid="{4324FC27-2B85-4DFE-BC55-47394D3CA123}"/>
    <cellStyle name="60% - Énfasis1 19 3 2 2 2" xfId="52099" xr:uid="{376C9407-A8A7-480E-ABF5-AC692E6CD4D8}"/>
    <cellStyle name="60% - Énfasis1 19 3 2 3" xfId="52098" xr:uid="{3AF047E3-81B6-4627-A6F8-C7F314EBF3AA}"/>
    <cellStyle name="60% - Énfasis1 19 3 3" xfId="20583" xr:uid="{2BCB5F29-0AE8-4D52-8D03-9B999669A564}"/>
    <cellStyle name="60% - Énfasis1 19 3 3 2" xfId="52100" xr:uid="{BE675F83-2B71-4E66-8C85-2DBB95FEC35A}"/>
    <cellStyle name="60% - Énfasis1 19 3 4" xfId="52097" xr:uid="{FB4197F8-C101-4FA0-8523-D96E2D04A08A}"/>
    <cellStyle name="60% - Énfasis1 19 4" xfId="9149" xr:uid="{DF2F464F-CBEB-450F-AC3D-15C7EEA8E452}"/>
    <cellStyle name="60% - Énfasis1 19 4 2" xfId="24562" xr:uid="{3C6B8A62-879B-40D2-8BDF-FE3E331171FC}"/>
    <cellStyle name="60% - Énfasis1 19 4 2 2" xfId="52102" xr:uid="{936713B3-E54E-4D5A-B2C5-83B61A407467}"/>
    <cellStyle name="60% - Énfasis1 19 4 3" xfId="52101" xr:uid="{4311F485-64CF-4700-9857-9BC7A90EC2DF}"/>
    <cellStyle name="60% - Énfasis1 19 5" xfId="16857" xr:uid="{255F1563-7BAB-498E-BA29-A9A79C8B37CA}"/>
    <cellStyle name="60% - Énfasis1 19 5 2" xfId="52103" xr:uid="{B4EFFA31-B3A1-44A7-8794-D64AEC5A0A9A}"/>
    <cellStyle name="60% - Énfasis1 19 6" xfId="52088" xr:uid="{9BFA4D56-2D43-4CB0-8BA3-4AC590532372}"/>
    <cellStyle name="60% - Énfasis1 2" xfId="38" xr:uid="{3AC1F76C-2978-4BA3-A335-76E64DBAD0A1}"/>
    <cellStyle name="60% - Énfasis1 2 2" xfId="442" xr:uid="{70880FCC-F083-424F-890C-22F73084BCCC}"/>
    <cellStyle name="60% - Énfasis1 2 2 2" xfId="1103" xr:uid="{6024699A-FF02-4833-8804-98C5D96AACB1}"/>
    <cellStyle name="60% - Énfasis1 2 2 2 2" xfId="2571" xr:uid="{D03D06DF-D2C9-4A85-A03C-3F25A8361EB3}"/>
    <cellStyle name="60% - Énfasis1 2 2 2 2 2" xfId="6303" xr:uid="{7092F282-7C27-4233-91FB-0A19A28D8101}"/>
    <cellStyle name="60% - Énfasis1 2 2 2 2 2 2" xfId="14011" xr:uid="{C4971C07-27B7-4180-8062-AE7C9B349BBA}"/>
    <cellStyle name="60% - Énfasis1 2 2 2 2 2 2 2" xfId="29423" xr:uid="{141566AC-88F4-499B-A0F9-E23D000B2FCD}"/>
    <cellStyle name="60% - Énfasis1 2 2 2 2 2 2 2 2" xfId="52110" xr:uid="{C2336ECB-6214-4079-B305-F6836429AB55}"/>
    <cellStyle name="60% - Énfasis1 2 2 2 2 2 2 3" xfId="52109" xr:uid="{9666440A-9C52-47FE-B0BC-4A8D0598C9C7}"/>
    <cellStyle name="60% - Énfasis1 2 2 2 2 2 3" xfId="21718" xr:uid="{4D8754E7-B0F8-4DE9-AE88-20693307A9DF}"/>
    <cellStyle name="60% - Énfasis1 2 2 2 2 2 3 2" xfId="52111" xr:uid="{2F0CBE50-5272-44E7-9E3D-78EA92C1AC66}"/>
    <cellStyle name="60% - Énfasis1 2 2 2 2 2 4" xfId="52108" xr:uid="{88941410-8FF5-40C0-945B-05A21D8CB7DB}"/>
    <cellStyle name="60% - Énfasis1 2 2 2 2 3" xfId="10282" xr:uid="{581E5461-585A-401E-BCB2-ECE7B839CEE3}"/>
    <cellStyle name="60% - Énfasis1 2 2 2 2 3 2" xfId="25695" xr:uid="{B105E722-8EF2-4813-ACF8-1C7E33D7054D}"/>
    <cellStyle name="60% - Énfasis1 2 2 2 2 3 2 2" xfId="52113" xr:uid="{C8D285F5-84A8-497C-86F5-C56C0C33889A}"/>
    <cellStyle name="60% - Énfasis1 2 2 2 2 3 3" xfId="52112" xr:uid="{833197C1-E87A-45DD-89A9-577ADF1C9E6B}"/>
    <cellStyle name="60% - Énfasis1 2 2 2 2 4" xfId="17990" xr:uid="{2635A308-8772-4F93-9E57-EA4D121FADCA}"/>
    <cellStyle name="60% - Énfasis1 2 2 2 2 4 2" xfId="52114" xr:uid="{17782CBF-37E0-428C-BB4C-AF400F37CC7D}"/>
    <cellStyle name="60% - Énfasis1 2 2 2 2 5" xfId="52107" xr:uid="{24BAF5C6-1CD3-4D58-9C9E-6C77EDFDB545}"/>
    <cellStyle name="60% - Énfasis1 2 2 2 3" xfId="4840" xr:uid="{3EDF783E-E1A1-46A6-B048-6E5EC4D890C4}"/>
    <cellStyle name="60% - Énfasis1 2 2 2 3 2" xfId="12548" xr:uid="{A5AAD6C5-FEFE-409A-9B55-843D25F12F55}"/>
    <cellStyle name="60% - Énfasis1 2 2 2 3 2 2" xfId="27960" xr:uid="{1207AA89-525C-4822-B4BB-AE5FF957E599}"/>
    <cellStyle name="60% - Énfasis1 2 2 2 3 2 2 2" xfId="52117" xr:uid="{7577D077-B01C-48FE-894F-31E086EF400F}"/>
    <cellStyle name="60% - Énfasis1 2 2 2 3 2 3" xfId="52116" xr:uid="{39BB4B47-AF97-45F4-8EA8-6B7E04E28312}"/>
    <cellStyle name="60% - Énfasis1 2 2 2 3 3" xfId="20255" xr:uid="{D754570A-4715-4EEC-8355-9E8CDBF25211}"/>
    <cellStyle name="60% - Énfasis1 2 2 2 3 3 2" xfId="52118" xr:uid="{B11F0248-3C18-45A2-BA9B-6A7BDF8CEC8B}"/>
    <cellStyle name="60% - Énfasis1 2 2 2 3 4" xfId="52115" xr:uid="{D9EC75E4-AB78-4210-A50C-DB8C66CFBCD0}"/>
    <cellStyle name="60% - Énfasis1 2 2 2 4" xfId="8823" xr:uid="{0D3F4833-A8D3-4829-A043-F2A45B4E76F0}"/>
    <cellStyle name="60% - Énfasis1 2 2 2 4 2" xfId="24236" xr:uid="{F42C087C-DD9B-4AAF-AAC0-ED76544A393F}"/>
    <cellStyle name="60% - Énfasis1 2 2 2 4 2 2" xfId="52120" xr:uid="{33C985D2-7ABD-42B0-9F47-18D5CC71F771}"/>
    <cellStyle name="60% - Énfasis1 2 2 2 4 3" xfId="52119" xr:uid="{9CB2EA47-5BA0-420E-9428-EABE07A89D16}"/>
    <cellStyle name="60% - Énfasis1 2 2 2 5" xfId="16531" xr:uid="{B2A19E0F-6D8B-4997-8279-D9510B7DB650}"/>
    <cellStyle name="60% - Énfasis1 2 2 2 5 2" xfId="52121" xr:uid="{6C05F53D-92F2-4212-B5DF-8CEECADFE22A}"/>
    <cellStyle name="60% - Énfasis1 2 2 2 6" xfId="52106" xr:uid="{2789F7A4-9B4A-4AD6-AD9A-298F7B27119F}"/>
    <cellStyle name="60% - Énfasis1 2 2 3" xfId="1933" xr:uid="{90265902-CE1F-4F27-B93A-2C290857C727}"/>
    <cellStyle name="60% - Énfasis1 2 2 3 2" xfId="5665" xr:uid="{8646B71A-DD4B-430C-B01F-0B633268AB1F}"/>
    <cellStyle name="60% - Énfasis1 2 2 3 2 2" xfId="13373" xr:uid="{4C96E9EB-2CA7-4ED8-9E41-6F005DD3BFB2}"/>
    <cellStyle name="60% - Énfasis1 2 2 3 2 2 2" xfId="28785" xr:uid="{8D324EB1-E14D-480C-933B-A493B5D36CE6}"/>
    <cellStyle name="60% - Énfasis1 2 2 3 2 2 2 2" xfId="52125" xr:uid="{C8DB1CC8-6007-476E-9C33-A9924532A975}"/>
    <cellStyle name="60% - Énfasis1 2 2 3 2 2 3" xfId="52124" xr:uid="{7B9D29D9-6231-427D-91D9-F81387562AC2}"/>
    <cellStyle name="60% - Énfasis1 2 2 3 2 3" xfId="21080" xr:uid="{73B67603-B656-40D8-8AEC-53AD1C99A8BF}"/>
    <cellStyle name="60% - Énfasis1 2 2 3 2 3 2" xfId="52126" xr:uid="{5E29CB8C-BE08-4E74-880A-A2DDF22A95B1}"/>
    <cellStyle name="60% - Énfasis1 2 2 3 2 4" xfId="52123" xr:uid="{F21FDAAB-76C4-4270-928A-84B72DB8C8B3}"/>
    <cellStyle name="60% - Énfasis1 2 2 3 3" xfId="9644" xr:uid="{622C9876-2727-4932-BE9D-85015A22C612}"/>
    <cellStyle name="60% - Énfasis1 2 2 3 3 2" xfId="25057" xr:uid="{A5BFF057-C6A8-4BCD-A4D7-2EF69C2D6C18}"/>
    <cellStyle name="60% - Énfasis1 2 2 3 3 2 2" xfId="52128" xr:uid="{F0545DF9-4CAB-49B3-B8AE-BA3D4E1BC52C}"/>
    <cellStyle name="60% - Énfasis1 2 2 3 3 3" xfId="52127" xr:uid="{77A1CAF5-36D2-4D17-AEA1-79ABCD651D13}"/>
    <cellStyle name="60% - Énfasis1 2 2 3 4" xfId="17352" xr:uid="{2A400837-703E-4E61-BE4F-796A0E540226}"/>
    <cellStyle name="60% - Énfasis1 2 2 3 4 2" xfId="52129" xr:uid="{FB4BC194-87FD-4EFC-933D-06104A2180FC}"/>
    <cellStyle name="60% - Énfasis1 2 2 3 5" xfId="52122" xr:uid="{16EC4744-DD8B-4F62-B9F8-5406EC77F1B9}"/>
    <cellStyle name="60% - Énfasis1 2 2 4" xfId="4188" xr:uid="{6036017D-0E82-4433-81E0-B15E3F09CC70}"/>
    <cellStyle name="60% - Énfasis1 2 2 4 2" xfId="11896" xr:uid="{28052B0F-87F5-4E9A-A70F-63CD7BE6731F}"/>
    <cellStyle name="60% - Énfasis1 2 2 4 2 2" xfId="27308" xr:uid="{7F126058-6506-47D3-B76B-0F5C858BDA7D}"/>
    <cellStyle name="60% - Énfasis1 2 2 4 2 2 2" xfId="52132" xr:uid="{68C53F9A-5E5F-45BA-A2D4-E8DD6C62E580}"/>
    <cellStyle name="60% - Énfasis1 2 2 4 2 3" xfId="52131" xr:uid="{FBF28FF8-5984-4745-A580-68AE83720BF1}"/>
    <cellStyle name="60% - Énfasis1 2 2 4 3" xfId="19603" xr:uid="{80F60D46-CA56-442A-B833-6C5DE0FFBD07}"/>
    <cellStyle name="60% - Énfasis1 2 2 4 3 2" xfId="52133" xr:uid="{05C93A0E-0CC7-4A32-B798-7ECE342ACC45}"/>
    <cellStyle name="60% - Énfasis1 2 2 4 4" xfId="52130" xr:uid="{2F64C184-8E67-4461-ADF2-018BC104F1BA}"/>
    <cellStyle name="60% - Énfasis1 2 2 5" xfId="8185" xr:uid="{262E3525-D326-4E8F-9088-A58367B7791F}"/>
    <cellStyle name="60% - Énfasis1 2 2 5 2" xfId="23598" xr:uid="{B173C635-F586-4BC3-8BAD-03FB1009C6DB}"/>
    <cellStyle name="60% - Énfasis1 2 2 5 2 2" xfId="52135" xr:uid="{42690B3B-CDB4-4D9A-8541-7114D0D6D2C0}"/>
    <cellStyle name="60% - Énfasis1 2 2 5 3" xfId="52134" xr:uid="{90CC9CAB-19C4-4603-BF61-C4019307DD3B}"/>
    <cellStyle name="60% - Énfasis1 2 2 6" xfId="15893" xr:uid="{EC2DC041-5BA2-4C6E-AF8F-94E0C76BB5F7}"/>
    <cellStyle name="60% - Énfasis1 2 2 6 2" xfId="52136" xr:uid="{80E0A0C7-2934-43C7-8DC4-2040CDAF1948}"/>
    <cellStyle name="60% - Énfasis1 2 2 7" xfId="52105" xr:uid="{9744A61E-6065-4F95-BAC2-8326E87DC208}"/>
    <cellStyle name="60% - Énfasis1 2 3" xfId="903" xr:uid="{D6A5500C-AB96-4CC9-B658-ECCAED75BBB9}"/>
    <cellStyle name="60% - Énfasis1 2 3 2" xfId="2373" xr:uid="{B263AA4D-54AC-4E91-AE08-4FFC0C1D2C5D}"/>
    <cellStyle name="60% - Énfasis1 2 3 2 2" xfId="6105" xr:uid="{E28B2659-9330-4966-87CF-56974DE4E43E}"/>
    <cellStyle name="60% - Énfasis1 2 3 2 2 2" xfId="13813" xr:uid="{3367A981-9185-479C-9573-9FFA8E81FD6F}"/>
    <cellStyle name="60% - Énfasis1 2 3 2 2 2 2" xfId="29225" xr:uid="{3960B939-457B-4D4B-B8E3-7D3E4187D08B}"/>
    <cellStyle name="60% - Énfasis1 2 3 2 2 2 2 2" xfId="52141" xr:uid="{70A57EBD-A353-4475-B117-2376685A733B}"/>
    <cellStyle name="60% - Énfasis1 2 3 2 2 2 3" xfId="52140" xr:uid="{6CF13DB6-2884-4A36-BE4E-79CF0D0484C8}"/>
    <cellStyle name="60% - Énfasis1 2 3 2 2 3" xfId="21520" xr:uid="{9A156183-2E6E-404F-949F-1B5312499632}"/>
    <cellStyle name="60% - Énfasis1 2 3 2 2 3 2" xfId="52142" xr:uid="{42A05A85-414B-4259-95CE-731225FA88B7}"/>
    <cellStyle name="60% - Énfasis1 2 3 2 2 4" xfId="52139" xr:uid="{F49CD184-B4C0-486E-82E3-6DFF4A3CED26}"/>
    <cellStyle name="60% - Énfasis1 2 3 2 3" xfId="10084" xr:uid="{32C1FB0D-A3B6-41B6-91B7-2757C6C41742}"/>
    <cellStyle name="60% - Énfasis1 2 3 2 3 2" xfId="25497" xr:uid="{01F73B71-9BCB-4CB9-B39B-AFEBA080E910}"/>
    <cellStyle name="60% - Énfasis1 2 3 2 3 2 2" xfId="52144" xr:uid="{00773035-9B1E-4146-A3A7-DFA5CB6CAEAF}"/>
    <cellStyle name="60% - Énfasis1 2 3 2 3 3" xfId="52143" xr:uid="{CC7B1A1E-008E-443C-B923-F1EA8BA4E8B4}"/>
    <cellStyle name="60% - Énfasis1 2 3 2 4" xfId="17792" xr:uid="{D21EA483-E52A-4DB8-95EC-A9D5FB7934CE}"/>
    <cellStyle name="60% - Énfasis1 2 3 2 4 2" xfId="52145" xr:uid="{0E0F20BA-D8B4-493D-AC64-A94117075CCE}"/>
    <cellStyle name="60% - Énfasis1 2 3 2 5" xfId="52138" xr:uid="{F9F65235-CC0C-434C-B351-D73929677907}"/>
    <cellStyle name="60% - Énfasis1 2 3 3" xfId="4640" xr:uid="{B5015F77-7953-450E-842B-253B4A81AF73}"/>
    <cellStyle name="60% - Énfasis1 2 3 3 2" xfId="12348" xr:uid="{222C9B23-075B-4403-BB6D-8BC40C247ED4}"/>
    <cellStyle name="60% - Énfasis1 2 3 3 2 2" xfId="27760" xr:uid="{C3C85539-89D2-42C4-AA8D-329C55CFA52F}"/>
    <cellStyle name="60% - Énfasis1 2 3 3 2 2 2" xfId="52148" xr:uid="{6A434B2C-9288-49CE-9A14-342D4A536C35}"/>
    <cellStyle name="60% - Énfasis1 2 3 3 2 3" xfId="52147" xr:uid="{D9F77C8D-F09B-4AF4-ACEF-EBB855598E9C}"/>
    <cellStyle name="60% - Énfasis1 2 3 3 3" xfId="20055" xr:uid="{ED051029-C125-430F-97B2-B6077F922B61}"/>
    <cellStyle name="60% - Énfasis1 2 3 3 3 2" xfId="52149" xr:uid="{16920320-49DD-42CA-B241-0A247B9ED244}"/>
    <cellStyle name="60% - Énfasis1 2 3 3 4" xfId="52146" xr:uid="{E5D5CEA7-797F-41B5-8482-CA6ACB2EEDDC}"/>
    <cellStyle name="60% - Énfasis1 2 3 4" xfId="8625" xr:uid="{D14C3DB3-EFB5-4506-9427-A395E1A61970}"/>
    <cellStyle name="60% - Énfasis1 2 3 4 2" xfId="24038" xr:uid="{3F85E319-EA8A-4BF2-9464-71B544607B49}"/>
    <cellStyle name="60% - Énfasis1 2 3 4 2 2" xfId="52151" xr:uid="{F30AECE0-7982-4BE4-BE5A-C75645CD3357}"/>
    <cellStyle name="60% - Énfasis1 2 3 4 3" xfId="52150" xr:uid="{718B3915-96EF-4B4E-9083-BC71C4FE0486}"/>
    <cellStyle name="60% - Énfasis1 2 3 5" xfId="16333" xr:uid="{72D92351-96DF-41A2-95A5-2B2B7C8CAB2B}"/>
    <cellStyle name="60% - Énfasis1 2 3 5 2" xfId="52152" xr:uid="{924F100F-5F4A-4744-8284-8BFD9B0C80C8}"/>
    <cellStyle name="60% - Énfasis1 2 3 6" xfId="52137" xr:uid="{F4F43C97-A0D7-4A4A-B07F-B4940C632503}"/>
    <cellStyle name="60% - Énfasis1 2 4" xfId="1735" xr:uid="{9CCF0916-2E77-4B05-B27D-D931CB352D6C}"/>
    <cellStyle name="60% - Énfasis1 2 4 2" xfId="5467" xr:uid="{D3FA7AB6-9F79-41BA-9E9E-456ACCBB3051}"/>
    <cellStyle name="60% - Énfasis1 2 4 2 2" xfId="13175" xr:uid="{6ACD9819-3F95-4402-8CA6-85E73F986EC0}"/>
    <cellStyle name="60% - Énfasis1 2 4 2 2 2" xfId="28587" xr:uid="{7A02952B-DE69-45A9-B55F-62DC8170714C}"/>
    <cellStyle name="60% - Énfasis1 2 4 2 2 2 2" xfId="52156" xr:uid="{1AF01938-9EC5-4A20-AF73-7083313D85A8}"/>
    <cellStyle name="60% - Énfasis1 2 4 2 2 3" xfId="52155" xr:uid="{82D2ED61-A166-43D9-B013-34055AA03613}"/>
    <cellStyle name="60% - Énfasis1 2 4 2 3" xfId="20882" xr:uid="{5E49E4C6-0960-43E8-B3B4-5255E75D119D}"/>
    <cellStyle name="60% - Énfasis1 2 4 2 3 2" xfId="52157" xr:uid="{13D04448-8CAB-4902-A185-0F7D39003203}"/>
    <cellStyle name="60% - Énfasis1 2 4 2 4" xfId="52154" xr:uid="{7E5CCDC8-BE22-42F1-8FBA-28F76AE13CA8}"/>
    <cellStyle name="60% - Énfasis1 2 4 3" xfId="9446" xr:uid="{03004C01-0534-4170-9709-2B49DF8BFA08}"/>
    <cellStyle name="60% - Énfasis1 2 4 3 2" xfId="24859" xr:uid="{46B969F5-369C-4D46-986A-20110AFAA30E}"/>
    <cellStyle name="60% - Énfasis1 2 4 3 2 2" xfId="52159" xr:uid="{9847BA0B-C3DD-4BA2-A57A-D5CB26A73848}"/>
    <cellStyle name="60% - Énfasis1 2 4 3 3" xfId="52158" xr:uid="{969467AB-17BE-4A4A-92D0-C96D631685C5}"/>
    <cellStyle name="60% - Énfasis1 2 4 4" xfId="17154" xr:uid="{509A2C2B-33BF-4ED5-BDC5-7C4FB9713EE7}"/>
    <cellStyle name="60% - Énfasis1 2 4 4 2" xfId="52160" xr:uid="{B564313C-8558-493E-B154-D5FD18402514}"/>
    <cellStyle name="60% - Énfasis1 2 4 5" xfId="52153" xr:uid="{66CE9085-D37A-40A5-947C-286EF7055F53}"/>
    <cellStyle name="60% - Énfasis1 2 5" xfId="3988" xr:uid="{F1C789CB-87E6-45A2-91A7-12FFAC0055AE}"/>
    <cellStyle name="60% - Énfasis1 2 5 2" xfId="11696" xr:uid="{128B106C-E57A-486C-AC52-C3FBE48E0894}"/>
    <cellStyle name="60% - Énfasis1 2 5 2 2" xfId="27108" xr:uid="{84DAB18A-2087-4D79-8434-7249DDFE44FC}"/>
    <cellStyle name="60% - Énfasis1 2 5 2 2 2" xfId="52163" xr:uid="{C9F045E7-AA4F-4A82-9D98-C490BB32013F}"/>
    <cellStyle name="60% - Énfasis1 2 5 2 3" xfId="52162" xr:uid="{E9E36AB1-5286-4156-9463-C0141008C17A}"/>
    <cellStyle name="60% - Énfasis1 2 5 3" xfId="19403" xr:uid="{85096A05-3F44-4226-A23D-AC5158CA25FB}"/>
    <cellStyle name="60% - Énfasis1 2 5 3 2" xfId="52164" xr:uid="{9783BF73-B374-4FEF-A5EE-374115B27B4B}"/>
    <cellStyle name="60% - Énfasis1 2 5 4" xfId="52161" xr:uid="{17645182-9679-4F29-A6AC-E58A80D502DB}"/>
    <cellStyle name="60% - Énfasis1 2 6" xfId="7987" xr:uid="{47B33051-F0ED-4829-83AB-8A5B6058F555}"/>
    <cellStyle name="60% - Énfasis1 2 6 2" xfId="23400" xr:uid="{9B25A7B1-2641-4EAF-878F-CE4673D1DE07}"/>
    <cellStyle name="60% - Énfasis1 2 6 2 2" xfId="52166" xr:uid="{922E7CB9-9A50-4754-AA15-50FF7B76FEF9}"/>
    <cellStyle name="60% - Énfasis1 2 6 3" xfId="52165" xr:uid="{07DC2EA9-8E35-46D2-8082-D2A0CCECCA61}"/>
    <cellStyle name="60% - Énfasis1 2 7" xfId="15695" xr:uid="{6BFBEA3B-D058-46D7-9303-E36F6DDD6C92}"/>
    <cellStyle name="60% - Énfasis1 2 7 2" xfId="52167" xr:uid="{CBA3C644-8BA5-4693-A3B8-F3A189831BE3}"/>
    <cellStyle name="60% - Énfasis1 2 8" xfId="52104" xr:uid="{51ABDD7D-CC10-4CC6-917E-B3039402E9A7}"/>
    <cellStyle name="60% - Énfasis1 2 9" xfId="240" xr:uid="{39C4E6DA-D543-49CC-8930-D457691A4733}"/>
    <cellStyle name="60% - Énfasis1 20" xfId="1452" xr:uid="{8B8E0FB5-62E8-42DB-AD4C-D81B92FCAA93}"/>
    <cellStyle name="60% - Énfasis1 20 2" xfId="2917" xr:uid="{7D8E35AD-17B9-41D2-B8CD-44FB730107E8}"/>
    <cellStyle name="60% - Énfasis1 20 2 2" xfId="6649" xr:uid="{9506864D-EB52-4130-A0D7-2C1860E962F4}"/>
    <cellStyle name="60% - Énfasis1 20 2 2 2" xfId="14357" xr:uid="{7C51CFD1-5353-438E-868E-B3C423835F9B}"/>
    <cellStyle name="60% - Énfasis1 20 2 2 2 2" xfId="29769" xr:uid="{04C7ED3D-3512-4560-B45C-D82DC79BC4A8}"/>
    <cellStyle name="60% - Énfasis1 20 2 2 2 2 2" xfId="52172" xr:uid="{490AE9F6-D2A3-4324-B94E-A204BDD4E5AF}"/>
    <cellStyle name="60% - Énfasis1 20 2 2 2 3" xfId="52171" xr:uid="{929FBA9C-E365-4593-8713-F284CE397468}"/>
    <cellStyle name="60% - Énfasis1 20 2 2 3" xfId="22064" xr:uid="{A6E07A2E-CDD9-47BA-A061-71B1A9FA291F}"/>
    <cellStyle name="60% - Énfasis1 20 2 2 3 2" xfId="52173" xr:uid="{ABBDD246-E312-43FC-8770-5A9BF6444A36}"/>
    <cellStyle name="60% - Énfasis1 20 2 2 4" xfId="52170" xr:uid="{D60A2593-6916-4894-AB92-C5F18B40C5C7}"/>
    <cellStyle name="60% - Énfasis1 20 2 3" xfId="10628" xr:uid="{2253845B-8D55-4B31-A24D-A2675F02D9BF}"/>
    <cellStyle name="60% - Énfasis1 20 2 3 2" xfId="26041" xr:uid="{A50912C4-0503-4F6D-B00A-943D553312A6}"/>
    <cellStyle name="60% - Énfasis1 20 2 3 2 2" xfId="52175" xr:uid="{C83FF08E-30EC-4AD6-AC0C-A3BEF0425EEC}"/>
    <cellStyle name="60% - Énfasis1 20 2 3 3" xfId="52174" xr:uid="{004DE3CF-F675-44AD-91A4-3F5A04C75B23}"/>
    <cellStyle name="60% - Énfasis1 20 2 4" xfId="18336" xr:uid="{010CC98F-06EC-4E4E-A7DF-BE05B362B92A}"/>
    <cellStyle name="60% - Énfasis1 20 2 4 2" xfId="52176" xr:uid="{8399AD51-E28A-485C-B6BC-9B7E58F80C00}"/>
    <cellStyle name="60% - Énfasis1 20 2 5" xfId="52169" xr:uid="{6915B017-D51D-4869-B394-95AAB14B0229}"/>
    <cellStyle name="60% - Énfasis1 20 3" xfId="5188" xr:uid="{D872E5FF-F4D2-4A51-8ED8-91AF210637D2}"/>
    <cellStyle name="60% - Énfasis1 20 3 2" xfId="12896" xr:uid="{C4E0DBF5-AC17-4B59-A5D3-253349A8318C}"/>
    <cellStyle name="60% - Énfasis1 20 3 2 2" xfId="28308" xr:uid="{49BF64CF-BE52-4B5E-95E9-F4F282956922}"/>
    <cellStyle name="60% - Énfasis1 20 3 2 2 2" xfId="52179" xr:uid="{ABD41486-D658-43D0-AC0A-69C6B6985CFB}"/>
    <cellStyle name="60% - Énfasis1 20 3 2 3" xfId="52178" xr:uid="{B38AFE6C-BDA4-4F1C-B184-258F2BEDCA0B}"/>
    <cellStyle name="60% - Énfasis1 20 3 3" xfId="20603" xr:uid="{D01D0D8C-BB82-41DC-B61C-213EF94C773F}"/>
    <cellStyle name="60% - Énfasis1 20 3 3 2" xfId="52180" xr:uid="{FEB3CA3C-094E-498C-8A01-2AA55CF86F9C}"/>
    <cellStyle name="60% - Énfasis1 20 3 4" xfId="52177" xr:uid="{137B2370-D94B-4F97-8041-BD411A2890C5}"/>
    <cellStyle name="60% - Énfasis1 20 4" xfId="9169" xr:uid="{DF6972C4-4575-4AB5-AF95-6EC8E2B70DCC}"/>
    <cellStyle name="60% - Énfasis1 20 4 2" xfId="24582" xr:uid="{E26173FE-8A1D-4AB8-9927-8F8363E948D0}"/>
    <cellStyle name="60% - Énfasis1 20 4 2 2" xfId="52182" xr:uid="{BE22FE28-233D-4B13-A692-478CAD66EBD7}"/>
    <cellStyle name="60% - Énfasis1 20 4 3" xfId="52181" xr:uid="{83C69807-F503-4059-8230-DF326B997C56}"/>
    <cellStyle name="60% - Énfasis1 20 5" xfId="16877" xr:uid="{7EF196D3-04AA-4BC4-88FA-F77085A0BF90}"/>
    <cellStyle name="60% - Énfasis1 20 5 2" xfId="52183" xr:uid="{2F72739C-140F-41CB-9820-03DD7F47F124}"/>
    <cellStyle name="60% - Énfasis1 20 6" xfId="52168" xr:uid="{6EFF9937-9F27-4592-8539-C083FF6D0076}"/>
    <cellStyle name="60% - Énfasis1 21" xfId="1472" xr:uid="{FDDA8629-15A3-4953-9B57-C884E52B9E45}"/>
    <cellStyle name="60% - Énfasis1 21 2" xfId="2937" xr:uid="{8B98F430-5B36-43AF-8309-6570CEF79874}"/>
    <cellStyle name="60% - Énfasis1 21 2 2" xfId="6669" xr:uid="{71DFC2B0-3A62-49A7-8346-6E7DF36829E8}"/>
    <cellStyle name="60% - Énfasis1 21 2 2 2" xfId="14377" xr:uid="{C6F40668-ED75-4D54-9733-3C954DA6BB25}"/>
    <cellStyle name="60% - Énfasis1 21 2 2 2 2" xfId="29789" xr:uid="{F21171B2-1BEB-4EAD-898A-2A36CE7E23D5}"/>
    <cellStyle name="60% - Énfasis1 21 2 2 2 2 2" xfId="52188" xr:uid="{38E276E3-1078-4415-94CD-8FE174BF56B6}"/>
    <cellStyle name="60% - Énfasis1 21 2 2 2 3" xfId="52187" xr:uid="{2EAF07F2-B099-4679-8D0B-968A00DCA247}"/>
    <cellStyle name="60% - Énfasis1 21 2 2 3" xfId="22084" xr:uid="{782E7AF8-F8AF-4346-8291-01821F384C29}"/>
    <cellStyle name="60% - Énfasis1 21 2 2 3 2" xfId="52189" xr:uid="{974B6472-F658-46E5-B7B3-5A0525CC3588}"/>
    <cellStyle name="60% - Énfasis1 21 2 2 4" xfId="52186" xr:uid="{985A476C-0489-4896-AF29-61885564A4E8}"/>
    <cellStyle name="60% - Énfasis1 21 2 3" xfId="10648" xr:uid="{2B682F34-6CA6-4275-AB2D-1426868ED8BC}"/>
    <cellStyle name="60% - Énfasis1 21 2 3 2" xfId="26061" xr:uid="{70C39ED9-6991-475B-8530-2E9B5766C51B}"/>
    <cellStyle name="60% - Énfasis1 21 2 3 2 2" xfId="52191" xr:uid="{4BD25B00-FE1F-4FE4-88BE-CA0AE31FB3F3}"/>
    <cellStyle name="60% - Énfasis1 21 2 3 3" xfId="52190" xr:uid="{39A5CD70-563E-4F2D-8CEF-6585412A0178}"/>
    <cellStyle name="60% - Énfasis1 21 2 4" xfId="18356" xr:uid="{6A027792-B7C9-4E15-9507-B3102784B1AF}"/>
    <cellStyle name="60% - Énfasis1 21 2 4 2" xfId="52192" xr:uid="{C15BE2C5-4A5B-4C94-B446-432165D74398}"/>
    <cellStyle name="60% - Énfasis1 21 2 5" xfId="52185" xr:uid="{7DC5FD07-5B73-495A-98E3-CE36877D64E1}"/>
    <cellStyle name="60% - Énfasis1 21 3" xfId="5208" xr:uid="{68D373AD-78AC-45C7-B7CA-00E8F02A5CBC}"/>
    <cellStyle name="60% - Énfasis1 21 3 2" xfId="12916" xr:uid="{6C77DB45-F748-4B03-BF8B-022E1443ED7D}"/>
    <cellStyle name="60% - Énfasis1 21 3 2 2" xfId="28328" xr:uid="{FEE96547-5C4E-4E64-ADF5-9D1F7D39D7C9}"/>
    <cellStyle name="60% - Énfasis1 21 3 2 2 2" xfId="52195" xr:uid="{E90E8D49-B901-4B8C-9C54-A6BA12EEA32C}"/>
    <cellStyle name="60% - Énfasis1 21 3 2 3" xfId="52194" xr:uid="{703445BD-6A23-449D-84FF-3B602633C4C9}"/>
    <cellStyle name="60% - Énfasis1 21 3 3" xfId="20623" xr:uid="{10F4BE1D-0DF9-4A17-8A98-D748ACE6FEC8}"/>
    <cellStyle name="60% - Énfasis1 21 3 3 2" xfId="52196" xr:uid="{2F2CA56A-1F77-4463-9957-4B3BFDE43817}"/>
    <cellStyle name="60% - Énfasis1 21 3 4" xfId="52193" xr:uid="{EABFCF95-A200-4576-9853-E84E606284EC}"/>
    <cellStyle name="60% - Énfasis1 21 4" xfId="9189" xr:uid="{95F86793-1EEA-433C-918B-BF119F5B815B}"/>
    <cellStyle name="60% - Énfasis1 21 4 2" xfId="24602" xr:uid="{FF2CC655-DD6C-48BC-9DE8-05607959D10C}"/>
    <cellStyle name="60% - Énfasis1 21 4 2 2" xfId="52198" xr:uid="{F1A8A833-72DB-4E79-9D9C-B9FC96C750F7}"/>
    <cellStyle name="60% - Énfasis1 21 4 3" xfId="52197" xr:uid="{E979C840-E9C3-4E1C-AE66-1E025EDF68DC}"/>
    <cellStyle name="60% - Énfasis1 21 5" xfId="16897" xr:uid="{00F8DC98-ADA6-49C6-9F44-55A3618CCBF3}"/>
    <cellStyle name="60% - Énfasis1 21 5 2" xfId="52199" xr:uid="{889689FF-B96D-4D32-AE46-273AAB91C2F1}"/>
    <cellStyle name="60% - Énfasis1 21 6" xfId="52184" xr:uid="{102D3663-F0A9-4372-B841-E7BA66380F81}"/>
    <cellStyle name="60% - Énfasis1 22" xfId="1492" xr:uid="{5ED96B2B-D880-46D8-BEA7-1C2B74642BB0}"/>
    <cellStyle name="60% - Énfasis1 22 2" xfId="2957" xr:uid="{7A57DA24-905A-4898-A05E-862ACDC2F6A7}"/>
    <cellStyle name="60% - Énfasis1 22 2 2" xfId="6689" xr:uid="{52E84AEB-86E8-4127-8E59-0DD296895342}"/>
    <cellStyle name="60% - Énfasis1 22 2 2 2" xfId="14397" xr:uid="{39D8EDB6-71DF-4F9B-8C1A-269E8A08732F}"/>
    <cellStyle name="60% - Énfasis1 22 2 2 2 2" xfId="29809" xr:uid="{4E7E5F1E-86E9-4DA8-8BB2-BD6609644FBF}"/>
    <cellStyle name="60% - Énfasis1 22 2 2 2 2 2" xfId="52204" xr:uid="{73E65BAB-3946-4A66-9FCA-D43C5484025A}"/>
    <cellStyle name="60% - Énfasis1 22 2 2 2 3" xfId="52203" xr:uid="{565B94F2-2394-4F42-871B-3011C078D4A5}"/>
    <cellStyle name="60% - Énfasis1 22 2 2 3" xfId="22104" xr:uid="{8EEB893F-3001-4FBE-A210-775C20A45EFE}"/>
    <cellStyle name="60% - Énfasis1 22 2 2 3 2" xfId="52205" xr:uid="{11B228E4-F176-444F-B3A1-9B043A18AB0C}"/>
    <cellStyle name="60% - Énfasis1 22 2 2 4" xfId="52202" xr:uid="{4DD54569-C8B6-47EF-91E4-DB8513D27886}"/>
    <cellStyle name="60% - Énfasis1 22 2 3" xfId="10668" xr:uid="{50F07E04-AA11-4119-9358-2C9785DCE716}"/>
    <cellStyle name="60% - Énfasis1 22 2 3 2" xfId="26081" xr:uid="{A71FB3EC-45C1-4F0F-8DA7-0DD15EB4E288}"/>
    <cellStyle name="60% - Énfasis1 22 2 3 2 2" xfId="52207" xr:uid="{D34FB0C7-B635-4212-A17A-571A1D4E6BCC}"/>
    <cellStyle name="60% - Énfasis1 22 2 3 3" xfId="52206" xr:uid="{AF729C93-9F6C-4691-93CE-CF256270CBF7}"/>
    <cellStyle name="60% - Énfasis1 22 2 4" xfId="18376" xr:uid="{982DFB4C-D6D4-45FD-9713-B47898E40DF0}"/>
    <cellStyle name="60% - Énfasis1 22 2 4 2" xfId="52208" xr:uid="{69D8A9A9-6244-418B-886C-D685C784A55F}"/>
    <cellStyle name="60% - Énfasis1 22 2 5" xfId="52201" xr:uid="{84C154F4-6027-4D4B-A133-084FF0749E51}"/>
    <cellStyle name="60% - Énfasis1 22 3" xfId="5228" xr:uid="{4CF08285-6645-4ABF-B977-F338169F72DB}"/>
    <cellStyle name="60% - Énfasis1 22 3 2" xfId="12936" xr:uid="{AA8A6849-823E-4BF7-8D32-3C6498E6588F}"/>
    <cellStyle name="60% - Énfasis1 22 3 2 2" xfId="28348" xr:uid="{677051D5-31B4-41F3-92EF-F4FF6ED112DC}"/>
    <cellStyle name="60% - Énfasis1 22 3 2 2 2" xfId="52211" xr:uid="{170D606C-F6E9-4C17-9473-24A137B1A18B}"/>
    <cellStyle name="60% - Énfasis1 22 3 2 3" xfId="52210" xr:uid="{B7785166-405F-4BDD-843A-FEBA8F6DB96D}"/>
    <cellStyle name="60% - Énfasis1 22 3 3" xfId="20643" xr:uid="{65661158-C1E4-4BBA-A563-6D5FE1DD2C7D}"/>
    <cellStyle name="60% - Énfasis1 22 3 3 2" xfId="52212" xr:uid="{49FA8609-E779-42B7-B33C-BA9BDCF4ECC4}"/>
    <cellStyle name="60% - Énfasis1 22 3 4" xfId="52209" xr:uid="{D985DA32-F4C3-4EEC-839B-5874312554E0}"/>
    <cellStyle name="60% - Énfasis1 22 4" xfId="9209" xr:uid="{A6476443-0F19-407B-B9B4-F8CB192CF984}"/>
    <cellStyle name="60% - Énfasis1 22 4 2" xfId="24622" xr:uid="{6E894CFB-AE7B-4994-A727-E924AC287B59}"/>
    <cellStyle name="60% - Énfasis1 22 4 2 2" xfId="52214" xr:uid="{2B1B95ED-F74D-422E-839B-23EC9C0AD003}"/>
    <cellStyle name="60% - Énfasis1 22 4 3" xfId="52213" xr:uid="{1FC3185E-F690-49D1-8E22-4DD3C8157096}"/>
    <cellStyle name="60% - Énfasis1 22 5" xfId="16917" xr:uid="{EEF5DBD4-F1D9-4378-86BC-A79E93B72139}"/>
    <cellStyle name="60% - Énfasis1 22 5 2" xfId="52215" xr:uid="{63675A7F-5E8E-428A-9B2B-98D7911D66FC}"/>
    <cellStyle name="60% - Énfasis1 22 6" xfId="52200" xr:uid="{37E99117-7C25-49F2-8BD7-BE8BC95FBE63}"/>
    <cellStyle name="60% - Énfasis1 23" xfId="1512" xr:uid="{22B0D660-13C6-4632-B41F-1EDDE4D8EB7B}"/>
    <cellStyle name="60% - Énfasis1 23 2" xfId="2977" xr:uid="{0FBFA75E-0B18-4766-88AB-AF0A41D76FD5}"/>
    <cellStyle name="60% - Énfasis1 23 2 2" xfId="6709" xr:uid="{CE5BF954-B88E-439D-87C5-484E587B961F}"/>
    <cellStyle name="60% - Énfasis1 23 2 2 2" xfId="14417" xr:uid="{EA6F5B8D-E15B-43D2-BA63-31B511C4EE4B}"/>
    <cellStyle name="60% - Énfasis1 23 2 2 2 2" xfId="29829" xr:uid="{46B7F18D-53C0-429D-99CD-08D39CF25A45}"/>
    <cellStyle name="60% - Énfasis1 23 2 2 2 2 2" xfId="52220" xr:uid="{DE2D633A-3C52-4E36-8887-46A6B998743C}"/>
    <cellStyle name="60% - Énfasis1 23 2 2 2 3" xfId="52219" xr:uid="{6640362D-F958-404A-9749-BDA89865B342}"/>
    <cellStyle name="60% - Énfasis1 23 2 2 3" xfId="22124" xr:uid="{C6356CAF-DBE1-4215-914D-6443B9D6027C}"/>
    <cellStyle name="60% - Énfasis1 23 2 2 3 2" xfId="52221" xr:uid="{FC785D2F-FDD4-46C4-B022-DA1EAB99F186}"/>
    <cellStyle name="60% - Énfasis1 23 2 2 4" xfId="52218" xr:uid="{089EDCCD-0EBA-40F8-8906-5C9F1EC7CCC0}"/>
    <cellStyle name="60% - Énfasis1 23 2 3" xfId="10688" xr:uid="{7FC63E58-EE67-48C3-93B9-198609B3D688}"/>
    <cellStyle name="60% - Énfasis1 23 2 3 2" xfId="26101" xr:uid="{489879F3-3F42-418A-A423-272F0BFC85C9}"/>
    <cellStyle name="60% - Énfasis1 23 2 3 2 2" xfId="52223" xr:uid="{419332AF-A870-4BDF-84B0-91A84AD9D9D0}"/>
    <cellStyle name="60% - Énfasis1 23 2 3 3" xfId="52222" xr:uid="{C7405EAC-07CC-4927-9FC1-9678F2E76D58}"/>
    <cellStyle name="60% - Énfasis1 23 2 4" xfId="18396" xr:uid="{6E507C26-41DC-4D83-8E44-C0043D228CFE}"/>
    <cellStyle name="60% - Énfasis1 23 2 4 2" xfId="52224" xr:uid="{F420FC4E-CE01-42BC-893B-9396709FDCBA}"/>
    <cellStyle name="60% - Énfasis1 23 2 5" xfId="52217" xr:uid="{737E5133-55CE-4423-8AB4-0CCA3B960FF2}"/>
    <cellStyle name="60% - Énfasis1 23 3" xfId="5248" xr:uid="{8DB20ECA-C400-4EAC-A628-19CF494F425C}"/>
    <cellStyle name="60% - Énfasis1 23 3 2" xfId="12956" xr:uid="{FCB175A2-5C59-4DCD-BD13-83415EBA8CB7}"/>
    <cellStyle name="60% - Énfasis1 23 3 2 2" xfId="28368" xr:uid="{4641D701-04CA-4231-B435-7FF436737104}"/>
    <cellStyle name="60% - Énfasis1 23 3 2 2 2" xfId="52227" xr:uid="{7B9EEFA9-6801-446B-949B-C50613185096}"/>
    <cellStyle name="60% - Énfasis1 23 3 2 3" xfId="52226" xr:uid="{FA804743-4C9A-4DBA-B088-E552222941C2}"/>
    <cellStyle name="60% - Énfasis1 23 3 3" xfId="20663" xr:uid="{A0935B83-6476-4D48-B8EC-D922FB826B1A}"/>
    <cellStyle name="60% - Énfasis1 23 3 3 2" xfId="52228" xr:uid="{91D50590-D043-4DBD-AC5B-453ACE8B3C14}"/>
    <cellStyle name="60% - Énfasis1 23 3 4" xfId="52225" xr:uid="{FFFA699E-6DAF-4C82-B19B-38267317B15B}"/>
    <cellStyle name="60% - Énfasis1 23 4" xfId="9229" xr:uid="{25C003AD-A49A-46E3-95D2-463FFD29C4FB}"/>
    <cellStyle name="60% - Énfasis1 23 4 2" xfId="24642" xr:uid="{22E291DB-8192-4086-9D7B-EC790CF3F69D}"/>
    <cellStyle name="60% - Énfasis1 23 4 2 2" xfId="52230" xr:uid="{0BA94D53-D53D-4F06-ABF2-592347BBBBE4}"/>
    <cellStyle name="60% - Énfasis1 23 4 3" xfId="52229" xr:uid="{E8FA9B56-131F-42CE-B5DC-A67E6B9CF334}"/>
    <cellStyle name="60% - Énfasis1 23 5" xfId="16937" xr:uid="{287CC84F-A187-46F9-967F-2512E0ABBE57}"/>
    <cellStyle name="60% - Énfasis1 23 5 2" xfId="52231" xr:uid="{7DFF59A7-CD95-4292-8992-38FE9AEC198A}"/>
    <cellStyle name="60% - Énfasis1 23 6" xfId="52216" xr:uid="{5BFD28A6-17BA-4ED1-A19C-1BA348C7FE3D}"/>
    <cellStyle name="60% - Énfasis1 24" xfId="1532" xr:uid="{CC26785D-D8BE-404F-93AB-656FEB466C6A}"/>
    <cellStyle name="60% - Énfasis1 24 2" xfId="2997" xr:uid="{70965222-80FA-4714-86C7-BD6E2B51128C}"/>
    <cellStyle name="60% - Énfasis1 24 2 2" xfId="6729" xr:uid="{0999C4B7-68F8-4683-A780-594065172E57}"/>
    <cellStyle name="60% - Énfasis1 24 2 2 2" xfId="14437" xr:uid="{7F80D002-56F3-47EA-88B5-FA0DEC922BF5}"/>
    <cellStyle name="60% - Énfasis1 24 2 2 2 2" xfId="29849" xr:uid="{17A19D5C-54E4-46C3-BC9E-0E31694CF937}"/>
    <cellStyle name="60% - Énfasis1 24 2 2 2 2 2" xfId="52236" xr:uid="{05B53A80-8D28-41F5-B1EF-92C51E8ABA7B}"/>
    <cellStyle name="60% - Énfasis1 24 2 2 2 3" xfId="52235" xr:uid="{845A1095-1020-4604-BEE5-859BDBBDA493}"/>
    <cellStyle name="60% - Énfasis1 24 2 2 3" xfId="22144" xr:uid="{164EB6F4-A83D-4883-AC9B-133DA9055B0F}"/>
    <cellStyle name="60% - Énfasis1 24 2 2 3 2" xfId="52237" xr:uid="{13F8F848-8408-46B5-AC6F-12A7EF527B04}"/>
    <cellStyle name="60% - Énfasis1 24 2 2 4" xfId="52234" xr:uid="{2E41E841-A3B1-4843-91C7-867D955C9D45}"/>
    <cellStyle name="60% - Énfasis1 24 2 3" xfId="10708" xr:uid="{7889290C-4394-4991-8641-09E508F2991D}"/>
    <cellStyle name="60% - Énfasis1 24 2 3 2" xfId="26121" xr:uid="{71915294-654B-4FDC-A7AC-BFC6166493AB}"/>
    <cellStyle name="60% - Énfasis1 24 2 3 2 2" xfId="52239" xr:uid="{8521037B-07DF-4848-B7F1-5B1FB7269E7C}"/>
    <cellStyle name="60% - Énfasis1 24 2 3 3" xfId="52238" xr:uid="{52A3F868-310E-4851-8AAE-938686490C3D}"/>
    <cellStyle name="60% - Énfasis1 24 2 4" xfId="18416" xr:uid="{7EB1C27C-6152-48B2-BE1D-84C3DCE38A13}"/>
    <cellStyle name="60% - Énfasis1 24 2 4 2" xfId="52240" xr:uid="{7C7DCEC4-5879-47AA-B1D7-1150181FE7BF}"/>
    <cellStyle name="60% - Énfasis1 24 2 5" xfId="52233" xr:uid="{76080C2A-9CB2-4270-9C2F-C2CD290B1509}"/>
    <cellStyle name="60% - Énfasis1 24 3" xfId="5268" xr:uid="{BA1FF15D-2279-43AB-A2B0-BB811ED8ECA9}"/>
    <cellStyle name="60% - Énfasis1 24 3 2" xfId="12976" xr:uid="{00AFCCC3-D519-46C1-9AA8-4F60C838331B}"/>
    <cellStyle name="60% - Énfasis1 24 3 2 2" xfId="28388" xr:uid="{22DD485A-BCA8-4218-94F8-90F06B0467E4}"/>
    <cellStyle name="60% - Énfasis1 24 3 2 2 2" xfId="52243" xr:uid="{FEF3C3F2-6F45-495D-8D34-AD4879864ECC}"/>
    <cellStyle name="60% - Énfasis1 24 3 2 3" xfId="52242" xr:uid="{494D2277-0465-49D5-B22D-4CF302C36B41}"/>
    <cellStyle name="60% - Énfasis1 24 3 3" xfId="20683" xr:uid="{D9A313EF-391C-44B0-89DB-F791CAEAAD4A}"/>
    <cellStyle name="60% - Énfasis1 24 3 3 2" xfId="52244" xr:uid="{CD5EF01D-7433-4921-A036-2411D7CADDA0}"/>
    <cellStyle name="60% - Énfasis1 24 3 4" xfId="52241" xr:uid="{33593388-447B-480E-AA0E-812B38E40B9A}"/>
    <cellStyle name="60% - Énfasis1 24 4" xfId="9249" xr:uid="{315743CD-ACD5-4B59-8635-84967DC759C5}"/>
    <cellStyle name="60% - Énfasis1 24 4 2" xfId="24662" xr:uid="{80538DF9-0A09-463D-A7A5-B8775535C5F9}"/>
    <cellStyle name="60% - Énfasis1 24 4 2 2" xfId="52246" xr:uid="{4DFAA777-B615-49AE-81C3-5EC7B0AB0951}"/>
    <cellStyle name="60% - Énfasis1 24 4 3" xfId="52245" xr:uid="{35E4C1C1-5493-42EA-A26C-E1FDB5B6E92F}"/>
    <cellStyle name="60% - Énfasis1 24 5" xfId="16957" xr:uid="{48E32263-6BC0-4527-97B6-C7CB13B3698F}"/>
    <cellStyle name="60% - Énfasis1 24 5 2" xfId="52247" xr:uid="{CC8273D5-B391-4EA1-9FE5-24FC15FC6F55}"/>
    <cellStyle name="60% - Énfasis1 24 6" xfId="52232" xr:uid="{99E896AA-B149-46B7-8D87-E3DF085022E6}"/>
    <cellStyle name="60% - Énfasis1 25" xfId="1552" xr:uid="{8EBCEACA-AD67-427B-8DBA-008D89CC0645}"/>
    <cellStyle name="60% - Énfasis1 25 2" xfId="3017" xr:uid="{2788F168-81FA-4215-A40A-74743A7ED798}"/>
    <cellStyle name="60% - Énfasis1 25 2 2" xfId="6749" xr:uid="{000F7D44-E48E-4E7B-9234-BF63AA7014AE}"/>
    <cellStyle name="60% - Énfasis1 25 2 2 2" xfId="14457" xr:uid="{2A48427C-0B5B-4118-876A-B982738CE8BE}"/>
    <cellStyle name="60% - Énfasis1 25 2 2 2 2" xfId="29869" xr:uid="{A800CB6A-3B5B-4835-BA9C-F21649630EBA}"/>
    <cellStyle name="60% - Énfasis1 25 2 2 2 2 2" xfId="52252" xr:uid="{32F84786-417B-4BF2-8D68-BDF808EA0872}"/>
    <cellStyle name="60% - Énfasis1 25 2 2 2 3" xfId="52251" xr:uid="{6DD26C6F-8365-4CC4-95B0-575A5A82CE63}"/>
    <cellStyle name="60% - Énfasis1 25 2 2 3" xfId="22164" xr:uid="{7D51A061-9F91-47A7-85DD-0516ECC3711A}"/>
    <cellStyle name="60% - Énfasis1 25 2 2 3 2" xfId="52253" xr:uid="{28CE3887-70FE-48CF-8E9A-A102F65FF747}"/>
    <cellStyle name="60% - Énfasis1 25 2 2 4" xfId="52250" xr:uid="{8E4A240F-9ADE-495F-A0CA-0B172B5EC1E6}"/>
    <cellStyle name="60% - Énfasis1 25 2 3" xfId="10728" xr:uid="{E0F4E23E-A6B1-48E0-87D6-136F04FAD82A}"/>
    <cellStyle name="60% - Énfasis1 25 2 3 2" xfId="26141" xr:uid="{DDE64283-F3C0-4EC1-A1F4-414560264EED}"/>
    <cellStyle name="60% - Énfasis1 25 2 3 2 2" xfId="52255" xr:uid="{E82D20CF-54E6-4942-B07A-E55B6E79BB1C}"/>
    <cellStyle name="60% - Énfasis1 25 2 3 3" xfId="52254" xr:uid="{A2357ADE-8BC7-4551-A2DF-D696D0D6A3A3}"/>
    <cellStyle name="60% - Énfasis1 25 2 4" xfId="18436" xr:uid="{4E1B07EE-3BBA-4862-A8DB-B5885D0774D1}"/>
    <cellStyle name="60% - Énfasis1 25 2 4 2" xfId="52256" xr:uid="{CDBCE9E6-1736-4591-BB94-C4D017C2CC4F}"/>
    <cellStyle name="60% - Énfasis1 25 2 5" xfId="52249" xr:uid="{E2D7C4E9-86C4-4A0B-AD0E-F1C13508B83C}"/>
    <cellStyle name="60% - Énfasis1 25 3" xfId="5288" xr:uid="{5A7E8E2D-F692-4405-ACEC-619C484E68E1}"/>
    <cellStyle name="60% - Énfasis1 25 3 2" xfId="12996" xr:uid="{CFDD3D30-7C7A-4DE8-91A0-CA58CBB70E58}"/>
    <cellStyle name="60% - Énfasis1 25 3 2 2" xfId="28408" xr:uid="{CE118675-BEA7-48B8-AEF3-B19A17F9D52B}"/>
    <cellStyle name="60% - Énfasis1 25 3 2 2 2" xfId="52259" xr:uid="{61A9F0F7-C0B6-4313-A631-6BE2ABECDC6A}"/>
    <cellStyle name="60% - Énfasis1 25 3 2 3" xfId="52258" xr:uid="{835899D5-5633-4DBB-BE71-34BBF11CB28B}"/>
    <cellStyle name="60% - Énfasis1 25 3 3" xfId="20703" xr:uid="{D56DEF7C-1D9F-4403-8E21-94257709FC20}"/>
    <cellStyle name="60% - Énfasis1 25 3 3 2" xfId="52260" xr:uid="{6328B0AE-F5F0-47B1-B843-353095F7B95C}"/>
    <cellStyle name="60% - Énfasis1 25 3 4" xfId="52257" xr:uid="{3BF979D2-234B-4604-AE0F-12C3C96929D5}"/>
    <cellStyle name="60% - Énfasis1 25 4" xfId="9269" xr:uid="{9C69CC60-B79D-4A97-A5B7-4AD28E374623}"/>
    <cellStyle name="60% - Énfasis1 25 4 2" xfId="24682" xr:uid="{4DD2E5A7-5274-4662-8D32-B46EF1006D90}"/>
    <cellStyle name="60% - Énfasis1 25 4 2 2" xfId="52262" xr:uid="{BE07B6DE-E791-45B4-A01D-793EF22D65C0}"/>
    <cellStyle name="60% - Énfasis1 25 4 3" xfId="52261" xr:uid="{5405F84F-1E29-4539-AE37-37EBBEFCA98B}"/>
    <cellStyle name="60% - Énfasis1 25 5" xfId="16977" xr:uid="{B5C165ED-ABC4-4AAB-8101-C8827810604C}"/>
    <cellStyle name="60% - Énfasis1 25 5 2" xfId="52263" xr:uid="{476F9A52-792E-489C-86ED-667EB0814B67}"/>
    <cellStyle name="60% - Énfasis1 25 6" xfId="52248" xr:uid="{99F48B68-0634-4B36-B451-8ADB191631AC}"/>
    <cellStyle name="60% - Énfasis1 26" xfId="1572" xr:uid="{94E7F5D7-BFDD-44B6-B5C4-A80946C78CB6}"/>
    <cellStyle name="60% - Énfasis1 26 2" xfId="3037" xr:uid="{2EE9B622-72F8-4075-B526-7E0F18C2EC63}"/>
    <cellStyle name="60% - Énfasis1 26 2 2" xfId="6769" xr:uid="{045F6B62-767D-4113-B5D7-E577D03226CC}"/>
    <cellStyle name="60% - Énfasis1 26 2 2 2" xfId="14477" xr:uid="{4C367CEF-4C67-48A8-A759-44FB6FE636C2}"/>
    <cellStyle name="60% - Énfasis1 26 2 2 2 2" xfId="29889" xr:uid="{B45A62CB-83DF-41E2-AA9E-60074F2267AA}"/>
    <cellStyle name="60% - Énfasis1 26 2 2 2 2 2" xfId="52268" xr:uid="{897C1411-FA42-4DDF-8B04-008B84FE0DF9}"/>
    <cellStyle name="60% - Énfasis1 26 2 2 2 3" xfId="52267" xr:uid="{889845BA-C8C4-4F7A-83D0-2449FC9BA02E}"/>
    <cellStyle name="60% - Énfasis1 26 2 2 3" xfId="22184" xr:uid="{99EDEF54-5D0A-45F2-AF3F-E3369E9936AD}"/>
    <cellStyle name="60% - Énfasis1 26 2 2 3 2" xfId="52269" xr:uid="{E144A6B2-D08E-4331-9E8E-3C1B64344153}"/>
    <cellStyle name="60% - Énfasis1 26 2 2 4" xfId="52266" xr:uid="{A2412BE4-7FDE-49D7-87F1-4181D00198D6}"/>
    <cellStyle name="60% - Énfasis1 26 2 3" xfId="10748" xr:uid="{02339E11-D54E-435A-97F1-520A1C882810}"/>
    <cellStyle name="60% - Énfasis1 26 2 3 2" xfId="26161" xr:uid="{8A8AF3B8-8707-4480-8B63-E981E04AB114}"/>
    <cellStyle name="60% - Énfasis1 26 2 3 2 2" xfId="52271" xr:uid="{13D3B3F8-E71A-4A37-9466-CBEE0E1735BA}"/>
    <cellStyle name="60% - Énfasis1 26 2 3 3" xfId="52270" xr:uid="{3D71DA8B-2396-48CF-B54C-73ABB5F38093}"/>
    <cellStyle name="60% - Énfasis1 26 2 4" xfId="18456" xr:uid="{F6C3461F-A0FB-4616-B7A4-C05FCD6AC196}"/>
    <cellStyle name="60% - Énfasis1 26 2 4 2" xfId="52272" xr:uid="{AF6B9E9F-ACF3-4540-9A5D-8FAF42E169B5}"/>
    <cellStyle name="60% - Énfasis1 26 2 5" xfId="52265" xr:uid="{6ABDE249-0AED-4B94-93EF-0F38356A1953}"/>
    <cellStyle name="60% - Énfasis1 26 3" xfId="5308" xr:uid="{6BED5756-4A37-4A0E-B0A6-7527F5064AB4}"/>
    <cellStyle name="60% - Énfasis1 26 3 2" xfId="13016" xr:uid="{B0F1D8F2-3B85-460B-A981-1852D29C483F}"/>
    <cellStyle name="60% - Énfasis1 26 3 2 2" xfId="28428" xr:uid="{C6A8C4CF-4D2E-4AB1-AEC6-916F8DC026B3}"/>
    <cellStyle name="60% - Énfasis1 26 3 2 2 2" xfId="52275" xr:uid="{1501C9B8-5B0F-46F0-920F-AF259A7D55CB}"/>
    <cellStyle name="60% - Énfasis1 26 3 2 3" xfId="52274" xr:uid="{10048B2A-922A-4A01-AC47-59BC0E67924D}"/>
    <cellStyle name="60% - Énfasis1 26 3 3" xfId="20723" xr:uid="{173EDB87-0779-4882-9830-CE9B65DF151E}"/>
    <cellStyle name="60% - Énfasis1 26 3 3 2" xfId="52276" xr:uid="{2BEF3951-AE50-4B5E-A617-5F4A71533EF1}"/>
    <cellStyle name="60% - Énfasis1 26 3 4" xfId="52273" xr:uid="{896C4E99-753D-40EE-B94E-9FE20E8D10D0}"/>
    <cellStyle name="60% - Énfasis1 26 4" xfId="9289" xr:uid="{51796BC9-9ED6-49F8-B148-E0697FAC3573}"/>
    <cellStyle name="60% - Énfasis1 26 4 2" xfId="24702" xr:uid="{8D4B4513-DDB8-4DC8-B748-135F485339E9}"/>
    <cellStyle name="60% - Énfasis1 26 4 2 2" xfId="52278" xr:uid="{BB777EF0-67ED-48E0-8747-B231624073C8}"/>
    <cellStyle name="60% - Énfasis1 26 4 3" xfId="52277" xr:uid="{EF1F4C90-E6EF-4401-8542-26D32D7E7E7E}"/>
    <cellStyle name="60% - Énfasis1 26 5" xfId="16997" xr:uid="{0DCDD444-E6CD-49E8-98D9-DD3E64FAC6DA}"/>
    <cellStyle name="60% - Énfasis1 26 5 2" xfId="52279" xr:uid="{B0080925-5A55-4E85-8F94-3A28CEBC2970}"/>
    <cellStyle name="60% - Énfasis1 26 6" xfId="52264" xr:uid="{51FC32DF-8305-483B-80E0-AA2F145FA3D0}"/>
    <cellStyle name="60% - Énfasis1 27" xfId="1593" xr:uid="{E1C856AD-7508-4AA2-B220-CDD8E59794BB}"/>
    <cellStyle name="60% - Énfasis1 27 2" xfId="3058" xr:uid="{1B3162C1-3BBE-4752-918B-67A1CD436135}"/>
    <cellStyle name="60% - Énfasis1 27 2 2" xfId="6790" xr:uid="{04D59051-CE62-4CA7-9061-F4584D57DB23}"/>
    <cellStyle name="60% - Énfasis1 27 2 2 2" xfId="14498" xr:uid="{92E17C59-ED26-43FB-990F-0FAC2F3586C5}"/>
    <cellStyle name="60% - Énfasis1 27 2 2 2 2" xfId="29910" xr:uid="{CC277C9F-5EED-4BFC-99F9-FCD08B7815D8}"/>
    <cellStyle name="60% - Énfasis1 27 2 2 2 2 2" xfId="52284" xr:uid="{DC1C3D91-6E74-45CD-B788-82277895DB48}"/>
    <cellStyle name="60% - Énfasis1 27 2 2 2 3" xfId="52283" xr:uid="{FE753015-8717-4276-B670-74724162531A}"/>
    <cellStyle name="60% - Énfasis1 27 2 2 3" xfId="22205" xr:uid="{D34381D8-F975-4710-84B7-7AA9B4900DC0}"/>
    <cellStyle name="60% - Énfasis1 27 2 2 3 2" xfId="52285" xr:uid="{D86EC177-05B3-4ED1-A21C-086332BA47E8}"/>
    <cellStyle name="60% - Énfasis1 27 2 2 4" xfId="52282" xr:uid="{517434E1-7034-484A-9162-506D2AE38A1F}"/>
    <cellStyle name="60% - Énfasis1 27 2 3" xfId="10769" xr:uid="{4377FFEF-DA0F-491E-9BE8-8C4156FC949A}"/>
    <cellStyle name="60% - Énfasis1 27 2 3 2" xfId="26182" xr:uid="{C42E3CB3-73DC-4949-8153-CAE659EBFAF8}"/>
    <cellStyle name="60% - Énfasis1 27 2 3 2 2" xfId="52287" xr:uid="{DA3D539F-BE94-4A94-B0D1-A54B23A2573D}"/>
    <cellStyle name="60% - Énfasis1 27 2 3 3" xfId="52286" xr:uid="{D18E86B2-2C95-4B84-8ADC-7E441D2615CA}"/>
    <cellStyle name="60% - Énfasis1 27 2 4" xfId="18477" xr:uid="{7A2B355F-3763-4EF3-BE81-1C0377DD960B}"/>
    <cellStyle name="60% - Énfasis1 27 2 4 2" xfId="52288" xr:uid="{D97FA6E1-1D0F-45CE-A200-920F70CD61EA}"/>
    <cellStyle name="60% - Énfasis1 27 2 5" xfId="52281" xr:uid="{6A3EB88D-6C28-4757-8DA3-D1F159143E00}"/>
    <cellStyle name="60% - Énfasis1 27 3" xfId="5329" xr:uid="{02583582-D3BB-41C8-9A12-BD33AF77A87C}"/>
    <cellStyle name="60% - Énfasis1 27 3 2" xfId="13037" xr:uid="{79FCCB2B-B579-4DBB-B494-0A84203DD426}"/>
    <cellStyle name="60% - Énfasis1 27 3 2 2" xfId="28449" xr:uid="{AF6CA132-2135-4FFB-B297-1B932D216D44}"/>
    <cellStyle name="60% - Énfasis1 27 3 2 2 2" xfId="52291" xr:uid="{F8C1A9A7-6C68-43D3-A8EF-DDEF4C97F4CD}"/>
    <cellStyle name="60% - Énfasis1 27 3 2 3" xfId="52290" xr:uid="{1EE14D19-5524-4354-8699-782C198B9D98}"/>
    <cellStyle name="60% - Énfasis1 27 3 3" xfId="20744" xr:uid="{E16C281F-7EB4-45A3-95D5-6CB2989ED67D}"/>
    <cellStyle name="60% - Énfasis1 27 3 3 2" xfId="52292" xr:uid="{F0A9DB38-341A-436D-B4FA-01C893CD6D04}"/>
    <cellStyle name="60% - Énfasis1 27 3 4" xfId="52289" xr:uid="{F56DCE43-42E9-4050-9C16-8B2BCDA39649}"/>
    <cellStyle name="60% - Énfasis1 27 4" xfId="9310" xr:uid="{A3A83B89-EE9E-4CF4-A7FB-51936D61A95D}"/>
    <cellStyle name="60% - Énfasis1 27 4 2" xfId="24723" xr:uid="{ABA46CB9-99BB-4605-8DC5-CC0A05CC0E66}"/>
    <cellStyle name="60% - Énfasis1 27 4 2 2" xfId="52294" xr:uid="{0CC45145-8C99-4672-92C8-9354B6B2745A}"/>
    <cellStyle name="60% - Énfasis1 27 4 3" xfId="52293" xr:uid="{161D124D-273D-43A4-A47C-E06D366AB7ED}"/>
    <cellStyle name="60% - Énfasis1 27 5" xfId="17018" xr:uid="{16ED7DEB-C5EC-47E4-9632-CECD452798DD}"/>
    <cellStyle name="60% - Énfasis1 27 5 2" xfId="52295" xr:uid="{91F34088-D907-4D58-920A-119EA7FB4F2E}"/>
    <cellStyle name="60% - Énfasis1 27 6" xfId="52280" xr:uid="{CB8835D2-4A37-4819-9A2C-FDBF602946EF}"/>
    <cellStyle name="60% - Énfasis1 28" xfId="3078" xr:uid="{6F12194C-0BD5-4127-850B-A8376CE795F8}"/>
    <cellStyle name="60% - Énfasis1 28 2" xfId="6810" xr:uid="{E0E431B8-35EF-412A-B7C7-AB3B6965CACA}"/>
    <cellStyle name="60% - Énfasis1 28 2 2" xfId="14518" xr:uid="{F8D964C6-420F-4197-A935-D729447C9941}"/>
    <cellStyle name="60% - Énfasis1 28 2 2 2" xfId="29930" xr:uid="{73F82B00-FE5D-4966-809A-3BC0496D6E34}"/>
    <cellStyle name="60% - Énfasis1 28 2 2 2 2" xfId="52299" xr:uid="{95AFEFA8-5059-48F6-90FA-ECBEC38A6AD9}"/>
    <cellStyle name="60% - Énfasis1 28 2 2 3" xfId="52298" xr:uid="{C6BBAF48-4A89-465B-B7C9-A901A822EB97}"/>
    <cellStyle name="60% - Énfasis1 28 2 3" xfId="22225" xr:uid="{E14C4D37-70FD-4C4A-BB16-E591C0E08ED0}"/>
    <cellStyle name="60% - Énfasis1 28 2 3 2" xfId="52300" xr:uid="{7583E284-9FCD-41E0-B4D2-23E790457985}"/>
    <cellStyle name="60% - Énfasis1 28 2 4" xfId="52297" xr:uid="{54FBC7E2-9439-4EC3-B569-4EAB5635B367}"/>
    <cellStyle name="60% - Énfasis1 28 3" xfId="10789" xr:uid="{7F5F4252-4F12-46E3-B763-65FBCBBB9E88}"/>
    <cellStyle name="60% - Énfasis1 28 3 2" xfId="26202" xr:uid="{26835C22-4EFF-4820-AD3C-2356FCE4D73E}"/>
    <cellStyle name="60% - Énfasis1 28 3 2 2" xfId="52302" xr:uid="{5F152FE2-32A1-4107-ACB9-98E0E6C2ECAF}"/>
    <cellStyle name="60% - Énfasis1 28 3 3" xfId="52301" xr:uid="{183574AB-FC1E-4A48-982F-065F4E22C782}"/>
    <cellStyle name="60% - Énfasis1 28 4" xfId="18497" xr:uid="{1EE69142-3FA9-4728-A8AB-BE9C2213D273}"/>
    <cellStyle name="60% - Énfasis1 28 4 2" xfId="52303" xr:uid="{11A2C283-1327-4F3B-85E6-350E16B3B8EA}"/>
    <cellStyle name="60% - Énfasis1 28 5" xfId="52296" xr:uid="{157FF583-3B12-429C-AF12-35114E7A636B}"/>
    <cellStyle name="60% - Énfasis1 29" xfId="3098" xr:uid="{A130B54E-BA06-4FE4-A198-0CA02CE1B25D}"/>
    <cellStyle name="60% - Énfasis1 29 2" xfId="6830" xr:uid="{6E2753E4-1A76-4264-857E-C80D6DC68E3A}"/>
    <cellStyle name="60% - Énfasis1 29 2 2" xfId="14538" xr:uid="{CC16CC7A-E8CB-4B3E-8F53-76F54B2F65A7}"/>
    <cellStyle name="60% - Énfasis1 29 2 2 2" xfId="29950" xr:uid="{1A3E0FB0-4B42-4AA5-8516-E535C8751C93}"/>
    <cellStyle name="60% - Énfasis1 29 2 2 2 2" xfId="52307" xr:uid="{55029E81-997B-4828-A3E6-7332D27EDB6A}"/>
    <cellStyle name="60% - Énfasis1 29 2 2 3" xfId="52306" xr:uid="{347ED893-0638-41B4-9825-A26A0037144B}"/>
    <cellStyle name="60% - Énfasis1 29 2 3" xfId="22245" xr:uid="{B1EA259D-2E6C-417D-8540-51B87F8EFBFE}"/>
    <cellStyle name="60% - Énfasis1 29 2 3 2" xfId="52308" xr:uid="{8B8C6C11-DD95-44AC-8606-679A1316307C}"/>
    <cellStyle name="60% - Énfasis1 29 2 4" xfId="52305" xr:uid="{46EF819F-A10F-418C-98B8-AD775FF215B2}"/>
    <cellStyle name="60% - Énfasis1 29 3" xfId="10809" xr:uid="{01876DB9-168F-4F8E-9F00-112446DB631D}"/>
    <cellStyle name="60% - Énfasis1 29 3 2" xfId="26222" xr:uid="{3B2B1BE2-C417-47FF-AD7E-EAADE3491D23}"/>
    <cellStyle name="60% - Énfasis1 29 3 2 2" xfId="52310" xr:uid="{4ACC96E3-D8D5-4DB2-97AA-FA59C577D1BA}"/>
    <cellStyle name="60% - Énfasis1 29 3 3" xfId="52309" xr:uid="{63767D9F-D48F-4938-AC22-B7A857BAF174}"/>
    <cellStyle name="60% - Énfasis1 29 4" xfId="18517" xr:uid="{CEC6E231-026D-4D0C-A17B-CAAB3CB536D2}"/>
    <cellStyle name="60% - Énfasis1 29 4 2" xfId="52311" xr:uid="{430230FB-CD9E-4695-8DC7-E8A57E8BAFAB}"/>
    <cellStyle name="60% - Énfasis1 29 5" xfId="52304" xr:uid="{991FA928-B247-43F3-9489-20896D163B99}"/>
    <cellStyle name="60% - Énfasis1 3" xfId="264" xr:uid="{88684D3A-5482-4586-A452-C1742621E23A}"/>
    <cellStyle name="60% - Énfasis1 3 2" xfId="467" xr:uid="{DCA02207-97B8-4767-AFCC-040B22A57433}"/>
    <cellStyle name="60% - Énfasis1 3 2 2" xfId="1128" xr:uid="{1FE1A398-D0F8-4AD9-826C-34E86F03F0A4}"/>
    <cellStyle name="60% - Énfasis1 3 2 2 2" xfId="2596" xr:uid="{6C2F6474-919B-480D-B447-CBA192D85542}"/>
    <cellStyle name="60% - Énfasis1 3 2 2 2 2" xfId="6328" xr:uid="{FF966D3D-7AF0-49C1-98A5-C62BAA1E01D1}"/>
    <cellStyle name="60% - Énfasis1 3 2 2 2 2 2" xfId="14036" xr:uid="{81DC3182-7FBB-4EED-A26B-EA883591CF95}"/>
    <cellStyle name="60% - Énfasis1 3 2 2 2 2 2 2" xfId="29448" xr:uid="{773060F1-3BCA-4AFE-8519-FC9D4CF99C0D}"/>
    <cellStyle name="60% - Énfasis1 3 2 2 2 2 2 2 2" xfId="52318" xr:uid="{41CEF55C-30A6-4300-A07E-CC2BBC17CFC8}"/>
    <cellStyle name="60% - Énfasis1 3 2 2 2 2 2 3" xfId="52317" xr:uid="{B86CA6C7-EAE3-45B4-BD29-17EF66A2FF55}"/>
    <cellStyle name="60% - Énfasis1 3 2 2 2 2 3" xfId="21743" xr:uid="{F9AD65B3-0A2B-489A-942A-72387BC9CD25}"/>
    <cellStyle name="60% - Énfasis1 3 2 2 2 2 3 2" xfId="52319" xr:uid="{D0CA4E05-EBDC-4E7F-AFD6-C7CB72573A63}"/>
    <cellStyle name="60% - Énfasis1 3 2 2 2 2 4" xfId="52316" xr:uid="{D2209D5D-4949-4350-B70E-3828D2189B85}"/>
    <cellStyle name="60% - Énfasis1 3 2 2 2 3" xfId="10307" xr:uid="{36F8F82B-BFED-4878-9389-1085D0F782C5}"/>
    <cellStyle name="60% - Énfasis1 3 2 2 2 3 2" xfId="25720" xr:uid="{0A61C8C2-079E-4E82-913B-37E2BB23E9CE}"/>
    <cellStyle name="60% - Énfasis1 3 2 2 2 3 2 2" xfId="52321" xr:uid="{BEABA756-0236-4F46-8A30-95DA6AB67F15}"/>
    <cellStyle name="60% - Énfasis1 3 2 2 2 3 3" xfId="52320" xr:uid="{214C206B-FF5C-4838-BF2F-B2B1AAA2BE82}"/>
    <cellStyle name="60% - Énfasis1 3 2 2 2 4" xfId="18015" xr:uid="{AB98B9A4-39D0-402F-AB68-F54439983664}"/>
    <cellStyle name="60% - Énfasis1 3 2 2 2 4 2" xfId="52322" xr:uid="{E96724F2-FB66-4A76-AA1F-2AA672506C04}"/>
    <cellStyle name="60% - Énfasis1 3 2 2 2 5" xfId="52315" xr:uid="{5F51C19C-B2FF-4FD7-819E-D0AE4BA327C7}"/>
    <cellStyle name="60% - Énfasis1 3 2 2 3" xfId="4865" xr:uid="{D40B6E08-76DE-4AF1-817F-F18D8E49E5DB}"/>
    <cellStyle name="60% - Énfasis1 3 2 2 3 2" xfId="12573" xr:uid="{0E7C408A-6B78-431B-A7D0-D5DAB6EBDCE4}"/>
    <cellStyle name="60% - Énfasis1 3 2 2 3 2 2" xfId="27985" xr:uid="{4F2223A7-893D-46E7-820B-302718BC550C}"/>
    <cellStyle name="60% - Énfasis1 3 2 2 3 2 2 2" xfId="52325" xr:uid="{C6CDECAA-F793-4F2E-B2E2-8AC3B424DEE2}"/>
    <cellStyle name="60% - Énfasis1 3 2 2 3 2 3" xfId="52324" xr:uid="{F45D3632-544C-42E5-AB72-2C32C982B78C}"/>
    <cellStyle name="60% - Énfasis1 3 2 2 3 3" xfId="20280" xr:uid="{048ED2EC-018C-4185-B350-4394B16BB6D4}"/>
    <cellStyle name="60% - Énfasis1 3 2 2 3 3 2" xfId="52326" xr:uid="{1CEFCAC3-9495-4B5A-8D34-92D5C882841B}"/>
    <cellStyle name="60% - Énfasis1 3 2 2 3 4" xfId="52323" xr:uid="{66A1106A-2782-492B-AE4B-285AA57F337C}"/>
    <cellStyle name="60% - Énfasis1 3 2 2 4" xfId="8848" xr:uid="{D72F6FE1-B313-44F1-B788-535442B6D1E2}"/>
    <cellStyle name="60% - Énfasis1 3 2 2 4 2" xfId="24261" xr:uid="{A43769CE-4591-4EC4-ADAA-44DCE58C18DA}"/>
    <cellStyle name="60% - Énfasis1 3 2 2 4 2 2" xfId="52328" xr:uid="{E5A6F793-1245-4ACB-9185-5663FF5588D5}"/>
    <cellStyle name="60% - Énfasis1 3 2 2 4 3" xfId="52327" xr:uid="{14168EE4-B30E-4D05-AD33-0C07E70AB890}"/>
    <cellStyle name="60% - Énfasis1 3 2 2 5" xfId="16556" xr:uid="{A8F06A42-11CD-4983-9162-4AAE1126BAEF}"/>
    <cellStyle name="60% - Énfasis1 3 2 2 5 2" xfId="52329" xr:uid="{8DE76F67-EC65-4483-B126-494629E912A1}"/>
    <cellStyle name="60% - Énfasis1 3 2 2 6" xfId="52314" xr:uid="{CBFCEF7F-FE53-4627-A758-33AAF2835129}"/>
    <cellStyle name="60% - Énfasis1 3 2 3" xfId="1958" xr:uid="{0A39BF95-D9EE-437C-A502-036C8734C004}"/>
    <cellStyle name="60% - Énfasis1 3 2 3 2" xfId="5690" xr:uid="{38FC7B6B-BAC6-48B9-AF9D-0CF82E1D13BA}"/>
    <cellStyle name="60% - Énfasis1 3 2 3 2 2" xfId="13398" xr:uid="{EE85CABF-3C51-41CD-B3D2-0F67FAE63723}"/>
    <cellStyle name="60% - Énfasis1 3 2 3 2 2 2" xfId="28810" xr:uid="{708C8239-AED7-42B1-8682-00B1B7255CDD}"/>
    <cellStyle name="60% - Énfasis1 3 2 3 2 2 2 2" xfId="52333" xr:uid="{EE208824-86B0-40D3-B69E-F0C56FA3F2B5}"/>
    <cellStyle name="60% - Énfasis1 3 2 3 2 2 3" xfId="52332" xr:uid="{9B6D8FE5-ED84-4383-8059-0E732249807B}"/>
    <cellStyle name="60% - Énfasis1 3 2 3 2 3" xfId="21105" xr:uid="{CE93D088-E2BF-436E-8968-D2F07AB8E177}"/>
    <cellStyle name="60% - Énfasis1 3 2 3 2 3 2" xfId="52334" xr:uid="{2DE6834B-D2F6-49F5-9415-1CD2B2294798}"/>
    <cellStyle name="60% - Énfasis1 3 2 3 2 4" xfId="52331" xr:uid="{C19C2874-AA7C-4D27-863A-732D1795C079}"/>
    <cellStyle name="60% - Énfasis1 3 2 3 3" xfId="9669" xr:uid="{F929DF42-3583-416A-B4FB-C6F4D180681A}"/>
    <cellStyle name="60% - Énfasis1 3 2 3 3 2" xfId="25082" xr:uid="{49E8B2A3-3185-467D-99D1-77837A969A0A}"/>
    <cellStyle name="60% - Énfasis1 3 2 3 3 2 2" xfId="52336" xr:uid="{BB835D57-C1D1-45BC-AFD7-B17904EE9AB5}"/>
    <cellStyle name="60% - Énfasis1 3 2 3 3 3" xfId="52335" xr:uid="{9A58D299-EFF0-4882-BF37-7597CD4FBA81}"/>
    <cellStyle name="60% - Énfasis1 3 2 3 4" xfId="17377" xr:uid="{523D2ECC-6E8D-4470-9E84-C0B2D915DE9F}"/>
    <cellStyle name="60% - Énfasis1 3 2 3 4 2" xfId="52337" xr:uid="{147E599A-C406-4B9A-A4DC-ED21B76698A2}"/>
    <cellStyle name="60% - Énfasis1 3 2 3 5" xfId="52330" xr:uid="{C5F9ADAB-9A18-4DFE-80DE-F610A09839CC}"/>
    <cellStyle name="60% - Énfasis1 3 2 4" xfId="4213" xr:uid="{AF7BF186-D077-4EAE-80DA-43F4972EAE95}"/>
    <cellStyle name="60% - Énfasis1 3 2 4 2" xfId="11921" xr:uid="{F4DFEBC2-7EBE-4678-97C4-B4D0F362FBBD}"/>
    <cellStyle name="60% - Énfasis1 3 2 4 2 2" xfId="27333" xr:uid="{0822D414-9130-48D3-B07C-9850ED491B37}"/>
    <cellStyle name="60% - Énfasis1 3 2 4 2 2 2" xfId="52340" xr:uid="{4158E6CA-3FD0-4920-B649-24D80966B443}"/>
    <cellStyle name="60% - Énfasis1 3 2 4 2 3" xfId="52339" xr:uid="{B1087A6B-8AEC-48FE-BF8B-BA2E37B38B53}"/>
    <cellStyle name="60% - Énfasis1 3 2 4 3" xfId="19628" xr:uid="{557CCF3B-037A-4626-A5A6-09F3AE1182EB}"/>
    <cellStyle name="60% - Énfasis1 3 2 4 3 2" xfId="52341" xr:uid="{D9BA0C54-A0C7-4313-B02D-E5A3ED0B9555}"/>
    <cellStyle name="60% - Énfasis1 3 2 4 4" xfId="52338" xr:uid="{BE98898D-E3C1-4636-9DE4-0C1572631FAF}"/>
    <cellStyle name="60% - Énfasis1 3 2 5" xfId="8210" xr:uid="{14A5DC5A-31AC-4716-A7AF-35C416BAC319}"/>
    <cellStyle name="60% - Énfasis1 3 2 5 2" xfId="23623" xr:uid="{5CF65F3B-81C0-494E-8C52-E7BBD8810FEC}"/>
    <cellStyle name="60% - Énfasis1 3 2 5 2 2" xfId="52343" xr:uid="{B05A97DD-093F-4607-B59B-9AA2FBD4549A}"/>
    <cellStyle name="60% - Énfasis1 3 2 5 3" xfId="52342" xr:uid="{CD88F544-301C-432E-8A3A-7D891B12ACF6}"/>
    <cellStyle name="60% - Énfasis1 3 2 6" xfId="15918" xr:uid="{5629FD63-3A08-4D71-A8BD-29141C2EBA73}"/>
    <cellStyle name="60% - Énfasis1 3 2 6 2" xfId="52344" xr:uid="{50ED698E-618C-4328-9FA8-4A9B27B032F7}"/>
    <cellStyle name="60% - Énfasis1 3 2 7" xfId="52313" xr:uid="{8E9DDAB4-3045-4C48-A668-0B40A4498566}"/>
    <cellStyle name="60% - Énfasis1 3 3" xfId="928" xr:uid="{FA000CF5-03CF-4294-B9EA-6B39E5D61146}"/>
    <cellStyle name="60% - Énfasis1 3 3 2" xfId="2398" xr:uid="{D7EAF672-FCD6-4310-A7F4-FDEBDEFD2346}"/>
    <cellStyle name="60% - Énfasis1 3 3 2 2" xfId="6130" xr:uid="{675EC4A1-3429-456F-8E7A-21DF94F983AB}"/>
    <cellStyle name="60% - Énfasis1 3 3 2 2 2" xfId="13838" xr:uid="{0B9C8CB2-0907-4149-9AFD-0850A682039E}"/>
    <cellStyle name="60% - Énfasis1 3 3 2 2 2 2" xfId="29250" xr:uid="{45AD7212-8048-4902-B5A9-AAD27A7D80A3}"/>
    <cellStyle name="60% - Énfasis1 3 3 2 2 2 2 2" xfId="52349" xr:uid="{4A11EC39-80B9-440D-811B-7B1DCCDA0ABD}"/>
    <cellStyle name="60% - Énfasis1 3 3 2 2 2 3" xfId="52348" xr:uid="{337AD4FE-EFA8-4111-9ED3-FB017743AFB0}"/>
    <cellStyle name="60% - Énfasis1 3 3 2 2 3" xfId="21545" xr:uid="{51554C04-AA39-4EDF-B31D-F653366CFE3B}"/>
    <cellStyle name="60% - Énfasis1 3 3 2 2 3 2" xfId="52350" xr:uid="{5B76F88A-52E2-4FF2-AC6F-8AF517CF8169}"/>
    <cellStyle name="60% - Énfasis1 3 3 2 2 4" xfId="52347" xr:uid="{16B64759-E0D9-41F3-A145-4B5754F4A8EC}"/>
    <cellStyle name="60% - Énfasis1 3 3 2 3" xfId="10109" xr:uid="{7E77E47B-5ADE-4B90-A2C5-9FAB6A1AB6CE}"/>
    <cellStyle name="60% - Énfasis1 3 3 2 3 2" xfId="25522" xr:uid="{20611C4A-7153-4042-8B5E-420D569520AE}"/>
    <cellStyle name="60% - Énfasis1 3 3 2 3 2 2" xfId="52352" xr:uid="{E5E8E15B-4DF6-4CD2-BA2B-CFC2E6BB9FF2}"/>
    <cellStyle name="60% - Énfasis1 3 3 2 3 3" xfId="52351" xr:uid="{7B293C6E-F05E-45AE-B0B3-703218E27E94}"/>
    <cellStyle name="60% - Énfasis1 3 3 2 4" xfId="17817" xr:uid="{AD8000F8-841B-4ADA-9FFA-4D14A93A0A6B}"/>
    <cellStyle name="60% - Énfasis1 3 3 2 4 2" xfId="52353" xr:uid="{354E1343-1997-4A05-8CEC-16F1AE22AC85}"/>
    <cellStyle name="60% - Énfasis1 3 3 2 5" xfId="52346" xr:uid="{BCD35137-42DC-47AF-9ABD-30377B188E40}"/>
    <cellStyle name="60% - Énfasis1 3 3 3" xfId="4665" xr:uid="{686F7BE4-470D-4FE4-B6DD-D46A9721BBDB}"/>
    <cellStyle name="60% - Énfasis1 3 3 3 2" xfId="12373" xr:uid="{AA256D0A-F974-400A-A61D-0393CE74E498}"/>
    <cellStyle name="60% - Énfasis1 3 3 3 2 2" xfId="27785" xr:uid="{9EF78F40-416F-410E-94D8-50F9E6EF4C4D}"/>
    <cellStyle name="60% - Énfasis1 3 3 3 2 2 2" xfId="52356" xr:uid="{FC6B0CF6-C8E3-4152-B17B-D7990AAAC727}"/>
    <cellStyle name="60% - Énfasis1 3 3 3 2 3" xfId="52355" xr:uid="{AD4531DE-8AC8-4CF7-8A0C-53F78AC78676}"/>
    <cellStyle name="60% - Énfasis1 3 3 3 3" xfId="20080" xr:uid="{2D312459-0F09-4714-BF24-78689F114FBE}"/>
    <cellStyle name="60% - Énfasis1 3 3 3 3 2" xfId="52357" xr:uid="{33B3F01A-826E-4E74-A854-32D46077EE32}"/>
    <cellStyle name="60% - Énfasis1 3 3 3 4" xfId="52354" xr:uid="{23E713FC-1B5B-4F16-8BBB-B8B29BC837C8}"/>
    <cellStyle name="60% - Énfasis1 3 3 4" xfId="8650" xr:uid="{F9016FF2-16E9-458B-8DC2-CFAAFB4B1701}"/>
    <cellStyle name="60% - Énfasis1 3 3 4 2" xfId="24063" xr:uid="{5F317F90-9EFE-4A2A-820F-0F8A02CEB5C3}"/>
    <cellStyle name="60% - Énfasis1 3 3 4 2 2" xfId="52359" xr:uid="{62AC610D-B8C0-441B-B1DD-C8549ECF761C}"/>
    <cellStyle name="60% - Énfasis1 3 3 4 3" xfId="52358" xr:uid="{1E7C185D-4A2D-4F69-8FEC-2CB7BD9BF173}"/>
    <cellStyle name="60% - Énfasis1 3 3 5" xfId="16358" xr:uid="{F3C9B9DC-1F81-482C-B2AD-558F1C1462AA}"/>
    <cellStyle name="60% - Énfasis1 3 3 5 2" xfId="52360" xr:uid="{819DF7EF-4917-40EB-999C-D70FC4CD0D7C}"/>
    <cellStyle name="60% - Énfasis1 3 3 6" xfId="52345" xr:uid="{EF8C70C3-5D4B-4E58-B3DE-6AAE773C2487}"/>
    <cellStyle name="60% - Énfasis1 3 4" xfId="1760" xr:uid="{943F5BC2-074D-4790-B534-4C9007A304E2}"/>
    <cellStyle name="60% - Énfasis1 3 4 2" xfId="5492" xr:uid="{C2AC3BB5-8CB7-4017-9D96-0F19397DA280}"/>
    <cellStyle name="60% - Énfasis1 3 4 2 2" xfId="13200" xr:uid="{E9C57742-4DA9-487C-A831-CABCD785CAB2}"/>
    <cellStyle name="60% - Énfasis1 3 4 2 2 2" xfId="28612" xr:uid="{217B8D69-33AB-4C39-8681-C9622AD10AAC}"/>
    <cellStyle name="60% - Énfasis1 3 4 2 2 2 2" xfId="52364" xr:uid="{5A48B319-D1CF-454D-AC1B-BCEBACFECABA}"/>
    <cellStyle name="60% - Énfasis1 3 4 2 2 3" xfId="52363" xr:uid="{18D6F448-B33F-4FDB-A520-62D305F0A845}"/>
    <cellStyle name="60% - Énfasis1 3 4 2 3" xfId="20907" xr:uid="{9FB778E4-BA14-493C-88E5-8853974842CE}"/>
    <cellStyle name="60% - Énfasis1 3 4 2 3 2" xfId="52365" xr:uid="{895F82D2-3A08-4DFB-B27C-C700A9A1696D}"/>
    <cellStyle name="60% - Énfasis1 3 4 2 4" xfId="52362" xr:uid="{130A11B6-DB67-495A-83E0-71A6814CD07B}"/>
    <cellStyle name="60% - Énfasis1 3 4 3" xfId="9471" xr:uid="{3BD61A41-34A0-4E62-B424-6A6FA8DF0A68}"/>
    <cellStyle name="60% - Énfasis1 3 4 3 2" xfId="24884" xr:uid="{1A540ACF-3B91-42EC-ADBD-F3247AD0521B}"/>
    <cellStyle name="60% - Énfasis1 3 4 3 2 2" xfId="52367" xr:uid="{2D2F3702-3A40-4431-8397-19CD095C1988}"/>
    <cellStyle name="60% - Énfasis1 3 4 3 3" xfId="52366" xr:uid="{E72D8980-9C28-44BE-AEBC-5E109F428D3C}"/>
    <cellStyle name="60% - Énfasis1 3 4 4" xfId="17179" xr:uid="{12B046DA-8A6E-4E83-9FD1-DDEA2C4A6117}"/>
    <cellStyle name="60% - Énfasis1 3 4 4 2" xfId="52368" xr:uid="{531A48A4-BF0E-44AA-8D19-E23FF98FCF3F}"/>
    <cellStyle name="60% - Énfasis1 3 4 5" xfId="52361" xr:uid="{C3B0C1D3-02DA-4057-9CF1-D82CCDA51F23}"/>
    <cellStyle name="60% - Énfasis1 3 5" xfId="4013" xr:uid="{4D969E02-B696-4427-A4BA-8A4B20F6AF3F}"/>
    <cellStyle name="60% - Énfasis1 3 5 2" xfId="11721" xr:uid="{2D540AEE-EAE4-4925-802E-CC4A3E9727BA}"/>
    <cellStyle name="60% - Énfasis1 3 5 2 2" xfId="27133" xr:uid="{B5748E1B-6D9F-4B36-823D-426421D2C5AB}"/>
    <cellStyle name="60% - Énfasis1 3 5 2 2 2" xfId="52371" xr:uid="{A4E7089D-66B4-4745-AEEB-33CE54EDC4D8}"/>
    <cellStyle name="60% - Énfasis1 3 5 2 3" xfId="52370" xr:uid="{CD77F79D-411B-4B66-B37E-49A2FF7D60B1}"/>
    <cellStyle name="60% - Énfasis1 3 5 3" xfId="19428" xr:uid="{D8ECD334-6CC6-4751-A114-DAC090B69149}"/>
    <cellStyle name="60% - Énfasis1 3 5 3 2" xfId="52372" xr:uid="{92BA88AB-CAF0-4B2C-8750-EE49AC6349F6}"/>
    <cellStyle name="60% - Énfasis1 3 5 4" xfId="52369" xr:uid="{E17257E7-DCF1-4E12-BE77-B39DDB32F45B}"/>
    <cellStyle name="60% - Énfasis1 3 6" xfId="8012" xr:uid="{4A92485F-8D97-4BB2-A731-F9B78047902E}"/>
    <cellStyle name="60% - Énfasis1 3 6 2" xfId="23425" xr:uid="{9ACEB4C8-5527-42B9-A903-6B3CE4E97E83}"/>
    <cellStyle name="60% - Énfasis1 3 6 2 2" xfId="52374" xr:uid="{862430C3-4442-492F-B3D2-BBB82A15018A}"/>
    <cellStyle name="60% - Énfasis1 3 6 3" xfId="52373" xr:uid="{57A3B8DB-7FA7-427E-97FD-C88CD9C15612}"/>
    <cellStyle name="60% - Énfasis1 3 7" xfId="15720" xr:uid="{D53A6A3B-92F2-4D87-BBC9-9B5338211D2D}"/>
    <cellStyle name="60% - Énfasis1 3 7 2" xfId="52375" xr:uid="{E968F3DA-810A-4AB0-A392-47D6D3C4912C}"/>
    <cellStyle name="60% - Énfasis1 3 8" xfId="52312" xr:uid="{18D960ED-0529-4800-8C4D-B994AC843AD6}"/>
    <cellStyle name="60% - Énfasis1 30" xfId="3118" xr:uid="{9E4F94D8-D7D2-463D-AB5C-B59A29EE3B46}"/>
    <cellStyle name="60% - Énfasis1 30 2" xfId="6850" xr:uid="{4C63689F-30A0-4335-A264-E1A7BD3371F4}"/>
    <cellStyle name="60% - Énfasis1 30 2 2" xfId="14558" xr:uid="{0D410A72-49F3-464C-979B-772AE4C44ACE}"/>
    <cellStyle name="60% - Énfasis1 30 2 2 2" xfId="29970" xr:uid="{F79CB1F0-261A-48E0-8C14-E7B627F55C8B}"/>
    <cellStyle name="60% - Énfasis1 30 2 2 2 2" xfId="52379" xr:uid="{DEEF2282-61D1-4BF0-BEC6-FDD2FD82B631}"/>
    <cellStyle name="60% - Énfasis1 30 2 2 3" xfId="52378" xr:uid="{BD1B7B74-EA38-4AC3-AB5A-F425634CB076}"/>
    <cellStyle name="60% - Énfasis1 30 2 3" xfId="22265" xr:uid="{69292B91-442E-426D-8F70-01ABAFFD2FDE}"/>
    <cellStyle name="60% - Énfasis1 30 2 3 2" xfId="52380" xr:uid="{4857CFA9-A965-4B1E-A1D7-9F48A86A0740}"/>
    <cellStyle name="60% - Énfasis1 30 2 4" xfId="52377" xr:uid="{36DA033A-450B-4D5D-B9FC-17CA3C2FA48E}"/>
    <cellStyle name="60% - Énfasis1 30 3" xfId="10829" xr:uid="{571A916A-6058-4B26-915F-868DBFF7E16B}"/>
    <cellStyle name="60% - Énfasis1 30 3 2" xfId="26242" xr:uid="{602E20E5-1809-4568-926C-21D95B212687}"/>
    <cellStyle name="60% - Énfasis1 30 3 2 2" xfId="52382" xr:uid="{49A88275-201E-4EAA-A902-6FF046F0FBFE}"/>
    <cellStyle name="60% - Énfasis1 30 3 3" xfId="52381" xr:uid="{20F0FA9E-AD1C-46C7-9992-D9138C501BF8}"/>
    <cellStyle name="60% - Énfasis1 30 4" xfId="18537" xr:uid="{D5644900-40D9-4B8F-A896-97E4A36C965A}"/>
    <cellStyle name="60% - Énfasis1 30 4 2" xfId="52383" xr:uid="{4AAA8BB8-ABAA-4F7D-9F58-BACE92A22C28}"/>
    <cellStyle name="60% - Énfasis1 30 5" xfId="52376" xr:uid="{DB8EDF8C-D68B-4659-9B1E-E75EFD9C1ED0}"/>
    <cellStyle name="60% - Énfasis1 31" xfId="3138" xr:uid="{053D85E1-25A6-4EB9-835F-264CFFC5E587}"/>
    <cellStyle name="60% - Énfasis1 31 2" xfId="6870" xr:uid="{4E1B60AA-CD2A-42A9-AC5B-6FC4A78B0033}"/>
    <cellStyle name="60% - Énfasis1 31 2 2" xfId="14578" xr:uid="{8A078170-5077-4E9B-A14E-05A37EDC179E}"/>
    <cellStyle name="60% - Énfasis1 31 2 2 2" xfId="29990" xr:uid="{AF3BAD10-E1BE-4D4A-84ED-0BBBE6E611C9}"/>
    <cellStyle name="60% - Énfasis1 31 2 2 2 2" xfId="52387" xr:uid="{6F5B967F-A4CD-4B2C-8D1A-C576546FB95D}"/>
    <cellStyle name="60% - Énfasis1 31 2 2 3" xfId="52386" xr:uid="{D3E4AF83-CFF0-428A-9BC7-DCECA7978ECB}"/>
    <cellStyle name="60% - Énfasis1 31 2 3" xfId="22285" xr:uid="{30761201-3091-4E2A-9B46-888CEFD5BC40}"/>
    <cellStyle name="60% - Énfasis1 31 2 3 2" xfId="52388" xr:uid="{C71855D8-C6DE-489C-8911-C60DB68FA48B}"/>
    <cellStyle name="60% - Énfasis1 31 2 4" xfId="52385" xr:uid="{A7D0E957-AC58-4F34-BB08-3792C91F9CB4}"/>
    <cellStyle name="60% - Énfasis1 31 3" xfId="10849" xr:uid="{B5A781BE-F0E6-4BE9-A668-17F01184F08E}"/>
    <cellStyle name="60% - Énfasis1 31 3 2" xfId="26262" xr:uid="{C8EAF68A-D601-47AA-A0F7-C68FF41DC65E}"/>
    <cellStyle name="60% - Énfasis1 31 3 2 2" xfId="52390" xr:uid="{B3EE3266-C2A0-4393-8A61-6EF21DDEE35E}"/>
    <cellStyle name="60% - Énfasis1 31 3 3" xfId="52389" xr:uid="{059E6CBC-2944-4721-ABD3-9DB3926C6760}"/>
    <cellStyle name="60% - Énfasis1 31 4" xfId="18557" xr:uid="{AD380CAF-6837-4225-9E4B-87D1417F1CC5}"/>
    <cellStyle name="60% - Énfasis1 31 4 2" xfId="52391" xr:uid="{F09D6A20-AA35-42BC-AB85-22CB29D01EC2}"/>
    <cellStyle name="60% - Énfasis1 31 5" xfId="52384" xr:uid="{54FD47FF-E132-48F8-8BFB-B5B68C88F8FB}"/>
    <cellStyle name="60% - Énfasis1 32" xfId="3158" xr:uid="{956D0B7E-0D40-41AB-A56A-144E78B0EBAD}"/>
    <cellStyle name="60% - Énfasis1 32 2" xfId="6890" xr:uid="{53C5401F-2AE0-4326-BA97-018534CDF540}"/>
    <cellStyle name="60% - Énfasis1 32 2 2" xfId="14598" xr:uid="{9A94BE89-9BBD-41FE-AB46-466C6F10E3D6}"/>
    <cellStyle name="60% - Énfasis1 32 2 2 2" xfId="30010" xr:uid="{1A1D575E-8D1B-481C-9B2E-923B7F7CFE6D}"/>
    <cellStyle name="60% - Énfasis1 32 2 2 2 2" xfId="52395" xr:uid="{B7C103FE-FE89-495C-9E00-740E46638980}"/>
    <cellStyle name="60% - Énfasis1 32 2 2 3" xfId="52394" xr:uid="{DAE3C81B-E936-4790-9E6D-9EA9AC2A1179}"/>
    <cellStyle name="60% - Énfasis1 32 2 3" xfId="22305" xr:uid="{BA00C00B-6D8D-4EF9-A4E8-73DC25B1A6B9}"/>
    <cellStyle name="60% - Énfasis1 32 2 3 2" xfId="52396" xr:uid="{9F4CE61C-3F1A-497B-8865-E893F752B3A1}"/>
    <cellStyle name="60% - Énfasis1 32 2 4" xfId="52393" xr:uid="{2A9E2D00-5013-4BAF-B3EE-4B5AD9A35E00}"/>
    <cellStyle name="60% - Énfasis1 32 3" xfId="10869" xr:uid="{102409DF-8A4B-4F0B-8650-7C90342FA049}"/>
    <cellStyle name="60% - Énfasis1 32 3 2" xfId="26282" xr:uid="{26F4A44B-CEB4-412D-B6F7-D50B6DE200DF}"/>
    <cellStyle name="60% - Énfasis1 32 3 2 2" xfId="52398" xr:uid="{C3AD077C-71D1-46FB-B5A7-CAFC0CD2167B}"/>
    <cellStyle name="60% - Énfasis1 32 3 3" xfId="52397" xr:uid="{2FE94AD4-4F73-457B-BD6F-1167A206AE66}"/>
    <cellStyle name="60% - Énfasis1 32 4" xfId="18577" xr:uid="{EDC53ED1-597C-4171-A1F2-0B1FF8D8A6A1}"/>
    <cellStyle name="60% - Énfasis1 32 4 2" xfId="52399" xr:uid="{49E3E38F-8702-45C8-AC58-281800B9A049}"/>
    <cellStyle name="60% - Énfasis1 32 5" xfId="52392" xr:uid="{EFFE08C3-9B4C-4B35-B0B3-22E5CF1BF06F}"/>
    <cellStyle name="60% - Énfasis1 33" xfId="3178" xr:uid="{EC153299-01F7-4F5F-A4D3-65736C0E5B4D}"/>
    <cellStyle name="60% - Énfasis1 33 2" xfId="6910" xr:uid="{0B8B2721-9C83-474B-A939-E4BBAC74A822}"/>
    <cellStyle name="60% - Énfasis1 33 2 2" xfId="14618" xr:uid="{E73B78BB-C16C-4F08-9CAE-27B6DC99F426}"/>
    <cellStyle name="60% - Énfasis1 33 2 2 2" xfId="30030" xr:uid="{08CE81E9-EEB6-4C32-B8B4-E1F5DD38CD79}"/>
    <cellStyle name="60% - Énfasis1 33 2 2 2 2" xfId="52403" xr:uid="{28267BBA-9F0E-4CFA-B551-B7ED0FA6E0E0}"/>
    <cellStyle name="60% - Énfasis1 33 2 2 3" xfId="52402" xr:uid="{896944FA-F351-443D-BA13-0400F5DA74C9}"/>
    <cellStyle name="60% - Énfasis1 33 2 3" xfId="22325" xr:uid="{F27D7338-CE2B-4CFC-8CF5-062F45B41063}"/>
    <cellStyle name="60% - Énfasis1 33 2 3 2" xfId="52404" xr:uid="{D57736AF-6D55-4B30-8CC3-445D1C23C2F8}"/>
    <cellStyle name="60% - Énfasis1 33 2 4" xfId="52401" xr:uid="{439620E0-C259-47A9-BA3D-1B7B96492D59}"/>
    <cellStyle name="60% - Énfasis1 33 3" xfId="10889" xr:uid="{0FE5FF89-E8AC-4C02-9F37-6C595BF94765}"/>
    <cellStyle name="60% - Énfasis1 33 3 2" xfId="26302" xr:uid="{B44690D0-3969-4AA1-BF06-DCA87561464C}"/>
    <cellStyle name="60% - Énfasis1 33 3 2 2" xfId="52406" xr:uid="{33F06B93-5542-412E-A288-5FB0B60A049B}"/>
    <cellStyle name="60% - Énfasis1 33 3 3" xfId="52405" xr:uid="{B90C83AE-1C7A-44DE-A869-2098A4E9FB6B}"/>
    <cellStyle name="60% - Énfasis1 33 4" xfId="18597" xr:uid="{1FE1AF7B-618F-43DE-ADBD-7C1A603B90A3}"/>
    <cellStyle name="60% - Énfasis1 33 4 2" xfId="52407" xr:uid="{8976356F-8CA5-4F00-AB50-B269D8C95BB4}"/>
    <cellStyle name="60% - Énfasis1 33 5" xfId="52400" xr:uid="{13193177-DE6C-4F71-B285-64EB4BE28C30}"/>
    <cellStyle name="60% - Énfasis1 34" xfId="3198" xr:uid="{2EB0E9D7-EB94-4D0C-B86A-837E7D5E8A0C}"/>
    <cellStyle name="60% - Énfasis1 34 2" xfId="6930" xr:uid="{45F2A074-A34D-413C-B6D7-A7C96744312F}"/>
    <cellStyle name="60% - Énfasis1 34 2 2" xfId="14638" xr:uid="{26D342B9-0D6D-480A-B831-6D8BE8FAD8E2}"/>
    <cellStyle name="60% - Énfasis1 34 2 2 2" xfId="30050" xr:uid="{F5505B0C-7D87-406F-B1A8-30BC20CA782E}"/>
    <cellStyle name="60% - Énfasis1 34 2 2 2 2" xfId="52411" xr:uid="{37B2B662-CD0F-43E7-8A12-E06BCEF03718}"/>
    <cellStyle name="60% - Énfasis1 34 2 2 3" xfId="52410" xr:uid="{12C46C9D-0F53-4BC6-BE11-D1A10563529E}"/>
    <cellStyle name="60% - Énfasis1 34 2 3" xfId="22345" xr:uid="{D80E272E-BB09-4FF0-8EDE-073B9803639E}"/>
    <cellStyle name="60% - Énfasis1 34 2 3 2" xfId="52412" xr:uid="{BD0F0DA2-CEAC-40A3-8AA4-72917AC08345}"/>
    <cellStyle name="60% - Énfasis1 34 2 4" xfId="52409" xr:uid="{A832BB59-DBB8-40E2-BF03-031B1B5D1E89}"/>
    <cellStyle name="60% - Énfasis1 34 3" xfId="10909" xr:uid="{51795476-73D9-4147-B4A2-1FF3B2AA57FA}"/>
    <cellStyle name="60% - Énfasis1 34 3 2" xfId="26322" xr:uid="{52D76A0D-87DD-49FE-8749-F4B0E647CC5D}"/>
    <cellStyle name="60% - Énfasis1 34 3 2 2" xfId="52414" xr:uid="{D2612158-E71C-4E97-84E4-AAF5975A6F4F}"/>
    <cellStyle name="60% - Énfasis1 34 3 3" xfId="52413" xr:uid="{046E1AA3-0F08-4220-90BF-2B58D04EA5E5}"/>
    <cellStyle name="60% - Énfasis1 34 4" xfId="18617" xr:uid="{39CD48BA-8DDA-4176-83AE-141F0E4DEFB5}"/>
    <cellStyle name="60% - Énfasis1 34 4 2" xfId="52415" xr:uid="{5384463A-FDE1-409C-A642-8BCF06E1C047}"/>
    <cellStyle name="60% - Énfasis1 34 5" xfId="52408" xr:uid="{AC24592A-7902-4CC5-8176-C493F9AB6855}"/>
    <cellStyle name="60% - Énfasis1 35" xfId="3218" xr:uid="{FC199268-0CAA-47FA-B2F9-E3DF0F601F27}"/>
    <cellStyle name="60% - Énfasis1 35 2" xfId="6950" xr:uid="{2FA2CFA3-3922-4953-AA2D-31B325850A41}"/>
    <cellStyle name="60% - Énfasis1 35 2 2" xfId="14658" xr:uid="{93124225-8AAF-40B3-8E93-EC35E26222F9}"/>
    <cellStyle name="60% - Énfasis1 35 2 2 2" xfId="30070" xr:uid="{1C087707-FD2B-4062-BE25-B88BBE38488D}"/>
    <cellStyle name="60% - Énfasis1 35 2 2 2 2" xfId="52419" xr:uid="{FB1BEFB8-3E41-48F6-8D24-E68E97391B46}"/>
    <cellStyle name="60% - Énfasis1 35 2 2 3" xfId="52418" xr:uid="{3C64FE26-F8FF-4FC7-9CC2-64186B950C6B}"/>
    <cellStyle name="60% - Énfasis1 35 2 3" xfId="22365" xr:uid="{AD505A2D-3B05-456C-815F-D79CD97C4E07}"/>
    <cellStyle name="60% - Énfasis1 35 2 3 2" xfId="52420" xr:uid="{B2EEA316-BC51-4AF6-889A-DA03BAA94277}"/>
    <cellStyle name="60% - Énfasis1 35 2 4" xfId="52417" xr:uid="{D8EA6166-68CA-47A9-82E6-F06D46455B56}"/>
    <cellStyle name="60% - Énfasis1 35 3" xfId="10929" xr:uid="{7BF4299B-1B2D-4A36-9BC7-4DDCF31969B6}"/>
    <cellStyle name="60% - Énfasis1 35 3 2" xfId="26342" xr:uid="{321789AB-C7FA-42DA-A285-5555C236CA42}"/>
    <cellStyle name="60% - Énfasis1 35 3 2 2" xfId="52422" xr:uid="{E87F1051-B500-45E9-B86F-A360CC743447}"/>
    <cellStyle name="60% - Énfasis1 35 3 3" xfId="52421" xr:uid="{8590B42F-1936-46F0-BE71-87F266FB49A1}"/>
    <cellStyle name="60% - Énfasis1 35 4" xfId="18637" xr:uid="{A4DA1F01-B2C8-451B-9311-9995B494082B}"/>
    <cellStyle name="60% - Énfasis1 35 4 2" xfId="52423" xr:uid="{0F0A40B3-6D43-4025-A060-3E9E19F3C6B8}"/>
    <cellStyle name="60% - Énfasis1 35 5" xfId="52416" xr:uid="{6B9F35F1-C255-4D86-9D67-C42D4A0A52D7}"/>
    <cellStyle name="60% - Énfasis1 36" xfId="3238" xr:uid="{E4D926B8-4DEC-4A1F-A428-638713699255}"/>
    <cellStyle name="60% - Énfasis1 36 2" xfId="6970" xr:uid="{F360B629-0745-4C4A-AFF8-570135607386}"/>
    <cellStyle name="60% - Énfasis1 36 2 2" xfId="14678" xr:uid="{1EBDAC99-DEF0-479D-921F-EE9C5DD52317}"/>
    <cellStyle name="60% - Énfasis1 36 2 2 2" xfId="30090" xr:uid="{C81D03F6-7864-42E8-97F9-DA0A22043333}"/>
    <cellStyle name="60% - Énfasis1 36 2 2 2 2" xfId="52427" xr:uid="{31F95CA7-D938-4850-AF1B-EB2396150B2E}"/>
    <cellStyle name="60% - Énfasis1 36 2 2 3" xfId="52426" xr:uid="{12D230E3-63CF-4E73-8CA2-1B3077A83A81}"/>
    <cellStyle name="60% - Énfasis1 36 2 3" xfId="22385" xr:uid="{6C33C434-F119-4439-A25E-5AC742DD557D}"/>
    <cellStyle name="60% - Énfasis1 36 2 3 2" xfId="52428" xr:uid="{E80FF6B0-8243-48A8-BBBA-0BBB47AF8E63}"/>
    <cellStyle name="60% - Énfasis1 36 2 4" xfId="52425" xr:uid="{2C242F12-ED1E-413F-9918-8D33450D6900}"/>
    <cellStyle name="60% - Énfasis1 36 3" xfId="10949" xr:uid="{FE2630AF-CDE9-462D-8B7B-13F15A68502E}"/>
    <cellStyle name="60% - Énfasis1 36 3 2" xfId="26362" xr:uid="{0B18523B-47A5-4FE0-9B52-6D82D72ED110}"/>
    <cellStyle name="60% - Énfasis1 36 3 2 2" xfId="52430" xr:uid="{25CC66D0-D188-4EEB-904F-8052BAB7B31A}"/>
    <cellStyle name="60% - Énfasis1 36 3 3" xfId="52429" xr:uid="{A385AD25-30FC-4D87-A3A8-1430F8ED5867}"/>
    <cellStyle name="60% - Énfasis1 36 4" xfId="18657" xr:uid="{74C33779-8F83-4914-ACAB-40077EAFF747}"/>
    <cellStyle name="60% - Énfasis1 36 4 2" xfId="52431" xr:uid="{19771C9D-202B-441E-8EF0-058555CD43DC}"/>
    <cellStyle name="60% - Énfasis1 36 5" xfId="52424" xr:uid="{120AFA42-6F36-40F2-A8BB-8365BCE50A28}"/>
    <cellStyle name="60% - Énfasis1 37" xfId="3258" xr:uid="{742848C5-4690-46F4-96CF-AC67EC5AB2B5}"/>
    <cellStyle name="60% - Énfasis1 37 2" xfId="6990" xr:uid="{C34C2180-EF81-42E3-9F88-62A93CF1BFFA}"/>
    <cellStyle name="60% - Énfasis1 37 2 2" xfId="14698" xr:uid="{A6B39F3C-0065-401A-BA83-A197A5A46ECF}"/>
    <cellStyle name="60% - Énfasis1 37 2 2 2" xfId="30110" xr:uid="{F6257DE9-6D04-4B54-98BD-3851056A2080}"/>
    <cellStyle name="60% - Énfasis1 37 2 2 2 2" xfId="52435" xr:uid="{A4FB170D-888F-4653-BD24-C4142A49EAD8}"/>
    <cellStyle name="60% - Énfasis1 37 2 2 3" xfId="52434" xr:uid="{E1D4F3E6-E6E6-4F65-AC2E-AC539FABF428}"/>
    <cellStyle name="60% - Énfasis1 37 2 3" xfId="22405" xr:uid="{144CA5B3-B3EB-41B7-A7D2-1D6B10D63390}"/>
    <cellStyle name="60% - Énfasis1 37 2 3 2" xfId="52436" xr:uid="{0A7C03F8-6179-4A52-8E38-81EE260F5CF9}"/>
    <cellStyle name="60% - Énfasis1 37 2 4" xfId="52433" xr:uid="{6501A09A-C565-4FF7-AC49-32E80D746CB6}"/>
    <cellStyle name="60% - Énfasis1 37 3" xfId="10969" xr:uid="{E012E1CB-DB95-4AC6-8444-DB05ACD4FD1F}"/>
    <cellStyle name="60% - Énfasis1 37 3 2" xfId="26382" xr:uid="{8037FE6D-E3B2-48C3-B465-6EC72EAFA1B7}"/>
    <cellStyle name="60% - Énfasis1 37 3 2 2" xfId="52438" xr:uid="{FA7FC672-6B8C-4D9F-958E-0797E716097E}"/>
    <cellStyle name="60% - Énfasis1 37 3 3" xfId="52437" xr:uid="{69793D97-AE1D-4615-A1C4-18CD76FD84F5}"/>
    <cellStyle name="60% - Énfasis1 37 4" xfId="18677" xr:uid="{AB3B88FE-067A-47B6-9B10-9C5BDF5C75E8}"/>
    <cellStyle name="60% - Énfasis1 37 4 2" xfId="52439" xr:uid="{E169B03E-3811-4809-A936-7C4ABF9929F3}"/>
    <cellStyle name="60% - Énfasis1 37 5" xfId="52432" xr:uid="{E8532CF7-21CB-4BBD-938C-01F00AB29335}"/>
    <cellStyle name="60% - Énfasis1 38" xfId="3278" xr:uid="{C4C468F9-9224-4932-AC42-1CFBD20041F7}"/>
    <cellStyle name="60% - Énfasis1 38 2" xfId="7010" xr:uid="{06E8C0C3-01D2-46DF-B21A-AA6C4595B979}"/>
    <cellStyle name="60% - Énfasis1 38 2 2" xfId="14718" xr:uid="{0E647811-8C0A-4152-8C50-010C71976FFC}"/>
    <cellStyle name="60% - Énfasis1 38 2 2 2" xfId="30130" xr:uid="{B1F52883-B36F-4CB6-BA58-5CEC2CCA9C14}"/>
    <cellStyle name="60% - Énfasis1 38 2 2 2 2" xfId="52443" xr:uid="{CC0B606E-93BE-4FE0-97BF-4B4507F882AF}"/>
    <cellStyle name="60% - Énfasis1 38 2 2 3" xfId="52442" xr:uid="{331EF66F-3846-47BD-9D68-7D8634325E90}"/>
    <cellStyle name="60% - Énfasis1 38 2 3" xfId="22425" xr:uid="{1311A385-FD67-4631-AA23-3E8E2D7DFB4B}"/>
    <cellStyle name="60% - Énfasis1 38 2 3 2" xfId="52444" xr:uid="{B78644B7-0911-4997-AF2D-9EAD3BCE4C21}"/>
    <cellStyle name="60% - Énfasis1 38 2 4" xfId="52441" xr:uid="{DC1F359A-5921-40E6-A30C-74528C238F1D}"/>
    <cellStyle name="60% - Énfasis1 38 3" xfId="10989" xr:uid="{FE60993E-C4A2-425E-BBE3-99F47409D857}"/>
    <cellStyle name="60% - Énfasis1 38 3 2" xfId="26402" xr:uid="{23584C70-0FAE-4F30-A3B8-FBAFBB40B493}"/>
    <cellStyle name="60% - Énfasis1 38 3 2 2" xfId="52446" xr:uid="{D6B1558C-5335-4F0D-9A47-2762A69E2155}"/>
    <cellStyle name="60% - Énfasis1 38 3 3" xfId="52445" xr:uid="{ADC53B34-38AE-41CB-AE96-D4836DB662EE}"/>
    <cellStyle name="60% - Énfasis1 38 4" xfId="18697" xr:uid="{5F00C535-48EF-475B-8E5C-6F6AA212708D}"/>
    <cellStyle name="60% - Énfasis1 38 4 2" xfId="52447" xr:uid="{9CEF58AF-33A1-4E4B-A301-3A40A0F0E240}"/>
    <cellStyle name="60% - Énfasis1 38 5" xfId="52440" xr:uid="{E15CFEBC-0DFD-4228-9F00-ECAE44BDA952}"/>
    <cellStyle name="60% - Énfasis1 4" xfId="283" xr:uid="{32085B07-F9E4-45EB-ADD5-0FBD02BA04F8}"/>
    <cellStyle name="60% - Énfasis1 4 2" xfId="486" xr:uid="{32F3DFD6-39F4-47BF-8132-FBFB2A3AC905}"/>
    <cellStyle name="60% - Énfasis1 4 2 2" xfId="1147" xr:uid="{930D5613-765B-492A-8BBC-E29672DBF17A}"/>
    <cellStyle name="60% - Énfasis1 4 2 2 2" xfId="2615" xr:uid="{21542515-48B5-4A39-B479-534DCE51C28B}"/>
    <cellStyle name="60% - Énfasis1 4 2 2 2 2" xfId="6347" xr:uid="{31291FAF-3B03-4616-9ED9-5A750D797A67}"/>
    <cellStyle name="60% - Énfasis1 4 2 2 2 2 2" xfId="14055" xr:uid="{6B169578-89FD-4B98-8474-C65998389106}"/>
    <cellStyle name="60% - Énfasis1 4 2 2 2 2 2 2" xfId="29467" xr:uid="{8B162AAA-CEE3-46DC-A203-B90ACA60CD34}"/>
    <cellStyle name="60% - Énfasis1 4 2 2 2 2 2 2 2" xfId="52454" xr:uid="{7D9C2860-EA22-4427-AB29-57A50E4B7194}"/>
    <cellStyle name="60% - Énfasis1 4 2 2 2 2 2 3" xfId="52453" xr:uid="{6BB9732F-9917-4D9F-AF12-CC21B7A189AB}"/>
    <cellStyle name="60% - Énfasis1 4 2 2 2 2 3" xfId="21762" xr:uid="{A57599F4-4C8E-41C1-BEBF-7BAC2493B272}"/>
    <cellStyle name="60% - Énfasis1 4 2 2 2 2 3 2" xfId="52455" xr:uid="{6CA80F4A-F5F2-4AF7-9C68-9A12FAF7E324}"/>
    <cellStyle name="60% - Énfasis1 4 2 2 2 2 4" xfId="52452" xr:uid="{BBF01763-F92C-4182-91E7-35BA86B386AA}"/>
    <cellStyle name="60% - Énfasis1 4 2 2 2 3" xfId="10326" xr:uid="{3802F87D-A580-4844-89D0-074D971024C3}"/>
    <cellStyle name="60% - Énfasis1 4 2 2 2 3 2" xfId="25739" xr:uid="{8837FC18-7E73-43F0-9C64-6AEEF8060928}"/>
    <cellStyle name="60% - Énfasis1 4 2 2 2 3 2 2" xfId="52457" xr:uid="{759EBD72-4526-4917-9B7E-CF29680DA0CF}"/>
    <cellStyle name="60% - Énfasis1 4 2 2 2 3 3" xfId="52456" xr:uid="{07CEA586-6B10-4E63-AD5D-A6E5CB619F0B}"/>
    <cellStyle name="60% - Énfasis1 4 2 2 2 4" xfId="18034" xr:uid="{ED7A652F-6F9B-4034-BB54-CA33E60A1A74}"/>
    <cellStyle name="60% - Énfasis1 4 2 2 2 4 2" xfId="52458" xr:uid="{6A87E744-02FD-4F83-881A-961162264F22}"/>
    <cellStyle name="60% - Énfasis1 4 2 2 2 5" xfId="52451" xr:uid="{34E240AC-2000-4A1A-B60F-5E7CC12D2B08}"/>
    <cellStyle name="60% - Énfasis1 4 2 2 3" xfId="4884" xr:uid="{1C671E69-228D-4458-90C2-ED5D5B0CC4CE}"/>
    <cellStyle name="60% - Énfasis1 4 2 2 3 2" xfId="12592" xr:uid="{4AD130C0-3DDD-4583-80BA-44EBF863BF8E}"/>
    <cellStyle name="60% - Énfasis1 4 2 2 3 2 2" xfId="28004" xr:uid="{B644D8B2-1BFB-4A98-9613-7668669567EC}"/>
    <cellStyle name="60% - Énfasis1 4 2 2 3 2 2 2" xfId="52461" xr:uid="{5037F0B1-8035-4117-ABDE-E6ED249FABEE}"/>
    <cellStyle name="60% - Énfasis1 4 2 2 3 2 3" xfId="52460" xr:uid="{53B322DA-478E-4222-A67E-6038B9422EAA}"/>
    <cellStyle name="60% - Énfasis1 4 2 2 3 3" xfId="20299" xr:uid="{69E0877E-D1BC-4B39-86DD-9689ACD95FD9}"/>
    <cellStyle name="60% - Énfasis1 4 2 2 3 3 2" xfId="52462" xr:uid="{4CB222B9-366A-4798-925B-F8B4CB0DB620}"/>
    <cellStyle name="60% - Énfasis1 4 2 2 3 4" xfId="52459" xr:uid="{0D3E55FE-5A68-4E89-B08E-DB67278DEC5B}"/>
    <cellStyle name="60% - Énfasis1 4 2 2 4" xfId="8867" xr:uid="{2C67F9DC-468F-405A-9359-395A24988D4D}"/>
    <cellStyle name="60% - Énfasis1 4 2 2 4 2" xfId="24280" xr:uid="{8B011209-8926-43FB-A1D4-669324805988}"/>
    <cellStyle name="60% - Énfasis1 4 2 2 4 2 2" xfId="52464" xr:uid="{1B624CEE-1B79-4338-8553-576932E49A79}"/>
    <cellStyle name="60% - Énfasis1 4 2 2 4 3" xfId="52463" xr:uid="{8FC413E7-2A0F-40E4-8077-CC88AC8A2C52}"/>
    <cellStyle name="60% - Énfasis1 4 2 2 5" xfId="16575" xr:uid="{85E7970C-3AFF-4C5D-9DEF-71768555DBC3}"/>
    <cellStyle name="60% - Énfasis1 4 2 2 5 2" xfId="52465" xr:uid="{234C8AA4-9127-48B9-9A22-FE0E8F81BAA3}"/>
    <cellStyle name="60% - Énfasis1 4 2 2 6" xfId="52450" xr:uid="{5D175689-93E3-480B-8114-091AB4525474}"/>
    <cellStyle name="60% - Énfasis1 4 2 3" xfId="1977" xr:uid="{AD59B78C-18ED-48EB-8780-DE2591A8588A}"/>
    <cellStyle name="60% - Énfasis1 4 2 3 2" xfId="5709" xr:uid="{EB48D525-8C23-41AC-95E3-BD25B4393AFC}"/>
    <cellStyle name="60% - Énfasis1 4 2 3 2 2" xfId="13417" xr:uid="{DB9B3CB1-48FC-47BD-BC6B-6F52303743E1}"/>
    <cellStyle name="60% - Énfasis1 4 2 3 2 2 2" xfId="28829" xr:uid="{1859D412-9AA5-4144-BBFC-B0626131E52F}"/>
    <cellStyle name="60% - Énfasis1 4 2 3 2 2 2 2" xfId="52469" xr:uid="{860B03D5-7939-43BF-90E7-0DC689218281}"/>
    <cellStyle name="60% - Énfasis1 4 2 3 2 2 3" xfId="52468" xr:uid="{D9295270-815E-4C65-801A-D4079F95B73E}"/>
    <cellStyle name="60% - Énfasis1 4 2 3 2 3" xfId="21124" xr:uid="{6FC7C91D-A911-46D0-A8C1-BB7989A948A4}"/>
    <cellStyle name="60% - Énfasis1 4 2 3 2 3 2" xfId="52470" xr:uid="{004397BF-A4CE-4E61-83F2-EF19AFE6AAC4}"/>
    <cellStyle name="60% - Énfasis1 4 2 3 2 4" xfId="52467" xr:uid="{B920F2D1-2FDD-4B5A-B6F0-473850B1C6B2}"/>
    <cellStyle name="60% - Énfasis1 4 2 3 3" xfId="9688" xr:uid="{3A4272EC-D69A-4FAB-B434-D0951DCEF5F2}"/>
    <cellStyle name="60% - Énfasis1 4 2 3 3 2" xfId="25101" xr:uid="{1929FA9A-6C0E-4A21-BBF0-DB327B15D52A}"/>
    <cellStyle name="60% - Énfasis1 4 2 3 3 2 2" xfId="52472" xr:uid="{1F858835-817D-497D-8265-F333233F4AA6}"/>
    <cellStyle name="60% - Énfasis1 4 2 3 3 3" xfId="52471" xr:uid="{6F2E2E8B-2B83-4FD9-9DA3-DFCFA4DD7408}"/>
    <cellStyle name="60% - Énfasis1 4 2 3 4" xfId="17396" xr:uid="{3F503AB7-07FB-4A4E-91FA-A7A58251E678}"/>
    <cellStyle name="60% - Énfasis1 4 2 3 4 2" xfId="52473" xr:uid="{B3C1B816-A830-4C48-B7DD-CB76486D2AEA}"/>
    <cellStyle name="60% - Énfasis1 4 2 3 5" xfId="52466" xr:uid="{3049FD95-FE9C-4A29-8E8B-7C2691475D55}"/>
    <cellStyle name="60% - Énfasis1 4 2 4" xfId="4232" xr:uid="{41B73927-A0A0-40D0-BB7F-093DB2F006BC}"/>
    <cellStyle name="60% - Énfasis1 4 2 4 2" xfId="11940" xr:uid="{AA3127B0-49E8-4F8D-ABE7-141E9F6A35DB}"/>
    <cellStyle name="60% - Énfasis1 4 2 4 2 2" xfId="27352" xr:uid="{499808AD-58FB-43D9-839D-F5C52B5AF11F}"/>
    <cellStyle name="60% - Énfasis1 4 2 4 2 2 2" xfId="52476" xr:uid="{9E3E241C-7490-4262-B097-155B674C0D35}"/>
    <cellStyle name="60% - Énfasis1 4 2 4 2 3" xfId="52475" xr:uid="{0BF0B7AC-6D96-4794-999A-5B6BED4D1BED}"/>
    <cellStyle name="60% - Énfasis1 4 2 4 3" xfId="19647" xr:uid="{58E0F5B9-212E-431D-962E-263CC8835B69}"/>
    <cellStyle name="60% - Énfasis1 4 2 4 3 2" xfId="52477" xr:uid="{D63851C2-9FB0-4F16-B7C4-BC4DC1451926}"/>
    <cellStyle name="60% - Énfasis1 4 2 4 4" xfId="52474" xr:uid="{D0301C74-3F30-4B51-98EC-20FF07AD8A44}"/>
    <cellStyle name="60% - Énfasis1 4 2 5" xfId="8229" xr:uid="{0CB5C8E8-E524-45CB-BD40-FE5CB6CBF40E}"/>
    <cellStyle name="60% - Énfasis1 4 2 5 2" xfId="23642" xr:uid="{C60449AD-0BAF-4A49-8D8E-3ABD5CF0E0AF}"/>
    <cellStyle name="60% - Énfasis1 4 2 5 2 2" xfId="52479" xr:uid="{25BFCE0E-AE63-405B-85C2-F255178691C0}"/>
    <cellStyle name="60% - Énfasis1 4 2 5 3" xfId="52478" xr:uid="{27CF1D1E-73F0-4960-9C2B-CF27A3A2FC17}"/>
    <cellStyle name="60% - Énfasis1 4 2 6" xfId="15937" xr:uid="{733C16AD-AB26-49E2-8A21-311F12366C72}"/>
    <cellStyle name="60% - Énfasis1 4 2 6 2" xfId="52480" xr:uid="{8B91602A-7867-438B-8F4D-DFFCC1B84FE5}"/>
    <cellStyle name="60% - Énfasis1 4 2 7" xfId="52449" xr:uid="{4FB96882-883E-4EF5-9F8F-224CD0FB2C65}"/>
    <cellStyle name="60% - Énfasis1 4 3" xfId="947" xr:uid="{F39043AA-453A-4D22-B97E-6AB8E33A7E3F}"/>
    <cellStyle name="60% - Énfasis1 4 3 2" xfId="2417" xr:uid="{11312ED7-B562-46DC-8775-6626C4296793}"/>
    <cellStyle name="60% - Énfasis1 4 3 2 2" xfId="6149" xr:uid="{1E22CED3-14CB-46F7-A47C-6A66D97F896D}"/>
    <cellStyle name="60% - Énfasis1 4 3 2 2 2" xfId="13857" xr:uid="{9E636BC3-A6A5-409B-903A-DEDC9E5B2AC4}"/>
    <cellStyle name="60% - Énfasis1 4 3 2 2 2 2" xfId="29269" xr:uid="{44AA3D44-9129-4316-BD78-A6FB4D5341D8}"/>
    <cellStyle name="60% - Énfasis1 4 3 2 2 2 2 2" xfId="52485" xr:uid="{99E7D0CD-AF72-421E-8F28-C46304A2C492}"/>
    <cellStyle name="60% - Énfasis1 4 3 2 2 2 3" xfId="52484" xr:uid="{0FBC9F2D-EFEB-4EE6-84E6-59624DC9B926}"/>
    <cellStyle name="60% - Énfasis1 4 3 2 2 3" xfId="21564" xr:uid="{3343396E-1BDF-4059-826D-75CDCC02B08D}"/>
    <cellStyle name="60% - Énfasis1 4 3 2 2 3 2" xfId="52486" xr:uid="{5504D205-634B-4635-9AF0-2FD4EB8AF168}"/>
    <cellStyle name="60% - Énfasis1 4 3 2 2 4" xfId="52483" xr:uid="{44E6BD1B-7735-4176-A4FE-188276A6B46E}"/>
    <cellStyle name="60% - Énfasis1 4 3 2 3" xfId="10128" xr:uid="{54882AB5-E46C-4CEF-9C77-28800E9652A1}"/>
    <cellStyle name="60% - Énfasis1 4 3 2 3 2" xfId="25541" xr:uid="{4CA48010-FE96-4B3D-AE44-C1E8867137E0}"/>
    <cellStyle name="60% - Énfasis1 4 3 2 3 2 2" xfId="52488" xr:uid="{0351F96E-0F59-41BE-AE20-5884B028CD98}"/>
    <cellStyle name="60% - Énfasis1 4 3 2 3 3" xfId="52487" xr:uid="{A4CD8300-B064-472F-8365-AFA6FE4CF8C1}"/>
    <cellStyle name="60% - Énfasis1 4 3 2 4" xfId="17836" xr:uid="{714C5D59-B4F3-4A22-9ED5-20B7399277F3}"/>
    <cellStyle name="60% - Énfasis1 4 3 2 4 2" xfId="52489" xr:uid="{002940FE-293C-487E-B4DD-6E6FF49B9971}"/>
    <cellStyle name="60% - Énfasis1 4 3 2 5" xfId="52482" xr:uid="{99B488FF-F56D-45FF-9BFC-B7982A421003}"/>
    <cellStyle name="60% - Énfasis1 4 3 3" xfId="4684" xr:uid="{FFF62A4E-395B-4622-AC04-279E220151A1}"/>
    <cellStyle name="60% - Énfasis1 4 3 3 2" xfId="12392" xr:uid="{D57160A2-D556-4E4F-B5A5-D67735ABAD8C}"/>
    <cellStyle name="60% - Énfasis1 4 3 3 2 2" xfId="27804" xr:uid="{B35BC3B3-25EA-4154-903E-1E912E029428}"/>
    <cellStyle name="60% - Énfasis1 4 3 3 2 2 2" xfId="52492" xr:uid="{60C0A20E-8803-4A55-9703-E00AC9DCBEEE}"/>
    <cellStyle name="60% - Énfasis1 4 3 3 2 3" xfId="52491" xr:uid="{010883D5-EBCB-452E-8B72-F9D37E89AAD0}"/>
    <cellStyle name="60% - Énfasis1 4 3 3 3" xfId="20099" xr:uid="{1F504B7C-22D2-4FCC-89D7-D3E4A652F781}"/>
    <cellStyle name="60% - Énfasis1 4 3 3 3 2" xfId="52493" xr:uid="{E21C5EA9-9BED-4F38-94E7-06624C3BDEC8}"/>
    <cellStyle name="60% - Énfasis1 4 3 3 4" xfId="52490" xr:uid="{D7AE4A1E-9DE8-4A90-AFDC-39F6FBDB395D}"/>
    <cellStyle name="60% - Énfasis1 4 3 4" xfId="8669" xr:uid="{BAA504FB-DFDC-4F94-A6D7-527BAD9AD82D}"/>
    <cellStyle name="60% - Énfasis1 4 3 4 2" xfId="24082" xr:uid="{E0182C09-F838-4CC2-815A-20A70D212B8A}"/>
    <cellStyle name="60% - Énfasis1 4 3 4 2 2" xfId="52495" xr:uid="{425F1D8F-CF7A-4D81-97B5-2E5BBF5310D1}"/>
    <cellStyle name="60% - Énfasis1 4 3 4 3" xfId="52494" xr:uid="{0493ED64-3308-4A0D-9655-9A6E9E9A2215}"/>
    <cellStyle name="60% - Énfasis1 4 3 5" xfId="16377" xr:uid="{72A44133-BF53-4957-B87B-983794B95F67}"/>
    <cellStyle name="60% - Énfasis1 4 3 5 2" xfId="52496" xr:uid="{839D0F72-9E6D-4CC0-95A9-E77F774B6D98}"/>
    <cellStyle name="60% - Énfasis1 4 3 6" xfId="52481" xr:uid="{33FDA352-6299-45F1-AD18-EAF879FA22A7}"/>
    <cellStyle name="60% - Énfasis1 4 4" xfId="1779" xr:uid="{43B60DE3-7DBC-4F1B-A659-8E6948DE1C11}"/>
    <cellStyle name="60% - Énfasis1 4 4 2" xfId="5511" xr:uid="{9F3F2280-F29E-4332-A295-A163EE410376}"/>
    <cellStyle name="60% - Énfasis1 4 4 2 2" xfId="13219" xr:uid="{1EDC60B6-47FC-4AF0-BC2C-97E506E2E08E}"/>
    <cellStyle name="60% - Énfasis1 4 4 2 2 2" xfId="28631" xr:uid="{BB2A6387-50AD-4A26-83C9-0625E673F95F}"/>
    <cellStyle name="60% - Énfasis1 4 4 2 2 2 2" xfId="52500" xr:uid="{B2E5C394-9CEF-439C-A192-8B2C2F4254CD}"/>
    <cellStyle name="60% - Énfasis1 4 4 2 2 3" xfId="52499" xr:uid="{FD4F1CCF-2CFA-4F7F-A8F1-BACE2CA15445}"/>
    <cellStyle name="60% - Énfasis1 4 4 2 3" xfId="20926" xr:uid="{4A6C641D-5BA6-468A-895E-69125029A76A}"/>
    <cellStyle name="60% - Énfasis1 4 4 2 3 2" xfId="52501" xr:uid="{16D9E4FB-1E40-43B9-B100-46057F9C5330}"/>
    <cellStyle name="60% - Énfasis1 4 4 2 4" xfId="52498" xr:uid="{5B114FEE-BB4F-4588-92FE-7EC4A6BE470D}"/>
    <cellStyle name="60% - Énfasis1 4 4 3" xfId="9490" xr:uid="{C8D7ACB3-7C72-40F5-9992-AEA59FA540B5}"/>
    <cellStyle name="60% - Énfasis1 4 4 3 2" xfId="24903" xr:uid="{AA6BE65E-A78D-42FB-9D79-8C26DD852677}"/>
    <cellStyle name="60% - Énfasis1 4 4 3 2 2" xfId="52503" xr:uid="{4BEAE303-A228-4C89-8661-D4E496D61CD9}"/>
    <cellStyle name="60% - Énfasis1 4 4 3 3" xfId="52502" xr:uid="{6F9ABAF2-2D36-4449-8864-1CFA93BA544D}"/>
    <cellStyle name="60% - Énfasis1 4 4 4" xfId="17198" xr:uid="{E87A49AC-B435-4653-B877-FBB4A810687E}"/>
    <cellStyle name="60% - Énfasis1 4 4 4 2" xfId="52504" xr:uid="{DE49E07B-FB42-4537-B992-C724FBEFA4B5}"/>
    <cellStyle name="60% - Énfasis1 4 4 5" xfId="52497" xr:uid="{E7A5D741-A08D-4CEF-9F96-04CE9E3A3515}"/>
    <cellStyle name="60% - Énfasis1 4 5" xfId="4032" xr:uid="{E270EA2D-868D-41ED-B1CD-7B7589E9E6A8}"/>
    <cellStyle name="60% - Énfasis1 4 5 2" xfId="11740" xr:uid="{97ED5267-125B-4A18-A010-8FC0089772A8}"/>
    <cellStyle name="60% - Énfasis1 4 5 2 2" xfId="27152" xr:uid="{9038662E-E7E6-440E-95CA-C8E2D87CF152}"/>
    <cellStyle name="60% - Énfasis1 4 5 2 2 2" xfId="52507" xr:uid="{1DDAC732-23E2-43FE-BF72-04816BF0CF36}"/>
    <cellStyle name="60% - Énfasis1 4 5 2 3" xfId="52506" xr:uid="{4E457178-2B5F-4803-A81B-847BCDFDD6A3}"/>
    <cellStyle name="60% - Énfasis1 4 5 3" xfId="19447" xr:uid="{C72A41F4-6F56-4132-9647-BAE58DBD40F1}"/>
    <cellStyle name="60% - Énfasis1 4 5 3 2" xfId="52508" xr:uid="{0335F827-5D7E-43A9-AEDD-81F43FEB9584}"/>
    <cellStyle name="60% - Énfasis1 4 5 4" xfId="52505" xr:uid="{2644DAC3-DEC8-4949-ABFE-57F38FE51BF2}"/>
    <cellStyle name="60% - Énfasis1 4 6" xfId="8031" xr:uid="{E5206B96-6801-4540-8300-2784B61E206B}"/>
    <cellStyle name="60% - Énfasis1 4 6 2" xfId="23444" xr:uid="{2EA07CE8-316F-411D-95EB-209D085318DC}"/>
    <cellStyle name="60% - Énfasis1 4 6 2 2" xfId="52510" xr:uid="{42187ED7-C9CA-49BB-8E9C-BED3D4022869}"/>
    <cellStyle name="60% - Énfasis1 4 6 3" xfId="52509" xr:uid="{26EF1CD5-FEA9-4EEA-872C-C1CB07F9D726}"/>
    <cellStyle name="60% - Énfasis1 4 7" xfId="15739" xr:uid="{93B8F925-A685-4FBB-866D-F5705C9EA235}"/>
    <cellStyle name="60% - Énfasis1 4 7 2" xfId="52511" xr:uid="{38FA43A5-7246-433B-9DF2-9B28417AD54F}"/>
    <cellStyle name="60% - Énfasis1 4 8" xfId="52448" xr:uid="{8EAB532E-0984-4F00-BF48-2E26EED2E919}"/>
    <cellStyle name="60% - Énfasis1 5" xfId="303" xr:uid="{44545ED6-788F-49A1-8D72-3B21301DCBC5}"/>
    <cellStyle name="60% - Énfasis1 5 2" xfId="506" xr:uid="{60931DCD-56D8-4E2B-AF68-2C6E28BB6813}"/>
    <cellStyle name="60% - Énfasis1 5 2 2" xfId="1167" xr:uid="{A03CA66C-36B9-411C-8D14-D01BCE0B1247}"/>
    <cellStyle name="60% - Énfasis1 5 2 2 2" xfId="2635" xr:uid="{B1C66E36-1418-4214-AB90-4148E5E04EB6}"/>
    <cellStyle name="60% - Énfasis1 5 2 2 2 2" xfId="6367" xr:uid="{52DA8A34-6C80-454F-8986-CB8D1666E6C6}"/>
    <cellStyle name="60% - Énfasis1 5 2 2 2 2 2" xfId="14075" xr:uid="{5CAC1610-D3FE-4BC5-A162-F1DF9FFAAAE2}"/>
    <cellStyle name="60% - Énfasis1 5 2 2 2 2 2 2" xfId="29487" xr:uid="{3D6C3E3D-3933-4F05-AC77-15B9C51ABF3C}"/>
    <cellStyle name="60% - Énfasis1 5 2 2 2 2 2 2 2" xfId="52518" xr:uid="{9BDD5128-19B4-491E-AE02-83B2B8904D15}"/>
    <cellStyle name="60% - Énfasis1 5 2 2 2 2 2 3" xfId="52517" xr:uid="{0F228076-2068-4E33-AEFD-28A43A133CBD}"/>
    <cellStyle name="60% - Énfasis1 5 2 2 2 2 3" xfId="21782" xr:uid="{9BEEB6BD-501A-4B46-AFDE-E4729DF81886}"/>
    <cellStyle name="60% - Énfasis1 5 2 2 2 2 3 2" xfId="52519" xr:uid="{DA8D7DF0-0A26-4BCA-85EE-D55E2E8CA5D1}"/>
    <cellStyle name="60% - Énfasis1 5 2 2 2 2 4" xfId="52516" xr:uid="{19ABEC21-3F56-42ED-A334-7486335DD778}"/>
    <cellStyle name="60% - Énfasis1 5 2 2 2 3" xfId="10346" xr:uid="{521D73A2-7EC7-43EB-B48B-8AB36AADAFC3}"/>
    <cellStyle name="60% - Énfasis1 5 2 2 2 3 2" xfId="25759" xr:uid="{17A0450C-75CF-4911-8697-3DA1B9E81EDD}"/>
    <cellStyle name="60% - Énfasis1 5 2 2 2 3 2 2" xfId="52521" xr:uid="{6F32FF8B-4F5F-44A7-99EE-033EBDF7ADD6}"/>
    <cellStyle name="60% - Énfasis1 5 2 2 2 3 3" xfId="52520" xr:uid="{63ED4171-E273-49A4-99BE-C28BB7EFB1D5}"/>
    <cellStyle name="60% - Énfasis1 5 2 2 2 4" xfId="18054" xr:uid="{FE1656DB-A745-40FE-A32A-5F8E5A3C9793}"/>
    <cellStyle name="60% - Énfasis1 5 2 2 2 4 2" xfId="52522" xr:uid="{25980E05-1DCE-47F2-98C0-839878C45481}"/>
    <cellStyle name="60% - Énfasis1 5 2 2 2 5" xfId="52515" xr:uid="{DC85FD3A-5AAD-4B23-9EA1-A507DD3BEE9C}"/>
    <cellStyle name="60% - Énfasis1 5 2 2 3" xfId="4904" xr:uid="{0ACF6826-2FBD-44FF-896A-192E8068CA68}"/>
    <cellStyle name="60% - Énfasis1 5 2 2 3 2" xfId="12612" xr:uid="{8CA2EF48-6DA4-4969-96D7-3E353531A2F5}"/>
    <cellStyle name="60% - Énfasis1 5 2 2 3 2 2" xfId="28024" xr:uid="{92DD3861-D7BE-45F7-826F-E63F106ECD1E}"/>
    <cellStyle name="60% - Énfasis1 5 2 2 3 2 2 2" xfId="52525" xr:uid="{FB52FD95-B4E5-44CB-BA75-82D58D049196}"/>
    <cellStyle name="60% - Énfasis1 5 2 2 3 2 3" xfId="52524" xr:uid="{A40805AB-2D63-4B44-94FD-ECF08F08CBFF}"/>
    <cellStyle name="60% - Énfasis1 5 2 2 3 3" xfId="20319" xr:uid="{EEA7FBF4-C1EA-43F7-B5AD-6EC4BE7B1768}"/>
    <cellStyle name="60% - Énfasis1 5 2 2 3 3 2" xfId="52526" xr:uid="{204DA7D8-6113-4924-94D5-0856EBEEAE70}"/>
    <cellStyle name="60% - Énfasis1 5 2 2 3 4" xfId="52523" xr:uid="{4A642AFB-DA4B-4A9B-84E9-63ADCDB7A782}"/>
    <cellStyle name="60% - Énfasis1 5 2 2 4" xfId="8887" xr:uid="{28B8DCAE-ED09-4B60-AF30-ABA469D3526B}"/>
    <cellStyle name="60% - Énfasis1 5 2 2 4 2" xfId="24300" xr:uid="{96985267-8B32-4D4F-A6A7-691EB00E7B57}"/>
    <cellStyle name="60% - Énfasis1 5 2 2 4 2 2" xfId="52528" xr:uid="{02B9DC16-36E7-4372-A017-96AC501EA2A9}"/>
    <cellStyle name="60% - Énfasis1 5 2 2 4 3" xfId="52527" xr:uid="{4DC1C6E2-26FA-4745-8B69-AC65D5E0E981}"/>
    <cellStyle name="60% - Énfasis1 5 2 2 5" xfId="16595" xr:uid="{44B15F45-7528-4484-B2DE-516A7D5D49FF}"/>
    <cellStyle name="60% - Énfasis1 5 2 2 5 2" xfId="52529" xr:uid="{2CA80864-F800-4624-9A5E-462007BC3A93}"/>
    <cellStyle name="60% - Énfasis1 5 2 2 6" xfId="52514" xr:uid="{07E90FFC-C8B4-410F-ADE7-D978A36B55F1}"/>
    <cellStyle name="60% - Énfasis1 5 2 3" xfId="1997" xr:uid="{288D958E-D1A7-4D9A-B88A-415CEDC54BB8}"/>
    <cellStyle name="60% - Énfasis1 5 2 3 2" xfId="5729" xr:uid="{5BB933CE-EB07-43CF-A77A-0300685EC6A3}"/>
    <cellStyle name="60% - Énfasis1 5 2 3 2 2" xfId="13437" xr:uid="{560AD2BB-5CDC-4DD4-B9D2-EF1A4A2D784F}"/>
    <cellStyle name="60% - Énfasis1 5 2 3 2 2 2" xfId="28849" xr:uid="{3711A223-E903-4E57-8AAF-AEAFEE471347}"/>
    <cellStyle name="60% - Énfasis1 5 2 3 2 2 2 2" xfId="52533" xr:uid="{5B0D6D5E-7212-4F1A-8AB5-B163A6D4D712}"/>
    <cellStyle name="60% - Énfasis1 5 2 3 2 2 3" xfId="52532" xr:uid="{5AD157CA-DE1F-46B1-9534-ADF224BEAC12}"/>
    <cellStyle name="60% - Énfasis1 5 2 3 2 3" xfId="21144" xr:uid="{E5294A41-3FD2-4CA0-9D0B-14F5AA26ACDD}"/>
    <cellStyle name="60% - Énfasis1 5 2 3 2 3 2" xfId="52534" xr:uid="{0F31D17F-51CE-4142-A43E-4C0255333F96}"/>
    <cellStyle name="60% - Énfasis1 5 2 3 2 4" xfId="52531" xr:uid="{E75BE81A-5D49-46FE-AF8E-C4B8EBC3B6F1}"/>
    <cellStyle name="60% - Énfasis1 5 2 3 3" xfId="9708" xr:uid="{7B6CBA24-FFEC-4610-9639-279DDC9AE1FD}"/>
    <cellStyle name="60% - Énfasis1 5 2 3 3 2" xfId="25121" xr:uid="{25D45966-AD58-456E-87E4-0911EAD59F38}"/>
    <cellStyle name="60% - Énfasis1 5 2 3 3 2 2" xfId="52536" xr:uid="{561258B2-14AA-45FA-AC26-C7E03D618647}"/>
    <cellStyle name="60% - Énfasis1 5 2 3 3 3" xfId="52535" xr:uid="{15DA19A9-F293-4B9C-9F5D-A82FCFB87C00}"/>
    <cellStyle name="60% - Énfasis1 5 2 3 4" xfId="17416" xr:uid="{0A63CDB4-F7C2-4B47-8BD7-E2923FC7FE4E}"/>
    <cellStyle name="60% - Énfasis1 5 2 3 4 2" xfId="52537" xr:uid="{364BFEDA-B31A-4BBC-A315-1C6AE19B0655}"/>
    <cellStyle name="60% - Énfasis1 5 2 3 5" xfId="52530" xr:uid="{B42082C6-F9D2-4F74-AB59-467F7CAD398D}"/>
    <cellStyle name="60% - Énfasis1 5 2 4" xfId="4252" xr:uid="{2AFC8EEA-FA8B-4700-89C7-4F3D6D259853}"/>
    <cellStyle name="60% - Énfasis1 5 2 4 2" xfId="11960" xr:uid="{261CFBD8-CF16-4FFF-A17B-F9CDC381AB85}"/>
    <cellStyle name="60% - Énfasis1 5 2 4 2 2" xfId="27372" xr:uid="{41BC94BE-39AB-49AE-A578-09719D8FFD11}"/>
    <cellStyle name="60% - Énfasis1 5 2 4 2 2 2" xfId="52540" xr:uid="{98AD9530-A536-4234-930E-9AF5C02D5344}"/>
    <cellStyle name="60% - Énfasis1 5 2 4 2 3" xfId="52539" xr:uid="{0C833336-92CD-4E46-BD44-75A2B6625369}"/>
    <cellStyle name="60% - Énfasis1 5 2 4 3" xfId="19667" xr:uid="{C4C9C201-3AF0-4C26-A114-F1ABC87EE925}"/>
    <cellStyle name="60% - Énfasis1 5 2 4 3 2" xfId="52541" xr:uid="{AFE6F049-17F8-4C24-BE5D-169406947A59}"/>
    <cellStyle name="60% - Énfasis1 5 2 4 4" xfId="52538" xr:uid="{7B0017C3-7175-4E98-9D9A-1D31A6D88E2B}"/>
    <cellStyle name="60% - Énfasis1 5 2 5" xfId="8249" xr:uid="{6D2458C3-B95F-4272-A0C3-143B6E1FDB08}"/>
    <cellStyle name="60% - Énfasis1 5 2 5 2" xfId="23662" xr:uid="{C0E0382D-6D7D-4FB0-8A31-45A7ECBBFF6E}"/>
    <cellStyle name="60% - Énfasis1 5 2 5 2 2" xfId="52543" xr:uid="{399C8979-6955-41D4-87E6-EB229EAB11F3}"/>
    <cellStyle name="60% - Énfasis1 5 2 5 3" xfId="52542" xr:uid="{A56CDD35-9E01-4453-8D88-F471D9A4FB1E}"/>
    <cellStyle name="60% - Énfasis1 5 2 6" xfId="15957" xr:uid="{FE0180D2-56DD-44F6-9C95-646B0417128C}"/>
    <cellStyle name="60% - Énfasis1 5 2 6 2" xfId="52544" xr:uid="{B4F15662-5B5B-4924-96E2-0E0F58A0D8AF}"/>
    <cellStyle name="60% - Énfasis1 5 2 7" xfId="52513" xr:uid="{BE1001A5-3270-4598-91A3-AF10B2F8F127}"/>
    <cellStyle name="60% - Énfasis1 5 3" xfId="967" xr:uid="{0280DC97-9D3D-4A90-B63B-E20FB751C440}"/>
    <cellStyle name="60% - Énfasis1 5 3 2" xfId="2437" xr:uid="{8791BB58-747B-4C8E-B532-7D078E05C3E8}"/>
    <cellStyle name="60% - Énfasis1 5 3 2 2" xfId="6169" xr:uid="{0A09864E-CFEE-4534-8D7A-F5D5432DAC8F}"/>
    <cellStyle name="60% - Énfasis1 5 3 2 2 2" xfId="13877" xr:uid="{3F465298-AC10-4AAC-908F-66778A0B8994}"/>
    <cellStyle name="60% - Énfasis1 5 3 2 2 2 2" xfId="29289" xr:uid="{4A6E69CE-1076-43E3-AEF8-771B5A49FE41}"/>
    <cellStyle name="60% - Énfasis1 5 3 2 2 2 2 2" xfId="52549" xr:uid="{372707E5-D2DB-4F77-BA71-770C038A7CFA}"/>
    <cellStyle name="60% - Énfasis1 5 3 2 2 2 3" xfId="52548" xr:uid="{9EA848D4-E06D-43B0-8684-6A0E3C9A0538}"/>
    <cellStyle name="60% - Énfasis1 5 3 2 2 3" xfId="21584" xr:uid="{750AF1DF-2A4A-4D21-A80B-40F9D934FE40}"/>
    <cellStyle name="60% - Énfasis1 5 3 2 2 3 2" xfId="52550" xr:uid="{1884C2FA-CBD4-4502-BB2D-C363F4A70297}"/>
    <cellStyle name="60% - Énfasis1 5 3 2 2 4" xfId="52547" xr:uid="{A0799E72-AD96-4F23-B102-AAA4CD1DAC33}"/>
    <cellStyle name="60% - Énfasis1 5 3 2 3" xfId="10148" xr:uid="{BDF9457F-B28B-498F-957A-27989610DF93}"/>
    <cellStyle name="60% - Énfasis1 5 3 2 3 2" xfId="25561" xr:uid="{0C32995C-D72A-4EA8-A2BD-89127B10CEA9}"/>
    <cellStyle name="60% - Énfasis1 5 3 2 3 2 2" xfId="52552" xr:uid="{8C97BCB5-BA3B-4B0D-97C8-AE1B7C094418}"/>
    <cellStyle name="60% - Énfasis1 5 3 2 3 3" xfId="52551" xr:uid="{9864925A-69A8-4023-AD6D-FDFC047FDB34}"/>
    <cellStyle name="60% - Énfasis1 5 3 2 4" xfId="17856" xr:uid="{187F864B-2ED3-44C6-92F8-48E8D7BEA784}"/>
    <cellStyle name="60% - Énfasis1 5 3 2 4 2" xfId="52553" xr:uid="{773DFA50-26B8-4D09-B6D0-8C97CF0C774A}"/>
    <cellStyle name="60% - Énfasis1 5 3 2 5" xfId="52546" xr:uid="{738D7ABC-31B5-4C29-A2AC-979BA88A17D5}"/>
    <cellStyle name="60% - Énfasis1 5 3 3" xfId="4704" xr:uid="{BB1966A3-8344-4C98-A424-8112DB4B2A2A}"/>
    <cellStyle name="60% - Énfasis1 5 3 3 2" xfId="12412" xr:uid="{CDFF47E9-DB65-4B9D-9113-740DBE38C490}"/>
    <cellStyle name="60% - Énfasis1 5 3 3 2 2" xfId="27824" xr:uid="{B36F2CB2-D0D2-4E06-A16B-1C035F107B28}"/>
    <cellStyle name="60% - Énfasis1 5 3 3 2 2 2" xfId="52556" xr:uid="{F303C215-F1E1-42C7-B7D4-B122221AC52F}"/>
    <cellStyle name="60% - Énfasis1 5 3 3 2 3" xfId="52555" xr:uid="{5AA6B598-0852-4C9B-8EBE-1F4C76EC4F4D}"/>
    <cellStyle name="60% - Énfasis1 5 3 3 3" xfId="20119" xr:uid="{D7F871FC-EDDD-4A55-809D-53C61CA98F44}"/>
    <cellStyle name="60% - Énfasis1 5 3 3 3 2" xfId="52557" xr:uid="{C12002BA-6F3F-4672-B0DF-EE80637935B0}"/>
    <cellStyle name="60% - Énfasis1 5 3 3 4" xfId="52554" xr:uid="{5E326D1F-A4FE-43B3-9CF4-B4FE08B1629D}"/>
    <cellStyle name="60% - Énfasis1 5 3 4" xfId="8689" xr:uid="{C451011B-7AF2-47AF-A834-A0FDB020A7FF}"/>
    <cellStyle name="60% - Énfasis1 5 3 4 2" xfId="24102" xr:uid="{7AC4EDD9-5B98-4493-B40E-5011F5C9B051}"/>
    <cellStyle name="60% - Énfasis1 5 3 4 2 2" xfId="52559" xr:uid="{F57982D0-AA4E-4599-8F9E-F8E8545D1A81}"/>
    <cellStyle name="60% - Énfasis1 5 3 4 3" xfId="52558" xr:uid="{D3D4D6DF-1A5B-4C4A-A669-908D6F6007D1}"/>
    <cellStyle name="60% - Énfasis1 5 3 5" xfId="16397" xr:uid="{BAD63157-DF22-4482-B52F-14CD2C554384}"/>
    <cellStyle name="60% - Énfasis1 5 3 5 2" xfId="52560" xr:uid="{5CB860B0-1E0A-436A-B885-4F2196444EE8}"/>
    <cellStyle name="60% - Énfasis1 5 3 6" xfId="52545" xr:uid="{CBBD51EF-8185-4F17-AF24-A22545923995}"/>
    <cellStyle name="60% - Énfasis1 5 4" xfId="1799" xr:uid="{23AE6D9D-B874-4080-B70A-4006F3444490}"/>
    <cellStyle name="60% - Énfasis1 5 4 2" xfId="5531" xr:uid="{4F1FF930-566F-447F-AA6B-F7F75E9FCE88}"/>
    <cellStyle name="60% - Énfasis1 5 4 2 2" xfId="13239" xr:uid="{DBDFE35F-DDD1-4679-A982-123926CDD0F8}"/>
    <cellStyle name="60% - Énfasis1 5 4 2 2 2" xfId="28651" xr:uid="{6305BAAD-E47F-449F-8E2A-DCFEF5F4A8E3}"/>
    <cellStyle name="60% - Énfasis1 5 4 2 2 2 2" xfId="52564" xr:uid="{812363F6-4791-4199-9139-BCA034FD952B}"/>
    <cellStyle name="60% - Énfasis1 5 4 2 2 3" xfId="52563" xr:uid="{CFEC9A78-1F46-4349-BB51-1EC3D7F1FE3E}"/>
    <cellStyle name="60% - Énfasis1 5 4 2 3" xfId="20946" xr:uid="{0B2112DA-96DB-42D9-8550-75951488DC8D}"/>
    <cellStyle name="60% - Énfasis1 5 4 2 3 2" xfId="52565" xr:uid="{1D5A6967-15A1-425E-860E-591DF0AD3C35}"/>
    <cellStyle name="60% - Énfasis1 5 4 2 4" xfId="52562" xr:uid="{B8327981-8DBA-417F-A482-1F0A21E7E0A9}"/>
    <cellStyle name="60% - Énfasis1 5 4 3" xfId="9510" xr:uid="{D3F8660E-C652-42F7-85A5-A23A692EFCB2}"/>
    <cellStyle name="60% - Énfasis1 5 4 3 2" xfId="24923" xr:uid="{C125A58B-3D0F-4612-937A-AC09EF6E406A}"/>
    <cellStyle name="60% - Énfasis1 5 4 3 2 2" xfId="52567" xr:uid="{5E3BA3C2-2545-4754-A6F1-C3B963F7D7F0}"/>
    <cellStyle name="60% - Énfasis1 5 4 3 3" xfId="52566" xr:uid="{E3BBA36A-DFC6-43AC-8FA5-59632E291F84}"/>
    <cellStyle name="60% - Énfasis1 5 4 4" xfId="17218" xr:uid="{197D58A0-3F16-4E74-A629-2C092F8E6633}"/>
    <cellStyle name="60% - Énfasis1 5 4 4 2" xfId="52568" xr:uid="{A5FEB2C8-A138-4E14-92ED-EE0D0B4AAAE7}"/>
    <cellStyle name="60% - Énfasis1 5 4 5" xfId="52561" xr:uid="{F534E6A4-90F6-40F7-BD2A-EE1D12CE5CA0}"/>
    <cellStyle name="60% - Énfasis1 5 5" xfId="4052" xr:uid="{1D1F160F-563C-4D48-A99E-7961480D70DC}"/>
    <cellStyle name="60% - Énfasis1 5 5 2" xfId="11760" xr:uid="{3AA6ED63-E012-4B8F-A291-45434BCC2025}"/>
    <cellStyle name="60% - Énfasis1 5 5 2 2" xfId="27172" xr:uid="{281A4EC1-B79E-4D45-B56B-1F44C18088BA}"/>
    <cellStyle name="60% - Énfasis1 5 5 2 2 2" xfId="52571" xr:uid="{F13ADD7C-8570-42AB-9419-E90A0251871A}"/>
    <cellStyle name="60% - Énfasis1 5 5 2 3" xfId="52570" xr:uid="{03F9C20F-8B71-4707-9222-14D81D36F1DD}"/>
    <cellStyle name="60% - Énfasis1 5 5 3" xfId="19467" xr:uid="{A44AB1EF-8CA4-4F65-9991-286303A510B6}"/>
    <cellStyle name="60% - Énfasis1 5 5 3 2" xfId="52572" xr:uid="{95BD7A25-CEF1-4152-AB89-9113F77FCF9D}"/>
    <cellStyle name="60% - Énfasis1 5 5 4" xfId="52569" xr:uid="{95D124E4-9937-4796-AD96-D026F0766B67}"/>
    <cellStyle name="60% - Énfasis1 5 6" xfId="8051" xr:uid="{44405AAB-CE75-4E4C-B696-D0ED00DD24AA}"/>
    <cellStyle name="60% - Énfasis1 5 6 2" xfId="23464" xr:uid="{5A70B99E-960C-4A82-AEC7-D908CCC82D15}"/>
    <cellStyle name="60% - Énfasis1 5 6 2 2" xfId="52574" xr:uid="{B2C88CAC-6D66-43FF-B118-EBEFD88ACBA8}"/>
    <cellStyle name="60% - Énfasis1 5 6 3" xfId="52573" xr:uid="{00F78A70-0756-4C59-A47C-779838B248FC}"/>
    <cellStyle name="60% - Énfasis1 5 7" xfId="15759" xr:uid="{A6EF41BD-1817-4D97-B0F1-7EAFCDF9B0B9}"/>
    <cellStyle name="60% - Énfasis1 5 7 2" xfId="52575" xr:uid="{9AA0FFAA-C7A7-49E5-9A33-1D134EECEEFB}"/>
    <cellStyle name="60% - Énfasis1 5 8" xfId="52512" xr:uid="{DA02ADA8-DD7A-462F-B4A7-9D29F5444FC7}"/>
    <cellStyle name="60% - Énfasis1 6" xfId="526" xr:uid="{B4BF512D-FFFF-4F0F-AF46-1E681B993AC7}"/>
    <cellStyle name="60% - Énfasis1 6 2" xfId="1187" xr:uid="{89C28045-BEF8-4A4C-A4BB-1A8E6D16505A}"/>
    <cellStyle name="60% - Énfasis1 6 2 2" xfId="2655" xr:uid="{B27C670E-8E91-4D48-802E-88CFAFB9E0EA}"/>
    <cellStyle name="60% - Énfasis1 6 2 2 2" xfId="6387" xr:uid="{8DDDBA23-D608-4D27-BA51-EDD546C47F39}"/>
    <cellStyle name="60% - Énfasis1 6 2 2 2 2" xfId="14095" xr:uid="{7D97EB45-A5DA-4E3F-8B1C-98E7D0BD0C82}"/>
    <cellStyle name="60% - Énfasis1 6 2 2 2 2 2" xfId="29507" xr:uid="{0476CFC2-342D-44FF-ADD5-8F450C97B16F}"/>
    <cellStyle name="60% - Énfasis1 6 2 2 2 2 2 2" xfId="52581" xr:uid="{06A2AE96-CF9F-445E-BEA0-D642B25F5A89}"/>
    <cellStyle name="60% - Énfasis1 6 2 2 2 2 3" xfId="52580" xr:uid="{C1EF6150-0EAD-4477-9CC6-FF59AA49536A}"/>
    <cellStyle name="60% - Énfasis1 6 2 2 2 3" xfId="21802" xr:uid="{605D2FBE-15D2-41E9-80AA-C4FB994D3195}"/>
    <cellStyle name="60% - Énfasis1 6 2 2 2 3 2" xfId="52582" xr:uid="{83DB2A32-C28D-4654-B82C-535FD8E53DD9}"/>
    <cellStyle name="60% - Énfasis1 6 2 2 2 4" xfId="52579" xr:uid="{221DCA9E-741C-45E8-BC34-60634CDDFBC4}"/>
    <cellStyle name="60% - Énfasis1 6 2 2 3" xfId="10366" xr:uid="{FA84BC19-09F0-4EDF-9AA3-8CC9609987F9}"/>
    <cellStyle name="60% - Énfasis1 6 2 2 3 2" xfId="25779" xr:uid="{206DA728-4437-47F2-B113-78F25A8ADC46}"/>
    <cellStyle name="60% - Énfasis1 6 2 2 3 2 2" xfId="52584" xr:uid="{96C09CD2-A50E-4315-86BE-1D865AB46355}"/>
    <cellStyle name="60% - Énfasis1 6 2 2 3 3" xfId="52583" xr:uid="{EFB20326-3810-4C5D-A3FE-3F3C6E852718}"/>
    <cellStyle name="60% - Énfasis1 6 2 2 4" xfId="18074" xr:uid="{296E478E-1FEF-4E8D-8DC4-A2317B7B0561}"/>
    <cellStyle name="60% - Énfasis1 6 2 2 4 2" xfId="52585" xr:uid="{1B92F8EE-5384-4C8B-A010-67AB71981D57}"/>
    <cellStyle name="60% - Énfasis1 6 2 2 5" xfId="52578" xr:uid="{090F707A-A9C3-4CEB-B93F-D86BFEFDCC5A}"/>
    <cellStyle name="60% - Énfasis1 6 2 3" xfId="4924" xr:uid="{A09EF7BC-71A7-4669-B2DA-BE658C0550E5}"/>
    <cellStyle name="60% - Énfasis1 6 2 3 2" xfId="12632" xr:uid="{AFD4BD42-96E1-488C-BFA9-7CC431C80AC0}"/>
    <cellStyle name="60% - Énfasis1 6 2 3 2 2" xfId="28044" xr:uid="{DB43762A-C906-4EA9-9F3B-0EF31A088DDD}"/>
    <cellStyle name="60% - Énfasis1 6 2 3 2 2 2" xfId="52588" xr:uid="{1F392D6A-DECF-4991-AEE0-BAC4C3026A6D}"/>
    <cellStyle name="60% - Énfasis1 6 2 3 2 3" xfId="52587" xr:uid="{D0C477B2-F10E-401C-8C37-76D5BCEC9E28}"/>
    <cellStyle name="60% - Énfasis1 6 2 3 3" xfId="20339" xr:uid="{8B7A238C-4E02-497B-817B-F57127268722}"/>
    <cellStyle name="60% - Énfasis1 6 2 3 3 2" xfId="52589" xr:uid="{DEBFA816-8DD8-415D-A15F-E1A4A8E9196C}"/>
    <cellStyle name="60% - Énfasis1 6 2 3 4" xfId="52586" xr:uid="{A400B455-933D-4210-B48D-12F86CA62608}"/>
    <cellStyle name="60% - Énfasis1 6 2 4" xfId="8907" xr:uid="{0D797BD9-8F5C-464A-AE11-36D7B7341A2F}"/>
    <cellStyle name="60% - Énfasis1 6 2 4 2" xfId="24320" xr:uid="{AA9377DC-A4E0-46EC-91CA-633A658DA9BD}"/>
    <cellStyle name="60% - Énfasis1 6 2 4 2 2" xfId="52591" xr:uid="{4BF0C861-1AE8-49EB-9086-4CBE0B94BD5C}"/>
    <cellStyle name="60% - Énfasis1 6 2 4 3" xfId="52590" xr:uid="{13CAA9A3-7AD1-47AF-9E44-0D6104713013}"/>
    <cellStyle name="60% - Énfasis1 6 2 5" xfId="16615" xr:uid="{AA27E46F-8AEC-48B1-8C37-74C0623F691E}"/>
    <cellStyle name="60% - Énfasis1 6 2 5 2" xfId="52592" xr:uid="{900E90D6-9268-4903-807A-18C638B3F7F0}"/>
    <cellStyle name="60% - Énfasis1 6 2 6" xfId="52577" xr:uid="{57887902-271D-4F37-B380-584EEA26F01B}"/>
    <cellStyle name="60% - Énfasis1 6 3" xfId="2017" xr:uid="{0EFA8907-C86E-43C3-8671-F8A26065D1D5}"/>
    <cellStyle name="60% - Énfasis1 6 3 2" xfId="5749" xr:uid="{8D07BD0E-D06A-4624-AAFE-6C0050F4B435}"/>
    <cellStyle name="60% - Énfasis1 6 3 2 2" xfId="13457" xr:uid="{BD0C1E02-15D3-4661-9C94-8C6A11DE8FB8}"/>
    <cellStyle name="60% - Énfasis1 6 3 2 2 2" xfId="28869" xr:uid="{068D2E3D-4D9D-440E-862D-631C6D109C44}"/>
    <cellStyle name="60% - Énfasis1 6 3 2 2 2 2" xfId="52596" xr:uid="{91086E43-DEFF-409C-989A-BA35A15D05F6}"/>
    <cellStyle name="60% - Énfasis1 6 3 2 2 3" xfId="52595" xr:uid="{43A0AAB9-FE34-4E43-BC77-EA2ED3748769}"/>
    <cellStyle name="60% - Énfasis1 6 3 2 3" xfId="21164" xr:uid="{395ADDA0-2A81-464A-AFB2-62B98BAFE170}"/>
    <cellStyle name="60% - Énfasis1 6 3 2 3 2" xfId="52597" xr:uid="{91C4CCA5-4A94-4110-BEC4-5ABA8C3D4C94}"/>
    <cellStyle name="60% - Énfasis1 6 3 2 4" xfId="52594" xr:uid="{577BFFA6-16BB-44D9-804F-90DEA0D12090}"/>
    <cellStyle name="60% - Énfasis1 6 3 3" xfId="9728" xr:uid="{B6C608EB-81D1-46C8-82BA-AEC8BCCE67B2}"/>
    <cellStyle name="60% - Énfasis1 6 3 3 2" xfId="25141" xr:uid="{2BDB84AA-A2EA-434E-832E-0F369CCADF8E}"/>
    <cellStyle name="60% - Énfasis1 6 3 3 2 2" xfId="52599" xr:uid="{4CE53F10-45A7-4C67-9ADA-7B64D81E2DFF}"/>
    <cellStyle name="60% - Énfasis1 6 3 3 3" xfId="52598" xr:uid="{39CB47FF-623C-457F-B33C-44EB7B9579B4}"/>
    <cellStyle name="60% - Énfasis1 6 3 4" xfId="17436" xr:uid="{280FE362-3E6A-4C43-B51A-B55A399B2F20}"/>
    <cellStyle name="60% - Énfasis1 6 3 4 2" xfId="52600" xr:uid="{2691DA29-F6A7-470C-B648-0609611FD4A9}"/>
    <cellStyle name="60% - Énfasis1 6 3 5" xfId="52593" xr:uid="{6D2EADA1-2974-495E-ABC7-025F490CD84B}"/>
    <cellStyle name="60% - Énfasis1 6 4" xfId="4272" xr:uid="{FFF4F872-3784-4F9B-98B9-5BEBA4D5B60B}"/>
    <cellStyle name="60% - Énfasis1 6 4 2" xfId="11980" xr:uid="{421849F3-AD49-4DF9-A535-443EBE9375F3}"/>
    <cellStyle name="60% - Énfasis1 6 4 2 2" xfId="27392" xr:uid="{59EE977C-0E57-4738-8858-15259010A894}"/>
    <cellStyle name="60% - Énfasis1 6 4 2 2 2" xfId="52603" xr:uid="{0C1EB1F5-8BE3-41F0-BCA6-B31B21E1456E}"/>
    <cellStyle name="60% - Énfasis1 6 4 2 3" xfId="52602" xr:uid="{E97C2117-608B-447E-ADEC-12D3843542A0}"/>
    <cellStyle name="60% - Énfasis1 6 4 3" xfId="19687" xr:uid="{8F592B46-8FFC-4D1B-8C2B-1269BA48D97B}"/>
    <cellStyle name="60% - Énfasis1 6 4 3 2" xfId="52604" xr:uid="{CFADFD2B-BA36-4370-80B5-A3E7DB97C271}"/>
    <cellStyle name="60% - Énfasis1 6 4 4" xfId="52601" xr:uid="{240D6C63-8D17-45E2-951B-3884186FF8F4}"/>
    <cellStyle name="60% - Énfasis1 6 5" xfId="8269" xr:uid="{67192980-700E-4DCA-9A9F-5E315DF8EA9A}"/>
    <cellStyle name="60% - Énfasis1 6 5 2" xfId="23682" xr:uid="{AD576464-AA3A-4C56-9EB3-349894DB2CF0}"/>
    <cellStyle name="60% - Énfasis1 6 5 2 2" xfId="52606" xr:uid="{2829B6F4-AF63-4277-B449-DBC5E4D34E93}"/>
    <cellStyle name="60% - Énfasis1 6 5 3" xfId="52605" xr:uid="{C8BFDB3B-77A2-48E7-9231-885EB0284840}"/>
    <cellStyle name="60% - Énfasis1 6 6" xfId="15977" xr:uid="{EAE85956-BF05-4D5F-8984-FDCAA6142C0C}"/>
    <cellStyle name="60% - Énfasis1 6 6 2" xfId="52607" xr:uid="{4F6C75DB-D776-4FC0-B2F2-084BD3004D76}"/>
    <cellStyle name="60% - Énfasis1 6 7" xfId="52576" xr:uid="{0168B8BB-0E82-4150-ACBE-0AC2011DB52C}"/>
    <cellStyle name="60% - Énfasis1 7" xfId="546" xr:uid="{2E02A39D-747A-4A8C-8C71-4AAEC16F21FE}"/>
    <cellStyle name="60% - Énfasis1 7 2" xfId="1207" xr:uid="{4F8FAAB9-D26C-4994-959C-577F0BED8BC9}"/>
    <cellStyle name="60% - Énfasis1 7 2 2" xfId="2675" xr:uid="{8F1BEDFC-9289-4E24-8F88-24C4A39D501C}"/>
    <cellStyle name="60% - Énfasis1 7 2 2 2" xfId="6407" xr:uid="{D53B93DA-DCBC-44AD-A6E2-6A4D009923E5}"/>
    <cellStyle name="60% - Énfasis1 7 2 2 2 2" xfId="14115" xr:uid="{09C7AA94-2776-46CA-B357-72799DB4B630}"/>
    <cellStyle name="60% - Énfasis1 7 2 2 2 2 2" xfId="29527" xr:uid="{F38EF573-E855-4FAF-AA28-EE6B7B84E29E}"/>
    <cellStyle name="60% - Énfasis1 7 2 2 2 2 2 2" xfId="52613" xr:uid="{0D2C80F4-1F16-4498-84A8-51D269E5384F}"/>
    <cellStyle name="60% - Énfasis1 7 2 2 2 2 3" xfId="52612" xr:uid="{43CCB3EC-924A-4330-BD28-D918EEFB0224}"/>
    <cellStyle name="60% - Énfasis1 7 2 2 2 3" xfId="21822" xr:uid="{CAD1FBC3-C172-4E3E-B10B-97131D266250}"/>
    <cellStyle name="60% - Énfasis1 7 2 2 2 3 2" xfId="52614" xr:uid="{904856F8-664F-474B-8AC8-AC834343EFC8}"/>
    <cellStyle name="60% - Énfasis1 7 2 2 2 4" xfId="52611" xr:uid="{7EFCCE41-2ECB-46A0-AD53-657D91564205}"/>
    <cellStyle name="60% - Énfasis1 7 2 2 3" xfId="10386" xr:uid="{6F5C6BF9-C081-422E-A1D7-8110DE6353BB}"/>
    <cellStyle name="60% - Énfasis1 7 2 2 3 2" xfId="25799" xr:uid="{A8FD27C6-7223-48EE-8D5E-C5F0EF40A853}"/>
    <cellStyle name="60% - Énfasis1 7 2 2 3 2 2" xfId="52616" xr:uid="{702276DD-7F3D-4E2C-A00F-33643EFAA3C5}"/>
    <cellStyle name="60% - Énfasis1 7 2 2 3 3" xfId="52615" xr:uid="{7F9D66E2-562C-4C0B-90EE-4B18540D7656}"/>
    <cellStyle name="60% - Énfasis1 7 2 2 4" xfId="18094" xr:uid="{85934013-15DD-41AC-9ADA-8EFE132793BF}"/>
    <cellStyle name="60% - Énfasis1 7 2 2 4 2" xfId="52617" xr:uid="{B245B175-9645-4D23-A6A6-4A7EF813B1E6}"/>
    <cellStyle name="60% - Énfasis1 7 2 2 5" xfId="52610" xr:uid="{3AEE1FA7-624B-4155-901E-00890BFCD887}"/>
    <cellStyle name="60% - Énfasis1 7 2 3" xfId="4944" xr:uid="{71ECA804-2752-4D03-8F06-2E17E61D385B}"/>
    <cellStyle name="60% - Énfasis1 7 2 3 2" xfId="12652" xr:uid="{0CA2BA43-5B18-4EF0-8F01-186727DC74DC}"/>
    <cellStyle name="60% - Énfasis1 7 2 3 2 2" xfId="28064" xr:uid="{36178DDC-BFE0-46B2-A98F-741A8B8D7CC8}"/>
    <cellStyle name="60% - Énfasis1 7 2 3 2 2 2" xfId="52620" xr:uid="{FB943C8F-BD63-4F9F-A6AC-479EB4AC1EFB}"/>
    <cellStyle name="60% - Énfasis1 7 2 3 2 3" xfId="52619" xr:uid="{01DB7416-CEA8-474F-B648-9D8A86295954}"/>
    <cellStyle name="60% - Énfasis1 7 2 3 3" xfId="20359" xr:uid="{518F1FD7-AA2D-4D62-9671-BB0AF07FB377}"/>
    <cellStyle name="60% - Énfasis1 7 2 3 3 2" xfId="52621" xr:uid="{FA9285F7-318C-4A70-AA89-376BC87DC16A}"/>
    <cellStyle name="60% - Énfasis1 7 2 3 4" xfId="52618" xr:uid="{667EA480-AE83-447C-88FC-D0DA94F96612}"/>
    <cellStyle name="60% - Énfasis1 7 2 4" xfId="8927" xr:uid="{6E0EF675-E1F3-4A52-82A5-F5231DC73298}"/>
    <cellStyle name="60% - Énfasis1 7 2 4 2" xfId="24340" xr:uid="{6E1A8BFE-0D51-4BD8-8B2A-7B02DF001820}"/>
    <cellStyle name="60% - Énfasis1 7 2 4 2 2" xfId="52623" xr:uid="{12AB2424-A3F0-410D-9DC8-FFD50E654737}"/>
    <cellStyle name="60% - Énfasis1 7 2 4 3" xfId="52622" xr:uid="{5BE72DB7-2BA4-4C54-9540-9E99CA9E60FC}"/>
    <cellStyle name="60% - Énfasis1 7 2 5" xfId="16635" xr:uid="{09D17E7C-CA4D-407A-9340-363CB58E9355}"/>
    <cellStyle name="60% - Énfasis1 7 2 5 2" xfId="52624" xr:uid="{3FEF474A-E4C8-4E8A-9334-F07E20890D81}"/>
    <cellStyle name="60% - Énfasis1 7 2 6" xfId="52609" xr:uid="{00B7EAF1-3EAB-4B27-91D4-621AACF1CD30}"/>
    <cellStyle name="60% - Énfasis1 7 3" xfId="2037" xr:uid="{7DC75327-4374-4162-935D-C5FE2D82B042}"/>
    <cellStyle name="60% - Énfasis1 7 3 2" xfId="5769" xr:uid="{79F983ED-EB99-4490-B201-F40A60AD2639}"/>
    <cellStyle name="60% - Énfasis1 7 3 2 2" xfId="13477" xr:uid="{1720067F-222A-48F3-AAFE-0B0E21A63508}"/>
    <cellStyle name="60% - Énfasis1 7 3 2 2 2" xfId="28889" xr:uid="{DED4D40E-71F8-4190-B7EA-D722E09832A7}"/>
    <cellStyle name="60% - Énfasis1 7 3 2 2 2 2" xfId="52628" xr:uid="{7BF97053-F107-4B70-AE03-003BEABC3BB7}"/>
    <cellStyle name="60% - Énfasis1 7 3 2 2 3" xfId="52627" xr:uid="{8FCD51ED-28DC-413F-9D7C-C52000D03820}"/>
    <cellStyle name="60% - Énfasis1 7 3 2 3" xfId="21184" xr:uid="{87727AA3-E29E-4EA2-9550-0A38E6CE8591}"/>
    <cellStyle name="60% - Énfasis1 7 3 2 3 2" xfId="52629" xr:uid="{9A6A1510-03D5-4678-B0F7-237239967BCA}"/>
    <cellStyle name="60% - Énfasis1 7 3 2 4" xfId="52626" xr:uid="{EB2401FF-9B5F-4496-A040-32A165829164}"/>
    <cellStyle name="60% - Énfasis1 7 3 3" xfId="9748" xr:uid="{DD4C39A9-FF30-4F7E-A8A6-A842FDF16D5D}"/>
    <cellStyle name="60% - Énfasis1 7 3 3 2" xfId="25161" xr:uid="{2412D22B-6FF8-4FBB-AB6B-5C9BA7F0BFC5}"/>
    <cellStyle name="60% - Énfasis1 7 3 3 2 2" xfId="52631" xr:uid="{06E40032-FBFE-488A-AA12-C59FCBBB8BD4}"/>
    <cellStyle name="60% - Énfasis1 7 3 3 3" xfId="52630" xr:uid="{50A151F3-5CD1-4154-BE9E-132D8B0233F1}"/>
    <cellStyle name="60% - Énfasis1 7 3 4" xfId="17456" xr:uid="{09EE0FE5-A00B-4F3B-B68A-03A53BC40598}"/>
    <cellStyle name="60% - Énfasis1 7 3 4 2" xfId="52632" xr:uid="{3EA4FC95-B4A5-4D83-9A71-402BD3F0109E}"/>
    <cellStyle name="60% - Énfasis1 7 3 5" xfId="52625" xr:uid="{3FE225E1-1B4B-4473-95E1-4B1EBF8DE4DF}"/>
    <cellStyle name="60% - Énfasis1 7 4" xfId="4292" xr:uid="{EB82C950-3283-4580-A938-5EBE099918BB}"/>
    <cellStyle name="60% - Énfasis1 7 4 2" xfId="12000" xr:uid="{4E5A3D9A-7C13-4B9E-9463-DB0ACAB04ACE}"/>
    <cellStyle name="60% - Énfasis1 7 4 2 2" xfId="27412" xr:uid="{24210D2D-91B6-46D2-B680-64ED7948A7ED}"/>
    <cellStyle name="60% - Énfasis1 7 4 2 2 2" xfId="52635" xr:uid="{40FD4E53-B830-485F-8019-36F3EA62E502}"/>
    <cellStyle name="60% - Énfasis1 7 4 2 3" xfId="52634" xr:uid="{BBD420D2-1CBD-4C5B-9105-76DDB341C10B}"/>
    <cellStyle name="60% - Énfasis1 7 4 3" xfId="19707" xr:uid="{75053698-6FD9-456F-BFB1-24791053F3EC}"/>
    <cellStyle name="60% - Énfasis1 7 4 3 2" xfId="52636" xr:uid="{2C346E22-FA83-4AF8-BA19-08279AF3D1A4}"/>
    <cellStyle name="60% - Énfasis1 7 4 4" xfId="52633" xr:uid="{59D200FA-216E-4C02-B36B-A283316C1DBF}"/>
    <cellStyle name="60% - Énfasis1 7 5" xfId="8289" xr:uid="{593305FE-E6C2-4757-B17F-6C1140BF974A}"/>
    <cellStyle name="60% - Énfasis1 7 5 2" xfId="23702" xr:uid="{96C38379-6442-47ED-B63B-0673786C9897}"/>
    <cellStyle name="60% - Énfasis1 7 5 2 2" xfId="52638" xr:uid="{566751FE-B7C4-403C-A9F4-8C20472C9D49}"/>
    <cellStyle name="60% - Énfasis1 7 5 3" xfId="52637" xr:uid="{48482226-C9B7-45C0-9ECB-CC2EE7BF281D}"/>
    <cellStyle name="60% - Énfasis1 7 6" xfId="15997" xr:uid="{F52C650A-1A6A-4CF6-96C4-7737AEFC0D8A}"/>
    <cellStyle name="60% - Énfasis1 7 6 2" xfId="52639" xr:uid="{B4BA8E60-7E9C-449A-8515-DF4E76E2F5E3}"/>
    <cellStyle name="60% - Énfasis1 7 7" xfId="52608" xr:uid="{88DB2B23-35A1-4811-A408-6EACBC236B68}"/>
    <cellStyle name="60% - Énfasis1 8" xfId="566" xr:uid="{01724A9E-826B-44E8-8C46-D94425826EE9}"/>
    <cellStyle name="60% - Énfasis1 8 2" xfId="1227" xr:uid="{14CA3E83-E1F8-47F3-A5B4-1CA8D229D1A4}"/>
    <cellStyle name="60% - Énfasis1 8 2 2" xfId="2695" xr:uid="{D4313316-5588-422F-9D93-63728AEAE566}"/>
    <cellStyle name="60% - Énfasis1 8 2 2 2" xfId="6427" xr:uid="{ED11B32C-6EDA-4D15-A1AD-45E7D8977CDB}"/>
    <cellStyle name="60% - Énfasis1 8 2 2 2 2" xfId="14135" xr:uid="{DE026010-0259-47D7-95ED-1D83993375E0}"/>
    <cellStyle name="60% - Énfasis1 8 2 2 2 2 2" xfId="29547" xr:uid="{860DA6A8-391C-48B1-A46A-4031453C29C0}"/>
    <cellStyle name="60% - Énfasis1 8 2 2 2 2 2 2" xfId="52645" xr:uid="{E11C1B19-C77B-43B5-BC1A-6FCC31F9A4DE}"/>
    <cellStyle name="60% - Énfasis1 8 2 2 2 2 3" xfId="52644" xr:uid="{58E7B6B7-1D80-4555-A550-50DAAA8614A4}"/>
    <cellStyle name="60% - Énfasis1 8 2 2 2 3" xfId="21842" xr:uid="{AFEF0153-C989-4C76-9504-9ACC7F95CE3D}"/>
    <cellStyle name="60% - Énfasis1 8 2 2 2 3 2" xfId="52646" xr:uid="{312F07A3-A705-4C36-A3C5-63C81165DF92}"/>
    <cellStyle name="60% - Énfasis1 8 2 2 2 4" xfId="52643" xr:uid="{8107232A-7F51-4F28-9420-D8C948593E34}"/>
    <cellStyle name="60% - Énfasis1 8 2 2 3" xfId="10406" xr:uid="{3CFA2507-3705-4BB4-913F-764F0F897FFA}"/>
    <cellStyle name="60% - Énfasis1 8 2 2 3 2" xfId="25819" xr:uid="{9D8AE004-EF86-4EF6-904D-ADD97262CEE9}"/>
    <cellStyle name="60% - Énfasis1 8 2 2 3 2 2" xfId="52648" xr:uid="{96AD14C0-42A8-400A-8A6B-CCB791E5D8FB}"/>
    <cellStyle name="60% - Énfasis1 8 2 2 3 3" xfId="52647" xr:uid="{12C52714-816F-4531-89FB-DBA6CE61330E}"/>
    <cellStyle name="60% - Énfasis1 8 2 2 4" xfId="18114" xr:uid="{944D74FF-89D3-4DE8-81C2-F5436A2FC4C2}"/>
    <cellStyle name="60% - Énfasis1 8 2 2 4 2" xfId="52649" xr:uid="{8D652F6B-6B9C-4EED-953E-C4322FB8071C}"/>
    <cellStyle name="60% - Énfasis1 8 2 2 5" xfId="52642" xr:uid="{E39F1194-7D53-4504-914E-CF902B791475}"/>
    <cellStyle name="60% - Énfasis1 8 2 3" xfId="4964" xr:uid="{F43D4A7A-2ABC-408C-A0FE-F7C20BDE9D2D}"/>
    <cellStyle name="60% - Énfasis1 8 2 3 2" xfId="12672" xr:uid="{A3EE74EB-E02E-460C-AB16-0C0F3C5BEAED}"/>
    <cellStyle name="60% - Énfasis1 8 2 3 2 2" xfId="28084" xr:uid="{8B4F31F7-AFC3-4231-81A1-A20C33855E5E}"/>
    <cellStyle name="60% - Énfasis1 8 2 3 2 2 2" xfId="52652" xr:uid="{541AFD56-E46E-48F8-A21E-95AEBE56C89B}"/>
    <cellStyle name="60% - Énfasis1 8 2 3 2 3" xfId="52651" xr:uid="{FC7E4633-9BDF-47E4-BFF2-158F6E60E825}"/>
    <cellStyle name="60% - Énfasis1 8 2 3 3" xfId="20379" xr:uid="{B9882575-E6EF-4CDA-8167-2A4252F1665A}"/>
    <cellStyle name="60% - Énfasis1 8 2 3 3 2" xfId="52653" xr:uid="{E0E1609F-C63F-4B9D-81E2-07B11470BB7A}"/>
    <cellStyle name="60% - Énfasis1 8 2 3 4" xfId="52650" xr:uid="{3DCA426A-4499-49FF-B935-9849DBE013DC}"/>
    <cellStyle name="60% - Énfasis1 8 2 4" xfId="8947" xr:uid="{6A9D6456-8B55-4641-BFEF-1D8FA88CA3BF}"/>
    <cellStyle name="60% - Énfasis1 8 2 4 2" xfId="24360" xr:uid="{6FB09EDD-9CCC-4F0E-8EE3-002F9EB51973}"/>
    <cellStyle name="60% - Énfasis1 8 2 4 2 2" xfId="52655" xr:uid="{9481C5C4-4760-4083-A160-1CFC50BC9071}"/>
    <cellStyle name="60% - Énfasis1 8 2 4 3" xfId="52654" xr:uid="{67145610-69DE-48A3-971D-DF4DEF547970}"/>
    <cellStyle name="60% - Énfasis1 8 2 5" xfId="16655" xr:uid="{25E3852E-F49A-4DCE-8E89-E953EBBB2DA8}"/>
    <cellStyle name="60% - Énfasis1 8 2 5 2" xfId="52656" xr:uid="{0FE4EC07-EA4A-4C0E-9429-8B671D819F75}"/>
    <cellStyle name="60% - Énfasis1 8 2 6" xfId="52641" xr:uid="{D32DC17C-A9CA-4133-B4F9-F383CA48FA4E}"/>
    <cellStyle name="60% - Énfasis1 8 3" xfId="2057" xr:uid="{B41BFE98-96A6-4E42-906F-C729FB998571}"/>
    <cellStyle name="60% - Énfasis1 8 3 2" xfId="5789" xr:uid="{BA8FFC7C-A5B3-44B2-89FF-471AE1C44E7E}"/>
    <cellStyle name="60% - Énfasis1 8 3 2 2" xfId="13497" xr:uid="{46CA9FD3-9F01-46D9-8E46-BD27383F5E0A}"/>
    <cellStyle name="60% - Énfasis1 8 3 2 2 2" xfId="28909" xr:uid="{C2EA615D-4A07-4512-95F1-F2F13D8A5031}"/>
    <cellStyle name="60% - Énfasis1 8 3 2 2 2 2" xfId="52660" xr:uid="{9860CB62-4C55-4C71-9CA7-E9714ACBE00E}"/>
    <cellStyle name="60% - Énfasis1 8 3 2 2 3" xfId="52659" xr:uid="{B14F2690-9233-4E84-99B0-DA19F0ECED9A}"/>
    <cellStyle name="60% - Énfasis1 8 3 2 3" xfId="21204" xr:uid="{59357171-AAA1-4B0E-B245-917190F972F0}"/>
    <cellStyle name="60% - Énfasis1 8 3 2 3 2" xfId="52661" xr:uid="{A4D36706-789B-4F28-BA81-FB5FF0A5B505}"/>
    <cellStyle name="60% - Énfasis1 8 3 2 4" xfId="52658" xr:uid="{FDCE8141-9502-4B21-B4DB-2FF50136568F}"/>
    <cellStyle name="60% - Énfasis1 8 3 3" xfId="9768" xr:uid="{EC27C05C-2813-4F3A-932E-3B5BCE6F6F7E}"/>
    <cellStyle name="60% - Énfasis1 8 3 3 2" xfId="25181" xr:uid="{3C54E5EC-742A-46A6-B1FF-5AA4852736CA}"/>
    <cellStyle name="60% - Énfasis1 8 3 3 2 2" xfId="52663" xr:uid="{FE6D87DD-E169-47ED-BB8B-90E9AC0A4E9F}"/>
    <cellStyle name="60% - Énfasis1 8 3 3 3" xfId="52662" xr:uid="{59C89D73-6142-4CD0-9F13-F6369DD0772B}"/>
    <cellStyle name="60% - Énfasis1 8 3 4" xfId="17476" xr:uid="{28825B07-DA31-4F97-A0F3-9812A8431743}"/>
    <cellStyle name="60% - Énfasis1 8 3 4 2" xfId="52664" xr:uid="{B2658414-A0C7-4850-92D8-EDFA3755DA8B}"/>
    <cellStyle name="60% - Énfasis1 8 3 5" xfId="52657" xr:uid="{CAF88EAB-1B62-4740-99F8-17C2126CD557}"/>
    <cellStyle name="60% - Énfasis1 8 4" xfId="4312" xr:uid="{B32DD684-F936-4BAA-BBFB-35BA473ADAC7}"/>
    <cellStyle name="60% - Énfasis1 8 4 2" xfId="12020" xr:uid="{B7625571-92F5-41C4-91E9-9F276D572F4D}"/>
    <cellStyle name="60% - Énfasis1 8 4 2 2" xfId="27432" xr:uid="{28042467-C738-4AAB-A4D0-6E0E54184E17}"/>
    <cellStyle name="60% - Énfasis1 8 4 2 2 2" xfId="52667" xr:uid="{90508425-D18C-4E96-A3E9-1B0D0D696E38}"/>
    <cellStyle name="60% - Énfasis1 8 4 2 3" xfId="52666" xr:uid="{3E20423A-063A-45C1-A727-D94AE35B4A92}"/>
    <cellStyle name="60% - Énfasis1 8 4 3" xfId="19727" xr:uid="{B4600FA2-0334-4014-BFA4-98D7AB36D134}"/>
    <cellStyle name="60% - Énfasis1 8 4 3 2" xfId="52668" xr:uid="{BF6ABFE9-F2BE-462F-A135-005946B4352D}"/>
    <cellStyle name="60% - Énfasis1 8 4 4" xfId="52665" xr:uid="{4FBF5A1B-69E9-49F9-BCA7-8753FCE3717E}"/>
    <cellStyle name="60% - Énfasis1 8 5" xfId="8309" xr:uid="{58D85478-49DB-46F7-AFE2-8B0B18F360B6}"/>
    <cellStyle name="60% - Énfasis1 8 5 2" xfId="23722" xr:uid="{C09BE7F4-8423-4516-A518-A7B44A648F9B}"/>
    <cellStyle name="60% - Énfasis1 8 5 2 2" xfId="52670" xr:uid="{24F47FE4-5A59-4E8F-8980-D5A6B4B9C6B1}"/>
    <cellStyle name="60% - Énfasis1 8 5 3" xfId="52669" xr:uid="{BD6DCDF0-67AF-4428-B711-9D0CFB0887F7}"/>
    <cellStyle name="60% - Énfasis1 8 6" xfId="16017" xr:uid="{10F8356C-5F43-485B-9D12-031683A3F2FE}"/>
    <cellStyle name="60% - Énfasis1 8 6 2" xfId="52671" xr:uid="{68DB7F26-C859-48EA-AA9B-26EE8E004B60}"/>
    <cellStyle name="60% - Énfasis1 8 7" xfId="52640" xr:uid="{4E906AD1-A53E-4755-B712-0DB28EE29889}"/>
    <cellStyle name="60% - Énfasis1 9" xfId="586" xr:uid="{BCD9A81C-6A01-4E7B-ABF2-A683B6C8A77F}"/>
    <cellStyle name="60% - Énfasis1 9 2" xfId="1247" xr:uid="{ECC6985F-D361-4830-B47A-5F9D2153E659}"/>
    <cellStyle name="60% - Énfasis1 9 2 2" xfId="2715" xr:uid="{936D6A8D-AD94-4A0E-ABC9-46F3B92BC7E8}"/>
    <cellStyle name="60% - Énfasis1 9 2 2 2" xfId="6447" xr:uid="{EBF88E5F-1237-4260-9E02-91CC9C2D2D2F}"/>
    <cellStyle name="60% - Énfasis1 9 2 2 2 2" xfId="14155" xr:uid="{CF3681BB-086B-4DC9-AEC5-256B73CF9EDD}"/>
    <cellStyle name="60% - Énfasis1 9 2 2 2 2 2" xfId="29567" xr:uid="{37493028-D1FE-432F-AFF2-522FD545FCCC}"/>
    <cellStyle name="60% - Énfasis1 9 2 2 2 2 2 2" xfId="52677" xr:uid="{AC2042E9-E0A4-4330-AADB-D1028C2464DD}"/>
    <cellStyle name="60% - Énfasis1 9 2 2 2 2 3" xfId="52676" xr:uid="{F1E70EC4-073B-4581-A68D-9C82B3CD632B}"/>
    <cellStyle name="60% - Énfasis1 9 2 2 2 3" xfId="21862" xr:uid="{2BC1EE40-F52F-4BC1-A5CC-0CE3A7BFD35D}"/>
    <cellStyle name="60% - Énfasis1 9 2 2 2 3 2" xfId="52678" xr:uid="{9415D45C-AD15-4DDF-95CB-53D7CE68F7CC}"/>
    <cellStyle name="60% - Énfasis1 9 2 2 2 4" xfId="52675" xr:uid="{ADF46A04-4E3A-4E92-AF50-8AF95F2C4290}"/>
    <cellStyle name="60% - Énfasis1 9 2 2 3" xfId="10426" xr:uid="{8B02615C-CD92-47F7-A75F-EA01E50D462E}"/>
    <cellStyle name="60% - Énfasis1 9 2 2 3 2" xfId="25839" xr:uid="{8432D64E-ED73-4CA1-A3C8-5A25C162660E}"/>
    <cellStyle name="60% - Énfasis1 9 2 2 3 2 2" xfId="52680" xr:uid="{12F3F017-7841-469A-BB3E-D32AC315157F}"/>
    <cellStyle name="60% - Énfasis1 9 2 2 3 3" xfId="52679" xr:uid="{B9D134BE-55A6-430C-B42F-CA2EB37C251E}"/>
    <cellStyle name="60% - Énfasis1 9 2 2 4" xfId="18134" xr:uid="{9F08C0F4-6AEB-4B3E-826F-055BC7E412C8}"/>
    <cellStyle name="60% - Énfasis1 9 2 2 4 2" xfId="52681" xr:uid="{53D9A794-1C7D-4567-8925-781063D46102}"/>
    <cellStyle name="60% - Énfasis1 9 2 2 5" xfId="52674" xr:uid="{270D4435-7FA7-4C1B-AD9A-0F1888454A58}"/>
    <cellStyle name="60% - Énfasis1 9 2 3" xfId="4984" xr:uid="{D19C60DD-11C8-4909-B208-29B5E38BE6C5}"/>
    <cellStyle name="60% - Énfasis1 9 2 3 2" xfId="12692" xr:uid="{5988EFB8-6FE2-4D43-992C-AF7A87CF7840}"/>
    <cellStyle name="60% - Énfasis1 9 2 3 2 2" xfId="28104" xr:uid="{4D71BA2A-0A67-4B04-840B-8FC8C991123A}"/>
    <cellStyle name="60% - Énfasis1 9 2 3 2 2 2" xfId="52684" xr:uid="{06FE25F4-77BA-4A8B-93F9-3485C5334416}"/>
    <cellStyle name="60% - Énfasis1 9 2 3 2 3" xfId="52683" xr:uid="{46122526-6BF6-48D4-AEA3-12B9CB407690}"/>
    <cellStyle name="60% - Énfasis1 9 2 3 3" xfId="20399" xr:uid="{7F83DAD6-C5F3-4F0A-8D47-0B9BAD023BA9}"/>
    <cellStyle name="60% - Énfasis1 9 2 3 3 2" xfId="52685" xr:uid="{F9F3E41A-7CBB-43BC-996A-A4D3F858DFE5}"/>
    <cellStyle name="60% - Énfasis1 9 2 3 4" xfId="52682" xr:uid="{9DAFE620-2F01-463B-AE96-DBAC5E585998}"/>
    <cellStyle name="60% - Énfasis1 9 2 4" xfId="8967" xr:uid="{8E06A53F-F3ED-4DDD-A306-2FFC332138A7}"/>
    <cellStyle name="60% - Énfasis1 9 2 4 2" xfId="24380" xr:uid="{3057EB97-CD57-4373-80C2-78AA1AF827FC}"/>
    <cellStyle name="60% - Énfasis1 9 2 4 2 2" xfId="52687" xr:uid="{5E2BCAB9-BFBA-43EC-A982-FB50EA01E735}"/>
    <cellStyle name="60% - Énfasis1 9 2 4 3" xfId="52686" xr:uid="{9A446C86-B911-4ADB-89BD-2B94D059EF87}"/>
    <cellStyle name="60% - Énfasis1 9 2 5" xfId="16675" xr:uid="{5CD6ABFC-684E-473F-8B0A-BCBECD24F563}"/>
    <cellStyle name="60% - Énfasis1 9 2 5 2" xfId="52688" xr:uid="{95545C04-1243-487F-AD4C-A3DA21C9202D}"/>
    <cellStyle name="60% - Énfasis1 9 2 6" xfId="52673" xr:uid="{3CF50D0F-C3C8-4397-84DE-9F4175A393DF}"/>
    <cellStyle name="60% - Énfasis1 9 3" xfId="2077" xr:uid="{7FD0C5E9-8487-40D5-AF0B-CF575056FC38}"/>
    <cellStyle name="60% - Énfasis1 9 3 2" xfId="5809" xr:uid="{CD6BDC94-CF59-459D-8C76-CCA08ED5CDD6}"/>
    <cellStyle name="60% - Énfasis1 9 3 2 2" xfId="13517" xr:uid="{9D19F4C6-55CF-4FB7-A192-CA30429EAE65}"/>
    <cellStyle name="60% - Énfasis1 9 3 2 2 2" xfId="28929" xr:uid="{2CF43DFB-077E-477C-88EC-2E4A16018F4F}"/>
    <cellStyle name="60% - Énfasis1 9 3 2 2 2 2" xfId="52692" xr:uid="{E178ABD5-4A54-4051-83ED-8D9D13AF764B}"/>
    <cellStyle name="60% - Énfasis1 9 3 2 2 3" xfId="52691" xr:uid="{71FC886A-8584-41B6-A0D5-88CB35F6A577}"/>
    <cellStyle name="60% - Énfasis1 9 3 2 3" xfId="21224" xr:uid="{5412B617-1C64-44EE-BAC2-E63F4D0AA284}"/>
    <cellStyle name="60% - Énfasis1 9 3 2 3 2" xfId="52693" xr:uid="{CE023AA0-8742-4B52-B6D7-17C4BD42D69D}"/>
    <cellStyle name="60% - Énfasis1 9 3 2 4" xfId="52690" xr:uid="{AB1F3E0E-A794-4D9F-B37A-B523B73A1E4C}"/>
    <cellStyle name="60% - Énfasis1 9 3 3" xfId="9788" xr:uid="{6A323F88-C41D-400A-98D1-D53B94C4C412}"/>
    <cellStyle name="60% - Énfasis1 9 3 3 2" xfId="25201" xr:uid="{F6453665-2066-42A5-B1DD-6999ECF73F5A}"/>
    <cellStyle name="60% - Énfasis1 9 3 3 2 2" xfId="52695" xr:uid="{B30CF355-C7DC-4262-8254-0F468624DE80}"/>
    <cellStyle name="60% - Énfasis1 9 3 3 3" xfId="52694" xr:uid="{E076231F-59CC-4302-9818-75394C077EA7}"/>
    <cellStyle name="60% - Énfasis1 9 3 4" xfId="17496" xr:uid="{5ABADFF3-4DA5-4937-AFBB-8BC1AD91D34D}"/>
    <cellStyle name="60% - Énfasis1 9 3 4 2" xfId="52696" xr:uid="{0AF6268A-FFD1-4A62-ADA6-C7105CE9A29A}"/>
    <cellStyle name="60% - Énfasis1 9 3 5" xfId="52689" xr:uid="{58E76F12-0658-484A-93D5-A82C217084A9}"/>
    <cellStyle name="60% - Énfasis1 9 4" xfId="4332" xr:uid="{F4C3FFB0-5333-4E1B-A3F3-21089BB527C8}"/>
    <cellStyle name="60% - Énfasis1 9 4 2" xfId="12040" xr:uid="{2AF1DC4A-BE8E-4CFC-8F87-F2C655934763}"/>
    <cellStyle name="60% - Énfasis1 9 4 2 2" xfId="27452" xr:uid="{A1EC3386-A977-405F-B847-F87ABF30A242}"/>
    <cellStyle name="60% - Énfasis1 9 4 2 2 2" xfId="52699" xr:uid="{B13A7216-BCB3-471F-A62F-DE28EB464496}"/>
    <cellStyle name="60% - Énfasis1 9 4 2 3" xfId="52698" xr:uid="{D586C53D-5B6E-4DCE-AF04-6EDCBAF9C1AA}"/>
    <cellStyle name="60% - Énfasis1 9 4 3" xfId="19747" xr:uid="{A7B90339-65D4-444E-935D-A4844CDC175C}"/>
    <cellStyle name="60% - Énfasis1 9 4 3 2" xfId="52700" xr:uid="{7D354072-D8A2-4914-8306-467E5CAD1DD6}"/>
    <cellStyle name="60% - Énfasis1 9 4 4" xfId="52697" xr:uid="{80BDC983-BF82-4892-B45E-E8B3126ECD64}"/>
    <cellStyle name="60% - Énfasis1 9 5" xfId="8329" xr:uid="{B85434AC-448A-4165-8DC6-F4EF7C6D1C4C}"/>
    <cellStyle name="60% - Énfasis1 9 5 2" xfId="23742" xr:uid="{06BD61DD-76EC-4935-B452-D19A667BD90F}"/>
    <cellStyle name="60% - Énfasis1 9 5 2 2" xfId="52702" xr:uid="{B926F2B8-8D4B-48EE-B08C-C05E3A4DF4E3}"/>
    <cellStyle name="60% - Énfasis1 9 5 3" xfId="52701" xr:uid="{E785D1FA-569D-4733-B3A9-49692E3B1DB0}"/>
    <cellStyle name="60% - Énfasis1 9 6" xfId="16037" xr:uid="{A5C35C56-472B-4147-895F-C5BDE5910F35}"/>
    <cellStyle name="60% - Énfasis1 9 6 2" xfId="52703" xr:uid="{CA0705A3-88CA-4C8C-9156-ECD22956DF36}"/>
    <cellStyle name="60% - Énfasis1 9 7" xfId="52672" xr:uid="{8D523F4C-0FAB-46D0-8568-DDF2266F1E31}"/>
    <cellStyle name="60% - Énfasis2" xfId="49" builtinId="36" customBuiltin="1"/>
    <cellStyle name="60% - Énfasis2 10" xfId="610" xr:uid="{58CC2F26-27E3-41BB-9D92-18E310D5C38A}"/>
    <cellStyle name="60% - Énfasis2 10 2" xfId="1271" xr:uid="{BFB63466-C4BF-45E1-999E-717D2463286C}"/>
    <cellStyle name="60% - Énfasis2 10 2 2" xfId="2738" xr:uid="{3B2E2A4D-1EF6-4584-97F2-B896EF04EA7E}"/>
    <cellStyle name="60% - Énfasis2 10 2 2 2" xfId="6470" xr:uid="{CC8F92C8-4870-424E-8616-1A27104B20E7}"/>
    <cellStyle name="60% - Énfasis2 10 2 2 2 2" xfId="14178" xr:uid="{16017C2E-8306-45A1-A655-F3DCCCFDDD05}"/>
    <cellStyle name="60% - Énfasis2 10 2 2 2 2 2" xfId="29590" xr:uid="{5B5A6074-9B01-4ADB-881C-E0933FCEFD13}"/>
    <cellStyle name="60% - Énfasis2 10 2 2 2 2 2 2" xfId="52709" xr:uid="{D602BF8A-5E96-4B32-B88B-27870457DA91}"/>
    <cellStyle name="60% - Énfasis2 10 2 2 2 2 3" xfId="52708" xr:uid="{8720803B-3BDD-4594-BEE4-8B03832CF884}"/>
    <cellStyle name="60% - Énfasis2 10 2 2 2 3" xfId="21885" xr:uid="{32A6B79F-8F85-41C6-B6A2-70F064DB53BC}"/>
    <cellStyle name="60% - Énfasis2 10 2 2 2 3 2" xfId="52710" xr:uid="{FE7C7C2F-6C2E-4002-AFB7-52723CAD9C8D}"/>
    <cellStyle name="60% - Énfasis2 10 2 2 2 4" xfId="52707" xr:uid="{6D133415-FC96-4B3D-B959-F08DCA359729}"/>
    <cellStyle name="60% - Énfasis2 10 2 2 3" xfId="10449" xr:uid="{2EC61BD2-36A0-4E90-9F6C-38E7A100BA1D}"/>
    <cellStyle name="60% - Énfasis2 10 2 2 3 2" xfId="25862" xr:uid="{5C9F925E-017A-4DC6-8DAF-DBE2A197F5F1}"/>
    <cellStyle name="60% - Énfasis2 10 2 2 3 2 2" xfId="52712" xr:uid="{AE4E5E2C-51F1-4448-A70D-CE2C34AFCD8E}"/>
    <cellStyle name="60% - Énfasis2 10 2 2 3 3" xfId="52711" xr:uid="{0DDB88AB-31F1-4C0C-998E-072DC6582042}"/>
    <cellStyle name="60% - Énfasis2 10 2 2 4" xfId="18157" xr:uid="{311E63CB-BF37-47F2-92BE-B09C1C843F20}"/>
    <cellStyle name="60% - Énfasis2 10 2 2 4 2" xfId="52713" xr:uid="{126AA6E5-19CD-4C61-9CA6-9BE87A7B98FB}"/>
    <cellStyle name="60% - Énfasis2 10 2 2 5" xfId="52706" xr:uid="{7241AB31-0DD7-4C5C-97EB-73D06425537C}"/>
    <cellStyle name="60% - Énfasis2 10 2 3" xfId="5007" xr:uid="{9653C369-0326-4FEA-9A8B-5BC06E0DADD3}"/>
    <cellStyle name="60% - Énfasis2 10 2 3 2" xfId="12715" xr:uid="{53981EF8-989D-49C3-B494-213912826CDC}"/>
    <cellStyle name="60% - Énfasis2 10 2 3 2 2" xfId="28127" xr:uid="{506350D4-DB35-4CB5-BD74-68B6FBD69F6C}"/>
    <cellStyle name="60% - Énfasis2 10 2 3 2 2 2" xfId="52716" xr:uid="{4DE865C9-40A4-41A4-AD96-B5EF619EB87F}"/>
    <cellStyle name="60% - Énfasis2 10 2 3 2 3" xfId="52715" xr:uid="{E93C75F7-90F4-4ACC-BBF4-D34700819307}"/>
    <cellStyle name="60% - Énfasis2 10 2 3 3" xfId="20422" xr:uid="{5649752F-BFB0-4CF0-BE47-DE793A919411}"/>
    <cellStyle name="60% - Énfasis2 10 2 3 3 2" xfId="52717" xr:uid="{ABE23E69-6101-4568-A9F1-E79C465DA733}"/>
    <cellStyle name="60% - Énfasis2 10 2 3 4" xfId="52714" xr:uid="{8D4C0BBD-6BAA-4922-9453-FEAC1BDB387C}"/>
    <cellStyle name="60% - Énfasis2 10 2 4" xfId="8990" xr:uid="{1FDEBACB-4B48-4141-B558-E5BED44558F2}"/>
    <cellStyle name="60% - Énfasis2 10 2 4 2" xfId="24403" xr:uid="{7A4430D2-11C9-4BD3-9313-45117A6D17D4}"/>
    <cellStyle name="60% - Énfasis2 10 2 4 2 2" xfId="52719" xr:uid="{BD4289DF-D8DB-4244-B35C-51A24A1D21EF}"/>
    <cellStyle name="60% - Énfasis2 10 2 4 3" xfId="52718" xr:uid="{3CFE9AF8-1901-4CB9-8B5B-1B227C262ED0}"/>
    <cellStyle name="60% - Énfasis2 10 2 5" xfId="16698" xr:uid="{1AA77C93-3C5E-48AF-8CD3-B6F5C1B70511}"/>
    <cellStyle name="60% - Énfasis2 10 2 5 2" xfId="52720" xr:uid="{64906B40-B952-44BB-8579-B08BE1BBE209}"/>
    <cellStyle name="60% - Énfasis2 10 2 6" xfId="52705" xr:uid="{9FC90456-CC4F-48C7-84E0-C91D4E20744A}"/>
    <cellStyle name="60% - Énfasis2 10 3" xfId="2100" xr:uid="{2CE3BDFE-0A3F-4305-B510-34B6262E7019}"/>
    <cellStyle name="60% - Énfasis2 10 3 2" xfId="5832" xr:uid="{F5718BF8-283D-4A8C-8F52-2695A78512B6}"/>
    <cellStyle name="60% - Énfasis2 10 3 2 2" xfId="13540" xr:uid="{AF261337-57DF-4348-90BC-60F0372DE9FE}"/>
    <cellStyle name="60% - Énfasis2 10 3 2 2 2" xfId="28952" xr:uid="{55003C5F-2F1F-4323-A808-780C24009949}"/>
    <cellStyle name="60% - Énfasis2 10 3 2 2 2 2" xfId="52724" xr:uid="{59C4C7A9-1A40-4330-BE8D-D0105F5A807F}"/>
    <cellStyle name="60% - Énfasis2 10 3 2 2 3" xfId="52723" xr:uid="{1BB9B502-6B28-4D28-BE4A-8AD930E71B57}"/>
    <cellStyle name="60% - Énfasis2 10 3 2 3" xfId="21247" xr:uid="{60B919CE-C7E3-4E6E-A8B2-308DBFF52A3F}"/>
    <cellStyle name="60% - Énfasis2 10 3 2 3 2" xfId="52725" xr:uid="{9C04BDFB-4F66-49FE-B93F-3B337EAEE6C8}"/>
    <cellStyle name="60% - Énfasis2 10 3 2 4" xfId="52722" xr:uid="{EFD0F92A-C443-475E-9CA9-CCB6D0CB23DE}"/>
    <cellStyle name="60% - Énfasis2 10 3 3" xfId="9811" xr:uid="{DCE17CB7-E935-4165-BBC8-5EA98220E000}"/>
    <cellStyle name="60% - Énfasis2 10 3 3 2" xfId="25224" xr:uid="{C267111D-4E8B-46B4-8580-B967FED86023}"/>
    <cellStyle name="60% - Énfasis2 10 3 3 2 2" xfId="52727" xr:uid="{9A7DA315-3CEC-44EE-8306-E92008D3D1A6}"/>
    <cellStyle name="60% - Énfasis2 10 3 3 3" xfId="52726" xr:uid="{FC8772B7-7E80-4517-AF07-04D953E47DFA}"/>
    <cellStyle name="60% - Énfasis2 10 3 4" xfId="17519" xr:uid="{BA6D839F-D1F6-4012-970B-51F9CC7770C7}"/>
    <cellStyle name="60% - Énfasis2 10 3 4 2" xfId="52728" xr:uid="{AC64E302-B326-4FF2-9FF8-284492E5C245}"/>
    <cellStyle name="60% - Énfasis2 10 3 5" xfId="52721" xr:uid="{67333153-E24B-4B3A-A4B9-BC09627C8C3C}"/>
    <cellStyle name="60% - Énfasis2 10 4" xfId="4355" xr:uid="{46E1A643-0839-49D8-9EDF-0B592AD01363}"/>
    <cellStyle name="60% - Énfasis2 10 4 2" xfId="12063" xr:uid="{11F80B09-5CE3-41CB-9DC5-EA36CCCD668D}"/>
    <cellStyle name="60% - Énfasis2 10 4 2 2" xfId="27475" xr:uid="{F4E8F973-D767-4BCE-91C0-1FA1B3A9867C}"/>
    <cellStyle name="60% - Énfasis2 10 4 2 2 2" xfId="52731" xr:uid="{57D2EF7A-E703-4EE6-91D2-B968D61E1D0C}"/>
    <cellStyle name="60% - Énfasis2 10 4 2 3" xfId="52730" xr:uid="{9130F2BC-4B50-48C4-BFAC-6D86297C7D55}"/>
    <cellStyle name="60% - Énfasis2 10 4 3" xfId="19770" xr:uid="{274A708E-7EE3-406F-B4A9-F16C15E58C09}"/>
    <cellStyle name="60% - Énfasis2 10 4 3 2" xfId="52732" xr:uid="{6770209D-6693-47C9-B2B9-0F80A65EBB63}"/>
    <cellStyle name="60% - Énfasis2 10 4 4" xfId="52729" xr:uid="{3309AB82-A549-4173-A343-756F411DF128}"/>
    <cellStyle name="60% - Énfasis2 10 5" xfId="8352" xr:uid="{1F9B3791-098F-4048-90B4-AD41E81CD206}"/>
    <cellStyle name="60% - Énfasis2 10 5 2" xfId="23765" xr:uid="{79905CB3-FDB3-4D0E-9249-901C64A3A494}"/>
    <cellStyle name="60% - Énfasis2 10 5 2 2" xfId="52734" xr:uid="{BE7A66E1-966C-48D5-9F2F-0A89CF30110F}"/>
    <cellStyle name="60% - Énfasis2 10 5 3" xfId="52733" xr:uid="{DCB94AA2-826C-4FFE-9D1B-D5DFB41F2CEA}"/>
    <cellStyle name="60% - Énfasis2 10 6" xfId="16060" xr:uid="{BB23500A-8C03-4442-BA7D-F435D7BA06B3}"/>
    <cellStyle name="60% - Énfasis2 10 6 2" xfId="52735" xr:uid="{377519EB-7B71-449F-A65A-DEBED1800178}"/>
    <cellStyle name="60% - Énfasis2 10 7" xfId="52704" xr:uid="{AAC8E212-D6CB-447A-A1B6-70383A6E1B70}"/>
    <cellStyle name="60% - Énfasis2 11" xfId="630" xr:uid="{14FB5F38-419F-4C4A-8F72-08756F4A8F74}"/>
    <cellStyle name="60% - Énfasis2 11 2" xfId="1291" xr:uid="{0A74685D-7B09-4EE4-BEED-63ABF36C2078}"/>
    <cellStyle name="60% - Énfasis2 11 2 2" xfId="2758" xr:uid="{6D779056-399D-4262-9DF1-E76021C94A44}"/>
    <cellStyle name="60% - Énfasis2 11 2 2 2" xfId="6490" xr:uid="{9B72D757-3F76-4D04-8463-13E0A57FDA5C}"/>
    <cellStyle name="60% - Énfasis2 11 2 2 2 2" xfId="14198" xr:uid="{0342C0B0-0082-4B49-BC72-1ACDCB63F773}"/>
    <cellStyle name="60% - Énfasis2 11 2 2 2 2 2" xfId="29610" xr:uid="{92107C1E-2B02-4CFB-B381-5EF90892C3C0}"/>
    <cellStyle name="60% - Énfasis2 11 2 2 2 2 2 2" xfId="52741" xr:uid="{3CDE5724-2432-43E3-BE18-B28DEA6A77B4}"/>
    <cellStyle name="60% - Énfasis2 11 2 2 2 2 3" xfId="52740" xr:uid="{5000F4F1-DDC1-43B2-A311-61E9625425F8}"/>
    <cellStyle name="60% - Énfasis2 11 2 2 2 3" xfId="21905" xr:uid="{C59B7126-2236-4A74-9159-CEEA1E34415B}"/>
    <cellStyle name="60% - Énfasis2 11 2 2 2 3 2" xfId="52742" xr:uid="{A6B26E5D-BE90-4FBD-9977-B7DB2C6C7C40}"/>
    <cellStyle name="60% - Énfasis2 11 2 2 2 4" xfId="52739" xr:uid="{B2FB7015-552E-4636-BBDB-E18B27E5F13A}"/>
    <cellStyle name="60% - Énfasis2 11 2 2 3" xfId="10469" xr:uid="{86318E92-A85E-464C-84F1-D90C361CC5BE}"/>
    <cellStyle name="60% - Énfasis2 11 2 2 3 2" xfId="25882" xr:uid="{C8AAB8D6-7874-4976-B979-D2A607B9DAA1}"/>
    <cellStyle name="60% - Énfasis2 11 2 2 3 2 2" xfId="52744" xr:uid="{F93ED36D-7B76-4CF2-AF0D-1A2AAC5B0DAA}"/>
    <cellStyle name="60% - Énfasis2 11 2 2 3 3" xfId="52743" xr:uid="{44FC9EE1-85BF-4028-BD8B-10AEF24EC1B4}"/>
    <cellStyle name="60% - Énfasis2 11 2 2 4" xfId="18177" xr:uid="{C43B86EE-C1BD-426B-8F34-CF974EFA5E2C}"/>
    <cellStyle name="60% - Énfasis2 11 2 2 4 2" xfId="52745" xr:uid="{15807F5A-CC6F-4537-AAFE-E48D015F515E}"/>
    <cellStyle name="60% - Énfasis2 11 2 2 5" xfId="52738" xr:uid="{3C1A583E-0ED7-4F6E-9A19-20AD9C85C915}"/>
    <cellStyle name="60% - Énfasis2 11 2 3" xfId="5027" xr:uid="{BA322D54-1594-41BE-A1F4-68A0CF5F6D3B}"/>
    <cellStyle name="60% - Énfasis2 11 2 3 2" xfId="12735" xr:uid="{3D514EC5-7F7E-41AF-B2B6-7DF5C4ABE219}"/>
    <cellStyle name="60% - Énfasis2 11 2 3 2 2" xfId="28147" xr:uid="{DC5D69AE-AD98-4476-832B-CFB6456EDD5B}"/>
    <cellStyle name="60% - Énfasis2 11 2 3 2 2 2" xfId="52748" xr:uid="{67C91504-F6E8-4DFF-856B-1A5B1B7B16D2}"/>
    <cellStyle name="60% - Énfasis2 11 2 3 2 3" xfId="52747" xr:uid="{24CF115C-8475-4843-B185-19FA3720E4DB}"/>
    <cellStyle name="60% - Énfasis2 11 2 3 3" xfId="20442" xr:uid="{8CBEBE30-366D-4278-B859-939A959F512A}"/>
    <cellStyle name="60% - Énfasis2 11 2 3 3 2" xfId="52749" xr:uid="{24376434-07B5-4992-A0CF-F2AE20189C6D}"/>
    <cellStyle name="60% - Énfasis2 11 2 3 4" xfId="52746" xr:uid="{C2A6D083-492E-424E-8240-7E5AE3FB0F37}"/>
    <cellStyle name="60% - Énfasis2 11 2 4" xfId="9010" xr:uid="{0CEFE6A5-FE4A-4527-BD86-23F61FEC4AAD}"/>
    <cellStyle name="60% - Énfasis2 11 2 4 2" xfId="24423" xr:uid="{AFBDBF43-CE72-4B08-89E9-AE4A76F6D0A7}"/>
    <cellStyle name="60% - Énfasis2 11 2 4 2 2" xfId="52751" xr:uid="{E5BAC104-D42E-43EA-8DC1-92F6A37A6F40}"/>
    <cellStyle name="60% - Énfasis2 11 2 4 3" xfId="52750" xr:uid="{73F78C0D-9A2C-4614-8E46-84EE52CB7BD6}"/>
    <cellStyle name="60% - Énfasis2 11 2 5" xfId="16718" xr:uid="{B68036F4-2ADC-4910-B485-EEC8A2F6D597}"/>
    <cellStyle name="60% - Énfasis2 11 2 5 2" xfId="52752" xr:uid="{14A2B58D-B514-48A7-875E-D2BE19D10782}"/>
    <cellStyle name="60% - Énfasis2 11 2 6" xfId="52737" xr:uid="{2C7A66A7-DFCB-418A-A221-36DD996E7BD9}"/>
    <cellStyle name="60% - Énfasis2 11 3" xfId="2120" xr:uid="{3CC5294F-0151-4A1E-B5CC-88AC43A7654D}"/>
    <cellStyle name="60% - Énfasis2 11 3 2" xfId="5852" xr:uid="{E4C960B8-3847-4DD5-8908-8F100ABEA2FE}"/>
    <cellStyle name="60% - Énfasis2 11 3 2 2" xfId="13560" xr:uid="{37AF236E-E64B-408C-BDB1-FA0A043A4F36}"/>
    <cellStyle name="60% - Énfasis2 11 3 2 2 2" xfId="28972" xr:uid="{B7362EFA-BE46-4153-B117-7A0D1B7C25EB}"/>
    <cellStyle name="60% - Énfasis2 11 3 2 2 2 2" xfId="52756" xr:uid="{D1F08CCE-60D4-4FE2-8807-DB24F01D6187}"/>
    <cellStyle name="60% - Énfasis2 11 3 2 2 3" xfId="52755" xr:uid="{0880FC8F-8AAE-4BC9-965C-FF54538867B2}"/>
    <cellStyle name="60% - Énfasis2 11 3 2 3" xfId="21267" xr:uid="{C6B14D7B-E1DF-4983-93C5-4596AACE7BDE}"/>
    <cellStyle name="60% - Énfasis2 11 3 2 3 2" xfId="52757" xr:uid="{CE51714E-4B76-4431-9207-E0023EF0B595}"/>
    <cellStyle name="60% - Énfasis2 11 3 2 4" xfId="52754" xr:uid="{4C3001DC-7985-495F-A4DF-70F5D8DFF79E}"/>
    <cellStyle name="60% - Énfasis2 11 3 3" xfId="9831" xr:uid="{DE25921A-42C9-4D03-AF8F-C8E140FD0889}"/>
    <cellStyle name="60% - Énfasis2 11 3 3 2" xfId="25244" xr:uid="{89F9B57C-DB74-4F6E-B21B-1A3487CDA7B2}"/>
    <cellStyle name="60% - Énfasis2 11 3 3 2 2" xfId="52759" xr:uid="{9DAE702E-720F-4375-B23A-F5CEA80C12C7}"/>
    <cellStyle name="60% - Énfasis2 11 3 3 3" xfId="52758" xr:uid="{42E414EE-1DA8-4A9E-B9B5-CA2E8BF70286}"/>
    <cellStyle name="60% - Énfasis2 11 3 4" xfId="17539" xr:uid="{5225E60E-306F-405D-95E3-721B88CDF7C3}"/>
    <cellStyle name="60% - Énfasis2 11 3 4 2" xfId="52760" xr:uid="{C4F87B42-A4C6-4AFE-9383-2668FA773814}"/>
    <cellStyle name="60% - Énfasis2 11 3 5" xfId="52753" xr:uid="{53CB89AC-6410-477A-BA06-D97C2039C371}"/>
    <cellStyle name="60% - Énfasis2 11 4" xfId="4375" xr:uid="{22668490-E619-496A-8E3A-2E18F414845D}"/>
    <cellStyle name="60% - Énfasis2 11 4 2" xfId="12083" xr:uid="{C580A200-2A16-4405-A6EF-871C7B535B6B}"/>
    <cellStyle name="60% - Énfasis2 11 4 2 2" xfId="27495" xr:uid="{F83C99C2-6D7D-4F3D-9EB7-6650AD7C9344}"/>
    <cellStyle name="60% - Énfasis2 11 4 2 2 2" xfId="52763" xr:uid="{3BC66EE3-2B4B-4F0F-A1EF-8F581ACAA725}"/>
    <cellStyle name="60% - Énfasis2 11 4 2 3" xfId="52762" xr:uid="{BF9AF266-AEB2-4836-8A31-03E8003A3B1D}"/>
    <cellStyle name="60% - Énfasis2 11 4 3" xfId="19790" xr:uid="{1EF53AD3-D624-4515-A60C-13AD5D2D844D}"/>
    <cellStyle name="60% - Énfasis2 11 4 3 2" xfId="52764" xr:uid="{2C4672E4-9420-46A0-A969-FD7F0D719723}"/>
    <cellStyle name="60% - Énfasis2 11 4 4" xfId="52761" xr:uid="{2D6665CA-AA00-4CEA-BD0C-C62B3D2307A9}"/>
    <cellStyle name="60% - Énfasis2 11 5" xfId="8372" xr:uid="{7AF1ED68-BCE3-4BDC-B998-A0519DCDF11C}"/>
    <cellStyle name="60% - Énfasis2 11 5 2" xfId="23785" xr:uid="{902632A2-2874-4258-BFD3-0F65F8BB0CD1}"/>
    <cellStyle name="60% - Énfasis2 11 5 2 2" xfId="52766" xr:uid="{0A5A5B36-3767-4D3A-A372-71618C3B1BF5}"/>
    <cellStyle name="60% - Énfasis2 11 5 3" xfId="52765" xr:uid="{207131E5-3F1A-4995-8204-2DD8FD492684}"/>
    <cellStyle name="60% - Énfasis2 11 6" xfId="16080" xr:uid="{05440742-1D90-475A-B483-5BE437460BDF}"/>
    <cellStyle name="60% - Énfasis2 11 6 2" xfId="52767" xr:uid="{D03B3C17-A9FF-4DE2-ABC3-26A90F3CBF8F}"/>
    <cellStyle name="60% - Énfasis2 11 7" xfId="52736" xr:uid="{96CE711B-3D90-4BF4-B76B-F79C770E1021}"/>
    <cellStyle name="60% - Énfasis2 12" xfId="651" xr:uid="{14FBB221-F57F-453C-8462-890B65917374}"/>
    <cellStyle name="60% - Énfasis2 12 2" xfId="1312" xr:uid="{7DA60CAA-1350-4482-8170-7E67BF9176E2}"/>
    <cellStyle name="60% - Énfasis2 12 2 2" xfId="2779" xr:uid="{10629F6D-D48F-4817-867D-797629188BED}"/>
    <cellStyle name="60% - Énfasis2 12 2 2 2" xfId="6511" xr:uid="{10E76BD1-AD62-4875-82D8-940F2A5FE3B3}"/>
    <cellStyle name="60% - Énfasis2 12 2 2 2 2" xfId="14219" xr:uid="{C84966E9-215B-408D-859F-7EEED3E7A7DB}"/>
    <cellStyle name="60% - Énfasis2 12 2 2 2 2 2" xfId="29631" xr:uid="{6830AFB9-F153-4E08-B4E3-D10B56DEF35F}"/>
    <cellStyle name="60% - Énfasis2 12 2 2 2 2 2 2" xfId="52773" xr:uid="{74A74DB1-4900-4474-9FF5-D74A8BFB8FC9}"/>
    <cellStyle name="60% - Énfasis2 12 2 2 2 2 3" xfId="52772" xr:uid="{34B927DE-FEBC-4782-9C5E-9283DC929E37}"/>
    <cellStyle name="60% - Énfasis2 12 2 2 2 3" xfId="21926" xr:uid="{5DFF5B20-0B6A-4052-AFC1-C15FE7D5821B}"/>
    <cellStyle name="60% - Énfasis2 12 2 2 2 3 2" xfId="52774" xr:uid="{34A08AD9-6653-4F03-BB72-043DF42A9AD2}"/>
    <cellStyle name="60% - Énfasis2 12 2 2 2 4" xfId="52771" xr:uid="{FB55FCEA-8705-479B-80D9-3498032FEDBB}"/>
    <cellStyle name="60% - Énfasis2 12 2 2 3" xfId="10490" xr:uid="{6172B292-F264-45E6-A132-AD2EFA52CD13}"/>
    <cellStyle name="60% - Énfasis2 12 2 2 3 2" xfId="25903" xr:uid="{D0019A51-71FD-4738-8FD0-FE3BD5CEB150}"/>
    <cellStyle name="60% - Énfasis2 12 2 2 3 2 2" xfId="52776" xr:uid="{1C7264A7-D5A1-4143-AB23-4E50A94B3C5D}"/>
    <cellStyle name="60% - Énfasis2 12 2 2 3 3" xfId="52775" xr:uid="{7BE87D65-FF70-4312-97BA-42913F70C775}"/>
    <cellStyle name="60% - Énfasis2 12 2 2 4" xfId="18198" xr:uid="{FB208E0A-6B46-4BD2-B6A7-5366F49DBB3D}"/>
    <cellStyle name="60% - Énfasis2 12 2 2 4 2" xfId="52777" xr:uid="{30A4FC78-8F9A-4BE7-85A6-B853CE5FDEAD}"/>
    <cellStyle name="60% - Énfasis2 12 2 2 5" xfId="52770" xr:uid="{35CD1358-B574-49A2-B3B6-40E6EA0726E9}"/>
    <cellStyle name="60% - Énfasis2 12 2 3" xfId="5048" xr:uid="{1A8E4F04-46D0-44A4-9AB4-7521113380EB}"/>
    <cellStyle name="60% - Énfasis2 12 2 3 2" xfId="12756" xr:uid="{1CE3E01A-4BFB-44A8-96F3-AED8BAC1C299}"/>
    <cellStyle name="60% - Énfasis2 12 2 3 2 2" xfId="28168" xr:uid="{5E4EFD17-392C-46FB-8AF3-67820E4E8C1F}"/>
    <cellStyle name="60% - Énfasis2 12 2 3 2 2 2" xfId="52780" xr:uid="{22ED9A44-0F7F-49E0-AB49-CCCFBAED369C}"/>
    <cellStyle name="60% - Énfasis2 12 2 3 2 3" xfId="52779" xr:uid="{395DB13F-92EC-4F56-801A-E97A01765B00}"/>
    <cellStyle name="60% - Énfasis2 12 2 3 3" xfId="20463" xr:uid="{CBDD116F-578B-46E0-AB5B-6A62C242F6CC}"/>
    <cellStyle name="60% - Énfasis2 12 2 3 3 2" xfId="52781" xr:uid="{3A45CD77-C15E-488F-9A9E-CC61C6087D1F}"/>
    <cellStyle name="60% - Énfasis2 12 2 3 4" xfId="52778" xr:uid="{388224D7-C87D-410C-9FB5-AB87F0F51914}"/>
    <cellStyle name="60% - Énfasis2 12 2 4" xfId="9031" xr:uid="{2797065B-19F8-4F50-8CC6-18728E4EFCAF}"/>
    <cellStyle name="60% - Énfasis2 12 2 4 2" xfId="24444" xr:uid="{C04C4164-C09F-4C63-810C-AE14E265E0D8}"/>
    <cellStyle name="60% - Énfasis2 12 2 4 2 2" xfId="52783" xr:uid="{FD6926AE-EC90-435A-A2DF-5FBC11F791C2}"/>
    <cellStyle name="60% - Énfasis2 12 2 4 3" xfId="52782" xr:uid="{8001539B-CA74-4CA0-B8EA-5430F87E2FCA}"/>
    <cellStyle name="60% - Énfasis2 12 2 5" xfId="16739" xr:uid="{B4FDE766-9788-4467-AFBE-1096113A30CC}"/>
    <cellStyle name="60% - Énfasis2 12 2 5 2" xfId="52784" xr:uid="{0E6FAAA7-317D-4084-9E38-40F51A06399B}"/>
    <cellStyle name="60% - Énfasis2 12 2 6" xfId="52769" xr:uid="{2B65E3D2-5A49-48A3-B8FF-8BF199803F1F}"/>
    <cellStyle name="60% - Énfasis2 12 3" xfId="2141" xr:uid="{C591BD7E-766E-4EC0-979E-F6FC2B85D19E}"/>
    <cellStyle name="60% - Énfasis2 12 3 2" xfId="5873" xr:uid="{28AD40BA-4AB6-4F6F-B4E7-FD85018E8BF3}"/>
    <cellStyle name="60% - Énfasis2 12 3 2 2" xfId="13581" xr:uid="{46539AC2-9C58-469A-8E50-128EAF76CF8E}"/>
    <cellStyle name="60% - Énfasis2 12 3 2 2 2" xfId="28993" xr:uid="{17C83F2B-AD63-4C32-A71C-C69A07906999}"/>
    <cellStyle name="60% - Énfasis2 12 3 2 2 2 2" xfId="52788" xr:uid="{A1E7D368-288E-4FDD-A470-D79329B750B7}"/>
    <cellStyle name="60% - Énfasis2 12 3 2 2 3" xfId="52787" xr:uid="{B30A071E-5ADA-4071-9702-825B7F5B47A4}"/>
    <cellStyle name="60% - Énfasis2 12 3 2 3" xfId="21288" xr:uid="{6EC85DA1-5F4D-4ABC-9AC4-44758D2CF3DD}"/>
    <cellStyle name="60% - Énfasis2 12 3 2 3 2" xfId="52789" xr:uid="{CE8151C6-A88C-4A4A-BD30-1A1C281012B4}"/>
    <cellStyle name="60% - Énfasis2 12 3 2 4" xfId="52786" xr:uid="{64AC8181-CC8F-46EB-8BC6-4D515ACFFD87}"/>
    <cellStyle name="60% - Énfasis2 12 3 3" xfId="9852" xr:uid="{C5F1E31B-89B9-43DE-861A-E73FDFFCC914}"/>
    <cellStyle name="60% - Énfasis2 12 3 3 2" xfId="25265" xr:uid="{C2645E72-5E58-473E-8270-6540DCE0511A}"/>
    <cellStyle name="60% - Énfasis2 12 3 3 2 2" xfId="52791" xr:uid="{9E56F5B1-8F71-4743-8E50-BB564994D0A1}"/>
    <cellStyle name="60% - Énfasis2 12 3 3 3" xfId="52790" xr:uid="{5ECDF41F-67E3-4034-BF70-0A214FD32207}"/>
    <cellStyle name="60% - Énfasis2 12 3 4" xfId="17560" xr:uid="{D78E1439-8E20-4A8E-B59E-ED5198A8B9AF}"/>
    <cellStyle name="60% - Énfasis2 12 3 4 2" xfId="52792" xr:uid="{73E909F9-BFFD-469B-9148-F557F6BBAF4F}"/>
    <cellStyle name="60% - Énfasis2 12 3 5" xfId="52785" xr:uid="{5CBEC61F-1B5E-4256-98FA-6D76777ACBD4}"/>
    <cellStyle name="60% - Énfasis2 12 4" xfId="4396" xr:uid="{EC2AD83D-BAC7-43CB-AE51-5C3049312C3E}"/>
    <cellStyle name="60% - Énfasis2 12 4 2" xfId="12104" xr:uid="{FF39B5E0-7E3E-461A-BDF4-08DD6DF02300}"/>
    <cellStyle name="60% - Énfasis2 12 4 2 2" xfId="27516" xr:uid="{E32E4391-DBFB-45BE-8793-36A14EB10319}"/>
    <cellStyle name="60% - Énfasis2 12 4 2 2 2" xfId="52795" xr:uid="{983414ED-C494-4D3E-BBC4-9E7F3400D4A2}"/>
    <cellStyle name="60% - Énfasis2 12 4 2 3" xfId="52794" xr:uid="{909B54B3-B282-42BA-8350-895A8EFB02F0}"/>
    <cellStyle name="60% - Énfasis2 12 4 3" xfId="19811" xr:uid="{DA170CEC-2B65-41D3-96F2-8005E75FFECE}"/>
    <cellStyle name="60% - Énfasis2 12 4 3 2" xfId="52796" xr:uid="{8A98BF51-E1CE-4302-A35E-40D4F7CD60AC}"/>
    <cellStyle name="60% - Énfasis2 12 4 4" xfId="52793" xr:uid="{CF12DB59-2AF5-469E-8B38-38576B30ABE4}"/>
    <cellStyle name="60% - Énfasis2 12 5" xfId="8393" xr:uid="{CF4B1F46-2858-472C-BC7C-FBC38A5382EC}"/>
    <cellStyle name="60% - Énfasis2 12 5 2" xfId="23806" xr:uid="{906C01EA-5612-411B-9A29-B1262DE404BD}"/>
    <cellStyle name="60% - Énfasis2 12 5 2 2" xfId="52798" xr:uid="{D7A574D9-8367-42BA-A1DF-FEF5B1951E79}"/>
    <cellStyle name="60% - Énfasis2 12 5 3" xfId="52797" xr:uid="{E51E4D4A-E496-451E-9AD8-39AB7D686436}"/>
    <cellStyle name="60% - Énfasis2 12 6" xfId="16101" xr:uid="{B1FC8D81-DF71-496D-9106-104DCC7E754B}"/>
    <cellStyle name="60% - Énfasis2 12 6 2" xfId="52799" xr:uid="{586D80B6-C548-4313-AACB-AA3485326962}"/>
    <cellStyle name="60% - Énfasis2 12 7" xfId="52768" xr:uid="{410B5811-50F2-49F1-AC1B-1E20AB3F2C8A}"/>
    <cellStyle name="60% - Énfasis2 13" xfId="671" xr:uid="{0AD570D5-27B7-4293-AF48-D1DD5E25B85E}"/>
    <cellStyle name="60% - Énfasis2 13 2" xfId="1332" xr:uid="{139C9E29-5D11-4FF3-B024-58C5B0532D9F}"/>
    <cellStyle name="60% - Énfasis2 13 2 2" xfId="2799" xr:uid="{863BCA7A-210E-4ABD-ADD2-31E13F5E708A}"/>
    <cellStyle name="60% - Énfasis2 13 2 2 2" xfId="6531" xr:uid="{02153FFF-454F-46E6-B232-474DAA10E86D}"/>
    <cellStyle name="60% - Énfasis2 13 2 2 2 2" xfId="14239" xr:uid="{7ABAA206-E0A9-480C-A1E3-74D8911C0F11}"/>
    <cellStyle name="60% - Énfasis2 13 2 2 2 2 2" xfId="29651" xr:uid="{7B202E92-5CCE-4158-86F7-5D55EFCAEB62}"/>
    <cellStyle name="60% - Énfasis2 13 2 2 2 2 2 2" xfId="52805" xr:uid="{2B516EF7-3D38-448E-8450-A2987F2ADDC1}"/>
    <cellStyle name="60% - Énfasis2 13 2 2 2 2 3" xfId="52804" xr:uid="{DC403647-9B2E-4894-8565-D6470C7ECA68}"/>
    <cellStyle name="60% - Énfasis2 13 2 2 2 3" xfId="21946" xr:uid="{9FEC038C-B953-47DD-BA35-258EE7A0D714}"/>
    <cellStyle name="60% - Énfasis2 13 2 2 2 3 2" xfId="52806" xr:uid="{721B78B7-5E13-4137-959F-BB5D8BF42343}"/>
    <cellStyle name="60% - Énfasis2 13 2 2 2 4" xfId="52803" xr:uid="{C40AEACC-1A63-4F87-A280-CB9DD1350A3C}"/>
    <cellStyle name="60% - Énfasis2 13 2 2 3" xfId="10510" xr:uid="{D9B3EDE4-9AD3-4B2A-B8F8-D9D7F3649F79}"/>
    <cellStyle name="60% - Énfasis2 13 2 2 3 2" xfId="25923" xr:uid="{57EE4F28-2666-481F-A686-0DAE888B7C64}"/>
    <cellStyle name="60% - Énfasis2 13 2 2 3 2 2" xfId="52808" xr:uid="{BB58308E-AC32-4E2C-BE72-1693589A7A27}"/>
    <cellStyle name="60% - Énfasis2 13 2 2 3 3" xfId="52807" xr:uid="{252E0E4B-2AFA-490E-84B1-89584CDA38CB}"/>
    <cellStyle name="60% - Énfasis2 13 2 2 4" xfId="18218" xr:uid="{52CE02ED-3C0F-4AF4-A532-B7AEFC3C7C81}"/>
    <cellStyle name="60% - Énfasis2 13 2 2 4 2" xfId="52809" xr:uid="{2E2BF8D1-8B59-4C3A-8C22-66B5E9F404E5}"/>
    <cellStyle name="60% - Énfasis2 13 2 2 5" xfId="52802" xr:uid="{45CC478A-4BA5-4F31-8054-B122D55CE2A2}"/>
    <cellStyle name="60% - Énfasis2 13 2 3" xfId="5068" xr:uid="{8E7EFD7B-4085-4D7E-84CC-E2ACE204F1C6}"/>
    <cellStyle name="60% - Énfasis2 13 2 3 2" xfId="12776" xr:uid="{D60AF362-6E05-411E-BEAA-7E662014931E}"/>
    <cellStyle name="60% - Énfasis2 13 2 3 2 2" xfId="28188" xr:uid="{F745F2F2-A5EA-4046-87DB-BF502E8DF631}"/>
    <cellStyle name="60% - Énfasis2 13 2 3 2 2 2" xfId="52812" xr:uid="{8F6A7807-DCEA-41CE-A924-BD711929AC35}"/>
    <cellStyle name="60% - Énfasis2 13 2 3 2 3" xfId="52811" xr:uid="{872B6D16-F539-4EDD-A6DF-D7980465AB22}"/>
    <cellStyle name="60% - Énfasis2 13 2 3 3" xfId="20483" xr:uid="{70F5786A-B2AA-4A57-B09F-9F9DA4B5620D}"/>
    <cellStyle name="60% - Énfasis2 13 2 3 3 2" xfId="52813" xr:uid="{79E7E0D9-DA4B-474A-9DE2-5E01481485C2}"/>
    <cellStyle name="60% - Énfasis2 13 2 3 4" xfId="52810" xr:uid="{A41CB6A5-404A-4488-BA97-E5B924859B02}"/>
    <cellStyle name="60% - Énfasis2 13 2 4" xfId="9051" xr:uid="{EB729540-4EDE-41FA-BCC2-CCA8729975FB}"/>
    <cellStyle name="60% - Énfasis2 13 2 4 2" xfId="24464" xr:uid="{5C6F0E29-125D-499D-B431-7FC17353705D}"/>
    <cellStyle name="60% - Énfasis2 13 2 4 2 2" xfId="52815" xr:uid="{251FC8C8-9F0A-4D11-8C97-76EEFCF37822}"/>
    <cellStyle name="60% - Énfasis2 13 2 4 3" xfId="52814" xr:uid="{EE00DF8C-5E4C-40C1-87ED-F205B6B6F1D8}"/>
    <cellStyle name="60% - Énfasis2 13 2 5" xfId="16759" xr:uid="{0D4E154B-6D70-48E5-9E8E-716FD91049C9}"/>
    <cellStyle name="60% - Énfasis2 13 2 5 2" xfId="52816" xr:uid="{8E831BEC-0E98-4207-8BAF-0B6E0D8633C5}"/>
    <cellStyle name="60% - Énfasis2 13 2 6" xfId="52801" xr:uid="{EABFB231-57BA-4545-9CB1-E5165D7BD27B}"/>
    <cellStyle name="60% - Énfasis2 13 3" xfId="2161" xr:uid="{A2FA63A8-B79C-42DD-BD88-D82B2729C5AD}"/>
    <cellStyle name="60% - Énfasis2 13 3 2" xfId="5893" xr:uid="{D28F2565-7B8A-448B-931A-737B9697937B}"/>
    <cellStyle name="60% - Énfasis2 13 3 2 2" xfId="13601" xr:uid="{E1742153-75EB-446A-A86C-6332ADDF2DFC}"/>
    <cellStyle name="60% - Énfasis2 13 3 2 2 2" xfId="29013" xr:uid="{59723F2D-44D6-4410-B8ED-29B3905FAE4B}"/>
    <cellStyle name="60% - Énfasis2 13 3 2 2 2 2" xfId="52820" xr:uid="{F3C95ECE-036A-40BB-BCB9-4080EB28385F}"/>
    <cellStyle name="60% - Énfasis2 13 3 2 2 3" xfId="52819" xr:uid="{DBA471ED-CC83-4008-86B2-FB1AFFA7CF9A}"/>
    <cellStyle name="60% - Énfasis2 13 3 2 3" xfId="21308" xr:uid="{4717BBF0-DC54-4443-8078-58615C9F9804}"/>
    <cellStyle name="60% - Énfasis2 13 3 2 3 2" xfId="52821" xr:uid="{6C142580-A3B8-4E82-9B62-69495E351141}"/>
    <cellStyle name="60% - Énfasis2 13 3 2 4" xfId="52818" xr:uid="{1F1C1218-23A1-4874-A689-38175F035CB9}"/>
    <cellStyle name="60% - Énfasis2 13 3 3" xfId="9872" xr:uid="{2686F1BE-25D9-45C4-A9D7-2E94232806E8}"/>
    <cellStyle name="60% - Énfasis2 13 3 3 2" xfId="25285" xr:uid="{AD973057-3F5F-4F54-A412-0B90144DE9F4}"/>
    <cellStyle name="60% - Énfasis2 13 3 3 2 2" xfId="52823" xr:uid="{BF4FE7AC-7115-4464-8C98-80BA30CBE3AE}"/>
    <cellStyle name="60% - Énfasis2 13 3 3 3" xfId="52822" xr:uid="{E41CBD7B-BE88-44D1-BCE4-E78042BDB3CC}"/>
    <cellStyle name="60% - Énfasis2 13 3 4" xfId="17580" xr:uid="{B9F51A0C-3740-4635-8408-41E8F5817D39}"/>
    <cellStyle name="60% - Énfasis2 13 3 4 2" xfId="52824" xr:uid="{91E0A292-10B8-4D24-A0FC-136CA17372D5}"/>
    <cellStyle name="60% - Énfasis2 13 3 5" xfId="52817" xr:uid="{40BA9354-D92C-46DD-B2D5-807C2879AD12}"/>
    <cellStyle name="60% - Énfasis2 13 4" xfId="4416" xr:uid="{0F7F8B1F-B0C6-4A2A-82F9-9E083145903F}"/>
    <cellStyle name="60% - Énfasis2 13 4 2" xfId="12124" xr:uid="{4F441DFF-E469-4718-95FF-A83BF5F69B95}"/>
    <cellStyle name="60% - Énfasis2 13 4 2 2" xfId="27536" xr:uid="{798F9195-34EE-4320-BBA8-E0C356B41632}"/>
    <cellStyle name="60% - Énfasis2 13 4 2 2 2" xfId="52827" xr:uid="{68307159-C64E-4F8B-BFAA-73DE11803F8F}"/>
    <cellStyle name="60% - Énfasis2 13 4 2 3" xfId="52826" xr:uid="{E35AD62B-8776-449F-8E78-ADFA02C34394}"/>
    <cellStyle name="60% - Énfasis2 13 4 3" xfId="19831" xr:uid="{C2FDA2BC-39FC-4131-8512-2B675BEC2813}"/>
    <cellStyle name="60% - Énfasis2 13 4 3 2" xfId="52828" xr:uid="{5266FC1A-4D64-4230-8F2B-8E150F18A669}"/>
    <cellStyle name="60% - Énfasis2 13 4 4" xfId="52825" xr:uid="{BF5F9585-927A-4EF9-8D71-26C1B56ED02D}"/>
    <cellStyle name="60% - Énfasis2 13 5" xfId="8413" xr:uid="{E5E876DC-5FA0-40AE-B967-9F0DBDD8B453}"/>
    <cellStyle name="60% - Énfasis2 13 5 2" xfId="23826" xr:uid="{B62F0ADC-2347-4A35-B6BF-82E612CED728}"/>
    <cellStyle name="60% - Énfasis2 13 5 2 2" xfId="52830" xr:uid="{859704B5-826D-45B6-8E29-53CF1345B98B}"/>
    <cellStyle name="60% - Énfasis2 13 5 3" xfId="52829" xr:uid="{7449901B-DDCB-4B5C-AC72-2A27B365B2CC}"/>
    <cellStyle name="60% - Énfasis2 13 6" xfId="16121" xr:uid="{246EBEDE-2A1F-4064-9A29-506CB3726146}"/>
    <cellStyle name="60% - Énfasis2 13 6 2" xfId="52831" xr:uid="{682C421D-0C5B-4913-99F1-F485B41D4517}"/>
    <cellStyle name="60% - Énfasis2 13 7" xfId="52800" xr:uid="{A7A525BF-52EF-42A7-8D74-3600BD7FB82F}"/>
    <cellStyle name="60% - Énfasis2 14" xfId="691" xr:uid="{11585AA5-5247-4480-88B3-2916BF2F521F}"/>
    <cellStyle name="60% - Énfasis2 14 2" xfId="1352" xr:uid="{3E564755-93DB-4AF2-9AA1-721E52F18049}"/>
    <cellStyle name="60% - Énfasis2 14 2 2" xfId="2819" xr:uid="{3EEF4D1B-0421-4C19-AD3B-573402922228}"/>
    <cellStyle name="60% - Énfasis2 14 2 2 2" xfId="6551" xr:uid="{29893C80-D7A2-4BC1-BB2B-849F155ED714}"/>
    <cellStyle name="60% - Énfasis2 14 2 2 2 2" xfId="14259" xr:uid="{CEB06C36-E523-43D4-AA16-755D26F44B2A}"/>
    <cellStyle name="60% - Énfasis2 14 2 2 2 2 2" xfId="29671" xr:uid="{C17BB4E9-846C-4297-8319-08ADF8908954}"/>
    <cellStyle name="60% - Énfasis2 14 2 2 2 2 2 2" xfId="52837" xr:uid="{42DC289B-7ECC-48C2-85AB-2F66D81792EE}"/>
    <cellStyle name="60% - Énfasis2 14 2 2 2 2 3" xfId="52836" xr:uid="{FCE03362-6F14-4BAD-8AC2-65CC1BB869A8}"/>
    <cellStyle name="60% - Énfasis2 14 2 2 2 3" xfId="21966" xr:uid="{7BD492FD-14D1-4F58-B6D7-8A51F4E78F79}"/>
    <cellStyle name="60% - Énfasis2 14 2 2 2 3 2" xfId="52838" xr:uid="{F13DA02F-3BC8-440C-BC63-A3F5F9D6163A}"/>
    <cellStyle name="60% - Énfasis2 14 2 2 2 4" xfId="52835" xr:uid="{2272024D-4C27-4DB7-BE1B-CEC8B000AD8F}"/>
    <cellStyle name="60% - Énfasis2 14 2 2 3" xfId="10530" xr:uid="{F25629D2-F8D9-4E33-AB92-5CDFF0CBD117}"/>
    <cellStyle name="60% - Énfasis2 14 2 2 3 2" xfId="25943" xr:uid="{52054271-C3E1-4B94-878C-8CB4828DF29A}"/>
    <cellStyle name="60% - Énfasis2 14 2 2 3 2 2" xfId="52840" xr:uid="{0A53B5A6-FA8F-41A2-AA82-DDC26FB6A40D}"/>
    <cellStyle name="60% - Énfasis2 14 2 2 3 3" xfId="52839" xr:uid="{851C5E89-FD0F-41DF-8C45-72306765CD2E}"/>
    <cellStyle name="60% - Énfasis2 14 2 2 4" xfId="18238" xr:uid="{11A1053D-9047-44F4-AD02-C404E21BE389}"/>
    <cellStyle name="60% - Énfasis2 14 2 2 4 2" xfId="52841" xr:uid="{21E3B7FA-6F32-4DC5-8CD5-35E1B7DFB8E2}"/>
    <cellStyle name="60% - Énfasis2 14 2 2 5" xfId="52834" xr:uid="{96907AD6-D6FA-4066-B82C-F78147A9741E}"/>
    <cellStyle name="60% - Énfasis2 14 2 3" xfId="5088" xr:uid="{72B410C6-89C2-48DC-A4C2-00B2A5B39CF7}"/>
    <cellStyle name="60% - Énfasis2 14 2 3 2" xfId="12796" xr:uid="{8B2C39FB-7A14-4086-B2CD-D7A224C6639B}"/>
    <cellStyle name="60% - Énfasis2 14 2 3 2 2" xfId="28208" xr:uid="{9E6EFF6C-8022-48F4-95A1-942D23C98FC3}"/>
    <cellStyle name="60% - Énfasis2 14 2 3 2 2 2" xfId="52844" xr:uid="{25ECC7EA-1A66-4817-81C8-BA5368891866}"/>
    <cellStyle name="60% - Énfasis2 14 2 3 2 3" xfId="52843" xr:uid="{AC8F464C-9D0E-4984-9AAF-A5A2786CA89A}"/>
    <cellStyle name="60% - Énfasis2 14 2 3 3" xfId="20503" xr:uid="{3D3309CC-DC08-40D2-A5ED-DABDEA96A1B4}"/>
    <cellStyle name="60% - Énfasis2 14 2 3 3 2" xfId="52845" xr:uid="{0221E54B-7B96-4B7E-A3BD-B578C0FA816E}"/>
    <cellStyle name="60% - Énfasis2 14 2 3 4" xfId="52842" xr:uid="{0339D165-3D7C-441D-8CB6-5C6B41CCB8A2}"/>
    <cellStyle name="60% - Énfasis2 14 2 4" xfId="9071" xr:uid="{DCA634B5-C0F2-4C65-A889-DB27EB852BBA}"/>
    <cellStyle name="60% - Énfasis2 14 2 4 2" xfId="24484" xr:uid="{9B397815-8C6D-44E8-A6F6-F0AF84E5373F}"/>
    <cellStyle name="60% - Énfasis2 14 2 4 2 2" xfId="52847" xr:uid="{0C83B5E8-1A4C-47AD-8A3B-862B488A71EC}"/>
    <cellStyle name="60% - Énfasis2 14 2 4 3" xfId="52846" xr:uid="{B8134C74-FC27-4497-8043-DA332A667F70}"/>
    <cellStyle name="60% - Énfasis2 14 2 5" xfId="16779" xr:uid="{2B065DE8-E183-4777-A103-CCB152476EF5}"/>
    <cellStyle name="60% - Énfasis2 14 2 5 2" xfId="52848" xr:uid="{372A4D29-316E-45C8-A839-3D316D107744}"/>
    <cellStyle name="60% - Énfasis2 14 2 6" xfId="52833" xr:uid="{1DE85DF7-12BC-4A8B-AB1E-31F6FDB522A0}"/>
    <cellStyle name="60% - Énfasis2 14 3" xfId="2181" xr:uid="{A7C7CFBA-FBDB-4438-98F8-7388998B455B}"/>
    <cellStyle name="60% - Énfasis2 14 3 2" xfId="5913" xr:uid="{ED0297B8-EA83-4082-A116-7A893957C0F7}"/>
    <cellStyle name="60% - Énfasis2 14 3 2 2" xfId="13621" xr:uid="{30CF0207-A88A-43D5-B0F2-25AC7BA24B38}"/>
    <cellStyle name="60% - Énfasis2 14 3 2 2 2" xfId="29033" xr:uid="{4C895DA4-ABD5-4227-BB19-DB6AA409277C}"/>
    <cellStyle name="60% - Énfasis2 14 3 2 2 2 2" xfId="52852" xr:uid="{F4B8E816-F117-4914-9BB0-49B8BE1FE3F9}"/>
    <cellStyle name="60% - Énfasis2 14 3 2 2 3" xfId="52851" xr:uid="{CF15280C-BDC4-4A73-B858-30ACA10A7ECB}"/>
    <cellStyle name="60% - Énfasis2 14 3 2 3" xfId="21328" xr:uid="{7C4D0945-8C93-4533-859E-4D79900D34FE}"/>
    <cellStyle name="60% - Énfasis2 14 3 2 3 2" xfId="52853" xr:uid="{A9C68206-2BF4-4052-A133-6D1D0E6C8A74}"/>
    <cellStyle name="60% - Énfasis2 14 3 2 4" xfId="52850" xr:uid="{2FA4A2DF-AA34-4E9C-B1B2-573AAD9DA0FD}"/>
    <cellStyle name="60% - Énfasis2 14 3 3" xfId="9892" xr:uid="{6B331184-4733-48A4-9092-30B29306399E}"/>
    <cellStyle name="60% - Énfasis2 14 3 3 2" xfId="25305" xr:uid="{23491605-E362-4018-AA9E-A65E7C3F18F8}"/>
    <cellStyle name="60% - Énfasis2 14 3 3 2 2" xfId="52855" xr:uid="{B4725277-CD4E-474B-A480-58FFB4C98F24}"/>
    <cellStyle name="60% - Énfasis2 14 3 3 3" xfId="52854" xr:uid="{5E6625BE-B4E1-440B-B01C-5F644CD2D0D4}"/>
    <cellStyle name="60% - Énfasis2 14 3 4" xfId="17600" xr:uid="{D97EC106-3115-40B1-A38E-47AA5CEE8F2A}"/>
    <cellStyle name="60% - Énfasis2 14 3 4 2" xfId="52856" xr:uid="{163B79CD-9C42-48FC-A57B-D9AF189C54B8}"/>
    <cellStyle name="60% - Énfasis2 14 3 5" xfId="52849" xr:uid="{4D7DFC0B-6E2B-480D-A6FB-8B85D1609C9C}"/>
    <cellStyle name="60% - Énfasis2 14 4" xfId="4436" xr:uid="{3ECBADB2-58CC-45FB-A070-64A9F18181FD}"/>
    <cellStyle name="60% - Énfasis2 14 4 2" xfId="12144" xr:uid="{970239C3-C63B-41A0-84CB-E692591DE260}"/>
    <cellStyle name="60% - Énfasis2 14 4 2 2" xfId="27556" xr:uid="{B757709F-3682-44DF-83F4-4F7363F2D12B}"/>
    <cellStyle name="60% - Énfasis2 14 4 2 2 2" xfId="52859" xr:uid="{47256E5A-E4DA-4EA1-974F-75C86C3B06EC}"/>
    <cellStyle name="60% - Énfasis2 14 4 2 3" xfId="52858" xr:uid="{AFC0F14F-EB05-4A65-A2D1-3CDAE25CA005}"/>
    <cellStyle name="60% - Énfasis2 14 4 3" xfId="19851" xr:uid="{BB5987B4-5390-496F-8A20-032B89F54169}"/>
    <cellStyle name="60% - Énfasis2 14 4 3 2" xfId="52860" xr:uid="{DC42FE75-707F-4C83-87D0-1BD2129C2130}"/>
    <cellStyle name="60% - Énfasis2 14 4 4" xfId="52857" xr:uid="{1F015D5D-43DB-4FD5-B33B-6C2CA3BC7C42}"/>
    <cellStyle name="60% - Énfasis2 14 5" xfId="8433" xr:uid="{82EED427-FF6E-406F-A37F-DE8A497D13BC}"/>
    <cellStyle name="60% - Énfasis2 14 5 2" xfId="23846" xr:uid="{E99AF270-C7E0-4CAA-A11A-936B6DA6912E}"/>
    <cellStyle name="60% - Énfasis2 14 5 2 2" xfId="52862" xr:uid="{912E7FD0-28EC-474A-BC50-F679EBD9DCCF}"/>
    <cellStyle name="60% - Énfasis2 14 5 3" xfId="52861" xr:uid="{4AE599BF-BE0E-4724-B54F-251AC40AB898}"/>
    <cellStyle name="60% - Énfasis2 14 6" xfId="16141" xr:uid="{6FC5E05B-0105-4DD3-B278-6E9B4C643D73}"/>
    <cellStyle name="60% - Énfasis2 14 6 2" xfId="52863" xr:uid="{5C1EFAA3-8E1F-48AC-8695-AFB627AFC25E}"/>
    <cellStyle name="60% - Énfasis2 14 7" xfId="52832" xr:uid="{53BF7509-D2AC-43BA-80DF-1E577FBEC992}"/>
    <cellStyle name="60% - Énfasis2 15" xfId="712" xr:uid="{4968E187-3701-40D3-9CC3-DD9B03870CC4}"/>
    <cellStyle name="60% - Énfasis2 15 2" xfId="1373" xr:uid="{8095D363-9EDE-4F68-BDBD-EE004E8CFCF5}"/>
    <cellStyle name="60% - Énfasis2 15 2 2" xfId="2840" xr:uid="{C9D98703-69E5-4585-A099-2F86F88D1202}"/>
    <cellStyle name="60% - Énfasis2 15 2 2 2" xfId="6572" xr:uid="{B0FB01C0-312B-4381-9E56-F8A8F83A3B45}"/>
    <cellStyle name="60% - Énfasis2 15 2 2 2 2" xfId="14280" xr:uid="{B637D44D-273C-44A8-82BC-F19985B1B457}"/>
    <cellStyle name="60% - Énfasis2 15 2 2 2 2 2" xfId="29692" xr:uid="{0C33198B-A0B4-45F5-A400-FF7F3E218C36}"/>
    <cellStyle name="60% - Énfasis2 15 2 2 2 2 2 2" xfId="52869" xr:uid="{12F9CE10-5707-4798-8732-9B913550DFEC}"/>
    <cellStyle name="60% - Énfasis2 15 2 2 2 2 3" xfId="52868" xr:uid="{750DC7E6-2311-43D5-8829-2450337114E6}"/>
    <cellStyle name="60% - Énfasis2 15 2 2 2 3" xfId="21987" xr:uid="{4A9F05AB-3DDB-4331-B796-C1D7B397DF82}"/>
    <cellStyle name="60% - Énfasis2 15 2 2 2 3 2" xfId="52870" xr:uid="{AC9DD164-2218-46B9-B0B8-0EC5C000D2C2}"/>
    <cellStyle name="60% - Énfasis2 15 2 2 2 4" xfId="52867" xr:uid="{D61DA9C5-C93F-4648-97C5-DFC0802191C2}"/>
    <cellStyle name="60% - Énfasis2 15 2 2 3" xfId="10551" xr:uid="{861E0056-835C-411C-A17D-E8F22D41462E}"/>
    <cellStyle name="60% - Énfasis2 15 2 2 3 2" xfId="25964" xr:uid="{234EC2D8-68E6-4595-8B08-B061AEF93521}"/>
    <cellStyle name="60% - Énfasis2 15 2 2 3 2 2" xfId="52872" xr:uid="{0A8B134A-C7BE-4A8B-86F6-A14030943A7F}"/>
    <cellStyle name="60% - Énfasis2 15 2 2 3 3" xfId="52871" xr:uid="{ECD50D99-A31C-478B-B1A5-6AA232FDB63E}"/>
    <cellStyle name="60% - Énfasis2 15 2 2 4" xfId="18259" xr:uid="{2CE8DC08-54A0-4A6D-8A43-B0BBD5F38450}"/>
    <cellStyle name="60% - Énfasis2 15 2 2 4 2" xfId="52873" xr:uid="{86123D53-EA2E-41D9-AFA9-57BB321F00AA}"/>
    <cellStyle name="60% - Énfasis2 15 2 2 5" xfId="52866" xr:uid="{2E1884D0-5699-4047-A691-5A3937E1C885}"/>
    <cellStyle name="60% - Énfasis2 15 2 3" xfId="5109" xr:uid="{9A72BD1F-9F07-497C-8A4D-9E4CECC9314E}"/>
    <cellStyle name="60% - Énfasis2 15 2 3 2" xfId="12817" xr:uid="{B84D3E15-84EA-4E72-9DD2-87CB2E289BE7}"/>
    <cellStyle name="60% - Énfasis2 15 2 3 2 2" xfId="28229" xr:uid="{A7EE34AE-F75B-4DDB-B613-FA5C0E749CD0}"/>
    <cellStyle name="60% - Énfasis2 15 2 3 2 2 2" xfId="52876" xr:uid="{1EFFF4D4-2F37-4165-BB13-AC0B63F3F9A0}"/>
    <cellStyle name="60% - Énfasis2 15 2 3 2 3" xfId="52875" xr:uid="{5609E24C-6824-45B6-8743-CD918FB9E4A9}"/>
    <cellStyle name="60% - Énfasis2 15 2 3 3" xfId="20524" xr:uid="{09A93E37-3FA0-4AE7-8AEF-3F4430A0A40B}"/>
    <cellStyle name="60% - Énfasis2 15 2 3 3 2" xfId="52877" xr:uid="{FEFCB49D-FC8E-4345-9CA1-A7E6CCE05A2F}"/>
    <cellStyle name="60% - Énfasis2 15 2 3 4" xfId="52874" xr:uid="{E629A05A-1D0D-4A46-BE6C-5EA6A13BFAEE}"/>
    <cellStyle name="60% - Énfasis2 15 2 4" xfId="9092" xr:uid="{25087E25-0F1B-416C-9CCE-5AC7963A7101}"/>
    <cellStyle name="60% - Énfasis2 15 2 4 2" xfId="24505" xr:uid="{13AD2F41-D90D-4CB5-B8A2-32C7C9B46591}"/>
    <cellStyle name="60% - Énfasis2 15 2 4 2 2" xfId="52879" xr:uid="{382C195E-530E-4C31-834C-9B5FF46703B1}"/>
    <cellStyle name="60% - Énfasis2 15 2 4 3" xfId="52878" xr:uid="{02B2AF60-EEDC-4D9D-94B9-9177184390CF}"/>
    <cellStyle name="60% - Énfasis2 15 2 5" xfId="16800" xr:uid="{DBED00C0-69C3-4F8A-B1B7-37BAD4F93B73}"/>
    <cellStyle name="60% - Énfasis2 15 2 5 2" xfId="52880" xr:uid="{D7CBBAC6-0D25-4DDC-A61E-E8D92490F6BC}"/>
    <cellStyle name="60% - Énfasis2 15 2 6" xfId="52865" xr:uid="{85D6C64A-37D3-4FA4-A527-93A19269E23C}"/>
    <cellStyle name="60% - Énfasis2 15 3" xfId="2202" xr:uid="{8B5D5601-86B5-49BE-977B-7A49AC15B70F}"/>
    <cellStyle name="60% - Énfasis2 15 3 2" xfId="5934" xr:uid="{2B27B7BD-6C01-4B9B-A55A-90AD1BAC824B}"/>
    <cellStyle name="60% - Énfasis2 15 3 2 2" xfId="13642" xr:uid="{3F72CA98-CAFA-49D1-9873-721D5B6888F1}"/>
    <cellStyle name="60% - Énfasis2 15 3 2 2 2" xfId="29054" xr:uid="{6EF171EE-958B-481F-8F3D-D84C70B3229D}"/>
    <cellStyle name="60% - Énfasis2 15 3 2 2 2 2" xfId="52884" xr:uid="{4C54D3E8-0A9D-46E6-87C3-BE3314A5108E}"/>
    <cellStyle name="60% - Énfasis2 15 3 2 2 3" xfId="52883" xr:uid="{2A06CA0B-AC68-46C0-BF25-B19D07789F90}"/>
    <cellStyle name="60% - Énfasis2 15 3 2 3" xfId="21349" xr:uid="{DF31EBB1-9FA4-4870-A3F9-856C668287F2}"/>
    <cellStyle name="60% - Énfasis2 15 3 2 3 2" xfId="52885" xr:uid="{D6D2A00C-46C3-4707-A3D1-94B32BEF670F}"/>
    <cellStyle name="60% - Énfasis2 15 3 2 4" xfId="52882" xr:uid="{7AB9B53D-3417-4DC2-AAF0-0ABFE5794696}"/>
    <cellStyle name="60% - Énfasis2 15 3 3" xfId="9913" xr:uid="{8C9E5C8D-B14A-45D0-B8F0-79F646004DA5}"/>
    <cellStyle name="60% - Énfasis2 15 3 3 2" xfId="25326" xr:uid="{900B9FEF-4B05-41AB-A401-C932E289B1CA}"/>
    <cellStyle name="60% - Énfasis2 15 3 3 2 2" xfId="52887" xr:uid="{E4E93E5D-8A00-48CE-8188-359BD866D116}"/>
    <cellStyle name="60% - Énfasis2 15 3 3 3" xfId="52886" xr:uid="{8618411B-AE5F-4869-9BB8-43EB1AE966EA}"/>
    <cellStyle name="60% - Énfasis2 15 3 4" xfId="17621" xr:uid="{6F50159F-7A2E-4DC9-92F4-A585A80208CA}"/>
    <cellStyle name="60% - Énfasis2 15 3 4 2" xfId="52888" xr:uid="{A50F720D-481A-4280-ABA0-6E1BBA536089}"/>
    <cellStyle name="60% - Énfasis2 15 3 5" xfId="52881" xr:uid="{4A0F7629-84D6-453F-82BE-61D51F48AE11}"/>
    <cellStyle name="60% - Énfasis2 15 4" xfId="4457" xr:uid="{84F7FB1B-C850-4AB5-8915-231F239468D9}"/>
    <cellStyle name="60% - Énfasis2 15 4 2" xfId="12165" xr:uid="{1436A24A-0883-4F79-A279-FCD0B84B1C7C}"/>
    <cellStyle name="60% - Énfasis2 15 4 2 2" xfId="27577" xr:uid="{00B52C0C-8199-4E39-B6E2-9B0D2E9CDAA7}"/>
    <cellStyle name="60% - Énfasis2 15 4 2 2 2" xfId="52891" xr:uid="{0D2B98E0-3B5D-4846-863D-51F1B72F56AC}"/>
    <cellStyle name="60% - Énfasis2 15 4 2 3" xfId="52890" xr:uid="{A750A1F1-DB7F-4AF3-9172-EE4EA17746BF}"/>
    <cellStyle name="60% - Énfasis2 15 4 3" xfId="19872" xr:uid="{7F3EC161-E601-4011-9FAA-CBD7EAADB07E}"/>
    <cellStyle name="60% - Énfasis2 15 4 3 2" xfId="52892" xr:uid="{12BAB107-313B-4C9D-8FAB-AC0027185772}"/>
    <cellStyle name="60% - Énfasis2 15 4 4" xfId="52889" xr:uid="{B00F1F1B-190A-427A-B455-4B6D44371ADD}"/>
    <cellStyle name="60% - Énfasis2 15 5" xfId="8454" xr:uid="{AA385FD8-FE22-4F10-B0B0-3B0B1F7B39D7}"/>
    <cellStyle name="60% - Énfasis2 15 5 2" xfId="23867" xr:uid="{FD68A124-15B9-4171-AF29-5B962A3F5BC3}"/>
    <cellStyle name="60% - Énfasis2 15 5 2 2" xfId="52894" xr:uid="{32DF4983-1750-45A2-8674-496CE244EE32}"/>
    <cellStyle name="60% - Énfasis2 15 5 3" xfId="52893" xr:uid="{89339F51-4FE5-4BB8-B88F-7BD0F64FA8C9}"/>
    <cellStyle name="60% - Énfasis2 15 6" xfId="16162" xr:uid="{E0EBE9CE-5CDD-479F-BD1E-C9323841CDEF}"/>
    <cellStyle name="60% - Énfasis2 15 6 2" xfId="52895" xr:uid="{B5542E38-BE56-4536-BDBF-0186854F9605}"/>
    <cellStyle name="60% - Énfasis2 15 7" xfId="52864" xr:uid="{348E50FC-8981-477F-B10D-2364239D3067}"/>
    <cellStyle name="60% - Énfasis2 16" xfId="732" xr:uid="{4D8BA8D4-3532-4948-A9AA-59FB482A4AAD}"/>
    <cellStyle name="60% - Énfasis2 16 2" xfId="1393" xr:uid="{F8848D1F-A48F-4F84-81EC-6AB426421126}"/>
    <cellStyle name="60% - Énfasis2 16 2 2" xfId="2860" xr:uid="{BB3A6A9F-0F65-46E5-88E2-6BD5B6568DF9}"/>
    <cellStyle name="60% - Énfasis2 16 2 2 2" xfId="6592" xr:uid="{B7909E98-96B0-4815-B64C-FC119EC4EE6F}"/>
    <cellStyle name="60% - Énfasis2 16 2 2 2 2" xfId="14300" xr:uid="{837A8A40-2E8E-4199-80E9-75C1B683AA9B}"/>
    <cellStyle name="60% - Énfasis2 16 2 2 2 2 2" xfId="29712" xr:uid="{3836D05D-33DC-496C-B37E-693EDFB062FA}"/>
    <cellStyle name="60% - Énfasis2 16 2 2 2 2 2 2" xfId="52901" xr:uid="{0763B499-EB29-4E7E-87BF-67941200DA25}"/>
    <cellStyle name="60% - Énfasis2 16 2 2 2 2 3" xfId="52900" xr:uid="{727264A4-AA52-420E-8CB5-29A53BA4DAC0}"/>
    <cellStyle name="60% - Énfasis2 16 2 2 2 3" xfId="22007" xr:uid="{A2AAF916-E9C9-4320-8F94-E5D0A2B36F39}"/>
    <cellStyle name="60% - Énfasis2 16 2 2 2 3 2" xfId="52902" xr:uid="{4D41E41F-656D-4607-927E-0FE6B2245B1D}"/>
    <cellStyle name="60% - Énfasis2 16 2 2 2 4" xfId="52899" xr:uid="{30BC3C11-129F-4A1E-AA14-9C931D2A546F}"/>
    <cellStyle name="60% - Énfasis2 16 2 2 3" xfId="10571" xr:uid="{74808F6B-355D-4370-86F7-95C8B9736C7E}"/>
    <cellStyle name="60% - Énfasis2 16 2 2 3 2" xfId="25984" xr:uid="{127154DC-DF49-4D5D-8991-24A93419FFA6}"/>
    <cellStyle name="60% - Énfasis2 16 2 2 3 2 2" xfId="52904" xr:uid="{3872AA1D-CA04-4463-8324-9A70C3651BD0}"/>
    <cellStyle name="60% - Énfasis2 16 2 2 3 3" xfId="52903" xr:uid="{74E563DD-1E33-4C1D-B05B-579AADC18E11}"/>
    <cellStyle name="60% - Énfasis2 16 2 2 4" xfId="18279" xr:uid="{D0E0B316-16D9-4010-8EE1-39A61CE0047E}"/>
    <cellStyle name="60% - Énfasis2 16 2 2 4 2" xfId="52905" xr:uid="{7A82CC5B-A448-4688-A83A-256A813E3DEF}"/>
    <cellStyle name="60% - Énfasis2 16 2 2 5" xfId="52898" xr:uid="{6B900B56-1D10-4B2F-A511-9A4A621822F9}"/>
    <cellStyle name="60% - Énfasis2 16 2 3" xfId="5129" xr:uid="{3694B79A-E73C-4054-B55A-1E5BF850E5CB}"/>
    <cellStyle name="60% - Énfasis2 16 2 3 2" xfId="12837" xr:uid="{CC98CCE8-26AE-4BA3-8AF8-2BA6FA714D6C}"/>
    <cellStyle name="60% - Énfasis2 16 2 3 2 2" xfId="28249" xr:uid="{224E5830-75E3-453A-ABDD-DA561B4A817C}"/>
    <cellStyle name="60% - Énfasis2 16 2 3 2 2 2" xfId="52908" xr:uid="{A8A1A088-356B-4E66-AEBB-90DE033E4B52}"/>
    <cellStyle name="60% - Énfasis2 16 2 3 2 3" xfId="52907" xr:uid="{0C62E05F-4004-411B-A852-EC3C1C4D6409}"/>
    <cellStyle name="60% - Énfasis2 16 2 3 3" xfId="20544" xr:uid="{B587DCC2-9896-4391-9E1E-CE2ED6125DA5}"/>
    <cellStyle name="60% - Énfasis2 16 2 3 3 2" xfId="52909" xr:uid="{980F062D-0D91-4D53-8C42-467B822BFF8F}"/>
    <cellStyle name="60% - Énfasis2 16 2 3 4" xfId="52906" xr:uid="{86E3BFB1-DB26-4C37-82D5-C1F885C69B0F}"/>
    <cellStyle name="60% - Énfasis2 16 2 4" xfId="9112" xr:uid="{555860E1-B9F5-4800-A956-87088345957F}"/>
    <cellStyle name="60% - Énfasis2 16 2 4 2" xfId="24525" xr:uid="{A0A1233F-E48D-48E3-BAFA-490B90B59A8D}"/>
    <cellStyle name="60% - Énfasis2 16 2 4 2 2" xfId="52911" xr:uid="{057FF781-C809-4B72-9A23-CC57E6E32A42}"/>
    <cellStyle name="60% - Énfasis2 16 2 4 3" xfId="52910" xr:uid="{BD2CF0FC-62E6-4AB6-8BA0-4B9DBFA0AD7D}"/>
    <cellStyle name="60% - Énfasis2 16 2 5" xfId="16820" xr:uid="{C2EC8790-3B97-4A0D-A28E-967E91708146}"/>
    <cellStyle name="60% - Énfasis2 16 2 5 2" xfId="52912" xr:uid="{F2931F08-3A57-4DA5-AC38-11DB40B06B7E}"/>
    <cellStyle name="60% - Énfasis2 16 2 6" xfId="52897" xr:uid="{5F553C2E-1544-4947-8D8A-30CB900E3EBE}"/>
    <cellStyle name="60% - Énfasis2 16 3" xfId="2222" xr:uid="{38567684-312B-4D6B-8F09-925C1A577ABC}"/>
    <cellStyle name="60% - Énfasis2 16 3 2" xfId="5954" xr:uid="{3DDDB6E5-BC13-41AA-878E-0D296D2A9948}"/>
    <cellStyle name="60% - Énfasis2 16 3 2 2" xfId="13662" xr:uid="{76BADDB2-0C11-4C33-9D39-B07232F332C8}"/>
    <cellStyle name="60% - Énfasis2 16 3 2 2 2" xfId="29074" xr:uid="{83F95600-6AAF-45A9-9ACD-3ADD1BDC7467}"/>
    <cellStyle name="60% - Énfasis2 16 3 2 2 2 2" xfId="52916" xr:uid="{10319A85-1E82-4E7A-AEDE-BC6DC23EEA58}"/>
    <cellStyle name="60% - Énfasis2 16 3 2 2 3" xfId="52915" xr:uid="{6E2467E6-54A9-45C2-AD9F-7B17FB1A06B7}"/>
    <cellStyle name="60% - Énfasis2 16 3 2 3" xfId="21369" xr:uid="{4D0A6978-A6C4-4A12-9CC7-83AAE0A8884A}"/>
    <cellStyle name="60% - Énfasis2 16 3 2 3 2" xfId="52917" xr:uid="{04826F30-B69D-4690-AC82-DA12A56D4972}"/>
    <cellStyle name="60% - Énfasis2 16 3 2 4" xfId="52914" xr:uid="{06B56C68-920E-4EE7-8527-893ADE48ED03}"/>
    <cellStyle name="60% - Énfasis2 16 3 3" xfId="9933" xr:uid="{414DA7D6-5B71-4F56-97C1-86FDDC0BA422}"/>
    <cellStyle name="60% - Énfasis2 16 3 3 2" xfId="25346" xr:uid="{E95A4ADB-ADEC-4FE1-A074-958EEBD3B3B0}"/>
    <cellStyle name="60% - Énfasis2 16 3 3 2 2" xfId="52919" xr:uid="{4133FEEF-E7AC-49DA-8629-F67BCFD8CE61}"/>
    <cellStyle name="60% - Énfasis2 16 3 3 3" xfId="52918" xr:uid="{4B918B10-99C6-4334-B0D7-C233D312257A}"/>
    <cellStyle name="60% - Énfasis2 16 3 4" xfId="17641" xr:uid="{3BFE0AFD-00BF-4E4C-883C-5E6EC7D81C0E}"/>
    <cellStyle name="60% - Énfasis2 16 3 4 2" xfId="52920" xr:uid="{B4914394-EE94-4FE6-8108-1F232775B6D5}"/>
    <cellStyle name="60% - Énfasis2 16 3 5" xfId="52913" xr:uid="{08777361-41BF-4FF8-8E4E-2E6B76709937}"/>
    <cellStyle name="60% - Énfasis2 16 4" xfId="4477" xr:uid="{7810F988-25E8-4F30-95D4-EB71A201735E}"/>
    <cellStyle name="60% - Énfasis2 16 4 2" xfId="12185" xr:uid="{A5446B7C-DDE0-42A4-96A2-795752C880EF}"/>
    <cellStyle name="60% - Énfasis2 16 4 2 2" xfId="27597" xr:uid="{BEBC790C-6941-49AA-B160-DA7D4A3C0116}"/>
    <cellStyle name="60% - Énfasis2 16 4 2 2 2" xfId="52923" xr:uid="{0C4C97DA-126B-46B2-8EB5-D99C4B2226A1}"/>
    <cellStyle name="60% - Énfasis2 16 4 2 3" xfId="52922" xr:uid="{1F3DA750-5214-4C83-A3AA-FA8B8A3A3009}"/>
    <cellStyle name="60% - Énfasis2 16 4 3" xfId="19892" xr:uid="{0B522501-0AE3-44F2-867D-0671BE3B46B9}"/>
    <cellStyle name="60% - Énfasis2 16 4 3 2" xfId="52924" xr:uid="{9D8D47F7-5EE3-4DC8-802B-85C1CA80D24D}"/>
    <cellStyle name="60% - Énfasis2 16 4 4" xfId="52921" xr:uid="{26C463E3-A2E5-4156-8E24-567F1DC902B5}"/>
    <cellStyle name="60% - Énfasis2 16 5" xfId="8474" xr:uid="{E6545594-6061-4BE1-A98A-38DCD775BE9F}"/>
    <cellStyle name="60% - Énfasis2 16 5 2" xfId="23887" xr:uid="{0C4F653B-1F5F-4199-AB0F-78B67E251970}"/>
    <cellStyle name="60% - Énfasis2 16 5 2 2" xfId="52926" xr:uid="{0F87D82F-644B-493F-8697-23AD75263C71}"/>
    <cellStyle name="60% - Énfasis2 16 5 3" xfId="52925" xr:uid="{27F1A1BE-F82F-41A7-8D30-8A00FD5698D3}"/>
    <cellStyle name="60% - Énfasis2 16 6" xfId="16182" xr:uid="{61FAD766-52DD-451C-856D-25F678AD8BE4}"/>
    <cellStyle name="60% - Énfasis2 16 6 2" xfId="52927" xr:uid="{2440ED0A-C168-4C8D-BCCD-9514D3F816FC}"/>
    <cellStyle name="60% - Énfasis2 16 7" xfId="52896" xr:uid="{0129647D-7001-4281-93B3-D5C511A9B04E}"/>
    <cellStyle name="60% - Énfasis2 17" xfId="752" xr:uid="{27BEE5B7-B917-4716-82AC-7AC6D9B4ECCC}"/>
    <cellStyle name="60% - Énfasis2 17 2" xfId="1413" xr:uid="{A68CD92B-5745-4E23-93DF-2E48F305F03F}"/>
    <cellStyle name="60% - Énfasis2 17 2 2" xfId="2880" xr:uid="{ADB29E89-7DF8-439F-82CF-0154D85F9047}"/>
    <cellStyle name="60% - Énfasis2 17 2 2 2" xfId="6612" xr:uid="{A616922D-920B-4C89-B534-CCB663C45D63}"/>
    <cellStyle name="60% - Énfasis2 17 2 2 2 2" xfId="14320" xr:uid="{DA9C5E5C-04D9-462B-91A1-670B093BA667}"/>
    <cellStyle name="60% - Énfasis2 17 2 2 2 2 2" xfId="29732" xr:uid="{9E25E8DD-B944-4EF3-ADBC-F18492707964}"/>
    <cellStyle name="60% - Énfasis2 17 2 2 2 2 2 2" xfId="52933" xr:uid="{B0153E7C-2A59-46D5-A55C-7989AEDA4FE4}"/>
    <cellStyle name="60% - Énfasis2 17 2 2 2 2 3" xfId="52932" xr:uid="{B6B62C18-5C8F-4C8E-8694-44C0930553B7}"/>
    <cellStyle name="60% - Énfasis2 17 2 2 2 3" xfId="22027" xr:uid="{76A1DF2B-A55B-40EA-B392-1BC96EA53214}"/>
    <cellStyle name="60% - Énfasis2 17 2 2 2 3 2" xfId="52934" xr:uid="{48365DB9-A729-4493-9FAC-5E312A732163}"/>
    <cellStyle name="60% - Énfasis2 17 2 2 2 4" xfId="52931" xr:uid="{3D430B82-65E2-47EC-A642-DFA318E5C4B3}"/>
    <cellStyle name="60% - Énfasis2 17 2 2 3" xfId="10591" xr:uid="{45C40D18-CFB1-4D34-9E91-8D31948123B9}"/>
    <cellStyle name="60% - Énfasis2 17 2 2 3 2" xfId="26004" xr:uid="{203B9255-60ED-4F03-BEB8-433E24E8AB21}"/>
    <cellStyle name="60% - Énfasis2 17 2 2 3 2 2" xfId="52936" xr:uid="{58724A45-FF92-4177-A34E-8B58C181B6C3}"/>
    <cellStyle name="60% - Énfasis2 17 2 2 3 3" xfId="52935" xr:uid="{4B456293-9F1E-4B60-BA7F-307C3050A768}"/>
    <cellStyle name="60% - Énfasis2 17 2 2 4" xfId="18299" xr:uid="{E7072D07-61AF-4FB0-AEFD-B55A3349877D}"/>
    <cellStyle name="60% - Énfasis2 17 2 2 4 2" xfId="52937" xr:uid="{4ED6C22A-DCC5-4919-A1FE-F81700AA111E}"/>
    <cellStyle name="60% - Énfasis2 17 2 2 5" xfId="52930" xr:uid="{833C8C32-6964-45D9-AD12-E4D8A93E92C9}"/>
    <cellStyle name="60% - Énfasis2 17 2 3" xfId="5149" xr:uid="{6EF6BCE7-CB41-4859-A42F-2A145EB6FFD5}"/>
    <cellStyle name="60% - Énfasis2 17 2 3 2" xfId="12857" xr:uid="{B0594D22-A1D2-439C-AC79-363D46A5201A}"/>
    <cellStyle name="60% - Énfasis2 17 2 3 2 2" xfId="28269" xr:uid="{3CE18F87-3629-4704-AB6B-F24471DBAA75}"/>
    <cellStyle name="60% - Énfasis2 17 2 3 2 2 2" xfId="52940" xr:uid="{D315ABFB-0824-48A0-8ECA-BC69EA2A4C78}"/>
    <cellStyle name="60% - Énfasis2 17 2 3 2 3" xfId="52939" xr:uid="{D5AF895D-9B7B-47A0-A010-F7A9CAE354CC}"/>
    <cellStyle name="60% - Énfasis2 17 2 3 3" xfId="20564" xr:uid="{7A0358CB-2682-40C9-A792-432E43B30D7E}"/>
    <cellStyle name="60% - Énfasis2 17 2 3 3 2" xfId="52941" xr:uid="{062FC1A2-9CFE-4E98-92AD-193F47F47EC9}"/>
    <cellStyle name="60% - Énfasis2 17 2 3 4" xfId="52938" xr:uid="{BC070988-9D05-471E-849A-152F0BD875F8}"/>
    <cellStyle name="60% - Énfasis2 17 2 4" xfId="9132" xr:uid="{4A90FC27-E742-4039-ADEE-776C142EF18D}"/>
    <cellStyle name="60% - Énfasis2 17 2 4 2" xfId="24545" xr:uid="{E386DE92-5614-4DD6-93C9-8829DF739656}"/>
    <cellStyle name="60% - Énfasis2 17 2 4 2 2" xfId="52943" xr:uid="{A8E823E6-EE55-4A05-861E-15F8C12AC067}"/>
    <cellStyle name="60% - Énfasis2 17 2 4 3" xfId="52942" xr:uid="{D6755C2F-F2EC-4CD9-BA96-B78CD2C66A6D}"/>
    <cellStyle name="60% - Énfasis2 17 2 5" xfId="16840" xr:uid="{2CDFD52D-456B-4420-872E-EB8DCF41CCBF}"/>
    <cellStyle name="60% - Énfasis2 17 2 5 2" xfId="52944" xr:uid="{143F9A4A-4A46-4351-BE97-12A304EEA098}"/>
    <cellStyle name="60% - Énfasis2 17 2 6" xfId="52929" xr:uid="{DF5C2B55-7E8C-4A8A-AA0A-DBA97B88AFC4}"/>
    <cellStyle name="60% - Énfasis2 17 3" xfId="2242" xr:uid="{44E27EC6-6570-45DC-A737-5E72901D7A45}"/>
    <cellStyle name="60% - Énfasis2 17 3 2" xfId="5974" xr:uid="{A89E50EF-3ACF-4D42-8A12-E46EA154EFAA}"/>
    <cellStyle name="60% - Énfasis2 17 3 2 2" xfId="13682" xr:uid="{44F2D177-4563-4B14-AF5B-520B3861E238}"/>
    <cellStyle name="60% - Énfasis2 17 3 2 2 2" xfId="29094" xr:uid="{EA2EC457-0E18-4042-ADD3-0F6828A32F52}"/>
    <cellStyle name="60% - Énfasis2 17 3 2 2 2 2" xfId="52948" xr:uid="{3080A696-825C-48F4-8A65-3A9880CC589E}"/>
    <cellStyle name="60% - Énfasis2 17 3 2 2 3" xfId="52947" xr:uid="{8272A387-8705-40D3-9E13-2A1D8C829D33}"/>
    <cellStyle name="60% - Énfasis2 17 3 2 3" xfId="21389" xr:uid="{538F4242-B1CD-47F4-8582-DBBC995B23FE}"/>
    <cellStyle name="60% - Énfasis2 17 3 2 3 2" xfId="52949" xr:uid="{AD23FA97-EDB0-4A47-A793-ADA335C49AB2}"/>
    <cellStyle name="60% - Énfasis2 17 3 2 4" xfId="52946" xr:uid="{AF0C335E-25C7-48DB-8E72-42E15BA17172}"/>
    <cellStyle name="60% - Énfasis2 17 3 3" xfId="9953" xr:uid="{099FA8E6-3A73-47D5-B3C4-8AE4CE11D8B7}"/>
    <cellStyle name="60% - Énfasis2 17 3 3 2" xfId="25366" xr:uid="{F345AE1A-8532-40A1-ABE6-D1ECBA6510F1}"/>
    <cellStyle name="60% - Énfasis2 17 3 3 2 2" xfId="52951" xr:uid="{EF1D6022-15EC-46B7-A505-63E5D560F4F3}"/>
    <cellStyle name="60% - Énfasis2 17 3 3 3" xfId="52950" xr:uid="{688DF4F6-99CE-4BD5-8CB6-90F93869A88A}"/>
    <cellStyle name="60% - Énfasis2 17 3 4" xfId="17661" xr:uid="{9ADAEEBC-B193-4BF7-B9DA-8BD588EE3850}"/>
    <cellStyle name="60% - Énfasis2 17 3 4 2" xfId="52952" xr:uid="{917D01C2-317D-4179-A6DB-3B499C1B4EEE}"/>
    <cellStyle name="60% - Énfasis2 17 3 5" xfId="52945" xr:uid="{2BFF52E8-E231-4E78-83D0-6BC68A8447C8}"/>
    <cellStyle name="60% - Énfasis2 17 4" xfId="4497" xr:uid="{E9580474-9B0D-4CBB-A48A-D726A8AAF92B}"/>
    <cellStyle name="60% - Énfasis2 17 4 2" xfId="12205" xr:uid="{A0A64850-263F-4787-AD3E-9071BEC41F34}"/>
    <cellStyle name="60% - Énfasis2 17 4 2 2" xfId="27617" xr:uid="{F7F8492E-E973-47F3-B454-790240F6E864}"/>
    <cellStyle name="60% - Énfasis2 17 4 2 2 2" xfId="52955" xr:uid="{D70AC688-0271-4B63-A78D-B723FA2DECDD}"/>
    <cellStyle name="60% - Énfasis2 17 4 2 3" xfId="52954" xr:uid="{BAA03B3C-74F9-4933-A604-6BED2D5F1118}"/>
    <cellStyle name="60% - Énfasis2 17 4 3" xfId="19912" xr:uid="{E4328EF6-E43E-4712-9DF2-FEB65454E876}"/>
    <cellStyle name="60% - Énfasis2 17 4 3 2" xfId="52956" xr:uid="{834E016F-AE62-4E0D-A245-D2A1B11D8B83}"/>
    <cellStyle name="60% - Énfasis2 17 4 4" xfId="52953" xr:uid="{5C61EE2D-3EE6-4E6B-B460-0B1669F6A8F7}"/>
    <cellStyle name="60% - Énfasis2 17 5" xfId="8494" xr:uid="{58536662-72A8-4021-B142-CE3AB6123920}"/>
    <cellStyle name="60% - Énfasis2 17 5 2" xfId="23907" xr:uid="{933B4238-A4F0-45BF-8C87-71EEFC6D24CE}"/>
    <cellStyle name="60% - Énfasis2 17 5 2 2" xfId="52958" xr:uid="{2B1CA145-680D-4769-B3FD-988EAE869AC7}"/>
    <cellStyle name="60% - Énfasis2 17 5 3" xfId="52957" xr:uid="{F61338D0-4E85-46EE-9219-A1631F8072D7}"/>
    <cellStyle name="60% - Énfasis2 17 6" xfId="16202" xr:uid="{9E0ABF30-854D-4638-9215-947C010E870D}"/>
    <cellStyle name="60% - Énfasis2 17 6 2" xfId="52959" xr:uid="{49375BE5-B831-4E19-9B52-F1E1EA102505}"/>
    <cellStyle name="60% - Énfasis2 17 7" xfId="52928" xr:uid="{8FDC34CB-925C-4692-9990-7F726F159C91}"/>
    <cellStyle name="60% - Énfasis2 18" xfId="771" xr:uid="{18A66004-F2FC-4C65-8547-2EB188FF4B13}"/>
    <cellStyle name="60% - Énfasis2 18 2" xfId="2261" xr:uid="{526FCDFF-1E70-4507-9039-B6CCEDB75E86}"/>
    <cellStyle name="60% - Énfasis2 18 2 2" xfId="5993" xr:uid="{A6CA7E59-71DB-4901-A128-E4790089DC58}"/>
    <cellStyle name="60% - Énfasis2 18 2 2 2" xfId="13701" xr:uid="{94DE0BC7-70A5-4C79-B15B-3D56CB891C82}"/>
    <cellStyle name="60% - Énfasis2 18 2 2 2 2" xfId="29113" xr:uid="{21B4DD48-7E3C-46DE-B531-9318422FB4BD}"/>
    <cellStyle name="60% - Énfasis2 18 2 2 2 2 2" xfId="52964" xr:uid="{F7CDD4CC-3E4F-450C-ACA3-AF23962B6678}"/>
    <cellStyle name="60% - Énfasis2 18 2 2 2 3" xfId="52963" xr:uid="{12970C0F-99B6-432F-9F4F-66739335EDA6}"/>
    <cellStyle name="60% - Énfasis2 18 2 2 3" xfId="21408" xr:uid="{1EB44F04-C2AF-462A-A56A-25C96EB267EC}"/>
    <cellStyle name="60% - Énfasis2 18 2 2 3 2" xfId="52965" xr:uid="{59983878-D327-403C-97CA-EB0D7370904A}"/>
    <cellStyle name="60% - Énfasis2 18 2 2 4" xfId="52962" xr:uid="{25719BC9-7160-4AFB-8ECE-159181A205E4}"/>
    <cellStyle name="60% - Énfasis2 18 2 3" xfId="9972" xr:uid="{618DEF3D-2B5D-4840-864A-77BE74C0A6AD}"/>
    <cellStyle name="60% - Énfasis2 18 2 3 2" xfId="25385" xr:uid="{AD2A40C4-5A16-4279-B467-2756B3C99A32}"/>
    <cellStyle name="60% - Énfasis2 18 2 3 2 2" xfId="52967" xr:uid="{1973A716-E4EA-4247-B0C5-819C25EFDDB4}"/>
    <cellStyle name="60% - Énfasis2 18 2 3 3" xfId="52966" xr:uid="{F2CAD414-3FB3-4E26-A0A4-C6988F770024}"/>
    <cellStyle name="60% - Énfasis2 18 2 4" xfId="17680" xr:uid="{56E9AE4D-E7A1-4A09-BA2B-6CB232C7DBDB}"/>
    <cellStyle name="60% - Énfasis2 18 2 4 2" xfId="52968" xr:uid="{FFA43F51-3E02-42D0-8996-160626BC7893}"/>
    <cellStyle name="60% - Énfasis2 18 2 5" xfId="52961" xr:uid="{CB46E0AA-ECEC-4989-A12D-CA9EF17881F5}"/>
    <cellStyle name="60% - Énfasis2 18 3" xfId="4516" xr:uid="{943F9A28-9EA5-46F9-8231-B68211DAA6EC}"/>
    <cellStyle name="60% - Énfasis2 18 3 2" xfId="12224" xr:uid="{7E8C3C67-83DF-44BF-AAEB-426393666E8D}"/>
    <cellStyle name="60% - Énfasis2 18 3 2 2" xfId="27636" xr:uid="{536056C8-C281-4A38-B3C6-C042F5C66129}"/>
    <cellStyle name="60% - Énfasis2 18 3 2 2 2" xfId="52971" xr:uid="{BCF7B1C8-54F4-4798-8A1C-D9D5327FA24B}"/>
    <cellStyle name="60% - Énfasis2 18 3 2 3" xfId="52970" xr:uid="{F7DF4D0A-EB9C-43EF-B66B-D083C1DEE7DB}"/>
    <cellStyle name="60% - Énfasis2 18 3 3" xfId="19931" xr:uid="{4E32D393-4DBF-46DA-8542-D146EA44ED9E}"/>
    <cellStyle name="60% - Énfasis2 18 3 3 2" xfId="52972" xr:uid="{8ACB4159-0A20-42DD-A9B0-6C0A937B7342}"/>
    <cellStyle name="60% - Énfasis2 18 3 4" xfId="52969" xr:uid="{EFF7C427-1FA2-41D7-AEB7-45CC166CBA91}"/>
    <cellStyle name="60% - Énfasis2 18 4" xfId="8513" xr:uid="{AE57F277-05EB-494E-95D3-05D42741DC4F}"/>
    <cellStyle name="60% - Énfasis2 18 4 2" xfId="23926" xr:uid="{D2D06C99-22B1-4736-BF3B-13592A53C9DE}"/>
    <cellStyle name="60% - Énfasis2 18 4 2 2" xfId="52974" xr:uid="{206CAE48-6B06-4B48-A1C5-3D0CE3D1B552}"/>
    <cellStyle name="60% - Énfasis2 18 4 3" xfId="52973" xr:uid="{75028840-34EB-41CA-A65E-E04ECE1977A3}"/>
    <cellStyle name="60% - Énfasis2 18 5" xfId="16221" xr:uid="{258F5E87-C9A6-4A49-A893-F9352F5F9E2C}"/>
    <cellStyle name="60% - Énfasis2 18 5 2" xfId="52975" xr:uid="{EE322332-1020-44CE-BE61-9A1A263A0B14}"/>
    <cellStyle name="60% - Énfasis2 18 6" xfId="52960" xr:uid="{A9A4A048-FCAF-4FB6-9DD6-5E177F05B139}"/>
    <cellStyle name="60% - Énfasis2 19" xfId="1435" xr:uid="{4354977C-26D8-4750-8996-0EC22664C829}"/>
    <cellStyle name="60% - Énfasis2 19 2" xfId="2900" xr:uid="{98280048-9860-4BD2-955B-01613A081EB1}"/>
    <cellStyle name="60% - Énfasis2 19 2 2" xfId="6632" xr:uid="{49A9DA5C-FD2D-49D1-8ADE-45EF3018ED84}"/>
    <cellStyle name="60% - Énfasis2 19 2 2 2" xfId="14340" xr:uid="{E799A3A0-AF91-437D-9119-1163C519F592}"/>
    <cellStyle name="60% - Énfasis2 19 2 2 2 2" xfId="29752" xr:uid="{23E6B650-8B59-4632-8E3A-D7EF9F42B2D3}"/>
    <cellStyle name="60% - Énfasis2 19 2 2 2 2 2" xfId="52980" xr:uid="{63F3681A-4EE7-4583-914E-5E3DB4392183}"/>
    <cellStyle name="60% - Énfasis2 19 2 2 2 3" xfId="52979" xr:uid="{4B3B9DE0-286B-4E3A-8578-4A7771648656}"/>
    <cellStyle name="60% - Énfasis2 19 2 2 3" xfId="22047" xr:uid="{353E65C7-D6DB-4D56-8949-C41A0A399C35}"/>
    <cellStyle name="60% - Énfasis2 19 2 2 3 2" xfId="52981" xr:uid="{A38F9A8E-DBA6-41B2-8AA5-424DECB60620}"/>
    <cellStyle name="60% - Énfasis2 19 2 2 4" xfId="52978" xr:uid="{4601095E-D790-4C57-8BC9-676766B3997D}"/>
    <cellStyle name="60% - Énfasis2 19 2 3" xfId="10611" xr:uid="{FDA374C7-C5C3-4ABA-998A-21BD59DEE75C}"/>
    <cellStyle name="60% - Énfasis2 19 2 3 2" xfId="26024" xr:uid="{5A1A1DF3-D266-46FB-9109-AA30C642E2DE}"/>
    <cellStyle name="60% - Énfasis2 19 2 3 2 2" xfId="52983" xr:uid="{EA201757-7274-48F1-800D-4B91BC9210B5}"/>
    <cellStyle name="60% - Énfasis2 19 2 3 3" xfId="52982" xr:uid="{750C311B-40A7-4F58-81C5-EC21E9A35939}"/>
    <cellStyle name="60% - Énfasis2 19 2 4" xfId="18319" xr:uid="{95EB25F9-A235-4696-9AB4-2B574DC6E9E2}"/>
    <cellStyle name="60% - Énfasis2 19 2 4 2" xfId="52984" xr:uid="{AA0FA882-6CD3-4B88-BF58-EEAA718A1A28}"/>
    <cellStyle name="60% - Énfasis2 19 2 5" xfId="52977" xr:uid="{4D9BD498-1ACE-4CD4-9B9C-32295B6D1326}"/>
    <cellStyle name="60% - Énfasis2 19 3" xfId="5171" xr:uid="{6198A3D4-7E39-4773-BD30-E1CA6EBCB2AA}"/>
    <cellStyle name="60% - Énfasis2 19 3 2" xfId="12879" xr:uid="{8431159F-0EB7-45E8-89A9-C978E80B382C}"/>
    <cellStyle name="60% - Énfasis2 19 3 2 2" xfId="28291" xr:uid="{90F1FA7D-2CE9-4CBA-9CEE-5D83F2D55EE9}"/>
    <cellStyle name="60% - Énfasis2 19 3 2 2 2" xfId="52987" xr:uid="{E01FD1D9-139A-4010-B571-3868F370FED7}"/>
    <cellStyle name="60% - Énfasis2 19 3 2 3" xfId="52986" xr:uid="{575137B3-BFB4-47D9-8D11-95560237ADED}"/>
    <cellStyle name="60% - Énfasis2 19 3 3" xfId="20586" xr:uid="{0E8560DE-C5EE-421C-BA0F-18592B6737DE}"/>
    <cellStyle name="60% - Énfasis2 19 3 3 2" xfId="52988" xr:uid="{F99FFB5B-C21C-4CC0-8542-A2CCA5615B26}"/>
    <cellStyle name="60% - Énfasis2 19 3 4" xfId="52985" xr:uid="{6EDD7A43-E47E-4137-82A4-499288F19C96}"/>
    <cellStyle name="60% - Énfasis2 19 4" xfId="9152" xr:uid="{2856DBAB-8CCF-43C1-B84A-532CCAC0759F}"/>
    <cellStyle name="60% - Énfasis2 19 4 2" xfId="24565" xr:uid="{A4CA5019-4C4B-477B-854E-684682B607C6}"/>
    <cellStyle name="60% - Énfasis2 19 4 2 2" xfId="52990" xr:uid="{6939D1D4-BC16-477F-8376-B74C15C5C1A8}"/>
    <cellStyle name="60% - Énfasis2 19 4 3" xfId="52989" xr:uid="{6C32D5AC-6B07-4AE8-84F7-F21D2BF8FEE1}"/>
    <cellStyle name="60% - Énfasis2 19 5" xfId="16860" xr:uid="{83862032-F7B9-4FFA-9F55-7FDC870D4F26}"/>
    <cellStyle name="60% - Énfasis2 19 5 2" xfId="52991" xr:uid="{0648A152-0C45-4000-A25D-87BC275224B2}"/>
    <cellStyle name="60% - Énfasis2 19 6" xfId="52976" xr:uid="{1B2584BD-CA86-4822-A084-F63CBA77C7FD}"/>
    <cellStyle name="60% - Énfasis2 2" xfId="39" xr:uid="{940CB959-1C0E-4507-BA6A-ED5B9A702C21}"/>
    <cellStyle name="60% - Énfasis2 2 2" xfId="445" xr:uid="{666BBB54-F27A-453B-B2C9-2B6D01755F99}"/>
    <cellStyle name="60% - Énfasis2 2 2 2" xfId="1106" xr:uid="{16EBDF0F-1435-446F-9C0D-C063DD592BB4}"/>
    <cellStyle name="60% - Énfasis2 2 2 2 2" xfId="2574" xr:uid="{78D42526-65AB-433F-B296-9E266C56A7B3}"/>
    <cellStyle name="60% - Énfasis2 2 2 2 2 2" xfId="6306" xr:uid="{5ACF3ACD-5717-4FB9-8CDF-29204D93F128}"/>
    <cellStyle name="60% - Énfasis2 2 2 2 2 2 2" xfId="14014" xr:uid="{FA67F618-A7FD-43CC-BDF5-3E0CAFE6D24C}"/>
    <cellStyle name="60% - Énfasis2 2 2 2 2 2 2 2" xfId="29426" xr:uid="{A6772293-5B7F-47AD-BD48-A1E7D3BC2088}"/>
    <cellStyle name="60% - Énfasis2 2 2 2 2 2 2 2 2" xfId="52998" xr:uid="{D171E4A4-5696-4FE3-97E8-C003E97AD200}"/>
    <cellStyle name="60% - Énfasis2 2 2 2 2 2 2 3" xfId="52997" xr:uid="{D1FF2751-9012-40EC-A160-A08020207F4E}"/>
    <cellStyle name="60% - Énfasis2 2 2 2 2 2 3" xfId="21721" xr:uid="{0DAB940D-80AD-484D-9926-726822BA3089}"/>
    <cellStyle name="60% - Énfasis2 2 2 2 2 2 3 2" xfId="52999" xr:uid="{EF07FA83-5C74-4ED1-A078-373121B1B8A7}"/>
    <cellStyle name="60% - Énfasis2 2 2 2 2 2 4" xfId="52996" xr:uid="{6B101360-5CAE-4CEF-ACAE-27D8AFD07B8E}"/>
    <cellStyle name="60% - Énfasis2 2 2 2 2 3" xfId="10285" xr:uid="{3F9A3E65-A020-4309-B738-E9CC8E3CC7BB}"/>
    <cellStyle name="60% - Énfasis2 2 2 2 2 3 2" xfId="25698" xr:uid="{BB805CA6-4C57-4EFA-8A0B-C8AE7927E61C}"/>
    <cellStyle name="60% - Énfasis2 2 2 2 2 3 2 2" xfId="53001" xr:uid="{8DA86AE1-F1D5-433B-913A-52925C089D2A}"/>
    <cellStyle name="60% - Énfasis2 2 2 2 2 3 3" xfId="53000" xr:uid="{48F2774D-D742-4247-B4E3-D4BA989BFA72}"/>
    <cellStyle name="60% - Énfasis2 2 2 2 2 4" xfId="17993" xr:uid="{1E107EB6-8EBA-43DB-A41E-90A42B0C7374}"/>
    <cellStyle name="60% - Énfasis2 2 2 2 2 4 2" xfId="53002" xr:uid="{25BA338C-7C37-4C3F-988F-DC1655F684B8}"/>
    <cellStyle name="60% - Énfasis2 2 2 2 2 5" xfId="52995" xr:uid="{696056F6-2614-4E0B-8709-38041950247C}"/>
    <cellStyle name="60% - Énfasis2 2 2 2 3" xfId="4843" xr:uid="{9AA7AEFC-5656-403C-B8C1-1D7671933A24}"/>
    <cellStyle name="60% - Énfasis2 2 2 2 3 2" xfId="12551" xr:uid="{A7E50016-3998-41B5-BFD6-ABCE3B961E62}"/>
    <cellStyle name="60% - Énfasis2 2 2 2 3 2 2" xfId="27963" xr:uid="{095D1795-F1D2-46D1-B0D4-25C961F90A47}"/>
    <cellStyle name="60% - Énfasis2 2 2 2 3 2 2 2" xfId="53005" xr:uid="{78B565BC-C26B-487C-B389-271D95AB3C0A}"/>
    <cellStyle name="60% - Énfasis2 2 2 2 3 2 3" xfId="53004" xr:uid="{1F5E93A7-2914-4FE6-9E31-2830F4582D33}"/>
    <cellStyle name="60% - Énfasis2 2 2 2 3 3" xfId="20258" xr:uid="{F8F28686-1707-4A5E-814C-41B3D27ED809}"/>
    <cellStyle name="60% - Énfasis2 2 2 2 3 3 2" xfId="53006" xr:uid="{8D74B802-2D93-4A14-884B-D035F2C8ED93}"/>
    <cellStyle name="60% - Énfasis2 2 2 2 3 4" xfId="53003" xr:uid="{61A39F92-22B7-45AD-A8C5-E2DD75F32ECE}"/>
    <cellStyle name="60% - Énfasis2 2 2 2 4" xfId="8826" xr:uid="{BC449C8F-2395-42EB-A738-706DB06FA06C}"/>
    <cellStyle name="60% - Énfasis2 2 2 2 4 2" xfId="24239" xr:uid="{B765C62C-E2FE-43F3-92B1-9A2BA212A396}"/>
    <cellStyle name="60% - Énfasis2 2 2 2 4 2 2" xfId="53008" xr:uid="{8F1E99DC-C587-4204-A2D0-F41A4A78B521}"/>
    <cellStyle name="60% - Énfasis2 2 2 2 4 3" xfId="53007" xr:uid="{B5AE453B-AD6F-4259-82F6-D0BD708FC2B6}"/>
    <cellStyle name="60% - Énfasis2 2 2 2 5" xfId="16534" xr:uid="{C635F7CC-E88E-4015-A048-0579CE16132A}"/>
    <cellStyle name="60% - Énfasis2 2 2 2 5 2" xfId="53009" xr:uid="{30160453-6181-4F1B-AC13-6FF8DA2D3B72}"/>
    <cellStyle name="60% - Énfasis2 2 2 2 6" xfId="52994" xr:uid="{AB5F3888-D5FC-41E1-9CC0-00FD26535687}"/>
    <cellStyle name="60% - Énfasis2 2 2 3" xfId="1936" xr:uid="{04DF935D-FDB1-4100-83E3-A3AC1BE39E97}"/>
    <cellStyle name="60% - Énfasis2 2 2 3 2" xfId="5668" xr:uid="{222C64D2-10A3-4879-A522-0FE2C17780F2}"/>
    <cellStyle name="60% - Énfasis2 2 2 3 2 2" xfId="13376" xr:uid="{16FBF10D-EFF5-4271-9609-5CF85D17F662}"/>
    <cellStyle name="60% - Énfasis2 2 2 3 2 2 2" xfId="28788" xr:uid="{6A0671DC-1915-4257-917C-9C38D0D3994D}"/>
    <cellStyle name="60% - Énfasis2 2 2 3 2 2 2 2" xfId="53013" xr:uid="{D03DB292-0920-432D-8A4B-CE7E24B03C11}"/>
    <cellStyle name="60% - Énfasis2 2 2 3 2 2 3" xfId="53012" xr:uid="{0C9FF1D6-6CC6-4F2C-8066-7DE44FABD023}"/>
    <cellStyle name="60% - Énfasis2 2 2 3 2 3" xfId="21083" xr:uid="{9BBE3155-8122-4F64-B548-F34AD9B97634}"/>
    <cellStyle name="60% - Énfasis2 2 2 3 2 3 2" xfId="53014" xr:uid="{0165C82A-A479-4B7B-9115-1F2BC5AB0446}"/>
    <cellStyle name="60% - Énfasis2 2 2 3 2 4" xfId="53011" xr:uid="{AF559C78-B65F-4A89-9558-772D525FEE23}"/>
    <cellStyle name="60% - Énfasis2 2 2 3 3" xfId="9647" xr:uid="{F17FDDC0-24E4-47A2-A2CA-CBAF7C1C2F3A}"/>
    <cellStyle name="60% - Énfasis2 2 2 3 3 2" xfId="25060" xr:uid="{0AEF0385-A5B1-433D-960D-1B12F3A3ED98}"/>
    <cellStyle name="60% - Énfasis2 2 2 3 3 2 2" xfId="53016" xr:uid="{5FB7CE3C-63A4-4834-B772-CA39611FFB6A}"/>
    <cellStyle name="60% - Énfasis2 2 2 3 3 3" xfId="53015" xr:uid="{20A59447-5FFD-49ED-BC7B-B586F39F9AA7}"/>
    <cellStyle name="60% - Énfasis2 2 2 3 4" xfId="17355" xr:uid="{EA6C71AA-398C-4A83-95A1-13616A706808}"/>
    <cellStyle name="60% - Énfasis2 2 2 3 4 2" xfId="53017" xr:uid="{E7DB462F-548B-4A83-BA99-98B17F3EE6DD}"/>
    <cellStyle name="60% - Énfasis2 2 2 3 5" xfId="53010" xr:uid="{9F318428-B216-431F-ACDB-42C2664CF685}"/>
    <cellStyle name="60% - Énfasis2 2 2 4" xfId="4191" xr:uid="{9E52BC4E-6FCF-46A5-B984-FA2AC3F84DC7}"/>
    <cellStyle name="60% - Énfasis2 2 2 4 2" xfId="11899" xr:uid="{36B7AC39-7D74-433F-A9C0-471767C8744C}"/>
    <cellStyle name="60% - Énfasis2 2 2 4 2 2" xfId="27311" xr:uid="{7BAA6CDD-FE50-4FAE-B509-ACA40074AA7D}"/>
    <cellStyle name="60% - Énfasis2 2 2 4 2 2 2" xfId="53020" xr:uid="{17BF61FD-7FC5-4689-9CB9-2DFC000F99B5}"/>
    <cellStyle name="60% - Énfasis2 2 2 4 2 3" xfId="53019" xr:uid="{0A8172F1-E5D2-454F-9AF0-8248A71B246D}"/>
    <cellStyle name="60% - Énfasis2 2 2 4 3" xfId="19606" xr:uid="{365B7B79-C1A9-4482-8335-EDFCDFEA2B29}"/>
    <cellStyle name="60% - Énfasis2 2 2 4 3 2" xfId="53021" xr:uid="{31ACE767-FE1C-4172-8F23-ACB800DE1B92}"/>
    <cellStyle name="60% - Énfasis2 2 2 4 4" xfId="53018" xr:uid="{77360259-913D-4AE0-9CDF-7930B4C80E88}"/>
    <cellStyle name="60% - Énfasis2 2 2 5" xfId="8188" xr:uid="{D86E46DC-CBA3-4799-82EB-371CA4357052}"/>
    <cellStyle name="60% - Énfasis2 2 2 5 2" xfId="23601" xr:uid="{319B7958-5499-42B1-8B7F-04412E0C917F}"/>
    <cellStyle name="60% - Énfasis2 2 2 5 2 2" xfId="53023" xr:uid="{D53884EA-627D-472C-A909-17E696F69D23}"/>
    <cellStyle name="60% - Énfasis2 2 2 5 3" xfId="53022" xr:uid="{2F6F05D4-252F-4B19-BC26-F565B8000DAD}"/>
    <cellStyle name="60% - Énfasis2 2 2 6" xfId="15896" xr:uid="{8D4D4F75-F363-4B3C-A894-C511EBFE0EE9}"/>
    <cellStyle name="60% - Énfasis2 2 2 6 2" xfId="53024" xr:uid="{5B5274D7-04EE-4186-AAE9-F17903E22C42}"/>
    <cellStyle name="60% - Énfasis2 2 2 7" xfId="52993" xr:uid="{372BFAC8-9389-4262-8488-BC7AB8AB6BAA}"/>
    <cellStyle name="60% - Énfasis2 2 3" xfId="906" xr:uid="{6028BE1A-45B1-45FC-A5CD-411F3C8B7BB8}"/>
    <cellStyle name="60% - Énfasis2 2 3 2" xfId="2376" xr:uid="{E88F325E-0901-4A48-90EE-DD304CF50D02}"/>
    <cellStyle name="60% - Énfasis2 2 3 2 2" xfId="6108" xr:uid="{66A76515-626D-4779-9A6B-00B33F7325ED}"/>
    <cellStyle name="60% - Énfasis2 2 3 2 2 2" xfId="13816" xr:uid="{86F256E0-A685-4EC6-A065-B1BD159B8C08}"/>
    <cellStyle name="60% - Énfasis2 2 3 2 2 2 2" xfId="29228" xr:uid="{609709AD-EC50-4D90-AD08-A825E01151CD}"/>
    <cellStyle name="60% - Énfasis2 2 3 2 2 2 2 2" xfId="53029" xr:uid="{F4CED455-5CDF-48B7-9C08-934FCF99664B}"/>
    <cellStyle name="60% - Énfasis2 2 3 2 2 2 3" xfId="53028" xr:uid="{2E64063B-2E3D-4278-9E6C-CB88A33643C5}"/>
    <cellStyle name="60% - Énfasis2 2 3 2 2 3" xfId="21523" xr:uid="{6B404080-1B4F-41F6-B388-562230DE3AE3}"/>
    <cellStyle name="60% - Énfasis2 2 3 2 2 3 2" xfId="53030" xr:uid="{96A3CC05-364B-4397-9F20-162B6E36E69D}"/>
    <cellStyle name="60% - Énfasis2 2 3 2 2 4" xfId="53027" xr:uid="{F31A5FCA-F92B-4942-9A3E-A1C1331502EC}"/>
    <cellStyle name="60% - Énfasis2 2 3 2 3" xfId="10087" xr:uid="{059CCDDA-EED0-4B49-84EE-F3A8BDE4D48E}"/>
    <cellStyle name="60% - Énfasis2 2 3 2 3 2" xfId="25500" xr:uid="{16058D9C-9989-4996-AFBA-494478025B0B}"/>
    <cellStyle name="60% - Énfasis2 2 3 2 3 2 2" xfId="53032" xr:uid="{27D3795C-3856-4325-8819-C4EE43674ABF}"/>
    <cellStyle name="60% - Énfasis2 2 3 2 3 3" xfId="53031" xr:uid="{DB571FF0-6D72-4338-B618-7A6087CEA318}"/>
    <cellStyle name="60% - Énfasis2 2 3 2 4" xfId="17795" xr:uid="{DCA6985A-5905-4D41-BF88-182FCA6EE6F1}"/>
    <cellStyle name="60% - Énfasis2 2 3 2 4 2" xfId="53033" xr:uid="{DBB99C6F-C52B-4062-8CCA-C7207751F637}"/>
    <cellStyle name="60% - Énfasis2 2 3 2 5" xfId="53026" xr:uid="{7FA60F90-F712-4EE2-A83D-2B59E805DA0F}"/>
    <cellStyle name="60% - Énfasis2 2 3 3" xfId="4643" xr:uid="{9CB9369E-1561-4162-9CD2-AD7F4FEF8EDE}"/>
    <cellStyle name="60% - Énfasis2 2 3 3 2" xfId="12351" xr:uid="{7519ADAB-F6B5-4FBD-A711-A598D2771725}"/>
    <cellStyle name="60% - Énfasis2 2 3 3 2 2" xfId="27763" xr:uid="{95B73E06-5E15-4E63-BFB5-1ABC11F1EC1A}"/>
    <cellStyle name="60% - Énfasis2 2 3 3 2 2 2" xfId="53036" xr:uid="{6AC084F0-2AE6-4C2F-B738-F6C4EF65B0CB}"/>
    <cellStyle name="60% - Énfasis2 2 3 3 2 3" xfId="53035" xr:uid="{94CAFA56-E5EB-4011-99D1-9065EA5954AA}"/>
    <cellStyle name="60% - Énfasis2 2 3 3 3" xfId="20058" xr:uid="{0D747411-5D9F-4E9D-B4F9-98D399E76AA7}"/>
    <cellStyle name="60% - Énfasis2 2 3 3 3 2" xfId="53037" xr:uid="{23B00DB8-1EF6-4847-B0AA-E9FCA11B240A}"/>
    <cellStyle name="60% - Énfasis2 2 3 3 4" xfId="53034" xr:uid="{96B7E746-8003-4FE3-8ABE-EB272FDC7019}"/>
    <cellStyle name="60% - Énfasis2 2 3 4" xfId="8628" xr:uid="{BFC64749-826C-4492-9E85-662D6442E4E2}"/>
    <cellStyle name="60% - Énfasis2 2 3 4 2" xfId="24041" xr:uid="{0E92FB25-8851-4703-9094-B3AE30337AD3}"/>
    <cellStyle name="60% - Énfasis2 2 3 4 2 2" xfId="53039" xr:uid="{B5994033-FC50-432B-B3C4-5575D13D9AAC}"/>
    <cellStyle name="60% - Énfasis2 2 3 4 3" xfId="53038" xr:uid="{28A5FA75-1304-4DE3-A01B-4667F8AFD693}"/>
    <cellStyle name="60% - Énfasis2 2 3 5" xfId="16336" xr:uid="{79B43D1F-B71C-4F9D-B308-3F5CD2030358}"/>
    <cellStyle name="60% - Énfasis2 2 3 5 2" xfId="53040" xr:uid="{92391E19-F299-4707-BC2A-D463D42A9868}"/>
    <cellStyle name="60% - Énfasis2 2 3 6" xfId="53025" xr:uid="{87FC8070-FD6E-495B-A4FA-4EB68957578F}"/>
    <cellStyle name="60% - Énfasis2 2 4" xfId="1738" xr:uid="{08830176-011F-4E1E-8CCF-D6A941733DF7}"/>
    <cellStyle name="60% - Énfasis2 2 4 2" xfId="5470" xr:uid="{D5211DF0-85F6-4CFE-B475-1436BF2C4A62}"/>
    <cellStyle name="60% - Énfasis2 2 4 2 2" xfId="13178" xr:uid="{8409219D-3E68-449E-BD24-2A3E50B17D9F}"/>
    <cellStyle name="60% - Énfasis2 2 4 2 2 2" xfId="28590" xr:uid="{65EC400F-F086-4E3B-A420-C1EEA8C06508}"/>
    <cellStyle name="60% - Énfasis2 2 4 2 2 2 2" xfId="53044" xr:uid="{772E1ADC-6648-4094-B001-76D49EFC2E62}"/>
    <cellStyle name="60% - Énfasis2 2 4 2 2 3" xfId="53043" xr:uid="{2B95643E-DD88-4768-B05D-184862B0156A}"/>
    <cellStyle name="60% - Énfasis2 2 4 2 3" xfId="20885" xr:uid="{7C512CBA-C845-46CE-A1B3-642922BFB691}"/>
    <cellStyle name="60% - Énfasis2 2 4 2 3 2" xfId="53045" xr:uid="{229863DB-0A12-40AD-B9D8-AA9C8FED07D0}"/>
    <cellStyle name="60% - Énfasis2 2 4 2 4" xfId="53042" xr:uid="{52C1C9CB-5E3B-4E13-A518-06F2C660E5C1}"/>
    <cellStyle name="60% - Énfasis2 2 4 3" xfId="9449" xr:uid="{007A23A0-33C1-49AE-BC22-8287EE0D6AD7}"/>
    <cellStyle name="60% - Énfasis2 2 4 3 2" xfId="24862" xr:uid="{E6B79BE5-791B-4CB6-B73C-5F92D8F969B4}"/>
    <cellStyle name="60% - Énfasis2 2 4 3 2 2" xfId="53047" xr:uid="{DAF97AE7-D9B0-48F3-9D52-0C1BAAF0AE1B}"/>
    <cellStyle name="60% - Énfasis2 2 4 3 3" xfId="53046" xr:uid="{2F085CD1-7450-4A43-BC98-9A58EE26EF17}"/>
    <cellStyle name="60% - Énfasis2 2 4 4" xfId="17157" xr:uid="{A95FE797-1511-4BD8-A983-6571BA4AA70C}"/>
    <cellStyle name="60% - Énfasis2 2 4 4 2" xfId="53048" xr:uid="{5179A607-A779-46C9-8B03-ED66284A38BF}"/>
    <cellStyle name="60% - Énfasis2 2 4 5" xfId="53041" xr:uid="{04A70FC0-73D0-43A3-9595-F97B89CBC095}"/>
    <cellStyle name="60% - Énfasis2 2 5" xfId="3991" xr:uid="{DD37654C-F259-41A3-BF22-8D81B1487499}"/>
    <cellStyle name="60% - Énfasis2 2 5 2" xfId="11699" xr:uid="{DE838ED5-F76B-4D64-B9F7-39F5E05B9032}"/>
    <cellStyle name="60% - Énfasis2 2 5 2 2" xfId="27111" xr:uid="{9A029EAB-40FB-46FB-989F-B4DED663EA9F}"/>
    <cellStyle name="60% - Énfasis2 2 5 2 2 2" xfId="53051" xr:uid="{85D1ADB8-1472-4255-AA44-A46981190203}"/>
    <cellStyle name="60% - Énfasis2 2 5 2 3" xfId="53050" xr:uid="{EA3E3ADC-F009-4116-9185-15C2BFC9FAA5}"/>
    <cellStyle name="60% - Énfasis2 2 5 3" xfId="19406" xr:uid="{A6A5BC00-E678-47DF-B274-DBC4865B0E37}"/>
    <cellStyle name="60% - Énfasis2 2 5 3 2" xfId="53052" xr:uid="{F537D509-A20B-41E6-B2E9-FEA139AD6829}"/>
    <cellStyle name="60% - Énfasis2 2 5 4" xfId="53049" xr:uid="{B31E0C8C-9BD0-4188-9326-E9D0F92DEAAB}"/>
    <cellStyle name="60% - Énfasis2 2 6" xfId="7990" xr:uid="{378EF8A8-9628-488D-AFA0-5736D9A0696F}"/>
    <cellStyle name="60% - Énfasis2 2 6 2" xfId="23403" xr:uid="{E05F0939-E91D-448E-81AB-5482E38B0F96}"/>
    <cellStyle name="60% - Énfasis2 2 6 2 2" xfId="53054" xr:uid="{FF52CA9F-04BF-4425-AD71-077131E74F09}"/>
    <cellStyle name="60% - Énfasis2 2 6 3" xfId="53053" xr:uid="{FC908F27-6EFA-49DA-9F52-917C771C7C84}"/>
    <cellStyle name="60% - Énfasis2 2 7" xfId="15698" xr:uid="{311C3260-B7C2-4EB1-9EF5-D0ED5A6DF7EC}"/>
    <cellStyle name="60% - Énfasis2 2 7 2" xfId="53055" xr:uid="{02349EE8-8CC4-4676-9486-ACEFC348D587}"/>
    <cellStyle name="60% - Énfasis2 2 8" xfId="52992" xr:uid="{7E441103-5D44-45A7-9B61-B4F78356FF7A}"/>
    <cellStyle name="60% - Énfasis2 2 9" xfId="243" xr:uid="{43041303-19FB-4244-9444-B2A31AF49343}"/>
    <cellStyle name="60% - Énfasis2 20" xfId="1455" xr:uid="{63B68A96-F1A8-4A4B-99A6-6A813F17B086}"/>
    <cellStyle name="60% - Énfasis2 20 2" xfId="2920" xr:uid="{59F0D1FB-B425-4505-BEBE-CB62ADDC2A0D}"/>
    <cellStyle name="60% - Énfasis2 20 2 2" xfId="6652" xr:uid="{BE33FBBE-1FD9-4841-918C-C72B1D874720}"/>
    <cellStyle name="60% - Énfasis2 20 2 2 2" xfId="14360" xr:uid="{289AE7CD-C6DC-4D32-AE1F-3157BCF99836}"/>
    <cellStyle name="60% - Énfasis2 20 2 2 2 2" xfId="29772" xr:uid="{B6C512EA-6F6F-4D28-9297-C7F8FC5FA646}"/>
    <cellStyle name="60% - Énfasis2 20 2 2 2 2 2" xfId="53060" xr:uid="{001FE81E-1F32-4B97-ABB2-DFB1D962A771}"/>
    <cellStyle name="60% - Énfasis2 20 2 2 2 3" xfId="53059" xr:uid="{3C181D44-88E0-4760-AE7B-28FEFD8EE485}"/>
    <cellStyle name="60% - Énfasis2 20 2 2 3" xfId="22067" xr:uid="{07F03F33-ED6F-49E0-B492-C5F405ED90B0}"/>
    <cellStyle name="60% - Énfasis2 20 2 2 3 2" xfId="53061" xr:uid="{C359A983-F26D-4FDB-A902-F22B37ACEB82}"/>
    <cellStyle name="60% - Énfasis2 20 2 2 4" xfId="53058" xr:uid="{86AED5E9-E32B-43EF-9A7F-7A51E17F2C3A}"/>
    <cellStyle name="60% - Énfasis2 20 2 3" xfId="10631" xr:uid="{B7576342-E742-4596-84F6-DCF3DF01E276}"/>
    <cellStyle name="60% - Énfasis2 20 2 3 2" xfId="26044" xr:uid="{041ABABC-6104-4C93-90D1-04337072172E}"/>
    <cellStyle name="60% - Énfasis2 20 2 3 2 2" xfId="53063" xr:uid="{D83C5620-08DC-4E3A-90FE-8EA245775621}"/>
    <cellStyle name="60% - Énfasis2 20 2 3 3" xfId="53062" xr:uid="{FBFF1C28-D69E-49E8-8899-E6F303E067C6}"/>
    <cellStyle name="60% - Énfasis2 20 2 4" xfId="18339" xr:uid="{BE56F8FD-24CE-489C-A7D3-2AD896F7EF4C}"/>
    <cellStyle name="60% - Énfasis2 20 2 4 2" xfId="53064" xr:uid="{235D6683-D03D-4840-8E07-040FBC528786}"/>
    <cellStyle name="60% - Énfasis2 20 2 5" xfId="53057" xr:uid="{33EA0A77-F8CC-46BA-B8DE-7905C212A312}"/>
    <cellStyle name="60% - Énfasis2 20 3" xfId="5191" xr:uid="{60FB3F38-9FA5-4533-BA45-34FB2D073462}"/>
    <cellStyle name="60% - Énfasis2 20 3 2" xfId="12899" xr:uid="{8A618059-5394-4156-88A5-A241CEDE4354}"/>
    <cellStyle name="60% - Énfasis2 20 3 2 2" xfId="28311" xr:uid="{9862621B-4AA3-4FBA-BC91-D9600822EA44}"/>
    <cellStyle name="60% - Énfasis2 20 3 2 2 2" xfId="53067" xr:uid="{4A399054-8AB7-483E-895B-E094F1E78C5A}"/>
    <cellStyle name="60% - Énfasis2 20 3 2 3" xfId="53066" xr:uid="{C71232F0-2A48-4C29-9883-C02084EF2433}"/>
    <cellStyle name="60% - Énfasis2 20 3 3" xfId="20606" xr:uid="{8175CD6A-C264-4253-ABE6-E84EEA4E469F}"/>
    <cellStyle name="60% - Énfasis2 20 3 3 2" xfId="53068" xr:uid="{08FFEC94-CE44-4F2C-8EE1-046DE17BC91B}"/>
    <cellStyle name="60% - Énfasis2 20 3 4" xfId="53065" xr:uid="{8755DC65-3386-4AD8-A656-E64DF3811E60}"/>
    <cellStyle name="60% - Énfasis2 20 4" xfId="9172" xr:uid="{5289E4CE-DB91-474C-8C6F-87979020D00E}"/>
    <cellStyle name="60% - Énfasis2 20 4 2" xfId="24585" xr:uid="{2449F724-DDA9-4219-8648-1E335489AF22}"/>
    <cellStyle name="60% - Énfasis2 20 4 2 2" xfId="53070" xr:uid="{96A609CD-4752-4448-97D3-6D322DFE337B}"/>
    <cellStyle name="60% - Énfasis2 20 4 3" xfId="53069" xr:uid="{6B498076-E8E1-4315-8100-8678B24AB1FD}"/>
    <cellStyle name="60% - Énfasis2 20 5" xfId="16880" xr:uid="{C4F4BBED-6414-48D9-93BF-F32C049BC865}"/>
    <cellStyle name="60% - Énfasis2 20 5 2" xfId="53071" xr:uid="{A780BEBB-335B-46C4-891E-724932819E8A}"/>
    <cellStyle name="60% - Énfasis2 20 6" xfId="53056" xr:uid="{D1BED3E3-B405-4820-BF4D-3CE31AFA4621}"/>
    <cellStyle name="60% - Énfasis2 21" xfId="1475" xr:uid="{725B0AA7-A6A4-4D0E-890A-FAB5DA885EC5}"/>
    <cellStyle name="60% - Énfasis2 21 2" xfId="2940" xr:uid="{0D9C2D7B-F92B-475D-8C58-D4DDEA2A70FF}"/>
    <cellStyle name="60% - Énfasis2 21 2 2" xfId="6672" xr:uid="{A4C85718-9FB3-4F1D-BCA3-A2D15960DDCA}"/>
    <cellStyle name="60% - Énfasis2 21 2 2 2" xfId="14380" xr:uid="{28C763A1-0F9E-4399-921C-27C80515D69F}"/>
    <cellStyle name="60% - Énfasis2 21 2 2 2 2" xfId="29792" xr:uid="{A59974B9-F23C-47AD-968C-C26CF6D9FDDC}"/>
    <cellStyle name="60% - Énfasis2 21 2 2 2 2 2" xfId="53076" xr:uid="{7B0BEE34-20DE-4A5C-AFDA-BC6277F1EAF6}"/>
    <cellStyle name="60% - Énfasis2 21 2 2 2 3" xfId="53075" xr:uid="{3C021FF2-E526-4E4A-9ACE-7F5567DE055A}"/>
    <cellStyle name="60% - Énfasis2 21 2 2 3" xfId="22087" xr:uid="{0630F470-10DC-4F83-8961-E300C1C8168C}"/>
    <cellStyle name="60% - Énfasis2 21 2 2 3 2" xfId="53077" xr:uid="{FA7F5881-D965-4E86-99C6-3C964239F7E5}"/>
    <cellStyle name="60% - Énfasis2 21 2 2 4" xfId="53074" xr:uid="{4EAEA649-0795-41B1-8CD5-8C537CA6EBFC}"/>
    <cellStyle name="60% - Énfasis2 21 2 3" xfId="10651" xr:uid="{785CE86F-9A24-4CDB-80D8-5A8B8D714C16}"/>
    <cellStyle name="60% - Énfasis2 21 2 3 2" xfId="26064" xr:uid="{19BA9631-0A18-4ECB-B112-56E8869E221B}"/>
    <cellStyle name="60% - Énfasis2 21 2 3 2 2" xfId="53079" xr:uid="{A88B8017-94B4-4597-9CEC-39A49A5AA6C9}"/>
    <cellStyle name="60% - Énfasis2 21 2 3 3" xfId="53078" xr:uid="{546F33B4-7FEC-4439-B573-E71BA72C14FC}"/>
    <cellStyle name="60% - Énfasis2 21 2 4" xfId="18359" xr:uid="{3705FDEE-3F0E-4F27-AA23-8FFC01CCC02E}"/>
    <cellStyle name="60% - Énfasis2 21 2 4 2" xfId="53080" xr:uid="{9C7E8E1F-F3A4-4BC6-B605-1555266A5D13}"/>
    <cellStyle name="60% - Énfasis2 21 2 5" xfId="53073" xr:uid="{B973AB3E-77BA-41B6-96E0-D80BDDCEDD57}"/>
    <cellStyle name="60% - Énfasis2 21 3" xfId="5211" xr:uid="{30F36296-97F0-4171-9F6F-C0FF3B0CB685}"/>
    <cellStyle name="60% - Énfasis2 21 3 2" xfId="12919" xr:uid="{71458507-B2A3-4CDC-8472-D5A3AE782ACE}"/>
    <cellStyle name="60% - Énfasis2 21 3 2 2" xfId="28331" xr:uid="{3C42D484-7470-4765-8E61-5C8D80B41355}"/>
    <cellStyle name="60% - Énfasis2 21 3 2 2 2" xfId="53083" xr:uid="{1991E238-241B-4073-A975-C08EA9389252}"/>
    <cellStyle name="60% - Énfasis2 21 3 2 3" xfId="53082" xr:uid="{0F5ECDB2-583C-4260-84D9-92BEFBF2313D}"/>
    <cellStyle name="60% - Énfasis2 21 3 3" xfId="20626" xr:uid="{E200457B-58B3-44F5-A50E-DF1960B38B33}"/>
    <cellStyle name="60% - Énfasis2 21 3 3 2" xfId="53084" xr:uid="{B274B602-6037-4605-9C51-2EFF719719D4}"/>
    <cellStyle name="60% - Énfasis2 21 3 4" xfId="53081" xr:uid="{0BDECB5D-78E9-4021-BF22-861736878417}"/>
    <cellStyle name="60% - Énfasis2 21 4" xfId="9192" xr:uid="{8125928D-5909-4053-8935-A1BE1D4BCE4A}"/>
    <cellStyle name="60% - Énfasis2 21 4 2" xfId="24605" xr:uid="{F905F7CB-10D1-4FAA-812C-6638D54448F7}"/>
    <cellStyle name="60% - Énfasis2 21 4 2 2" xfId="53086" xr:uid="{B4F43F93-7CA3-4E11-842F-56839543A2B8}"/>
    <cellStyle name="60% - Énfasis2 21 4 3" xfId="53085" xr:uid="{976C6B79-4AB9-481D-AF28-7DB501DB9A49}"/>
    <cellStyle name="60% - Énfasis2 21 5" xfId="16900" xr:uid="{B8DB9A02-FA11-4F27-A5A3-1FE8BF440FF3}"/>
    <cellStyle name="60% - Énfasis2 21 5 2" xfId="53087" xr:uid="{290B5782-6F1C-4809-B173-4A1EFFBAD846}"/>
    <cellStyle name="60% - Énfasis2 21 6" xfId="53072" xr:uid="{0489B8B9-A2E7-4CBE-8970-B5C3A3DFB4F6}"/>
    <cellStyle name="60% - Énfasis2 22" xfId="1495" xr:uid="{BCB40495-2EB5-4678-91C4-35C7835D8261}"/>
    <cellStyle name="60% - Énfasis2 22 2" xfId="2960" xr:uid="{876A5A29-98F7-43BF-82C5-7F815534CE48}"/>
    <cellStyle name="60% - Énfasis2 22 2 2" xfId="6692" xr:uid="{EF2E7F4F-2180-4505-BF38-366901E211FB}"/>
    <cellStyle name="60% - Énfasis2 22 2 2 2" xfId="14400" xr:uid="{E47D3C60-4D29-4AC9-BF48-A89A93AD682E}"/>
    <cellStyle name="60% - Énfasis2 22 2 2 2 2" xfId="29812" xr:uid="{E5766920-0403-472F-BE7A-DB90107174F5}"/>
    <cellStyle name="60% - Énfasis2 22 2 2 2 2 2" xfId="53092" xr:uid="{0D7F6E74-3258-4DBB-B597-0276475AA2CC}"/>
    <cellStyle name="60% - Énfasis2 22 2 2 2 3" xfId="53091" xr:uid="{4A23D4D0-7821-48A7-8F13-422D31198283}"/>
    <cellStyle name="60% - Énfasis2 22 2 2 3" xfId="22107" xr:uid="{8F174F32-E477-412D-B612-C08E4F6502B8}"/>
    <cellStyle name="60% - Énfasis2 22 2 2 3 2" xfId="53093" xr:uid="{AAB54087-F551-4DF0-9EFF-07F9D85352BE}"/>
    <cellStyle name="60% - Énfasis2 22 2 2 4" xfId="53090" xr:uid="{28367387-61CE-4E0B-966D-323415EC432E}"/>
    <cellStyle name="60% - Énfasis2 22 2 3" xfId="10671" xr:uid="{EE9B5230-3C31-4C7B-BC4D-23F73C33BEF1}"/>
    <cellStyle name="60% - Énfasis2 22 2 3 2" xfId="26084" xr:uid="{C8D15FE1-1547-42F8-8D3C-7F37C8604FFF}"/>
    <cellStyle name="60% - Énfasis2 22 2 3 2 2" xfId="53095" xr:uid="{873EFD7D-8451-486D-8E0A-9BB1846F5C86}"/>
    <cellStyle name="60% - Énfasis2 22 2 3 3" xfId="53094" xr:uid="{AC6FFE71-7792-42E2-B938-EFBEE9FED3BB}"/>
    <cellStyle name="60% - Énfasis2 22 2 4" xfId="18379" xr:uid="{5EE93358-76A0-42B5-9373-FE3C469AE953}"/>
    <cellStyle name="60% - Énfasis2 22 2 4 2" xfId="53096" xr:uid="{C462064F-5477-4AC1-8D3B-A2A15FC9DF1A}"/>
    <cellStyle name="60% - Énfasis2 22 2 5" xfId="53089" xr:uid="{EFEB5F15-D02C-4604-8AEB-9E641989C00B}"/>
    <cellStyle name="60% - Énfasis2 22 3" xfId="5231" xr:uid="{C7444618-1824-406F-80EF-E078B8700AFD}"/>
    <cellStyle name="60% - Énfasis2 22 3 2" xfId="12939" xr:uid="{8000A2F9-E33B-490A-A832-7DE8E79C91C2}"/>
    <cellStyle name="60% - Énfasis2 22 3 2 2" xfId="28351" xr:uid="{3A558A45-72AE-45AF-8E28-B1B85D9975D5}"/>
    <cellStyle name="60% - Énfasis2 22 3 2 2 2" xfId="53099" xr:uid="{A8DD88E0-C530-488A-9523-99FBE6CFC9D9}"/>
    <cellStyle name="60% - Énfasis2 22 3 2 3" xfId="53098" xr:uid="{6566F57F-4DBF-41D1-8A3D-26A2B9EF8335}"/>
    <cellStyle name="60% - Énfasis2 22 3 3" xfId="20646" xr:uid="{AB355040-53B4-41E5-B879-153EE99E31C0}"/>
    <cellStyle name="60% - Énfasis2 22 3 3 2" xfId="53100" xr:uid="{7DA9A847-8B8A-45BE-8828-97DE1DBE4FDD}"/>
    <cellStyle name="60% - Énfasis2 22 3 4" xfId="53097" xr:uid="{80CA0B12-2FDB-4EEE-9E2D-700C66FB263C}"/>
    <cellStyle name="60% - Énfasis2 22 4" xfId="9212" xr:uid="{A4263DE9-E651-420E-8F56-E8AA4F636464}"/>
    <cellStyle name="60% - Énfasis2 22 4 2" xfId="24625" xr:uid="{97259482-B300-4767-A52D-50668E1DBB49}"/>
    <cellStyle name="60% - Énfasis2 22 4 2 2" xfId="53102" xr:uid="{B6D33577-9388-476E-8B18-3792CDD23873}"/>
    <cellStyle name="60% - Énfasis2 22 4 3" xfId="53101" xr:uid="{81F81131-504D-4A21-BEFD-257901F88FA3}"/>
    <cellStyle name="60% - Énfasis2 22 5" xfId="16920" xr:uid="{81CA46B1-7500-4FB4-A860-19FA2C0F4910}"/>
    <cellStyle name="60% - Énfasis2 22 5 2" xfId="53103" xr:uid="{164895A4-EFF4-476A-94C6-43C4E5B1697E}"/>
    <cellStyle name="60% - Énfasis2 22 6" xfId="53088" xr:uid="{F1562A33-9467-4708-BFAF-4AD7985D0F0E}"/>
    <cellStyle name="60% - Énfasis2 23" xfId="1515" xr:uid="{512EC808-F851-48F2-9504-249CC7248195}"/>
    <cellStyle name="60% - Énfasis2 23 2" xfId="2980" xr:uid="{82E1F20B-4DD4-4405-BADC-2EE1FF071D99}"/>
    <cellStyle name="60% - Énfasis2 23 2 2" xfId="6712" xr:uid="{2A4B5D3A-EB63-4E60-A364-FD0905568328}"/>
    <cellStyle name="60% - Énfasis2 23 2 2 2" xfId="14420" xr:uid="{B9C0AEC8-2F20-4E0E-A25C-D8BACD808111}"/>
    <cellStyle name="60% - Énfasis2 23 2 2 2 2" xfId="29832" xr:uid="{219B0250-3A8A-4E31-A1A8-83BB27C6777A}"/>
    <cellStyle name="60% - Énfasis2 23 2 2 2 2 2" xfId="53108" xr:uid="{98D16887-D90D-4A58-9509-E0EEDB704E0F}"/>
    <cellStyle name="60% - Énfasis2 23 2 2 2 3" xfId="53107" xr:uid="{38EB7B11-3684-4AF3-8406-9F841A6233B6}"/>
    <cellStyle name="60% - Énfasis2 23 2 2 3" xfId="22127" xr:uid="{E3D142B2-6695-41A9-A7F1-41AF635A7A52}"/>
    <cellStyle name="60% - Énfasis2 23 2 2 3 2" xfId="53109" xr:uid="{8F08A364-7FA4-4097-8867-2004158FBBE7}"/>
    <cellStyle name="60% - Énfasis2 23 2 2 4" xfId="53106" xr:uid="{A5DD77BD-CB2C-4BD9-8FE6-C11F8F4EF7B4}"/>
    <cellStyle name="60% - Énfasis2 23 2 3" xfId="10691" xr:uid="{428AF664-535A-4052-9A63-A3E4D7B54A2D}"/>
    <cellStyle name="60% - Énfasis2 23 2 3 2" xfId="26104" xr:uid="{60C75443-FDB7-4C45-A6CF-AFA2093CF989}"/>
    <cellStyle name="60% - Énfasis2 23 2 3 2 2" xfId="53111" xr:uid="{4AD251FB-852B-4FEA-BA78-59145973BEF2}"/>
    <cellStyle name="60% - Énfasis2 23 2 3 3" xfId="53110" xr:uid="{7A35BACD-E931-450A-AC8B-42057014F1F9}"/>
    <cellStyle name="60% - Énfasis2 23 2 4" xfId="18399" xr:uid="{A24D9E26-4AB9-405D-84F4-C803AE34A2D5}"/>
    <cellStyle name="60% - Énfasis2 23 2 4 2" xfId="53112" xr:uid="{2B018D9B-D8F7-4211-BACC-2E2B38E2349A}"/>
    <cellStyle name="60% - Énfasis2 23 2 5" xfId="53105" xr:uid="{C7B1983F-2A92-40F8-B4FC-9AB75742AC9E}"/>
    <cellStyle name="60% - Énfasis2 23 3" xfId="5251" xr:uid="{35A9ECEE-8174-45EB-93CA-0C2D5C30B837}"/>
    <cellStyle name="60% - Énfasis2 23 3 2" xfId="12959" xr:uid="{26CE23BE-D30D-43C4-939C-498A2FFAB215}"/>
    <cellStyle name="60% - Énfasis2 23 3 2 2" xfId="28371" xr:uid="{AE870A95-DC9E-4F4D-8311-A59F7571C253}"/>
    <cellStyle name="60% - Énfasis2 23 3 2 2 2" xfId="53115" xr:uid="{3D488E99-5CE5-422A-9630-3427E160F013}"/>
    <cellStyle name="60% - Énfasis2 23 3 2 3" xfId="53114" xr:uid="{8E50B957-FC89-46F4-A0D7-78D41F92C714}"/>
    <cellStyle name="60% - Énfasis2 23 3 3" xfId="20666" xr:uid="{B28C42A5-CF31-45FB-AD45-D711BE328392}"/>
    <cellStyle name="60% - Énfasis2 23 3 3 2" xfId="53116" xr:uid="{173156CC-B0D2-49E1-A92F-E0640D2503BD}"/>
    <cellStyle name="60% - Énfasis2 23 3 4" xfId="53113" xr:uid="{6C691B6A-19F3-4FFE-84F2-33A5F7D77AA4}"/>
    <cellStyle name="60% - Énfasis2 23 4" xfId="9232" xr:uid="{2BC2553B-AB49-477F-A8A4-7C4F6A37A575}"/>
    <cellStyle name="60% - Énfasis2 23 4 2" xfId="24645" xr:uid="{3B10D1D9-D0AE-4158-90F8-9E9B8D14DA4F}"/>
    <cellStyle name="60% - Énfasis2 23 4 2 2" xfId="53118" xr:uid="{1A267E51-C0A3-46B6-B3F6-AF6B0D45BCDA}"/>
    <cellStyle name="60% - Énfasis2 23 4 3" xfId="53117" xr:uid="{702F5A2E-30F7-46C0-AC82-147F68474450}"/>
    <cellStyle name="60% - Énfasis2 23 5" xfId="16940" xr:uid="{C6EAEC69-C89B-47DD-8F6F-A7E6427A7AF9}"/>
    <cellStyle name="60% - Énfasis2 23 5 2" xfId="53119" xr:uid="{F0D07A22-7439-4203-8835-D63075A72EE8}"/>
    <cellStyle name="60% - Énfasis2 23 6" xfId="53104" xr:uid="{67D731FD-888E-470B-A8B2-16FCEC9FF59A}"/>
    <cellStyle name="60% - Énfasis2 24" xfId="1535" xr:uid="{0909B7BF-D5C4-48EE-A2E5-7E5AF5013FBF}"/>
    <cellStyle name="60% - Énfasis2 24 2" xfId="3000" xr:uid="{F39F8FDB-AE06-4F08-BA28-86B1D758AD8A}"/>
    <cellStyle name="60% - Énfasis2 24 2 2" xfId="6732" xr:uid="{BDF87902-3E33-43B3-8E1A-8CFC3CC72177}"/>
    <cellStyle name="60% - Énfasis2 24 2 2 2" xfId="14440" xr:uid="{8C8834E7-8E6F-4C13-A166-E4CF5FA23B87}"/>
    <cellStyle name="60% - Énfasis2 24 2 2 2 2" xfId="29852" xr:uid="{FAAB21EB-ECCF-4FFF-8C07-FA660E779E1C}"/>
    <cellStyle name="60% - Énfasis2 24 2 2 2 2 2" xfId="53124" xr:uid="{D66DB8F6-B3EA-42E9-B808-76F3B185714E}"/>
    <cellStyle name="60% - Énfasis2 24 2 2 2 3" xfId="53123" xr:uid="{0DB020B9-F225-46C2-90ED-3FAAF0DF77D1}"/>
    <cellStyle name="60% - Énfasis2 24 2 2 3" xfId="22147" xr:uid="{3FCEA59F-BE7A-4676-9DDE-F95EB743C420}"/>
    <cellStyle name="60% - Énfasis2 24 2 2 3 2" xfId="53125" xr:uid="{9C184349-C40D-4191-B893-7489FDF0A14E}"/>
    <cellStyle name="60% - Énfasis2 24 2 2 4" xfId="53122" xr:uid="{41617B64-4050-4FBA-85B4-AC5E08FB9DC0}"/>
    <cellStyle name="60% - Énfasis2 24 2 3" xfId="10711" xr:uid="{3C06BD8F-E8CF-4856-AA2D-D6392574E20C}"/>
    <cellStyle name="60% - Énfasis2 24 2 3 2" xfId="26124" xr:uid="{3E624FA3-92B7-40C4-807F-BAA80251188E}"/>
    <cellStyle name="60% - Énfasis2 24 2 3 2 2" xfId="53127" xr:uid="{8C70FD87-BBA2-4F04-BAD4-5E3E8FE10DCB}"/>
    <cellStyle name="60% - Énfasis2 24 2 3 3" xfId="53126" xr:uid="{8FCA4EF2-BD70-4E9A-B0D9-E185FD3D5AD3}"/>
    <cellStyle name="60% - Énfasis2 24 2 4" xfId="18419" xr:uid="{ABAD58F7-24D5-42DD-84E8-84093769D382}"/>
    <cellStyle name="60% - Énfasis2 24 2 4 2" xfId="53128" xr:uid="{BFA34F0E-7B6D-4E12-ADDE-A451F3BD91FD}"/>
    <cellStyle name="60% - Énfasis2 24 2 5" xfId="53121" xr:uid="{2415F996-085B-4A97-8C00-55EC2990AA48}"/>
    <cellStyle name="60% - Énfasis2 24 3" xfId="5271" xr:uid="{7557AB26-241C-4FDF-96E1-06913EFF236D}"/>
    <cellStyle name="60% - Énfasis2 24 3 2" xfId="12979" xr:uid="{1D3FD43B-1D33-462E-A47E-CC6437A0D5E6}"/>
    <cellStyle name="60% - Énfasis2 24 3 2 2" xfId="28391" xr:uid="{DDB87C85-DFB2-4771-BE40-2405B61CDC19}"/>
    <cellStyle name="60% - Énfasis2 24 3 2 2 2" xfId="53131" xr:uid="{6C94CE5D-95B3-4190-A2EA-8B51B25AA3EC}"/>
    <cellStyle name="60% - Énfasis2 24 3 2 3" xfId="53130" xr:uid="{29D5A097-3DC1-4F68-8D95-7F0D2627D257}"/>
    <cellStyle name="60% - Énfasis2 24 3 3" xfId="20686" xr:uid="{21BE0AFF-FB59-48E7-BA3E-B2D4C8FE27F7}"/>
    <cellStyle name="60% - Énfasis2 24 3 3 2" xfId="53132" xr:uid="{A28DDC31-AD5F-4278-81F4-1A697E19D2FB}"/>
    <cellStyle name="60% - Énfasis2 24 3 4" xfId="53129" xr:uid="{C3824343-903B-4F6E-A55A-40FA428CFE69}"/>
    <cellStyle name="60% - Énfasis2 24 4" xfId="9252" xr:uid="{E324FF80-657B-45D5-9075-69F009E72390}"/>
    <cellStyle name="60% - Énfasis2 24 4 2" xfId="24665" xr:uid="{F943EDAF-47D4-47E9-87B8-4294C32F4AA9}"/>
    <cellStyle name="60% - Énfasis2 24 4 2 2" xfId="53134" xr:uid="{02F9A54A-C218-4B21-AF29-B75E56699908}"/>
    <cellStyle name="60% - Énfasis2 24 4 3" xfId="53133" xr:uid="{4F69C2CF-DA6C-43F7-ADFB-4AAC1A6D6E83}"/>
    <cellStyle name="60% - Énfasis2 24 5" xfId="16960" xr:uid="{975E5234-C6E9-414D-9C29-765B283A1F6A}"/>
    <cellStyle name="60% - Énfasis2 24 5 2" xfId="53135" xr:uid="{F18B7670-5534-4C12-A585-8D2A4EFB6B36}"/>
    <cellStyle name="60% - Énfasis2 24 6" xfId="53120" xr:uid="{3282DA83-07BE-4E5F-AF86-EEDEA6E3D43C}"/>
    <cellStyle name="60% - Énfasis2 25" xfId="1555" xr:uid="{7D166227-3064-4721-BA1C-C6CADA4B8E65}"/>
    <cellStyle name="60% - Énfasis2 25 2" xfId="3020" xr:uid="{45A26C35-5F83-4CB8-B62D-838979484EA8}"/>
    <cellStyle name="60% - Énfasis2 25 2 2" xfId="6752" xr:uid="{EB52EFB9-3EE8-4A49-86A3-39C86E44334C}"/>
    <cellStyle name="60% - Énfasis2 25 2 2 2" xfId="14460" xr:uid="{C9B7D608-2BBA-4E12-ADCB-970897CA5BA2}"/>
    <cellStyle name="60% - Énfasis2 25 2 2 2 2" xfId="29872" xr:uid="{CA977DB2-A809-4208-BFAF-D92E22F99AF4}"/>
    <cellStyle name="60% - Énfasis2 25 2 2 2 2 2" xfId="53140" xr:uid="{1C3B529C-E1E4-4360-AAF5-172095F63064}"/>
    <cellStyle name="60% - Énfasis2 25 2 2 2 3" xfId="53139" xr:uid="{53DBFD02-E0AA-4A2D-9817-FA647F9C3A3F}"/>
    <cellStyle name="60% - Énfasis2 25 2 2 3" xfId="22167" xr:uid="{1CDD2385-0BF4-4F4B-8C47-3B78E078C4DC}"/>
    <cellStyle name="60% - Énfasis2 25 2 2 3 2" xfId="53141" xr:uid="{BE4112A0-37F6-4A75-AA83-4E70B07A9A3A}"/>
    <cellStyle name="60% - Énfasis2 25 2 2 4" xfId="53138" xr:uid="{E6E4EE4A-E6E5-4DAF-82B5-71E60599A5FC}"/>
    <cellStyle name="60% - Énfasis2 25 2 3" xfId="10731" xr:uid="{96C2FD4D-2CB0-4E81-992C-35571BE33E89}"/>
    <cellStyle name="60% - Énfasis2 25 2 3 2" xfId="26144" xr:uid="{5716C445-F410-4CFD-84F4-D0F35E2F3F91}"/>
    <cellStyle name="60% - Énfasis2 25 2 3 2 2" xfId="53143" xr:uid="{0F4B5EC2-1BF4-42AC-9E31-3C84367A4744}"/>
    <cellStyle name="60% - Énfasis2 25 2 3 3" xfId="53142" xr:uid="{F155EC5E-4370-40A9-8BEC-14C0B682CC49}"/>
    <cellStyle name="60% - Énfasis2 25 2 4" xfId="18439" xr:uid="{2F04ECC6-4B72-45BD-B341-930C54B0CC88}"/>
    <cellStyle name="60% - Énfasis2 25 2 4 2" xfId="53144" xr:uid="{E5815B96-64C8-42A5-87F9-83405DAF603C}"/>
    <cellStyle name="60% - Énfasis2 25 2 5" xfId="53137" xr:uid="{BD7A8180-4F05-4A70-ADD2-8820173B4451}"/>
    <cellStyle name="60% - Énfasis2 25 3" xfId="5291" xr:uid="{3304E94B-F362-49BC-B133-529615E01079}"/>
    <cellStyle name="60% - Énfasis2 25 3 2" xfId="12999" xr:uid="{017DB7BE-6457-4AFC-821D-B47211507696}"/>
    <cellStyle name="60% - Énfasis2 25 3 2 2" xfId="28411" xr:uid="{42415B61-F73E-4A34-8742-644FD9C88D1A}"/>
    <cellStyle name="60% - Énfasis2 25 3 2 2 2" xfId="53147" xr:uid="{DFA1A899-366B-4D71-BD2F-5902977F412F}"/>
    <cellStyle name="60% - Énfasis2 25 3 2 3" xfId="53146" xr:uid="{887670AB-A4A3-4D4F-A648-F10C0180E4AE}"/>
    <cellStyle name="60% - Énfasis2 25 3 3" xfId="20706" xr:uid="{7A15C665-7194-47D2-812C-4A8D4494783A}"/>
    <cellStyle name="60% - Énfasis2 25 3 3 2" xfId="53148" xr:uid="{709E8D63-6824-4CB1-9928-F11ACAC54630}"/>
    <cellStyle name="60% - Énfasis2 25 3 4" xfId="53145" xr:uid="{7EA703DB-F071-45E5-B61E-1156AAEB4A7C}"/>
    <cellStyle name="60% - Énfasis2 25 4" xfId="9272" xr:uid="{52CA3EAC-CF0D-48B2-9B22-86B5B9474DEF}"/>
    <cellStyle name="60% - Énfasis2 25 4 2" xfId="24685" xr:uid="{B3F03475-5C82-479C-8668-B1F1C67CC3FA}"/>
    <cellStyle name="60% - Énfasis2 25 4 2 2" xfId="53150" xr:uid="{A91A04B4-04BD-440D-A6C8-06DFE4CDEAC1}"/>
    <cellStyle name="60% - Énfasis2 25 4 3" xfId="53149" xr:uid="{C7D82C2A-1045-4CF7-951A-6FDED6156FD1}"/>
    <cellStyle name="60% - Énfasis2 25 5" xfId="16980" xr:uid="{EE999B01-B671-47B2-B440-1B2801955C73}"/>
    <cellStyle name="60% - Énfasis2 25 5 2" xfId="53151" xr:uid="{1C4B75BE-F6EA-4B8C-A83E-C934258DE10D}"/>
    <cellStyle name="60% - Énfasis2 25 6" xfId="53136" xr:uid="{9F1C974D-F282-4C8E-BE98-D761944D60B1}"/>
    <cellStyle name="60% - Énfasis2 26" xfId="1575" xr:uid="{60A619F6-4139-4793-8241-6F5BA4CBEA4F}"/>
    <cellStyle name="60% - Énfasis2 26 2" xfId="3040" xr:uid="{24FED829-AB63-47AA-9FDB-2C7595650008}"/>
    <cellStyle name="60% - Énfasis2 26 2 2" xfId="6772" xr:uid="{D314CE8F-B82E-4C0F-AE00-BDCB28349EF6}"/>
    <cellStyle name="60% - Énfasis2 26 2 2 2" xfId="14480" xr:uid="{0628636C-9035-4EF1-9036-093731AF9CA9}"/>
    <cellStyle name="60% - Énfasis2 26 2 2 2 2" xfId="29892" xr:uid="{57FEB67E-1911-455F-A4AA-F362BC22756E}"/>
    <cellStyle name="60% - Énfasis2 26 2 2 2 2 2" xfId="53156" xr:uid="{98D11BAE-6F67-4911-A934-9A13AEE6B0B0}"/>
    <cellStyle name="60% - Énfasis2 26 2 2 2 3" xfId="53155" xr:uid="{DE42D3CE-BFFD-419E-947F-D1D03FF3C130}"/>
    <cellStyle name="60% - Énfasis2 26 2 2 3" xfId="22187" xr:uid="{43F4C49F-98D9-4688-A444-385175404DB1}"/>
    <cellStyle name="60% - Énfasis2 26 2 2 3 2" xfId="53157" xr:uid="{98BAF4CB-062D-4300-92D8-D05D0978ABBB}"/>
    <cellStyle name="60% - Énfasis2 26 2 2 4" xfId="53154" xr:uid="{764941DA-D603-4E1A-AC89-C219B757C6CD}"/>
    <cellStyle name="60% - Énfasis2 26 2 3" xfId="10751" xr:uid="{8D799399-F793-45F9-8279-E97D0DEA94A4}"/>
    <cellStyle name="60% - Énfasis2 26 2 3 2" xfId="26164" xr:uid="{DACB0B05-CD89-4787-A174-0AFD2A476646}"/>
    <cellStyle name="60% - Énfasis2 26 2 3 2 2" xfId="53159" xr:uid="{2964BBBC-54C0-46DB-B8AF-225EEB6228BD}"/>
    <cellStyle name="60% - Énfasis2 26 2 3 3" xfId="53158" xr:uid="{6535602A-5820-4049-9119-1FC9EFB54649}"/>
    <cellStyle name="60% - Énfasis2 26 2 4" xfId="18459" xr:uid="{76DF3A1B-0E0D-4516-8062-980A0286013D}"/>
    <cellStyle name="60% - Énfasis2 26 2 4 2" xfId="53160" xr:uid="{116A7B4C-40C0-42BF-993E-09DD70B59C86}"/>
    <cellStyle name="60% - Énfasis2 26 2 5" xfId="53153" xr:uid="{15730BED-DAEE-45D0-AE46-DCFF79A51C41}"/>
    <cellStyle name="60% - Énfasis2 26 3" xfId="5311" xr:uid="{98424A87-DCF0-407F-A0FF-0881F8DC9FAE}"/>
    <cellStyle name="60% - Énfasis2 26 3 2" xfId="13019" xr:uid="{D58D99B6-9746-4910-88B8-5CE2E20C5B81}"/>
    <cellStyle name="60% - Énfasis2 26 3 2 2" xfId="28431" xr:uid="{87034854-FB5E-4C46-BAE3-295D19AB42E8}"/>
    <cellStyle name="60% - Énfasis2 26 3 2 2 2" xfId="53163" xr:uid="{37C8ED88-3B00-4A69-8C7F-B69E5668675F}"/>
    <cellStyle name="60% - Énfasis2 26 3 2 3" xfId="53162" xr:uid="{64534920-61E2-48D1-A0C9-8CE5042BAD62}"/>
    <cellStyle name="60% - Énfasis2 26 3 3" xfId="20726" xr:uid="{2325AA8C-CC23-4F21-9857-9ECC0CB791FC}"/>
    <cellStyle name="60% - Énfasis2 26 3 3 2" xfId="53164" xr:uid="{38FFC278-3B21-439E-BCF9-383FCFF21FA0}"/>
    <cellStyle name="60% - Énfasis2 26 3 4" xfId="53161" xr:uid="{0209646B-58AC-4BFA-A6BC-F4F3D79F38A7}"/>
    <cellStyle name="60% - Énfasis2 26 4" xfId="9292" xr:uid="{B029A0E6-F55F-45D4-9E0C-B52C9BD6A1E0}"/>
    <cellStyle name="60% - Énfasis2 26 4 2" xfId="24705" xr:uid="{AAD24E6E-4AC3-4ACC-A46C-71BE37C73266}"/>
    <cellStyle name="60% - Énfasis2 26 4 2 2" xfId="53166" xr:uid="{F9F2A824-4836-4789-AFC9-EF78DCA43425}"/>
    <cellStyle name="60% - Énfasis2 26 4 3" xfId="53165" xr:uid="{3C42451A-EA4A-42AB-8474-8DC88BCFF8A4}"/>
    <cellStyle name="60% - Énfasis2 26 5" xfId="17000" xr:uid="{F75D45CD-EC58-4E04-9794-872A162915E9}"/>
    <cellStyle name="60% - Énfasis2 26 5 2" xfId="53167" xr:uid="{8886927E-561F-48AC-9EF4-811059A6B868}"/>
    <cellStyle name="60% - Énfasis2 26 6" xfId="53152" xr:uid="{B859C68E-F23B-4021-8ECB-8FC6C36DA4C1}"/>
    <cellStyle name="60% - Énfasis2 27" xfId="1596" xr:uid="{B863E4A9-29D0-4E53-BAFC-DD26A9082E11}"/>
    <cellStyle name="60% - Énfasis2 27 2" xfId="3061" xr:uid="{AD4210D6-11A3-49F8-BD92-3EA9210F846F}"/>
    <cellStyle name="60% - Énfasis2 27 2 2" xfId="6793" xr:uid="{F367033F-F0ED-44B0-8626-0191C086B8B9}"/>
    <cellStyle name="60% - Énfasis2 27 2 2 2" xfId="14501" xr:uid="{13F67C27-474B-4610-B00A-27A18B9FD3DE}"/>
    <cellStyle name="60% - Énfasis2 27 2 2 2 2" xfId="29913" xr:uid="{613C8544-FB01-4E85-820A-65905847906C}"/>
    <cellStyle name="60% - Énfasis2 27 2 2 2 2 2" xfId="53172" xr:uid="{8606AEBD-902C-40B8-B4BD-70AF0E2F5ED9}"/>
    <cellStyle name="60% - Énfasis2 27 2 2 2 3" xfId="53171" xr:uid="{33973DED-6E80-4871-B776-ED997B67F436}"/>
    <cellStyle name="60% - Énfasis2 27 2 2 3" xfId="22208" xr:uid="{D2027E00-8FFA-4C07-96C8-68DA21FACE2B}"/>
    <cellStyle name="60% - Énfasis2 27 2 2 3 2" xfId="53173" xr:uid="{C541E543-E8B1-4D67-B3BB-EA17ED583FC9}"/>
    <cellStyle name="60% - Énfasis2 27 2 2 4" xfId="53170" xr:uid="{E06BB195-5876-4B4C-94FC-1B3285DA5800}"/>
    <cellStyle name="60% - Énfasis2 27 2 3" xfId="10772" xr:uid="{DA15F62E-E06D-4D2E-AF08-281DBFA6444A}"/>
    <cellStyle name="60% - Énfasis2 27 2 3 2" xfId="26185" xr:uid="{6CC44417-DB7E-435B-8263-DF9E2795CD09}"/>
    <cellStyle name="60% - Énfasis2 27 2 3 2 2" xfId="53175" xr:uid="{42A1FC75-61D4-494C-9C9A-BB508F7CB6DF}"/>
    <cellStyle name="60% - Énfasis2 27 2 3 3" xfId="53174" xr:uid="{FACD01D6-7556-4A59-9BAE-CEE5F13373EF}"/>
    <cellStyle name="60% - Énfasis2 27 2 4" xfId="18480" xr:uid="{E5FB954B-D70C-4C0D-8791-CA352D71AD8B}"/>
    <cellStyle name="60% - Énfasis2 27 2 4 2" xfId="53176" xr:uid="{D1677738-3C0E-436B-AABF-1762D346F43C}"/>
    <cellStyle name="60% - Énfasis2 27 2 5" xfId="53169" xr:uid="{FA4AD22C-5F46-46D6-83D8-BFC6E1401ABC}"/>
    <cellStyle name="60% - Énfasis2 27 3" xfId="5332" xr:uid="{6947F28B-9C79-4722-BFA0-101D15BB9C66}"/>
    <cellStyle name="60% - Énfasis2 27 3 2" xfId="13040" xr:uid="{3E69E1F4-B73C-45B0-A5B0-3BE02033BD72}"/>
    <cellStyle name="60% - Énfasis2 27 3 2 2" xfId="28452" xr:uid="{30D36D7D-64EE-485C-9725-A57B7F62946F}"/>
    <cellStyle name="60% - Énfasis2 27 3 2 2 2" xfId="53179" xr:uid="{7FBB36A3-B174-44E4-9D01-BCD52C67618F}"/>
    <cellStyle name="60% - Énfasis2 27 3 2 3" xfId="53178" xr:uid="{687C2DE1-42D5-46E9-A147-1828E6D047FE}"/>
    <cellStyle name="60% - Énfasis2 27 3 3" xfId="20747" xr:uid="{C88A8690-C3E4-47A1-89D7-3DB4117D7193}"/>
    <cellStyle name="60% - Énfasis2 27 3 3 2" xfId="53180" xr:uid="{D2E6DCCB-C01A-4A57-A1AD-660C0AA4CF2E}"/>
    <cellStyle name="60% - Énfasis2 27 3 4" xfId="53177" xr:uid="{C35CA648-C8E6-4BB6-8518-12FF6E653E97}"/>
    <cellStyle name="60% - Énfasis2 27 4" xfId="9313" xr:uid="{C0FBB0D7-230A-4D31-AE28-FCDF20541307}"/>
    <cellStyle name="60% - Énfasis2 27 4 2" xfId="24726" xr:uid="{7D7CABF0-F96A-492D-97DF-4DF24A11C186}"/>
    <cellStyle name="60% - Énfasis2 27 4 2 2" xfId="53182" xr:uid="{33E3E78B-7CEC-4101-BC7C-8485AF6BD3CF}"/>
    <cellStyle name="60% - Énfasis2 27 4 3" xfId="53181" xr:uid="{879AB5E7-0871-499D-A8FA-F744975661E8}"/>
    <cellStyle name="60% - Énfasis2 27 5" xfId="17021" xr:uid="{2F81D7E5-3884-4D07-8995-38DC8155FF2A}"/>
    <cellStyle name="60% - Énfasis2 27 5 2" xfId="53183" xr:uid="{B7CB64E4-A396-4719-B8E5-62657519699A}"/>
    <cellStyle name="60% - Énfasis2 27 6" xfId="53168" xr:uid="{781F1EEF-6EFB-430D-B7FA-6051DD1CEBA7}"/>
    <cellStyle name="60% - Énfasis2 28" xfId="3081" xr:uid="{C099E852-FE01-460B-A8D4-6B467DC4E9F6}"/>
    <cellStyle name="60% - Énfasis2 28 2" xfId="6813" xr:uid="{8461F77E-8646-4E77-BAD2-DC2BC8BAF7FE}"/>
    <cellStyle name="60% - Énfasis2 28 2 2" xfId="14521" xr:uid="{70BD34E3-1DA1-4C02-8DDA-C53625269409}"/>
    <cellStyle name="60% - Énfasis2 28 2 2 2" xfId="29933" xr:uid="{3138048A-C841-4F6E-BFC3-5D45963FE1FE}"/>
    <cellStyle name="60% - Énfasis2 28 2 2 2 2" xfId="53187" xr:uid="{0392FA53-8D4A-422B-8B57-9F20FFF5ED1F}"/>
    <cellStyle name="60% - Énfasis2 28 2 2 3" xfId="53186" xr:uid="{6A76C63D-1F11-438F-9E56-9FC33A3B2E0B}"/>
    <cellStyle name="60% - Énfasis2 28 2 3" xfId="22228" xr:uid="{754EDEE7-B55F-475E-A2DD-F20F6C103E77}"/>
    <cellStyle name="60% - Énfasis2 28 2 3 2" xfId="53188" xr:uid="{B6E80D9A-D9E1-4110-B32F-E2BE1905339E}"/>
    <cellStyle name="60% - Énfasis2 28 2 4" xfId="53185" xr:uid="{AF0E71AA-BDB8-4F59-BBD3-866D0F4E3991}"/>
    <cellStyle name="60% - Énfasis2 28 3" xfId="10792" xr:uid="{02837FE4-9102-4300-A462-B60C1ABD2D73}"/>
    <cellStyle name="60% - Énfasis2 28 3 2" xfId="26205" xr:uid="{744132BA-2D86-4C75-B346-C1A43D1A6550}"/>
    <cellStyle name="60% - Énfasis2 28 3 2 2" xfId="53190" xr:uid="{FA869115-EA6A-40A4-BF89-5522EEA68885}"/>
    <cellStyle name="60% - Énfasis2 28 3 3" xfId="53189" xr:uid="{78272CE8-44DE-4A75-A3F9-EC976FD6A8B5}"/>
    <cellStyle name="60% - Énfasis2 28 4" xfId="18500" xr:uid="{49CF7DA8-7615-4E86-BAFA-DF4F1FE89143}"/>
    <cellStyle name="60% - Énfasis2 28 4 2" xfId="53191" xr:uid="{E5C486DA-910F-4B85-877E-2CF5DE4D7EFE}"/>
    <cellStyle name="60% - Énfasis2 28 5" xfId="53184" xr:uid="{2DF35A94-5958-4351-BF5F-BBDD6FB9999A}"/>
    <cellStyle name="60% - Énfasis2 29" xfId="3101" xr:uid="{9D858B67-42EF-408E-A94E-63D179F8A5E5}"/>
    <cellStyle name="60% - Énfasis2 29 2" xfId="6833" xr:uid="{5DBC07FA-FD0D-41DB-BC31-79210F0E396B}"/>
    <cellStyle name="60% - Énfasis2 29 2 2" xfId="14541" xr:uid="{C3B595D3-F3F9-4130-9CCC-13C984A5EA30}"/>
    <cellStyle name="60% - Énfasis2 29 2 2 2" xfId="29953" xr:uid="{5C447260-84DB-498C-A7E0-3863DEB68372}"/>
    <cellStyle name="60% - Énfasis2 29 2 2 2 2" xfId="53195" xr:uid="{0FCBA6BE-0A6B-40B1-A98C-B1D51B39CCAF}"/>
    <cellStyle name="60% - Énfasis2 29 2 2 3" xfId="53194" xr:uid="{9A2BD04B-080F-494F-B5A2-21E4557B5478}"/>
    <cellStyle name="60% - Énfasis2 29 2 3" xfId="22248" xr:uid="{8FF13A6E-5AE8-4F4F-9D5A-9095C518EF38}"/>
    <cellStyle name="60% - Énfasis2 29 2 3 2" xfId="53196" xr:uid="{57D6360C-7BE3-4B7B-A92B-76921D0B022A}"/>
    <cellStyle name="60% - Énfasis2 29 2 4" xfId="53193" xr:uid="{50FD87A9-F468-443C-B236-C4F6DB105B4E}"/>
    <cellStyle name="60% - Énfasis2 29 3" xfId="10812" xr:uid="{C3ECC3FB-FBC3-4675-BF56-53CDBB021B2A}"/>
    <cellStyle name="60% - Énfasis2 29 3 2" xfId="26225" xr:uid="{B03A28FF-18AE-4607-9C6D-5CCCB81F889E}"/>
    <cellStyle name="60% - Énfasis2 29 3 2 2" xfId="53198" xr:uid="{76DBE67A-22F4-48EE-B8AF-4944F31E43D2}"/>
    <cellStyle name="60% - Énfasis2 29 3 3" xfId="53197" xr:uid="{712E55CC-1899-4169-87A3-917C25D96B46}"/>
    <cellStyle name="60% - Énfasis2 29 4" xfId="18520" xr:uid="{8DC73829-171C-40E4-801A-2A275324FA59}"/>
    <cellStyle name="60% - Énfasis2 29 4 2" xfId="53199" xr:uid="{C1B6298A-B667-4211-ADFE-7B03A76C8A6C}"/>
    <cellStyle name="60% - Énfasis2 29 5" xfId="53192" xr:uid="{F779D846-B9D5-456F-9279-E4BCE0855690}"/>
    <cellStyle name="60% - Énfasis2 3" xfId="267" xr:uid="{4318DD75-3CE5-435E-A56E-95D226E0002C}"/>
    <cellStyle name="60% - Énfasis2 3 2" xfId="470" xr:uid="{98CA024F-323F-4EB0-A4AE-C454C64F9F64}"/>
    <cellStyle name="60% - Énfasis2 3 2 2" xfId="1131" xr:uid="{5930B734-D875-491F-9C96-65A614923890}"/>
    <cellStyle name="60% - Énfasis2 3 2 2 2" xfId="2599" xr:uid="{E6E32769-17F9-4242-A62E-2776947339D8}"/>
    <cellStyle name="60% - Énfasis2 3 2 2 2 2" xfId="6331" xr:uid="{F81E687E-8963-4BB7-B89D-4FB6B27E179C}"/>
    <cellStyle name="60% - Énfasis2 3 2 2 2 2 2" xfId="14039" xr:uid="{4C36118A-E718-4B5D-9491-6F379F62724D}"/>
    <cellStyle name="60% - Énfasis2 3 2 2 2 2 2 2" xfId="29451" xr:uid="{AB2CE846-EBA6-4603-B7BF-C68952F5906C}"/>
    <cellStyle name="60% - Énfasis2 3 2 2 2 2 2 2 2" xfId="53206" xr:uid="{43E4A2C4-1F3F-412E-A084-426006B81B56}"/>
    <cellStyle name="60% - Énfasis2 3 2 2 2 2 2 3" xfId="53205" xr:uid="{03FF2A80-DB8E-480C-A26D-9A834844C9E1}"/>
    <cellStyle name="60% - Énfasis2 3 2 2 2 2 3" xfId="21746" xr:uid="{5C0A362C-9665-4F00-A16E-1AB3A4AE46C5}"/>
    <cellStyle name="60% - Énfasis2 3 2 2 2 2 3 2" xfId="53207" xr:uid="{FB968A3A-A0C1-4EBA-85BC-3E1852E8550D}"/>
    <cellStyle name="60% - Énfasis2 3 2 2 2 2 4" xfId="53204" xr:uid="{0A0ADCFE-E518-4413-A72C-FD2187A29AEA}"/>
    <cellStyle name="60% - Énfasis2 3 2 2 2 3" xfId="10310" xr:uid="{BAB98B8E-09CA-47F6-9693-3EC54F219D0B}"/>
    <cellStyle name="60% - Énfasis2 3 2 2 2 3 2" xfId="25723" xr:uid="{E0229DD8-F5B4-4DB3-83BA-3FB4D7C89B29}"/>
    <cellStyle name="60% - Énfasis2 3 2 2 2 3 2 2" xfId="53209" xr:uid="{CF45EF53-DB2D-438B-95A4-C5225B50BB22}"/>
    <cellStyle name="60% - Énfasis2 3 2 2 2 3 3" xfId="53208" xr:uid="{E6150FA8-4AF7-4387-8FFD-DA0671A095A3}"/>
    <cellStyle name="60% - Énfasis2 3 2 2 2 4" xfId="18018" xr:uid="{8F817554-5FBB-4417-8BC9-3A0DC43AE76A}"/>
    <cellStyle name="60% - Énfasis2 3 2 2 2 4 2" xfId="53210" xr:uid="{08886BAF-6AD7-4F0D-BB7B-956F08CBC67B}"/>
    <cellStyle name="60% - Énfasis2 3 2 2 2 5" xfId="53203" xr:uid="{DD4AAE6E-D4CD-4F39-A07D-53C2F035C978}"/>
    <cellStyle name="60% - Énfasis2 3 2 2 3" xfId="4868" xr:uid="{54821D15-4F68-443F-993E-91E4E3553A20}"/>
    <cellStyle name="60% - Énfasis2 3 2 2 3 2" xfId="12576" xr:uid="{B3215702-60D7-48E7-8CC3-4B34C2F922AA}"/>
    <cellStyle name="60% - Énfasis2 3 2 2 3 2 2" xfId="27988" xr:uid="{AAEC2876-B1E1-4677-ABEB-9ACE36E7758A}"/>
    <cellStyle name="60% - Énfasis2 3 2 2 3 2 2 2" xfId="53213" xr:uid="{8B4C1BC8-9E6C-4217-980B-23817D7B81E2}"/>
    <cellStyle name="60% - Énfasis2 3 2 2 3 2 3" xfId="53212" xr:uid="{304C1C54-E5F0-4391-BDF4-49D840E2AFBA}"/>
    <cellStyle name="60% - Énfasis2 3 2 2 3 3" xfId="20283" xr:uid="{A80C592F-DEEF-4453-B35C-1D8A9B1DB396}"/>
    <cellStyle name="60% - Énfasis2 3 2 2 3 3 2" xfId="53214" xr:uid="{829CB83C-3E82-46EC-A8EA-C756162BCCD0}"/>
    <cellStyle name="60% - Énfasis2 3 2 2 3 4" xfId="53211" xr:uid="{F8196CBD-3942-491C-A950-68E89BEC1421}"/>
    <cellStyle name="60% - Énfasis2 3 2 2 4" xfId="8851" xr:uid="{A608E203-13F0-4447-A8C1-11D8DB88D622}"/>
    <cellStyle name="60% - Énfasis2 3 2 2 4 2" xfId="24264" xr:uid="{4374685D-12F6-421C-A28F-4DEC901DAF28}"/>
    <cellStyle name="60% - Énfasis2 3 2 2 4 2 2" xfId="53216" xr:uid="{95B3ABFF-F27B-487A-8B85-0ABDFC23C837}"/>
    <cellStyle name="60% - Énfasis2 3 2 2 4 3" xfId="53215" xr:uid="{CE99DF02-9143-44C4-A6BE-9004E095D7E7}"/>
    <cellStyle name="60% - Énfasis2 3 2 2 5" xfId="16559" xr:uid="{E192C84C-4357-41B6-A2B7-897099DFA809}"/>
    <cellStyle name="60% - Énfasis2 3 2 2 5 2" xfId="53217" xr:uid="{717EFB0A-F9AA-4520-8F59-1139DA3CC134}"/>
    <cellStyle name="60% - Énfasis2 3 2 2 6" xfId="53202" xr:uid="{037A93C3-A56A-46F2-A8C7-288EAD8C2DCC}"/>
    <cellStyle name="60% - Énfasis2 3 2 3" xfId="1961" xr:uid="{5430E499-0621-4C13-8549-79F54EB98F7C}"/>
    <cellStyle name="60% - Énfasis2 3 2 3 2" xfId="5693" xr:uid="{891F000E-43A8-4E0A-AC6C-D6924161DC0E}"/>
    <cellStyle name="60% - Énfasis2 3 2 3 2 2" xfId="13401" xr:uid="{2B8EF97D-E000-438D-B103-4939E67F288E}"/>
    <cellStyle name="60% - Énfasis2 3 2 3 2 2 2" xfId="28813" xr:uid="{C8C7458F-B55C-4B05-85D7-C9EC6673D29D}"/>
    <cellStyle name="60% - Énfasis2 3 2 3 2 2 2 2" xfId="53221" xr:uid="{4F18685C-8AEA-47EA-885A-44A79AFA910E}"/>
    <cellStyle name="60% - Énfasis2 3 2 3 2 2 3" xfId="53220" xr:uid="{827AF889-AD9A-4CEE-A9AA-39BA5E76D2CE}"/>
    <cellStyle name="60% - Énfasis2 3 2 3 2 3" xfId="21108" xr:uid="{5E17B150-D7A5-444B-AED5-CD8CD9045D08}"/>
    <cellStyle name="60% - Énfasis2 3 2 3 2 3 2" xfId="53222" xr:uid="{D2DEDF0A-5DDC-4771-A511-2222C6CA4344}"/>
    <cellStyle name="60% - Énfasis2 3 2 3 2 4" xfId="53219" xr:uid="{8D1961EE-8DD9-427C-AC88-0398989E14F7}"/>
    <cellStyle name="60% - Énfasis2 3 2 3 3" xfId="9672" xr:uid="{FD63F40A-5199-4AED-AB62-4C07EACF22B8}"/>
    <cellStyle name="60% - Énfasis2 3 2 3 3 2" xfId="25085" xr:uid="{B6126E37-7863-4949-91A0-02A5DF2D677A}"/>
    <cellStyle name="60% - Énfasis2 3 2 3 3 2 2" xfId="53224" xr:uid="{D77B15BD-C5DD-411C-BE99-A33E64068652}"/>
    <cellStyle name="60% - Énfasis2 3 2 3 3 3" xfId="53223" xr:uid="{2D7A4926-0DCF-458B-BEA6-56DA72F9BF71}"/>
    <cellStyle name="60% - Énfasis2 3 2 3 4" xfId="17380" xr:uid="{C42006C0-CBB8-422E-BBC2-52636BD5F2AC}"/>
    <cellStyle name="60% - Énfasis2 3 2 3 4 2" xfId="53225" xr:uid="{744E4F6E-D037-491B-993B-59A24E790BD9}"/>
    <cellStyle name="60% - Énfasis2 3 2 3 5" xfId="53218" xr:uid="{1EBC307D-1633-48BB-800F-5C7E1681A068}"/>
    <cellStyle name="60% - Énfasis2 3 2 4" xfId="4216" xr:uid="{788FC0DE-DA93-47B7-8CE0-A54736E29B78}"/>
    <cellStyle name="60% - Énfasis2 3 2 4 2" xfId="11924" xr:uid="{38DF171A-A3B0-4888-8875-2234C6758239}"/>
    <cellStyle name="60% - Énfasis2 3 2 4 2 2" xfId="27336" xr:uid="{1AC0259D-95B6-4344-B11D-ABFB5DECC3BE}"/>
    <cellStyle name="60% - Énfasis2 3 2 4 2 2 2" xfId="53228" xr:uid="{126B93B0-1647-4BF2-A7EE-E4B8D692162A}"/>
    <cellStyle name="60% - Énfasis2 3 2 4 2 3" xfId="53227" xr:uid="{6B9CEDE1-7A4B-4058-A2CB-B1195359956F}"/>
    <cellStyle name="60% - Énfasis2 3 2 4 3" xfId="19631" xr:uid="{723AEA5B-B37B-4B26-97F6-5890ABC1B495}"/>
    <cellStyle name="60% - Énfasis2 3 2 4 3 2" xfId="53229" xr:uid="{ACD4E44D-729F-450F-8965-BE6186E9FC82}"/>
    <cellStyle name="60% - Énfasis2 3 2 4 4" xfId="53226" xr:uid="{BEA59BA9-95DD-4CF1-9E29-FD615B917589}"/>
    <cellStyle name="60% - Énfasis2 3 2 5" xfId="8213" xr:uid="{977C6B75-7B5A-4716-8312-0CE55A9C4232}"/>
    <cellStyle name="60% - Énfasis2 3 2 5 2" xfId="23626" xr:uid="{8E3EACBF-E5D2-405D-A173-6A752D00822D}"/>
    <cellStyle name="60% - Énfasis2 3 2 5 2 2" xfId="53231" xr:uid="{F23DA93F-218C-4B20-86A8-19E7D4AD425E}"/>
    <cellStyle name="60% - Énfasis2 3 2 5 3" xfId="53230" xr:uid="{A5E2411F-33E8-41C7-9171-3CA436C7B242}"/>
    <cellStyle name="60% - Énfasis2 3 2 6" xfId="15921" xr:uid="{D0CAC4A9-FCFA-4F9E-8D45-EEE2D8892333}"/>
    <cellStyle name="60% - Énfasis2 3 2 6 2" xfId="53232" xr:uid="{6B2A1671-8935-47B0-A14A-50CE180A1772}"/>
    <cellStyle name="60% - Énfasis2 3 2 7" xfId="53201" xr:uid="{FA140A3D-B548-4F42-83F1-BDF24A1F225B}"/>
    <cellStyle name="60% - Énfasis2 3 3" xfId="931" xr:uid="{EAF291F8-CD07-491B-B37D-5E80C10B1665}"/>
    <cellStyle name="60% - Énfasis2 3 3 2" xfId="2401" xr:uid="{DC09D974-2D77-4B8F-B36C-E64EA7B1CA4A}"/>
    <cellStyle name="60% - Énfasis2 3 3 2 2" xfId="6133" xr:uid="{E4734EE9-5B6A-4B2D-8E7A-7265B7BF8C27}"/>
    <cellStyle name="60% - Énfasis2 3 3 2 2 2" xfId="13841" xr:uid="{C38B99E8-26AE-48B6-95C0-387B885B9F07}"/>
    <cellStyle name="60% - Énfasis2 3 3 2 2 2 2" xfId="29253" xr:uid="{6B017A42-8E84-46F8-AFF6-15C6D821254E}"/>
    <cellStyle name="60% - Énfasis2 3 3 2 2 2 2 2" xfId="53237" xr:uid="{5A608FEF-7459-4845-A59D-283BB2CD538D}"/>
    <cellStyle name="60% - Énfasis2 3 3 2 2 2 3" xfId="53236" xr:uid="{F1706EC8-1DA2-45EB-A5DF-4DB092CA20A6}"/>
    <cellStyle name="60% - Énfasis2 3 3 2 2 3" xfId="21548" xr:uid="{90C71F6A-37CD-4B34-B6D2-0C318622B215}"/>
    <cellStyle name="60% - Énfasis2 3 3 2 2 3 2" xfId="53238" xr:uid="{1AB28DD4-C051-401A-A2E0-35C98A123F2F}"/>
    <cellStyle name="60% - Énfasis2 3 3 2 2 4" xfId="53235" xr:uid="{D95FA30D-E1E3-4EE7-A1F2-5F61D9C55BBC}"/>
    <cellStyle name="60% - Énfasis2 3 3 2 3" xfId="10112" xr:uid="{0234448E-DBE9-419E-BDA8-8E50805D2870}"/>
    <cellStyle name="60% - Énfasis2 3 3 2 3 2" xfId="25525" xr:uid="{4EF3ACB2-E3ED-45A7-8CB6-8A984E361BE7}"/>
    <cellStyle name="60% - Énfasis2 3 3 2 3 2 2" xfId="53240" xr:uid="{DC36126E-8204-4BB4-9BD0-97B07315EFF6}"/>
    <cellStyle name="60% - Énfasis2 3 3 2 3 3" xfId="53239" xr:uid="{2E1CF0A8-9E05-4433-90D3-48A1B5CD245F}"/>
    <cellStyle name="60% - Énfasis2 3 3 2 4" xfId="17820" xr:uid="{49247019-A5E2-4243-8A5E-E28662DA9789}"/>
    <cellStyle name="60% - Énfasis2 3 3 2 4 2" xfId="53241" xr:uid="{A5EE6800-0ABA-4042-8210-DB7AB4DAF2EA}"/>
    <cellStyle name="60% - Énfasis2 3 3 2 5" xfId="53234" xr:uid="{AA3B5497-D0CD-4AA1-92AE-3032A51B0F19}"/>
    <cellStyle name="60% - Énfasis2 3 3 3" xfId="4668" xr:uid="{76752C73-DF22-44AD-9736-064BA8FE896E}"/>
    <cellStyle name="60% - Énfasis2 3 3 3 2" xfId="12376" xr:uid="{04AD4CE9-C1C6-460E-BE81-DD3E21E0689D}"/>
    <cellStyle name="60% - Énfasis2 3 3 3 2 2" xfId="27788" xr:uid="{D7225679-BAFB-4EC4-8E44-93CFFD6C067E}"/>
    <cellStyle name="60% - Énfasis2 3 3 3 2 2 2" xfId="53244" xr:uid="{6C6C3C64-9394-4C8D-8F6D-D77D06253BC6}"/>
    <cellStyle name="60% - Énfasis2 3 3 3 2 3" xfId="53243" xr:uid="{8254C4FC-9DE2-4E74-A2CC-23EF8A3BE146}"/>
    <cellStyle name="60% - Énfasis2 3 3 3 3" xfId="20083" xr:uid="{5A5CB3E6-204F-4ABF-9D51-3407571179EE}"/>
    <cellStyle name="60% - Énfasis2 3 3 3 3 2" xfId="53245" xr:uid="{3433304E-B15C-4CBC-BE7F-D6983A9E4D26}"/>
    <cellStyle name="60% - Énfasis2 3 3 3 4" xfId="53242" xr:uid="{855686B2-0E65-48DF-908A-BCE4A2A10D2A}"/>
    <cellStyle name="60% - Énfasis2 3 3 4" xfId="8653" xr:uid="{68E016B5-D391-47E0-9F43-D901DB1B34EC}"/>
    <cellStyle name="60% - Énfasis2 3 3 4 2" xfId="24066" xr:uid="{5B0F1F40-7CC3-4B9F-8AFA-15185912D163}"/>
    <cellStyle name="60% - Énfasis2 3 3 4 2 2" xfId="53247" xr:uid="{95B26102-BEB3-49FD-B67C-F1F21F1AF400}"/>
    <cellStyle name="60% - Énfasis2 3 3 4 3" xfId="53246" xr:uid="{74F8EC82-EA5D-4330-98EC-54D26EF0DF23}"/>
    <cellStyle name="60% - Énfasis2 3 3 5" xfId="16361" xr:uid="{8AAF61B0-A684-4C0F-B319-04917BA35387}"/>
    <cellStyle name="60% - Énfasis2 3 3 5 2" xfId="53248" xr:uid="{8B3EBFB1-ABD9-4CA2-914C-EB1FFA15DF03}"/>
    <cellStyle name="60% - Énfasis2 3 3 6" xfId="53233" xr:uid="{7F0FD576-A1EC-4609-801F-5FAFE93AADD3}"/>
    <cellStyle name="60% - Énfasis2 3 4" xfId="1763" xr:uid="{D3D1206E-5CF7-4352-9EF3-723B0DC4C762}"/>
    <cellStyle name="60% - Énfasis2 3 4 2" xfId="5495" xr:uid="{36FAA861-E13A-4C3C-BBAC-8EE5FF182C2A}"/>
    <cellStyle name="60% - Énfasis2 3 4 2 2" xfId="13203" xr:uid="{832E745D-107D-4849-95C2-2DE33CB5A8C9}"/>
    <cellStyle name="60% - Énfasis2 3 4 2 2 2" xfId="28615" xr:uid="{0B267CFC-7050-4160-B15D-3E4AAD2AEF45}"/>
    <cellStyle name="60% - Énfasis2 3 4 2 2 2 2" xfId="53252" xr:uid="{DA339AF3-E1AE-4E88-AF4E-478376B59543}"/>
    <cellStyle name="60% - Énfasis2 3 4 2 2 3" xfId="53251" xr:uid="{142461FE-9823-4D93-B85E-83A2A3CA0A70}"/>
    <cellStyle name="60% - Énfasis2 3 4 2 3" xfId="20910" xr:uid="{834F3904-5EFA-45F1-BB2A-99A74C779669}"/>
    <cellStyle name="60% - Énfasis2 3 4 2 3 2" xfId="53253" xr:uid="{81FE756E-77FE-4494-877B-A7CB6CB06D9B}"/>
    <cellStyle name="60% - Énfasis2 3 4 2 4" xfId="53250" xr:uid="{4C63FE8F-B2B1-4285-8555-813B18A61D66}"/>
    <cellStyle name="60% - Énfasis2 3 4 3" xfId="9474" xr:uid="{7697DC56-6F38-4B1A-8A70-42797AA8CF5C}"/>
    <cellStyle name="60% - Énfasis2 3 4 3 2" xfId="24887" xr:uid="{16BD7AC7-F5AF-4E58-AD42-51F0A1465818}"/>
    <cellStyle name="60% - Énfasis2 3 4 3 2 2" xfId="53255" xr:uid="{8AD5B00D-F7C1-4D61-966D-9152221F143A}"/>
    <cellStyle name="60% - Énfasis2 3 4 3 3" xfId="53254" xr:uid="{98F03D6E-4CA8-4E66-92B1-2C2E41CB7F73}"/>
    <cellStyle name="60% - Énfasis2 3 4 4" xfId="17182" xr:uid="{A67C5AF4-0367-45FE-BE7C-225676500927}"/>
    <cellStyle name="60% - Énfasis2 3 4 4 2" xfId="53256" xr:uid="{E8B9858A-9F11-4D9D-91A8-FA2B08042618}"/>
    <cellStyle name="60% - Énfasis2 3 4 5" xfId="53249" xr:uid="{1C27078C-9BE3-466B-8094-9598FFECB9D9}"/>
    <cellStyle name="60% - Énfasis2 3 5" xfId="4016" xr:uid="{E0399249-0257-4B58-9E98-FC3B2A615F37}"/>
    <cellStyle name="60% - Énfasis2 3 5 2" xfId="11724" xr:uid="{1FB64BC7-FEC7-4CB0-B6ED-8F99F5B4ACF0}"/>
    <cellStyle name="60% - Énfasis2 3 5 2 2" xfId="27136" xr:uid="{27930C35-67F6-4FFE-8AE0-BA56617222AF}"/>
    <cellStyle name="60% - Énfasis2 3 5 2 2 2" xfId="53259" xr:uid="{3B2D9433-76D5-4D34-8A37-542E278B89FA}"/>
    <cellStyle name="60% - Énfasis2 3 5 2 3" xfId="53258" xr:uid="{B1B36448-15D0-49D9-A1A2-DDEFB622619C}"/>
    <cellStyle name="60% - Énfasis2 3 5 3" xfId="19431" xr:uid="{F0AB9557-F5B9-4B6D-B3E8-54EF35A99F1B}"/>
    <cellStyle name="60% - Énfasis2 3 5 3 2" xfId="53260" xr:uid="{1152BB02-D6C0-4776-B216-54969B40CC2E}"/>
    <cellStyle name="60% - Énfasis2 3 5 4" xfId="53257" xr:uid="{96C8CBAD-EE8F-4E32-811D-DB2390A25FD8}"/>
    <cellStyle name="60% - Énfasis2 3 6" xfId="8015" xr:uid="{77405B34-9C66-4CC2-B1F2-352A3CF062B0}"/>
    <cellStyle name="60% - Énfasis2 3 6 2" xfId="23428" xr:uid="{153AB917-E872-409E-A317-0DC4AEB9E632}"/>
    <cellStyle name="60% - Énfasis2 3 6 2 2" xfId="53262" xr:uid="{31836D25-2509-4787-817C-2C248E1A02AA}"/>
    <cellStyle name="60% - Énfasis2 3 6 3" xfId="53261" xr:uid="{ACD0B1BE-8B39-4604-B2C8-595172DF8C53}"/>
    <cellStyle name="60% - Énfasis2 3 7" xfId="15723" xr:uid="{77E129D8-40F4-4482-A22B-874F8CC26EBD}"/>
    <cellStyle name="60% - Énfasis2 3 7 2" xfId="53263" xr:uid="{8BBCCCF8-0E98-4276-974F-9EFF619333CE}"/>
    <cellStyle name="60% - Énfasis2 3 8" xfId="53200" xr:uid="{F62BA038-D310-4B07-9121-6875146C4099}"/>
    <cellStyle name="60% - Énfasis2 30" xfId="3121" xr:uid="{69723A55-99DB-4CA2-A8CA-1FDC8DAEA25C}"/>
    <cellStyle name="60% - Énfasis2 30 2" xfId="6853" xr:uid="{982D97B0-AC2B-4CC3-B172-AECB1895A10E}"/>
    <cellStyle name="60% - Énfasis2 30 2 2" xfId="14561" xr:uid="{FBABD702-6DD8-4710-B75F-9B921185F9AF}"/>
    <cellStyle name="60% - Énfasis2 30 2 2 2" xfId="29973" xr:uid="{5D861802-9BCF-424D-956B-8FD35A03BD40}"/>
    <cellStyle name="60% - Énfasis2 30 2 2 2 2" xfId="53267" xr:uid="{BCB5696A-6344-4E50-9AB5-A4D17DB357E7}"/>
    <cellStyle name="60% - Énfasis2 30 2 2 3" xfId="53266" xr:uid="{E899195E-679C-405E-9918-A7B71023D3EA}"/>
    <cellStyle name="60% - Énfasis2 30 2 3" xfId="22268" xr:uid="{05307F2B-B4C3-4A54-915A-4BEE7E6308A7}"/>
    <cellStyle name="60% - Énfasis2 30 2 3 2" xfId="53268" xr:uid="{1C216C7C-89C1-4128-8A9C-5ACB6FE0FE49}"/>
    <cellStyle name="60% - Énfasis2 30 2 4" xfId="53265" xr:uid="{D6FC229A-6EC9-475B-95CD-C8A0A112B082}"/>
    <cellStyle name="60% - Énfasis2 30 3" xfId="10832" xr:uid="{22EC7B33-07A3-4BCE-B947-C64744FB2275}"/>
    <cellStyle name="60% - Énfasis2 30 3 2" xfId="26245" xr:uid="{849758BF-0CA1-4B10-8ADB-1909F1E2650B}"/>
    <cellStyle name="60% - Énfasis2 30 3 2 2" xfId="53270" xr:uid="{535EA0A5-63C4-443F-AEA3-6C73319073DA}"/>
    <cellStyle name="60% - Énfasis2 30 3 3" xfId="53269" xr:uid="{D4101A2C-43E9-405B-963B-593D06F021AE}"/>
    <cellStyle name="60% - Énfasis2 30 4" xfId="18540" xr:uid="{E32AEDEE-8EA9-4AA7-9360-6B80C359FF73}"/>
    <cellStyle name="60% - Énfasis2 30 4 2" xfId="53271" xr:uid="{200226BA-E6CC-4BB0-95D5-0E997F5D5AE0}"/>
    <cellStyle name="60% - Énfasis2 30 5" xfId="53264" xr:uid="{F59B1404-12D2-4584-8C79-36CB44710C7D}"/>
    <cellStyle name="60% - Énfasis2 31" xfId="3141" xr:uid="{87ACE8ED-64BA-47FC-B252-8CFC75B7168A}"/>
    <cellStyle name="60% - Énfasis2 31 2" xfId="6873" xr:uid="{D51538EF-D5E2-499D-AE76-ED224CCE3510}"/>
    <cellStyle name="60% - Énfasis2 31 2 2" xfId="14581" xr:uid="{9F105090-5AB7-44B8-9FBD-D071EE925292}"/>
    <cellStyle name="60% - Énfasis2 31 2 2 2" xfId="29993" xr:uid="{49853108-120D-4365-B202-70760CC9901B}"/>
    <cellStyle name="60% - Énfasis2 31 2 2 2 2" xfId="53275" xr:uid="{2D2BA3F5-FE23-40B3-ADD9-EA592AABEED7}"/>
    <cellStyle name="60% - Énfasis2 31 2 2 3" xfId="53274" xr:uid="{E6A5753E-5C4B-4D2E-9D2E-3688A067F41A}"/>
    <cellStyle name="60% - Énfasis2 31 2 3" xfId="22288" xr:uid="{28685EE1-B24F-476E-8A76-EFCD324E0CC3}"/>
    <cellStyle name="60% - Énfasis2 31 2 3 2" xfId="53276" xr:uid="{A41F366F-F8D7-4216-AAC4-0DEF7494F1C1}"/>
    <cellStyle name="60% - Énfasis2 31 2 4" xfId="53273" xr:uid="{12A3B089-807E-453F-8160-599342893F60}"/>
    <cellStyle name="60% - Énfasis2 31 3" xfId="10852" xr:uid="{90111A91-2722-482B-8990-4253597F1ECE}"/>
    <cellStyle name="60% - Énfasis2 31 3 2" xfId="26265" xr:uid="{E8F2C9AB-D1D8-41C9-9D33-5B3D9A6BD298}"/>
    <cellStyle name="60% - Énfasis2 31 3 2 2" xfId="53278" xr:uid="{4DDEE34E-D246-4218-B4D2-1023AD5454B6}"/>
    <cellStyle name="60% - Énfasis2 31 3 3" xfId="53277" xr:uid="{F9E62B57-A553-4BBD-8A71-71F8C154E6D3}"/>
    <cellStyle name="60% - Énfasis2 31 4" xfId="18560" xr:uid="{03601EA5-C3C2-4902-A5DD-E29F44592298}"/>
    <cellStyle name="60% - Énfasis2 31 4 2" xfId="53279" xr:uid="{4A674526-45AB-400F-876B-83A840DF31B1}"/>
    <cellStyle name="60% - Énfasis2 31 5" xfId="53272" xr:uid="{8F42CBA4-EF07-4D0D-BBA5-E8321853CBFB}"/>
    <cellStyle name="60% - Énfasis2 32" xfId="3161" xr:uid="{8CEDF8F2-5ECA-4938-B278-D896B46E0E45}"/>
    <cellStyle name="60% - Énfasis2 32 2" xfId="6893" xr:uid="{F9A07221-2A4C-4D9F-BC3B-3D6B554128AE}"/>
    <cellStyle name="60% - Énfasis2 32 2 2" xfId="14601" xr:uid="{BA0DB969-4D24-4278-89D0-F4E9DD35679E}"/>
    <cellStyle name="60% - Énfasis2 32 2 2 2" xfId="30013" xr:uid="{2A953D9C-4BCC-43AA-B389-49DFF1E26CE6}"/>
    <cellStyle name="60% - Énfasis2 32 2 2 2 2" xfId="53283" xr:uid="{F0921D17-EFAA-4D40-A330-30D1B15FBF64}"/>
    <cellStyle name="60% - Énfasis2 32 2 2 3" xfId="53282" xr:uid="{4086A82D-D767-4021-9E7A-ABC772CDB026}"/>
    <cellStyle name="60% - Énfasis2 32 2 3" xfId="22308" xr:uid="{10BECF6A-EB35-415A-90E7-6195D45715FE}"/>
    <cellStyle name="60% - Énfasis2 32 2 3 2" xfId="53284" xr:uid="{ABF07305-C430-4793-8E5D-85353864BDBF}"/>
    <cellStyle name="60% - Énfasis2 32 2 4" xfId="53281" xr:uid="{7F59F229-94BF-4A7D-9311-7895C50694FF}"/>
    <cellStyle name="60% - Énfasis2 32 3" xfId="10872" xr:uid="{B0A6E2F7-725A-40B1-9A06-1AF0BE8DBD33}"/>
    <cellStyle name="60% - Énfasis2 32 3 2" xfId="26285" xr:uid="{B6A0C9E6-735B-4149-A772-DAB41AC56FE1}"/>
    <cellStyle name="60% - Énfasis2 32 3 2 2" xfId="53286" xr:uid="{FCFBC725-7908-45FD-B5CB-22DA1DFFC322}"/>
    <cellStyle name="60% - Énfasis2 32 3 3" xfId="53285" xr:uid="{1C91B211-B2EE-4C8E-A771-63C4CD8EC36F}"/>
    <cellStyle name="60% - Énfasis2 32 4" xfId="18580" xr:uid="{DAAFCD4E-6D35-4F0E-AD51-C8DD4D0BE8F8}"/>
    <cellStyle name="60% - Énfasis2 32 4 2" xfId="53287" xr:uid="{BE8E8F6C-AE94-42D6-B44B-5B25A42F5CAD}"/>
    <cellStyle name="60% - Énfasis2 32 5" xfId="53280" xr:uid="{5B6F7254-E2E1-4D0A-B12C-DFE72B86C0D1}"/>
    <cellStyle name="60% - Énfasis2 33" xfId="3181" xr:uid="{9B6F51B4-A74C-40F6-A290-252351CF5031}"/>
    <cellStyle name="60% - Énfasis2 33 2" xfId="6913" xr:uid="{C2A8A973-AFC0-4E59-8D49-10DC30592E6C}"/>
    <cellStyle name="60% - Énfasis2 33 2 2" xfId="14621" xr:uid="{76FD1F21-3E6A-4D8E-A2E5-A25D1C64F688}"/>
    <cellStyle name="60% - Énfasis2 33 2 2 2" xfId="30033" xr:uid="{27AFF553-C24B-45E1-AD96-5C49000168D2}"/>
    <cellStyle name="60% - Énfasis2 33 2 2 2 2" xfId="53291" xr:uid="{7AA64237-90CE-4FCF-BEBE-FD0A2F511230}"/>
    <cellStyle name="60% - Énfasis2 33 2 2 3" xfId="53290" xr:uid="{2E5186E9-8697-48ED-B2B8-14206F1B4C5A}"/>
    <cellStyle name="60% - Énfasis2 33 2 3" xfId="22328" xr:uid="{AE5994F9-6480-48FB-95E7-E1FA2DE98BF4}"/>
    <cellStyle name="60% - Énfasis2 33 2 3 2" xfId="53292" xr:uid="{BA147E5E-7051-4119-8D10-E607CA4511D2}"/>
    <cellStyle name="60% - Énfasis2 33 2 4" xfId="53289" xr:uid="{C1EF9B31-F896-406A-B144-9EB6C7B477E3}"/>
    <cellStyle name="60% - Énfasis2 33 3" xfId="10892" xr:uid="{FC67C0AD-46CC-4491-B70E-27C21E82EC2A}"/>
    <cellStyle name="60% - Énfasis2 33 3 2" xfId="26305" xr:uid="{390DFAA6-A858-4C61-AC68-BC70AE8F7FB9}"/>
    <cellStyle name="60% - Énfasis2 33 3 2 2" xfId="53294" xr:uid="{C2049F5C-47C1-4BDA-B385-4238CD87AEB2}"/>
    <cellStyle name="60% - Énfasis2 33 3 3" xfId="53293" xr:uid="{0298C4BC-0F31-4544-BBD0-782D90F7EC05}"/>
    <cellStyle name="60% - Énfasis2 33 4" xfId="18600" xr:uid="{DF083C9F-45FF-4361-84C8-EC5E62040989}"/>
    <cellStyle name="60% - Énfasis2 33 4 2" xfId="53295" xr:uid="{79749D9D-0F17-4AAA-B072-5377F163399C}"/>
    <cellStyle name="60% - Énfasis2 33 5" xfId="53288" xr:uid="{87A97DE9-F3FB-49C1-A031-221CE40B2726}"/>
    <cellStyle name="60% - Énfasis2 34" xfId="3201" xr:uid="{F1FFE272-15F3-4EB1-AD20-E7D8A5AC414A}"/>
    <cellStyle name="60% - Énfasis2 34 2" xfId="6933" xr:uid="{37373CEE-ECD4-4C14-BF75-A184481D1F8F}"/>
    <cellStyle name="60% - Énfasis2 34 2 2" xfId="14641" xr:uid="{4126B6C7-593F-469B-8A3E-D4D990153899}"/>
    <cellStyle name="60% - Énfasis2 34 2 2 2" xfId="30053" xr:uid="{6B1660D7-0362-4C75-B28C-ACAA9E8FA2FD}"/>
    <cellStyle name="60% - Énfasis2 34 2 2 2 2" xfId="53299" xr:uid="{3E8B0FCB-80BD-47CD-9865-6051D896DFA4}"/>
    <cellStyle name="60% - Énfasis2 34 2 2 3" xfId="53298" xr:uid="{FA759B2D-8FD2-4165-8919-D4071DBE80AC}"/>
    <cellStyle name="60% - Énfasis2 34 2 3" xfId="22348" xr:uid="{811CD638-59BC-48DB-8F67-13DF78A71755}"/>
    <cellStyle name="60% - Énfasis2 34 2 3 2" xfId="53300" xr:uid="{8A5303B4-4D61-4645-A110-A011A04B9C44}"/>
    <cellStyle name="60% - Énfasis2 34 2 4" xfId="53297" xr:uid="{43BC090A-4DC2-46A3-8AA2-EE046C892DEE}"/>
    <cellStyle name="60% - Énfasis2 34 3" xfId="10912" xr:uid="{6919C4AB-971B-4B8D-838B-3B07A7CC6532}"/>
    <cellStyle name="60% - Énfasis2 34 3 2" xfId="26325" xr:uid="{8B4568DD-052E-403F-B2F5-942AC78E4F42}"/>
    <cellStyle name="60% - Énfasis2 34 3 2 2" xfId="53302" xr:uid="{0F1AE43C-71AD-4726-B6BB-597E2072304C}"/>
    <cellStyle name="60% - Énfasis2 34 3 3" xfId="53301" xr:uid="{FC603F81-A81F-4606-BF48-6FD26999036D}"/>
    <cellStyle name="60% - Énfasis2 34 4" xfId="18620" xr:uid="{6D109B16-B13A-4AAD-A6B8-307A20335CA0}"/>
    <cellStyle name="60% - Énfasis2 34 4 2" xfId="53303" xr:uid="{6B541D12-F121-402E-87EE-1728FF5A6EE1}"/>
    <cellStyle name="60% - Énfasis2 34 5" xfId="53296" xr:uid="{C0FFF438-FA09-4F88-B4E4-B3C2F5B895CE}"/>
    <cellStyle name="60% - Énfasis2 35" xfId="3221" xr:uid="{9BB47E55-0E9F-45F1-9061-BA161CF21D0B}"/>
    <cellStyle name="60% - Énfasis2 35 2" xfId="6953" xr:uid="{EC260DE7-CCEF-4659-B95C-3D59200DC85A}"/>
    <cellStyle name="60% - Énfasis2 35 2 2" xfId="14661" xr:uid="{1F93C1C2-FDCE-4705-8BB0-B18F3C6FAB72}"/>
    <cellStyle name="60% - Énfasis2 35 2 2 2" xfId="30073" xr:uid="{4B7059FF-9C1D-45B5-94A7-0F47683FB09A}"/>
    <cellStyle name="60% - Énfasis2 35 2 2 2 2" xfId="53307" xr:uid="{9DDEEDEC-015F-4A14-9E6F-A17CCB2DD3D9}"/>
    <cellStyle name="60% - Énfasis2 35 2 2 3" xfId="53306" xr:uid="{D834E9ED-79E6-4B2D-AD75-348F9F9C4640}"/>
    <cellStyle name="60% - Énfasis2 35 2 3" xfId="22368" xr:uid="{1B7A0248-AFD3-440C-842D-47EF9F4F7AC5}"/>
    <cellStyle name="60% - Énfasis2 35 2 3 2" xfId="53308" xr:uid="{A965D4A3-CF7C-49A2-B222-E8EB5445C320}"/>
    <cellStyle name="60% - Énfasis2 35 2 4" xfId="53305" xr:uid="{F70A2C57-D02E-465E-9534-6C7D0E29DB1E}"/>
    <cellStyle name="60% - Énfasis2 35 3" xfId="10932" xr:uid="{C0F24AD1-5189-459B-A7E2-AA018C4F2BAD}"/>
    <cellStyle name="60% - Énfasis2 35 3 2" xfId="26345" xr:uid="{1A69A321-1BE2-4655-9AB7-B06184079630}"/>
    <cellStyle name="60% - Énfasis2 35 3 2 2" xfId="53310" xr:uid="{90E221BA-8AEA-48B1-92CC-D0141913BBFD}"/>
    <cellStyle name="60% - Énfasis2 35 3 3" xfId="53309" xr:uid="{975A3FC5-3628-4FDC-BE8B-F8EAAEFA2431}"/>
    <cellStyle name="60% - Énfasis2 35 4" xfId="18640" xr:uid="{3643B518-62C6-49E8-98C9-B5F338AB0038}"/>
    <cellStyle name="60% - Énfasis2 35 4 2" xfId="53311" xr:uid="{B5153ECC-6A6A-438D-A992-BA40772EF40E}"/>
    <cellStyle name="60% - Énfasis2 35 5" xfId="53304" xr:uid="{5FF36189-7A54-4F98-9A35-5076E0BEBB86}"/>
    <cellStyle name="60% - Énfasis2 36" xfId="3241" xr:uid="{96F42FA5-0709-4957-8040-CA3D501433DD}"/>
    <cellStyle name="60% - Énfasis2 36 2" xfId="6973" xr:uid="{9611FBA5-70D7-4AB8-AC3F-18795EC9C5DE}"/>
    <cellStyle name="60% - Énfasis2 36 2 2" xfId="14681" xr:uid="{DB8F5C6C-2B73-4577-A5F8-B3F1E1EBFCDF}"/>
    <cellStyle name="60% - Énfasis2 36 2 2 2" xfId="30093" xr:uid="{6A7ABF62-CBBC-403D-9C6A-BAA8F98865D3}"/>
    <cellStyle name="60% - Énfasis2 36 2 2 2 2" xfId="53315" xr:uid="{4898DA0F-0BF3-4C39-867A-28E793EAA8FE}"/>
    <cellStyle name="60% - Énfasis2 36 2 2 3" xfId="53314" xr:uid="{1C3A67C6-2CE3-4567-AC70-5C1F46191A97}"/>
    <cellStyle name="60% - Énfasis2 36 2 3" xfId="22388" xr:uid="{94751099-636B-4826-A30E-63D842E660E0}"/>
    <cellStyle name="60% - Énfasis2 36 2 3 2" xfId="53316" xr:uid="{183CA485-27D5-497C-962C-9B62EB60C379}"/>
    <cellStyle name="60% - Énfasis2 36 2 4" xfId="53313" xr:uid="{A812C243-AADB-4A99-A42F-3D02C60C0D70}"/>
    <cellStyle name="60% - Énfasis2 36 3" xfId="10952" xr:uid="{3F5A6668-84BB-4B4A-B80C-52A02DBE5720}"/>
    <cellStyle name="60% - Énfasis2 36 3 2" xfId="26365" xr:uid="{F406DA7E-6ADD-4FA3-9F9A-E50C466E82AF}"/>
    <cellStyle name="60% - Énfasis2 36 3 2 2" xfId="53318" xr:uid="{A412F90B-0CF9-4401-89B5-3EB37E64166C}"/>
    <cellStyle name="60% - Énfasis2 36 3 3" xfId="53317" xr:uid="{221B123C-28BC-4642-B7AA-18455BF5CCEB}"/>
    <cellStyle name="60% - Énfasis2 36 4" xfId="18660" xr:uid="{26545574-2509-41C5-96C0-4C8971FE7779}"/>
    <cellStyle name="60% - Énfasis2 36 4 2" xfId="53319" xr:uid="{6305F48B-D58D-4E9D-BF17-9946B5BABED1}"/>
    <cellStyle name="60% - Énfasis2 36 5" xfId="53312" xr:uid="{22866A97-D13D-40F0-9F27-7F6F513417DF}"/>
    <cellStyle name="60% - Énfasis2 37" xfId="3261" xr:uid="{CD39E8CF-9649-4497-833E-E8E1F99CF1A8}"/>
    <cellStyle name="60% - Énfasis2 37 2" xfId="6993" xr:uid="{0ED0A711-DE51-494A-B934-F2D9E821B0F9}"/>
    <cellStyle name="60% - Énfasis2 37 2 2" xfId="14701" xr:uid="{8C0C4CCC-D719-44A9-9F73-D4214107B906}"/>
    <cellStyle name="60% - Énfasis2 37 2 2 2" xfId="30113" xr:uid="{CC8454D7-F447-4B6E-9E12-973C33FE5B4A}"/>
    <cellStyle name="60% - Énfasis2 37 2 2 2 2" xfId="53323" xr:uid="{C1BA2F28-9A1D-409A-AED7-F81576808332}"/>
    <cellStyle name="60% - Énfasis2 37 2 2 3" xfId="53322" xr:uid="{13233844-7BF2-4DD1-98EC-2A7FC3DD1326}"/>
    <cellStyle name="60% - Énfasis2 37 2 3" xfId="22408" xr:uid="{A2D1ABE2-6BBE-45FE-8CB2-270B3AFC79FB}"/>
    <cellStyle name="60% - Énfasis2 37 2 3 2" xfId="53324" xr:uid="{682C0679-EA82-462B-B96D-0B331DA7FE18}"/>
    <cellStyle name="60% - Énfasis2 37 2 4" xfId="53321" xr:uid="{EF0F52A4-E53C-4E3D-A0A7-9A1FBB7FCB68}"/>
    <cellStyle name="60% - Énfasis2 37 3" xfId="10972" xr:uid="{1F0F2867-4F4E-42B8-B326-8D09002931F1}"/>
    <cellStyle name="60% - Énfasis2 37 3 2" xfId="26385" xr:uid="{99F3C3F7-D9F2-47FA-8E79-CFDEC904C994}"/>
    <cellStyle name="60% - Énfasis2 37 3 2 2" xfId="53326" xr:uid="{FB5E7E1F-9DE1-4801-881A-3BCB169C3D03}"/>
    <cellStyle name="60% - Énfasis2 37 3 3" xfId="53325" xr:uid="{B3E4121C-C4F1-4103-BEEC-1C6BA161CA8D}"/>
    <cellStyle name="60% - Énfasis2 37 4" xfId="18680" xr:uid="{DBD4727A-AA3C-477E-A12D-B28FBA00C21C}"/>
    <cellStyle name="60% - Énfasis2 37 4 2" xfId="53327" xr:uid="{83E7AFA4-D9EA-40B6-9C90-45DAF5E5AD4A}"/>
    <cellStyle name="60% - Énfasis2 37 5" xfId="53320" xr:uid="{93582BCD-F604-450D-849A-6A528096645D}"/>
    <cellStyle name="60% - Énfasis2 38" xfId="3281" xr:uid="{3CE1818A-5296-44D8-ACC3-1BAE394A6126}"/>
    <cellStyle name="60% - Énfasis2 38 2" xfId="7013" xr:uid="{D7C33559-C4CF-49CC-97A9-7738408DA533}"/>
    <cellStyle name="60% - Énfasis2 38 2 2" xfId="14721" xr:uid="{2B738B38-F094-4CB7-B67A-5E40C5897E9A}"/>
    <cellStyle name="60% - Énfasis2 38 2 2 2" xfId="30133" xr:uid="{082A2102-1460-46C3-8524-C4AC139A0BAD}"/>
    <cellStyle name="60% - Énfasis2 38 2 2 2 2" xfId="53331" xr:uid="{DBF815D6-49DC-41D4-B02C-527D75AB6D0A}"/>
    <cellStyle name="60% - Énfasis2 38 2 2 3" xfId="53330" xr:uid="{A3F23C66-CCAB-44A4-8B16-039C5470BB8B}"/>
    <cellStyle name="60% - Énfasis2 38 2 3" xfId="22428" xr:uid="{42D209D9-6FDF-4E57-995C-BA51FD8C544F}"/>
    <cellStyle name="60% - Énfasis2 38 2 3 2" xfId="53332" xr:uid="{C410C652-5EBF-427E-8172-2CDCCF20B692}"/>
    <cellStyle name="60% - Énfasis2 38 2 4" xfId="53329" xr:uid="{140420FE-F133-48BB-8D34-5456D684D887}"/>
    <cellStyle name="60% - Énfasis2 38 3" xfId="10992" xr:uid="{725BE828-3B66-4CDE-842C-B7CA0C76F42E}"/>
    <cellStyle name="60% - Énfasis2 38 3 2" xfId="26405" xr:uid="{817BA401-AA87-4E44-B1A4-B6E5D3089B3C}"/>
    <cellStyle name="60% - Énfasis2 38 3 2 2" xfId="53334" xr:uid="{8696D968-8BE4-4B8C-87B8-FBAFDD4F480A}"/>
    <cellStyle name="60% - Énfasis2 38 3 3" xfId="53333" xr:uid="{A9A96563-AEF5-4961-A052-15D26ABD5E34}"/>
    <cellStyle name="60% - Énfasis2 38 4" xfId="18700" xr:uid="{99BED5DE-33D9-4E52-ACCF-308487D923A5}"/>
    <cellStyle name="60% - Énfasis2 38 4 2" xfId="53335" xr:uid="{877481E1-D9F0-44FF-A189-E1F5DF73341B}"/>
    <cellStyle name="60% - Énfasis2 38 5" xfId="53328" xr:uid="{2EA70543-FEB0-4609-B9FF-291DB09FA7C9}"/>
    <cellStyle name="60% - Énfasis2 4" xfId="286" xr:uid="{3F9735E2-E93E-4BE1-8FA8-09821DAEF951}"/>
    <cellStyle name="60% - Énfasis2 4 2" xfId="489" xr:uid="{32828A76-DB49-4E3F-BF01-C3219FAF3FEE}"/>
    <cellStyle name="60% - Énfasis2 4 2 2" xfId="1150" xr:uid="{37F0A957-AD3C-4F6A-AD03-3A4D56100A31}"/>
    <cellStyle name="60% - Énfasis2 4 2 2 2" xfId="2618" xr:uid="{3008403A-9F54-4D85-975D-CA0E6F7015C1}"/>
    <cellStyle name="60% - Énfasis2 4 2 2 2 2" xfId="6350" xr:uid="{3E86CD31-7D60-4415-BC8C-35998302F475}"/>
    <cellStyle name="60% - Énfasis2 4 2 2 2 2 2" xfId="14058" xr:uid="{BA5E57A5-D929-4B64-B9FE-1B8F3E5CC486}"/>
    <cellStyle name="60% - Énfasis2 4 2 2 2 2 2 2" xfId="29470" xr:uid="{95E89C27-18D3-4597-BAB1-F5D9B87F00E2}"/>
    <cellStyle name="60% - Énfasis2 4 2 2 2 2 2 2 2" xfId="53342" xr:uid="{8FBF6095-9177-4089-BDDB-CE8045E0418D}"/>
    <cellStyle name="60% - Énfasis2 4 2 2 2 2 2 3" xfId="53341" xr:uid="{D4FAA89F-B707-44CD-A650-B9EE8EA6A63C}"/>
    <cellStyle name="60% - Énfasis2 4 2 2 2 2 3" xfId="21765" xr:uid="{F1D9A6AF-77CA-41B2-A970-7C6AF463CB70}"/>
    <cellStyle name="60% - Énfasis2 4 2 2 2 2 3 2" xfId="53343" xr:uid="{58F4A169-2768-4EE3-BB4B-FB4317474000}"/>
    <cellStyle name="60% - Énfasis2 4 2 2 2 2 4" xfId="53340" xr:uid="{8B70990E-17E0-4DDD-8263-42E48409DED1}"/>
    <cellStyle name="60% - Énfasis2 4 2 2 2 3" xfId="10329" xr:uid="{E7B120AA-CA31-4936-9B28-6C61C7CF78FF}"/>
    <cellStyle name="60% - Énfasis2 4 2 2 2 3 2" xfId="25742" xr:uid="{0D8C7BAE-4468-4462-A482-B1D7EA2FCB4B}"/>
    <cellStyle name="60% - Énfasis2 4 2 2 2 3 2 2" xfId="53345" xr:uid="{CF115170-DE19-4BD5-BD39-3FBABD81BB72}"/>
    <cellStyle name="60% - Énfasis2 4 2 2 2 3 3" xfId="53344" xr:uid="{10B91A76-38C0-47B6-B666-5DCF51B08E2B}"/>
    <cellStyle name="60% - Énfasis2 4 2 2 2 4" xfId="18037" xr:uid="{20F3D7A1-25AE-41B6-87C9-DD6D9C47FA0F}"/>
    <cellStyle name="60% - Énfasis2 4 2 2 2 4 2" xfId="53346" xr:uid="{4F56D45F-FCF7-483B-9CE7-E0B3D748CEEE}"/>
    <cellStyle name="60% - Énfasis2 4 2 2 2 5" xfId="53339" xr:uid="{E1F67DAD-8BC1-49C7-A796-DAAC780DB6C9}"/>
    <cellStyle name="60% - Énfasis2 4 2 2 3" xfId="4887" xr:uid="{C498BC92-BFC7-4055-9196-0E8C753B7153}"/>
    <cellStyle name="60% - Énfasis2 4 2 2 3 2" xfId="12595" xr:uid="{55E3BFE6-4B99-45A7-A4DE-52AE03AB8AED}"/>
    <cellStyle name="60% - Énfasis2 4 2 2 3 2 2" xfId="28007" xr:uid="{60A936B6-CDEE-4510-94BC-1018D086A6DE}"/>
    <cellStyle name="60% - Énfasis2 4 2 2 3 2 2 2" xfId="53349" xr:uid="{33EA1B5F-E3CA-4DCC-88DC-EC2D53E0061F}"/>
    <cellStyle name="60% - Énfasis2 4 2 2 3 2 3" xfId="53348" xr:uid="{2FC0B187-A9D4-4146-B2A1-AA91B814A894}"/>
    <cellStyle name="60% - Énfasis2 4 2 2 3 3" xfId="20302" xr:uid="{E16299E6-A494-45D5-983D-CC7F8B4B3ACF}"/>
    <cellStyle name="60% - Énfasis2 4 2 2 3 3 2" xfId="53350" xr:uid="{E01971DD-B093-4081-8810-2D8AB366C85E}"/>
    <cellStyle name="60% - Énfasis2 4 2 2 3 4" xfId="53347" xr:uid="{50A2CF55-3DC3-4B52-A65C-D762C07DD5A0}"/>
    <cellStyle name="60% - Énfasis2 4 2 2 4" xfId="8870" xr:uid="{4DC739C0-0E47-41AF-8386-64FF41D64DC6}"/>
    <cellStyle name="60% - Énfasis2 4 2 2 4 2" xfId="24283" xr:uid="{524BB3A3-F7DD-4B4B-9DDA-7CF559B6AE04}"/>
    <cellStyle name="60% - Énfasis2 4 2 2 4 2 2" xfId="53352" xr:uid="{823987F6-6200-4191-88F2-70B807E283C2}"/>
    <cellStyle name="60% - Énfasis2 4 2 2 4 3" xfId="53351" xr:uid="{1459E483-24A3-4BE0-ABA1-7F116EDD18A1}"/>
    <cellStyle name="60% - Énfasis2 4 2 2 5" xfId="16578" xr:uid="{3232E6BF-049B-43C2-B0E6-FABE07838BEC}"/>
    <cellStyle name="60% - Énfasis2 4 2 2 5 2" xfId="53353" xr:uid="{0AC2D5BB-D9A4-4C2E-9F5D-DF94E659E47A}"/>
    <cellStyle name="60% - Énfasis2 4 2 2 6" xfId="53338" xr:uid="{70F65898-28D0-4183-A60A-07BA920D1F8E}"/>
    <cellStyle name="60% - Énfasis2 4 2 3" xfId="1980" xr:uid="{4DE97FCA-C300-4B1A-839F-D28A663ED8E7}"/>
    <cellStyle name="60% - Énfasis2 4 2 3 2" xfId="5712" xr:uid="{4D7ECDCD-C5BE-4B3A-8631-E6D3FE6430F9}"/>
    <cellStyle name="60% - Énfasis2 4 2 3 2 2" xfId="13420" xr:uid="{2B55235E-2689-446B-B0EF-25CF2A252DB6}"/>
    <cellStyle name="60% - Énfasis2 4 2 3 2 2 2" xfId="28832" xr:uid="{B1C8D5DF-A3C8-4935-8EC1-CA3CB47CCE5F}"/>
    <cellStyle name="60% - Énfasis2 4 2 3 2 2 2 2" xfId="53357" xr:uid="{1F795025-B745-49F3-AC9A-BDD332886C0A}"/>
    <cellStyle name="60% - Énfasis2 4 2 3 2 2 3" xfId="53356" xr:uid="{2B0311A9-FD18-4D44-BC35-9E4B66104A33}"/>
    <cellStyle name="60% - Énfasis2 4 2 3 2 3" xfId="21127" xr:uid="{EBE65F05-97A2-4A9C-A107-E9A074CF93A1}"/>
    <cellStyle name="60% - Énfasis2 4 2 3 2 3 2" xfId="53358" xr:uid="{F8B055DC-930C-4475-9AD6-0DD5AA5A169D}"/>
    <cellStyle name="60% - Énfasis2 4 2 3 2 4" xfId="53355" xr:uid="{F54F9089-7F68-4A28-ADC9-8A929824AE42}"/>
    <cellStyle name="60% - Énfasis2 4 2 3 3" xfId="9691" xr:uid="{280AB888-DC39-4914-BB52-FFA2FE8F003E}"/>
    <cellStyle name="60% - Énfasis2 4 2 3 3 2" xfId="25104" xr:uid="{4CF6BA61-9990-4CF5-867A-89BC0A130C30}"/>
    <cellStyle name="60% - Énfasis2 4 2 3 3 2 2" xfId="53360" xr:uid="{DA910564-B5E9-4EB5-A263-A0A45505D303}"/>
    <cellStyle name="60% - Énfasis2 4 2 3 3 3" xfId="53359" xr:uid="{1A7B9C9D-2439-41ED-9AA5-F58699082045}"/>
    <cellStyle name="60% - Énfasis2 4 2 3 4" xfId="17399" xr:uid="{0021CF38-8D16-44AB-B210-CD515B361D2F}"/>
    <cellStyle name="60% - Énfasis2 4 2 3 4 2" xfId="53361" xr:uid="{01C2C0EC-236B-4FFD-879A-ECA82551FEB8}"/>
    <cellStyle name="60% - Énfasis2 4 2 3 5" xfId="53354" xr:uid="{2D331F67-7CCE-4C00-A29F-8171DC96EE4A}"/>
    <cellStyle name="60% - Énfasis2 4 2 4" xfId="4235" xr:uid="{64AEBCC8-FBFF-40D0-9054-FB762E2BD4F9}"/>
    <cellStyle name="60% - Énfasis2 4 2 4 2" xfId="11943" xr:uid="{3D7E3EE6-6143-4CA1-A034-AE6F10C9A133}"/>
    <cellStyle name="60% - Énfasis2 4 2 4 2 2" xfId="27355" xr:uid="{E7B3C219-2A79-4010-894E-2396AA7F6A2C}"/>
    <cellStyle name="60% - Énfasis2 4 2 4 2 2 2" xfId="53364" xr:uid="{FFD92F86-DFA5-4C69-B1F6-0BC6A79BDD7E}"/>
    <cellStyle name="60% - Énfasis2 4 2 4 2 3" xfId="53363" xr:uid="{4009646E-A0B1-4F78-B714-63AAC052B83B}"/>
    <cellStyle name="60% - Énfasis2 4 2 4 3" xfId="19650" xr:uid="{2441AEC7-6D39-45B4-B8A9-C9EDFA54C08E}"/>
    <cellStyle name="60% - Énfasis2 4 2 4 3 2" xfId="53365" xr:uid="{4DBE3DE2-290C-4CB1-A78E-34AEBD81CCA4}"/>
    <cellStyle name="60% - Énfasis2 4 2 4 4" xfId="53362" xr:uid="{F0E209C3-3CD0-4ACE-9AD4-26F96D6B62AB}"/>
    <cellStyle name="60% - Énfasis2 4 2 5" xfId="8232" xr:uid="{EF2C43BB-EB25-4E1F-B57B-6CAFAE4180BF}"/>
    <cellStyle name="60% - Énfasis2 4 2 5 2" xfId="23645" xr:uid="{AD2F346D-1621-4BDA-B6AD-3BFADE4EB41F}"/>
    <cellStyle name="60% - Énfasis2 4 2 5 2 2" xfId="53367" xr:uid="{B9CC4B69-3AB1-4508-8C92-CEA51525D2C7}"/>
    <cellStyle name="60% - Énfasis2 4 2 5 3" xfId="53366" xr:uid="{C22C9A44-9122-48BC-8199-1DA689F30E42}"/>
    <cellStyle name="60% - Énfasis2 4 2 6" xfId="15940" xr:uid="{B9C36A84-B19C-419A-BF3C-AF54624B1D2E}"/>
    <cellStyle name="60% - Énfasis2 4 2 6 2" xfId="53368" xr:uid="{54E22D83-5F28-4318-B207-41B187303A1F}"/>
    <cellStyle name="60% - Énfasis2 4 2 7" xfId="53337" xr:uid="{D644CD05-6E50-433D-A842-954D730309A0}"/>
    <cellStyle name="60% - Énfasis2 4 3" xfId="950" xr:uid="{0519FE76-5636-420F-8A2A-0FC4C6C6BB35}"/>
    <cellStyle name="60% - Énfasis2 4 3 2" xfId="2420" xr:uid="{4699725B-7CA2-4F07-B599-17699C6F2ED4}"/>
    <cellStyle name="60% - Énfasis2 4 3 2 2" xfId="6152" xr:uid="{65BD46CB-2332-4A30-94CC-678344EC44B9}"/>
    <cellStyle name="60% - Énfasis2 4 3 2 2 2" xfId="13860" xr:uid="{E4D5EBC7-F390-4888-9904-15DCD4D53727}"/>
    <cellStyle name="60% - Énfasis2 4 3 2 2 2 2" xfId="29272" xr:uid="{808F2CCC-6A5C-49D8-BFEB-BE6D9CF8345C}"/>
    <cellStyle name="60% - Énfasis2 4 3 2 2 2 2 2" xfId="53373" xr:uid="{3C2A1AD9-2D44-4690-A1DF-00D84B56E702}"/>
    <cellStyle name="60% - Énfasis2 4 3 2 2 2 3" xfId="53372" xr:uid="{8CB90777-56BF-45A4-BAC7-21B0AA41DD01}"/>
    <cellStyle name="60% - Énfasis2 4 3 2 2 3" xfId="21567" xr:uid="{0C9E5BC0-7E98-43AB-94B6-0DB8F0AA1C84}"/>
    <cellStyle name="60% - Énfasis2 4 3 2 2 3 2" xfId="53374" xr:uid="{3F32260B-B791-4227-A82F-0ED33C1098C5}"/>
    <cellStyle name="60% - Énfasis2 4 3 2 2 4" xfId="53371" xr:uid="{F797B5E0-D356-4A07-9CD7-296DD0EEA625}"/>
    <cellStyle name="60% - Énfasis2 4 3 2 3" xfId="10131" xr:uid="{E1ACE37A-9AB9-4F8C-9F51-DCF3C298B371}"/>
    <cellStyle name="60% - Énfasis2 4 3 2 3 2" xfId="25544" xr:uid="{CC9B9EC4-CEAF-4886-80D6-702C0083A0A4}"/>
    <cellStyle name="60% - Énfasis2 4 3 2 3 2 2" xfId="53376" xr:uid="{C6E94071-3A96-4EFE-B8CC-9F3478DDC267}"/>
    <cellStyle name="60% - Énfasis2 4 3 2 3 3" xfId="53375" xr:uid="{18D4E621-FA84-4CD6-BD03-9CD144ADB2D2}"/>
    <cellStyle name="60% - Énfasis2 4 3 2 4" xfId="17839" xr:uid="{3DF7BE6F-26C8-4E88-80DE-99C0FDF26AF2}"/>
    <cellStyle name="60% - Énfasis2 4 3 2 4 2" xfId="53377" xr:uid="{D68771B0-1112-4EBB-87E6-8198AA418017}"/>
    <cellStyle name="60% - Énfasis2 4 3 2 5" xfId="53370" xr:uid="{A35DFEC0-48A5-4CDA-AD51-430AF16E46E6}"/>
    <cellStyle name="60% - Énfasis2 4 3 3" xfId="4687" xr:uid="{8293B540-DDC3-4185-8A6E-258B7A24AE29}"/>
    <cellStyle name="60% - Énfasis2 4 3 3 2" xfId="12395" xr:uid="{EF3CB7E5-BBFD-4599-B980-3875DA2930E3}"/>
    <cellStyle name="60% - Énfasis2 4 3 3 2 2" xfId="27807" xr:uid="{E0C5C6D7-7336-49E5-9DFB-641A50D3A42D}"/>
    <cellStyle name="60% - Énfasis2 4 3 3 2 2 2" xfId="53380" xr:uid="{95CCA7ED-6EFB-4532-84A1-7D67FF6FDDA0}"/>
    <cellStyle name="60% - Énfasis2 4 3 3 2 3" xfId="53379" xr:uid="{208B7A3D-1B89-4B11-8A7E-12800863AC07}"/>
    <cellStyle name="60% - Énfasis2 4 3 3 3" xfId="20102" xr:uid="{5DB4C640-AFFB-4BE3-AAD5-2128EFEDD6E0}"/>
    <cellStyle name="60% - Énfasis2 4 3 3 3 2" xfId="53381" xr:uid="{C8E72B7F-28AC-4E3A-9050-4904E0167D87}"/>
    <cellStyle name="60% - Énfasis2 4 3 3 4" xfId="53378" xr:uid="{5BDAEC2E-D4BC-40F6-84F2-EC4BE0432390}"/>
    <cellStyle name="60% - Énfasis2 4 3 4" xfId="8672" xr:uid="{25F0BB8C-79E7-4C70-9255-24234E836D81}"/>
    <cellStyle name="60% - Énfasis2 4 3 4 2" xfId="24085" xr:uid="{CA82664B-16BB-4E26-9530-027FF32A31DE}"/>
    <cellStyle name="60% - Énfasis2 4 3 4 2 2" xfId="53383" xr:uid="{230CFFBB-4E22-435A-8B01-0323743BF2DA}"/>
    <cellStyle name="60% - Énfasis2 4 3 4 3" xfId="53382" xr:uid="{528659E0-A13C-4866-9D7F-625368464727}"/>
    <cellStyle name="60% - Énfasis2 4 3 5" xfId="16380" xr:uid="{5043D068-4143-4656-B0A8-8FF62D4E9436}"/>
    <cellStyle name="60% - Énfasis2 4 3 5 2" xfId="53384" xr:uid="{3120DA1A-28C6-4902-BFDD-3367CAA6CF7D}"/>
    <cellStyle name="60% - Énfasis2 4 3 6" xfId="53369" xr:uid="{C906A1E0-23E9-4AE6-904F-A471580175E0}"/>
    <cellStyle name="60% - Énfasis2 4 4" xfId="1782" xr:uid="{365C9070-8DCB-4888-8196-A8ACD2A54727}"/>
    <cellStyle name="60% - Énfasis2 4 4 2" xfId="5514" xr:uid="{26B25641-B3E9-467A-AD86-3305F93423BF}"/>
    <cellStyle name="60% - Énfasis2 4 4 2 2" xfId="13222" xr:uid="{41797A4D-63A9-4C1D-9A70-A80413177030}"/>
    <cellStyle name="60% - Énfasis2 4 4 2 2 2" xfId="28634" xr:uid="{C985CC37-134F-4F52-834C-413CF32269FF}"/>
    <cellStyle name="60% - Énfasis2 4 4 2 2 2 2" xfId="53388" xr:uid="{B2EDC218-F87C-4831-AB1E-49190B0D175B}"/>
    <cellStyle name="60% - Énfasis2 4 4 2 2 3" xfId="53387" xr:uid="{3903D3DA-7810-4622-849B-6AB852E2B861}"/>
    <cellStyle name="60% - Énfasis2 4 4 2 3" xfId="20929" xr:uid="{AA2E33A1-6A71-4C79-B784-CBDF31A7EA10}"/>
    <cellStyle name="60% - Énfasis2 4 4 2 3 2" xfId="53389" xr:uid="{FA9A8353-CF7A-4270-851B-DC20C206E3C0}"/>
    <cellStyle name="60% - Énfasis2 4 4 2 4" xfId="53386" xr:uid="{718660D4-0670-4F49-8005-D2A76FC5C3EC}"/>
    <cellStyle name="60% - Énfasis2 4 4 3" xfId="9493" xr:uid="{0E846E2F-0E38-47E5-9C7B-857184A74E88}"/>
    <cellStyle name="60% - Énfasis2 4 4 3 2" xfId="24906" xr:uid="{248641A6-E467-4FFC-98A6-83395CFF4D62}"/>
    <cellStyle name="60% - Énfasis2 4 4 3 2 2" xfId="53391" xr:uid="{82E64BFD-C7C4-4040-B78E-022DC14D44F8}"/>
    <cellStyle name="60% - Énfasis2 4 4 3 3" xfId="53390" xr:uid="{BFD6D139-7744-419B-B5EB-56A6E70AD24A}"/>
    <cellStyle name="60% - Énfasis2 4 4 4" xfId="17201" xr:uid="{DE5738AE-FBE0-4E43-84A9-76B559889DF5}"/>
    <cellStyle name="60% - Énfasis2 4 4 4 2" xfId="53392" xr:uid="{8ABE6B30-8182-4A0E-A701-426112ABD70C}"/>
    <cellStyle name="60% - Énfasis2 4 4 5" xfId="53385" xr:uid="{A43B1EDD-3555-4D5A-BC17-D6372825A2B9}"/>
    <cellStyle name="60% - Énfasis2 4 5" xfId="4035" xr:uid="{4513AF57-DC9E-4C7A-B517-E97C755DAD6B}"/>
    <cellStyle name="60% - Énfasis2 4 5 2" xfId="11743" xr:uid="{1B1B9C5B-2EED-4FE7-86B7-497D401A1BF1}"/>
    <cellStyle name="60% - Énfasis2 4 5 2 2" xfId="27155" xr:uid="{A83005BC-484F-480C-8365-9C2DFC65E91E}"/>
    <cellStyle name="60% - Énfasis2 4 5 2 2 2" xfId="53395" xr:uid="{2BC8E502-0A56-40FA-A62C-079E3D54E480}"/>
    <cellStyle name="60% - Énfasis2 4 5 2 3" xfId="53394" xr:uid="{6BFDA18F-BD05-4B89-B5EE-5F32BAFA85A2}"/>
    <cellStyle name="60% - Énfasis2 4 5 3" xfId="19450" xr:uid="{20E6A125-4947-4223-9520-7BB510013241}"/>
    <cellStyle name="60% - Énfasis2 4 5 3 2" xfId="53396" xr:uid="{FB830BDC-8399-411D-B0CD-68622F43F3CA}"/>
    <cellStyle name="60% - Énfasis2 4 5 4" xfId="53393" xr:uid="{96467FA3-0BDC-4282-BD08-3DD3B83FC511}"/>
    <cellStyle name="60% - Énfasis2 4 6" xfId="8034" xr:uid="{BC6EBABC-0858-4579-8126-D6050DA1A327}"/>
    <cellStyle name="60% - Énfasis2 4 6 2" xfId="23447" xr:uid="{2B2BA9B4-9092-49E8-8895-99DC371E2FA7}"/>
    <cellStyle name="60% - Énfasis2 4 6 2 2" xfId="53398" xr:uid="{783DC629-38CF-419C-B0D6-1A9EE64AB151}"/>
    <cellStyle name="60% - Énfasis2 4 6 3" xfId="53397" xr:uid="{7545FDE6-2E82-42C7-B888-090A5ACF9AEA}"/>
    <cellStyle name="60% - Énfasis2 4 7" xfId="15742" xr:uid="{D59148B4-6C0E-4FDB-AFD3-9AA0D63A5C41}"/>
    <cellStyle name="60% - Énfasis2 4 7 2" xfId="53399" xr:uid="{B7F81E60-1057-4F47-BFE0-471873152F3A}"/>
    <cellStyle name="60% - Énfasis2 4 8" xfId="53336" xr:uid="{C232CF95-4775-467F-97A1-2B50BD2652F2}"/>
    <cellStyle name="60% - Énfasis2 5" xfId="306" xr:uid="{8DFB18C7-9B7B-47E9-B335-C5BF3C7752DA}"/>
    <cellStyle name="60% - Énfasis2 5 2" xfId="509" xr:uid="{391E9B46-44ED-4835-8A4D-ED66E3A3DCB5}"/>
    <cellStyle name="60% - Énfasis2 5 2 2" xfId="1170" xr:uid="{2970AA80-4F32-4C5E-9699-DC34DA1AF75C}"/>
    <cellStyle name="60% - Énfasis2 5 2 2 2" xfId="2638" xr:uid="{CE402FBA-81E8-4822-883A-C1D5409CB2A3}"/>
    <cellStyle name="60% - Énfasis2 5 2 2 2 2" xfId="6370" xr:uid="{D9D0BB01-4B20-46B8-93B2-00DCCA91A1EB}"/>
    <cellStyle name="60% - Énfasis2 5 2 2 2 2 2" xfId="14078" xr:uid="{BCD5E4F0-E37C-49DF-91D4-D5BD52DCDFF8}"/>
    <cellStyle name="60% - Énfasis2 5 2 2 2 2 2 2" xfId="29490" xr:uid="{49F92DC2-373C-4614-BBB3-CBF025A6DD05}"/>
    <cellStyle name="60% - Énfasis2 5 2 2 2 2 2 2 2" xfId="53406" xr:uid="{2006A54B-BE36-4720-BE66-B9A71D19617E}"/>
    <cellStyle name="60% - Énfasis2 5 2 2 2 2 2 3" xfId="53405" xr:uid="{AE7D4743-3D48-46CC-BEB9-914857D76FED}"/>
    <cellStyle name="60% - Énfasis2 5 2 2 2 2 3" xfId="21785" xr:uid="{E13BEBEA-A475-4CFD-B4BC-FF75D3B7D578}"/>
    <cellStyle name="60% - Énfasis2 5 2 2 2 2 3 2" xfId="53407" xr:uid="{B5D179BB-8B8A-4B30-9A7C-606C49EA12FE}"/>
    <cellStyle name="60% - Énfasis2 5 2 2 2 2 4" xfId="53404" xr:uid="{74CEA424-003B-4065-93E5-AE7572D0D3BA}"/>
    <cellStyle name="60% - Énfasis2 5 2 2 2 3" xfId="10349" xr:uid="{B62E1432-392A-48D5-83BA-33200B1DB2C2}"/>
    <cellStyle name="60% - Énfasis2 5 2 2 2 3 2" xfId="25762" xr:uid="{B9222B14-3F57-49A4-9B70-6A1468D1E18A}"/>
    <cellStyle name="60% - Énfasis2 5 2 2 2 3 2 2" xfId="53409" xr:uid="{8C743498-DCA6-424E-8E16-389328DDDD03}"/>
    <cellStyle name="60% - Énfasis2 5 2 2 2 3 3" xfId="53408" xr:uid="{B0BEB48E-178E-450E-B511-164E7562FD29}"/>
    <cellStyle name="60% - Énfasis2 5 2 2 2 4" xfId="18057" xr:uid="{0F00CB5D-00A8-4550-A748-456E32188381}"/>
    <cellStyle name="60% - Énfasis2 5 2 2 2 4 2" xfId="53410" xr:uid="{49C97F7E-DADD-4664-9C21-D049556E743E}"/>
    <cellStyle name="60% - Énfasis2 5 2 2 2 5" xfId="53403" xr:uid="{660739BF-3070-404A-8B21-E6E5ACAFC3C7}"/>
    <cellStyle name="60% - Énfasis2 5 2 2 3" xfId="4907" xr:uid="{764A79B4-D2E5-4414-AF57-699835FF593F}"/>
    <cellStyle name="60% - Énfasis2 5 2 2 3 2" xfId="12615" xr:uid="{F50A0E21-B9AD-480B-B6BE-FFBCBCFD2EDB}"/>
    <cellStyle name="60% - Énfasis2 5 2 2 3 2 2" xfId="28027" xr:uid="{DB199021-3587-4CAF-AE46-7CC238E4C944}"/>
    <cellStyle name="60% - Énfasis2 5 2 2 3 2 2 2" xfId="53413" xr:uid="{E67E80DF-4835-4513-B141-4A9843941B3B}"/>
    <cellStyle name="60% - Énfasis2 5 2 2 3 2 3" xfId="53412" xr:uid="{93A80730-E41A-4F30-B9E0-578945DA20CC}"/>
    <cellStyle name="60% - Énfasis2 5 2 2 3 3" xfId="20322" xr:uid="{36226CAB-9A51-4FC1-9D97-C53DD4D987C0}"/>
    <cellStyle name="60% - Énfasis2 5 2 2 3 3 2" xfId="53414" xr:uid="{E7BF31C4-1C80-4CB0-B2B6-980C0D8CB3C0}"/>
    <cellStyle name="60% - Énfasis2 5 2 2 3 4" xfId="53411" xr:uid="{1497CE23-558E-4652-BA76-73E6D3F68478}"/>
    <cellStyle name="60% - Énfasis2 5 2 2 4" xfId="8890" xr:uid="{04596DF1-4D69-47EF-8EC5-9C8DB3961421}"/>
    <cellStyle name="60% - Énfasis2 5 2 2 4 2" xfId="24303" xr:uid="{558878E9-9FEA-4DB2-A777-3998637CB20B}"/>
    <cellStyle name="60% - Énfasis2 5 2 2 4 2 2" xfId="53416" xr:uid="{C044651F-4390-49DB-9FA9-95E11E93434D}"/>
    <cellStyle name="60% - Énfasis2 5 2 2 4 3" xfId="53415" xr:uid="{5F8DEBE1-F2D8-4CC0-8839-36E151ABC19D}"/>
    <cellStyle name="60% - Énfasis2 5 2 2 5" xfId="16598" xr:uid="{19196BA6-A88F-4F1A-B1F2-A4F4EEBD7E46}"/>
    <cellStyle name="60% - Énfasis2 5 2 2 5 2" xfId="53417" xr:uid="{9B79B744-47C2-4A26-B1FC-4E3BB0CF7D30}"/>
    <cellStyle name="60% - Énfasis2 5 2 2 6" xfId="53402" xr:uid="{7B680D9D-E5E6-42D6-90A9-B133AE217A94}"/>
    <cellStyle name="60% - Énfasis2 5 2 3" xfId="2000" xr:uid="{42D2F500-BFC1-4714-A3D7-F00F154BCF75}"/>
    <cellStyle name="60% - Énfasis2 5 2 3 2" xfId="5732" xr:uid="{702E1037-3722-4F6D-A6B7-A467D711CBCE}"/>
    <cellStyle name="60% - Énfasis2 5 2 3 2 2" xfId="13440" xr:uid="{2DE16BCE-0C00-47D4-A853-6141FEDBC45A}"/>
    <cellStyle name="60% - Énfasis2 5 2 3 2 2 2" xfId="28852" xr:uid="{157699BF-1474-4E00-86D6-756E62B28021}"/>
    <cellStyle name="60% - Énfasis2 5 2 3 2 2 2 2" xfId="53421" xr:uid="{44812048-F00A-4236-8474-1217E57DE0B3}"/>
    <cellStyle name="60% - Énfasis2 5 2 3 2 2 3" xfId="53420" xr:uid="{09B89E7A-FE3D-410B-A271-9BBB92512A61}"/>
    <cellStyle name="60% - Énfasis2 5 2 3 2 3" xfId="21147" xr:uid="{070188C4-C056-4FF5-B508-81C7BC156C3B}"/>
    <cellStyle name="60% - Énfasis2 5 2 3 2 3 2" xfId="53422" xr:uid="{5B3EA970-C661-47D7-B6FA-A222A76968FF}"/>
    <cellStyle name="60% - Énfasis2 5 2 3 2 4" xfId="53419" xr:uid="{29D7D03E-AF7F-4425-9279-5D9E9D0CB155}"/>
    <cellStyle name="60% - Énfasis2 5 2 3 3" xfId="9711" xr:uid="{42C8B0A7-33B6-4434-ABFF-2958F6D99655}"/>
    <cellStyle name="60% - Énfasis2 5 2 3 3 2" xfId="25124" xr:uid="{7834724D-12E2-4009-A13A-6AB04A5E5754}"/>
    <cellStyle name="60% - Énfasis2 5 2 3 3 2 2" xfId="53424" xr:uid="{AC1AB433-1CC5-40D6-AA77-F01943A22736}"/>
    <cellStyle name="60% - Énfasis2 5 2 3 3 3" xfId="53423" xr:uid="{F23125F4-D633-4D8F-AC23-D8385066C4B2}"/>
    <cellStyle name="60% - Énfasis2 5 2 3 4" xfId="17419" xr:uid="{DA174458-6B3A-44FB-8F6E-DECE2BA9580A}"/>
    <cellStyle name="60% - Énfasis2 5 2 3 4 2" xfId="53425" xr:uid="{41C1D246-4AE4-4C9B-86CF-3E599A20C6C2}"/>
    <cellStyle name="60% - Énfasis2 5 2 3 5" xfId="53418" xr:uid="{1BEB2FD2-CEFB-4D55-84E3-399FAF3C26F5}"/>
    <cellStyle name="60% - Énfasis2 5 2 4" xfId="4255" xr:uid="{DB56ED90-27DF-4E1A-9ACB-DE477040A36D}"/>
    <cellStyle name="60% - Énfasis2 5 2 4 2" xfId="11963" xr:uid="{F1D14DE0-2699-4883-ADD8-2603D8D48DB2}"/>
    <cellStyle name="60% - Énfasis2 5 2 4 2 2" xfId="27375" xr:uid="{5BA7B729-FE72-4242-A685-EA18682B1275}"/>
    <cellStyle name="60% - Énfasis2 5 2 4 2 2 2" xfId="53428" xr:uid="{B2B1A47C-14D6-491B-BC12-D66F7F2B6DF8}"/>
    <cellStyle name="60% - Énfasis2 5 2 4 2 3" xfId="53427" xr:uid="{B1261D97-5419-4567-A134-42DD97554B71}"/>
    <cellStyle name="60% - Énfasis2 5 2 4 3" xfId="19670" xr:uid="{AD18840C-C613-422B-BB1F-C614980AE471}"/>
    <cellStyle name="60% - Énfasis2 5 2 4 3 2" xfId="53429" xr:uid="{7B20F82F-D85F-43DF-99CA-0CEBCEA30659}"/>
    <cellStyle name="60% - Énfasis2 5 2 4 4" xfId="53426" xr:uid="{52B1ED4C-00DB-4476-884B-D00B27888D9D}"/>
    <cellStyle name="60% - Énfasis2 5 2 5" xfId="8252" xr:uid="{08046CDA-1840-4E3D-ADFD-3C47465B350B}"/>
    <cellStyle name="60% - Énfasis2 5 2 5 2" xfId="23665" xr:uid="{6C763839-8B48-4AC8-B9B5-C0D927CFFE35}"/>
    <cellStyle name="60% - Énfasis2 5 2 5 2 2" xfId="53431" xr:uid="{1C745506-0B4B-4C68-B60A-A7D3CB217521}"/>
    <cellStyle name="60% - Énfasis2 5 2 5 3" xfId="53430" xr:uid="{752DCBEF-11C2-4677-BFD5-B7D3C8A91799}"/>
    <cellStyle name="60% - Énfasis2 5 2 6" xfId="15960" xr:uid="{B6117050-C67D-4C5C-90F8-5226E22B3E5A}"/>
    <cellStyle name="60% - Énfasis2 5 2 6 2" xfId="53432" xr:uid="{74821101-64E9-4A89-A42F-CF54351FA2F4}"/>
    <cellStyle name="60% - Énfasis2 5 2 7" xfId="53401" xr:uid="{9DEA13B1-1E1A-4C4F-8E94-6F19CCDBC5B6}"/>
    <cellStyle name="60% - Énfasis2 5 3" xfId="970" xr:uid="{6AF82562-29C7-4179-B926-292B560F6AB5}"/>
    <cellStyle name="60% - Énfasis2 5 3 2" xfId="2440" xr:uid="{C5D3DE4C-21DC-4F0F-A368-981B3A684766}"/>
    <cellStyle name="60% - Énfasis2 5 3 2 2" xfId="6172" xr:uid="{BE2887D5-963C-4AE4-BAD4-1A5B76427B89}"/>
    <cellStyle name="60% - Énfasis2 5 3 2 2 2" xfId="13880" xr:uid="{5237E136-F469-4717-A922-03ABC968C844}"/>
    <cellStyle name="60% - Énfasis2 5 3 2 2 2 2" xfId="29292" xr:uid="{66857159-A182-448C-BA7D-7EE006385598}"/>
    <cellStyle name="60% - Énfasis2 5 3 2 2 2 2 2" xfId="53437" xr:uid="{B0ABFA4B-5745-4592-B5FA-42B6641680BD}"/>
    <cellStyle name="60% - Énfasis2 5 3 2 2 2 3" xfId="53436" xr:uid="{C08569BE-F0E7-43A2-93E7-4B302B8678A6}"/>
    <cellStyle name="60% - Énfasis2 5 3 2 2 3" xfId="21587" xr:uid="{E0FC0540-FFE8-468F-B3B9-F905361DB06F}"/>
    <cellStyle name="60% - Énfasis2 5 3 2 2 3 2" xfId="53438" xr:uid="{8315838F-C56A-4540-8507-61618DCF155B}"/>
    <cellStyle name="60% - Énfasis2 5 3 2 2 4" xfId="53435" xr:uid="{CF0567AA-D510-4F65-ABBB-4802A3F793A1}"/>
    <cellStyle name="60% - Énfasis2 5 3 2 3" xfId="10151" xr:uid="{8E463115-2F4D-4887-A03A-1DDB3F722592}"/>
    <cellStyle name="60% - Énfasis2 5 3 2 3 2" xfId="25564" xr:uid="{7EE558AA-1934-4C12-B365-EEC5409E5E35}"/>
    <cellStyle name="60% - Énfasis2 5 3 2 3 2 2" xfId="53440" xr:uid="{DAC42641-94ED-4B9F-A5E6-DC17D06C48FE}"/>
    <cellStyle name="60% - Énfasis2 5 3 2 3 3" xfId="53439" xr:uid="{394C91B1-20A5-4F63-BC3F-B22F032FBF4C}"/>
    <cellStyle name="60% - Énfasis2 5 3 2 4" xfId="17859" xr:uid="{A387156C-5B5B-46AE-8322-0D916A82F197}"/>
    <cellStyle name="60% - Énfasis2 5 3 2 4 2" xfId="53441" xr:uid="{E7CF4E68-236E-471D-B480-BF453E8490FE}"/>
    <cellStyle name="60% - Énfasis2 5 3 2 5" xfId="53434" xr:uid="{1FB6743B-C1BC-40E5-892E-789CD5236331}"/>
    <cellStyle name="60% - Énfasis2 5 3 3" xfId="4707" xr:uid="{0C492C53-5D82-4D4F-8331-07152730F5C6}"/>
    <cellStyle name="60% - Énfasis2 5 3 3 2" xfId="12415" xr:uid="{C014BC4E-E109-4644-B2BF-02651A2E161B}"/>
    <cellStyle name="60% - Énfasis2 5 3 3 2 2" xfId="27827" xr:uid="{500C3011-0928-404E-BAA2-CA3FEA3EC1A6}"/>
    <cellStyle name="60% - Énfasis2 5 3 3 2 2 2" xfId="53444" xr:uid="{0A75732E-9904-4AC1-8E9F-D9E38A4ED876}"/>
    <cellStyle name="60% - Énfasis2 5 3 3 2 3" xfId="53443" xr:uid="{7F221149-0103-4F43-B745-7ADDCC366B5D}"/>
    <cellStyle name="60% - Énfasis2 5 3 3 3" xfId="20122" xr:uid="{3E6DC49B-481D-4B00-B533-2767A7D77EF5}"/>
    <cellStyle name="60% - Énfasis2 5 3 3 3 2" xfId="53445" xr:uid="{E29E8787-01AD-4243-9522-33407E1A6428}"/>
    <cellStyle name="60% - Énfasis2 5 3 3 4" xfId="53442" xr:uid="{C3B00F3C-62FF-418F-BE72-DEBFE312397D}"/>
    <cellStyle name="60% - Énfasis2 5 3 4" xfId="8692" xr:uid="{E9627F95-29D7-47BD-81EF-0A7EE38BC7E5}"/>
    <cellStyle name="60% - Énfasis2 5 3 4 2" xfId="24105" xr:uid="{E5BD21CB-CDAF-4730-96DE-715AC2A6FDF1}"/>
    <cellStyle name="60% - Énfasis2 5 3 4 2 2" xfId="53447" xr:uid="{7C6E56B5-0943-4A71-BA01-FB0D29A3E75A}"/>
    <cellStyle name="60% - Énfasis2 5 3 4 3" xfId="53446" xr:uid="{A1A72550-7E7A-4BBE-9B2A-E6A0E4317E06}"/>
    <cellStyle name="60% - Énfasis2 5 3 5" xfId="16400" xr:uid="{11C46EDD-8F2E-468B-9B90-FE1C750FF0E2}"/>
    <cellStyle name="60% - Énfasis2 5 3 5 2" xfId="53448" xr:uid="{FD260EC6-3987-4707-9F95-4ACECA1BF859}"/>
    <cellStyle name="60% - Énfasis2 5 3 6" xfId="53433" xr:uid="{8E12D82D-DEBB-4C4D-8DAA-33992A5C4D74}"/>
    <cellStyle name="60% - Énfasis2 5 4" xfId="1802" xr:uid="{86E7CDE1-17EF-455E-B608-F615EDC70315}"/>
    <cellStyle name="60% - Énfasis2 5 4 2" xfId="5534" xr:uid="{9F51A402-761C-4400-A77A-52B8A36F2964}"/>
    <cellStyle name="60% - Énfasis2 5 4 2 2" xfId="13242" xr:uid="{6D108675-3A9A-417F-9598-35BA3D862CD1}"/>
    <cellStyle name="60% - Énfasis2 5 4 2 2 2" xfId="28654" xr:uid="{3EEB8549-8B06-4377-B102-3CBB88AB1651}"/>
    <cellStyle name="60% - Énfasis2 5 4 2 2 2 2" xfId="53452" xr:uid="{0E2606C0-4A8B-418B-8C72-26E7EDDCFE26}"/>
    <cellStyle name="60% - Énfasis2 5 4 2 2 3" xfId="53451" xr:uid="{E3A75C1A-89A1-4B66-857F-284FF06EDFDF}"/>
    <cellStyle name="60% - Énfasis2 5 4 2 3" xfId="20949" xr:uid="{7557183A-8C6B-4523-B534-861EC5EBE354}"/>
    <cellStyle name="60% - Énfasis2 5 4 2 3 2" xfId="53453" xr:uid="{ADFC67F5-59BF-4E00-BF74-BDFED46959E3}"/>
    <cellStyle name="60% - Énfasis2 5 4 2 4" xfId="53450" xr:uid="{BA6D0324-0150-41C8-B231-CB6A60A129BC}"/>
    <cellStyle name="60% - Énfasis2 5 4 3" xfId="9513" xr:uid="{DC68BD10-1C8E-4D80-9769-F54E8618A1C5}"/>
    <cellStyle name="60% - Énfasis2 5 4 3 2" xfId="24926" xr:uid="{6348F1E9-FC0F-4A1C-BCD0-C1FD8DDFAB45}"/>
    <cellStyle name="60% - Énfasis2 5 4 3 2 2" xfId="53455" xr:uid="{353C6560-F5B3-49D5-ABE5-5386410C164E}"/>
    <cellStyle name="60% - Énfasis2 5 4 3 3" xfId="53454" xr:uid="{CD80DA11-8740-4B54-92CC-28344F0D16DD}"/>
    <cellStyle name="60% - Énfasis2 5 4 4" xfId="17221" xr:uid="{6D92F572-7FD7-4D6B-A3C0-CC04DC9DF14F}"/>
    <cellStyle name="60% - Énfasis2 5 4 4 2" xfId="53456" xr:uid="{2E29AF88-FFD7-4A9B-B596-A0092FC300CA}"/>
    <cellStyle name="60% - Énfasis2 5 4 5" xfId="53449" xr:uid="{1CFA0B06-5451-4DD2-9051-B699DAB396EC}"/>
    <cellStyle name="60% - Énfasis2 5 5" xfId="4055" xr:uid="{D6606B61-1D3A-402E-B55F-B3AE400636F7}"/>
    <cellStyle name="60% - Énfasis2 5 5 2" xfId="11763" xr:uid="{5DACDAF5-A8E7-4C6C-A0AF-7A2B81756ABF}"/>
    <cellStyle name="60% - Énfasis2 5 5 2 2" xfId="27175" xr:uid="{AC7E9844-36DE-43B6-92E5-7125094F43EA}"/>
    <cellStyle name="60% - Énfasis2 5 5 2 2 2" xfId="53459" xr:uid="{0672FBD5-0492-496C-AB04-5116E5D61394}"/>
    <cellStyle name="60% - Énfasis2 5 5 2 3" xfId="53458" xr:uid="{41C2407D-0303-4732-B48A-F6EB59CE6159}"/>
    <cellStyle name="60% - Énfasis2 5 5 3" xfId="19470" xr:uid="{E0B040E5-59C0-4A4B-BC1F-8CB8613F5575}"/>
    <cellStyle name="60% - Énfasis2 5 5 3 2" xfId="53460" xr:uid="{F6B0C12E-A18B-4DE9-BE4B-08B67C2BA310}"/>
    <cellStyle name="60% - Énfasis2 5 5 4" xfId="53457" xr:uid="{C63C5DF2-DAB5-4E6A-B922-AD9D137C916C}"/>
    <cellStyle name="60% - Énfasis2 5 6" xfId="8054" xr:uid="{E66C15BE-6E85-429C-B510-383979615CBA}"/>
    <cellStyle name="60% - Énfasis2 5 6 2" xfId="23467" xr:uid="{5424EFE8-5A58-47C6-858B-C3FDB44CD78C}"/>
    <cellStyle name="60% - Énfasis2 5 6 2 2" xfId="53462" xr:uid="{9E3110B1-F7A3-40A7-8595-0E82113F8F2C}"/>
    <cellStyle name="60% - Énfasis2 5 6 3" xfId="53461" xr:uid="{1961A1AB-5259-4282-964F-DB2F52C9DB7D}"/>
    <cellStyle name="60% - Énfasis2 5 7" xfId="15762" xr:uid="{34BE618E-B271-4E79-B61D-271B60B41FDB}"/>
    <cellStyle name="60% - Énfasis2 5 7 2" xfId="53463" xr:uid="{33023EC9-CDA4-45DF-95DF-A3B0A2C8C5FA}"/>
    <cellStyle name="60% - Énfasis2 5 8" xfId="53400" xr:uid="{D0A86CE0-D26A-48A3-96C7-55EE6451A657}"/>
    <cellStyle name="60% - Énfasis2 6" xfId="529" xr:uid="{4D746D5F-5025-4967-A853-3912A862A6CB}"/>
    <cellStyle name="60% - Énfasis2 6 2" xfId="1190" xr:uid="{2103BDF1-9F9B-44DE-BFB6-4A80EF5F80DA}"/>
    <cellStyle name="60% - Énfasis2 6 2 2" xfId="2658" xr:uid="{44701C6C-2F5A-488C-8977-343920D54BCC}"/>
    <cellStyle name="60% - Énfasis2 6 2 2 2" xfId="6390" xr:uid="{D10C51BA-0386-4D25-BBD1-FB427063933B}"/>
    <cellStyle name="60% - Énfasis2 6 2 2 2 2" xfId="14098" xr:uid="{1130F1B1-B38E-44DC-A203-2FCF8E92294F}"/>
    <cellStyle name="60% - Énfasis2 6 2 2 2 2 2" xfId="29510" xr:uid="{4D433DB2-E87C-4835-A9DE-8AECAFD72A30}"/>
    <cellStyle name="60% - Énfasis2 6 2 2 2 2 2 2" xfId="53469" xr:uid="{7C1284FF-6A41-48D9-840F-EE2E03C0029F}"/>
    <cellStyle name="60% - Énfasis2 6 2 2 2 2 3" xfId="53468" xr:uid="{361CC546-9B60-4BE4-9287-7DD78573A08F}"/>
    <cellStyle name="60% - Énfasis2 6 2 2 2 3" xfId="21805" xr:uid="{EC92F264-F3FD-4238-B654-F9D4592A146A}"/>
    <cellStyle name="60% - Énfasis2 6 2 2 2 3 2" xfId="53470" xr:uid="{BB399821-1020-406C-AFA8-88BFFE714D63}"/>
    <cellStyle name="60% - Énfasis2 6 2 2 2 4" xfId="53467" xr:uid="{C8741EBC-F22C-4B5C-B058-C0F1DD3973D9}"/>
    <cellStyle name="60% - Énfasis2 6 2 2 3" xfId="10369" xr:uid="{9B5A888D-0BC1-4D6B-9FFD-FF75DFC08A13}"/>
    <cellStyle name="60% - Énfasis2 6 2 2 3 2" xfId="25782" xr:uid="{95C7074B-31B0-4278-9CE8-B4F32C300088}"/>
    <cellStyle name="60% - Énfasis2 6 2 2 3 2 2" xfId="53472" xr:uid="{4741E1D5-C468-4416-85AC-38D6CEBF0901}"/>
    <cellStyle name="60% - Énfasis2 6 2 2 3 3" xfId="53471" xr:uid="{B2144A86-2A8F-45A3-AB45-8CD75553243F}"/>
    <cellStyle name="60% - Énfasis2 6 2 2 4" xfId="18077" xr:uid="{92491C41-06C8-468F-A584-8026AD427F47}"/>
    <cellStyle name="60% - Énfasis2 6 2 2 4 2" xfId="53473" xr:uid="{4EEF69CB-A424-4F42-A91E-215FCE547E36}"/>
    <cellStyle name="60% - Énfasis2 6 2 2 5" xfId="53466" xr:uid="{65DD3939-4C8E-40BE-85B4-0E8FEF1CE9EC}"/>
    <cellStyle name="60% - Énfasis2 6 2 3" xfId="4927" xr:uid="{6B11F0B3-B24C-474D-AFD2-726070ED0B5E}"/>
    <cellStyle name="60% - Énfasis2 6 2 3 2" xfId="12635" xr:uid="{B1CD67F1-E72B-4BA2-A5B6-F1DFF46BE977}"/>
    <cellStyle name="60% - Énfasis2 6 2 3 2 2" xfId="28047" xr:uid="{38C8DE28-D512-4BD8-9692-2BBA2346F7A3}"/>
    <cellStyle name="60% - Énfasis2 6 2 3 2 2 2" xfId="53476" xr:uid="{0E9866EC-9C67-46A2-8A99-4EC979DC6EF6}"/>
    <cellStyle name="60% - Énfasis2 6 2 3 2 3" xfId="53475" xr:uid="{E5F3D414-28A6-4A2D-B7EE-77570929143F}"/>
    <cellStyle name="60% - Énfasis2 6 2 3 3" xfId="20342" xr:uid="{862EC40D-6D62-4419-80E0-86C7D67C541A}"/>
    <cellStyle name="60% - Énfasis2 6 2 3 3 2" xfId="53477" xr:uid="{39599CE2-7A48-470D-9E3D-A6F961F6284D}"/>
    <cellStyle name="60% - Énfasis2 6 2 3 4" xfId="53474" xr:uid="{D1B45226-E502-4FC9-89C7-9C3428572C10}"/>
    <cellStyle name="60% - Énfasis2 6 2 4" xfId="8910" xr:uid="{64ED0193-B14F-405A-BE2A-59A4518EA123}"/>
    <cellStyle name="60% - Énfasis2 6 2 4 2" xfId="24323" xr:uid="{034C0B76-2ACE-49E5-B88A-3E742B6946C7}"/>
    <cellStyle name="60% - Énfasis2 6 2 4 2 2" xfId="53479" xr:uid="{C85F21DA-B19D-401B-A56B-C12EB1AF573E}"/>
    <cellStyle name="60% - Énfasis2 6 2 4 3" xfId="53478" xr:uid="{6325A994-A632-4696-B47E-2105FA30F8D7}"/>
    <cellStyle name="60% - Énfasis2 6 2 5" xfId="16618" xr:uid="{794152DD-454E-41E0-B6FD-AB18B63B8E3B}"/>
    <cellStyle name="60% - Énfasis2 6 2 5 2" xfId="53480" xr:uid="{51E0AEA5-E115-4C1B-A7FA-03D9D21C1ED4}"/>
    <cellStyle name="60% - Énfasis2 6 2 6" xfId="53465" xr:uid="{7134EC61-76D8-4E77-8E2C-2C6D2F3624CF}"/>
    <cellStyle name="60% - Énfasis2 6 3" xfId="2020" xr:uid="{0A0A4F14-4805-444F-AF7B-B424AF91A5D2}"/>
    <cellStyle name="60% - Énfasis2 6 3 2" xfId="5752" xr:uid="{D6BBC033-3B4B-44A0-9CF9-00357866DF3B}"/>
    <cellStyle name="60% - Énfasis2 6 3 2 2" xfId="13460" xr:uid="{1FD2AD2F-71EE-4DC4-B010-4BEA6DA5FC2D}"/>
    <cellStyle name="60% - Énfasis2 6 3 2 2 2" xfId="28872" xr:uid="{CA46E2E3-9C2B-4943-9415-16805ADFA16F}"/>
    <cellStyle name="60% - Énfasis2 6 3 2 2 2 2" xfId="53484" xr:uid="{35783E26-85A5-49DF-96E6-F63E05D8D14E}"/>
    <cellStyle name="60% - Énfasis2 6 3 2 2 3" xfId="53483" xr:uid="{5E43406A-6262-4261-A5EF-2969BD1539A5}"/>
    <cellStyle name="60% - Énfasis2 6 3 2 3" xfId="21167" xr:uid="{D2B9F2BF-63B2-4094-9197-AF8D49106F31}"/>
    <cellStyle name="60% - Énfasis2 6 3 2 3 2" xfId="53485" xr:uid="{C2312A7D-1891-4993-BA6B-E01947376FBB}"/>
    <cellStyle name="60% - Énfasis2 6 3 2 4" xfId="53482" xr:uid="{7A135F93-C0C6-4FD3-B10A-F0031A8B8964}"/>
    <cellStyle name="60% - Énfasis2 6 3 3" xfId="9731" xr:uid="{C8FA3ADE-5CD0-476C-89B0-EF1BF1644917}"/>
    <cellStyle name="60% - Énfasis2 6 3 3 2" xfId="25144" xr:uid="{C266D221-D965-4874-973C-11F4EA14C866}"/>
    <cellStyle name="60% - Énfasis2 6 3 3 2 2" xfId="53487" xr:uid="{72CD6DD9-E1FD-4EBB-9F8C-613F96A885E8}"/>
    <cellStyle name="60% - Énfasis2 6 3 3 3" xfId="53486" xr:uid="{1663BB45-8B69-4B6B-9CCC-8AD929C72795}"/>
    <cellStyle name="60% - Énfasis2 6 3 4" xfId="17439" xr:uid="{F7F3B635-59B0-4816-BA25-7B5B6CE4E2E5}"/>
    <cellStyle name="60% - Énfasis2 6 3 4 2" xfId="53488" xr:uid="{0DA0A3D2-83E7-4E93-93F7-8E10CED41F8F}"/>
    <cellStyle name="60% - Énfasis2 6 3 5" xfId="53481" xr:uid="{F805ECDD-AA26-4479-B1FD-045148F6DF0C}"/>
    <cellStyle name="60% - Énfasis2 6 4" xfId="4275" xr:uid="{9B5BF8B6-8C41-4956-96D7-E992D8517341}"/>
    <cellStyle name="60% - Énfasis2 6 4 2" xfId="11983" xr:uid="{13D525C1-1FE8-4CBB-AF20-5EF8D660D494}"/>
    <cellStyle name="60% - Énfasis2 6 4 2 2" xfId="27395" xr:uid="{6AD348F2-C049-4F27-837C-019F3247C4EB}"/>
    <cellStyle name="60% - Énfasis2 6 4 2 2 2" xfId="53491" xr:uid="{A4C726E5-62F4-4B84-8D68-A202C0A75C02}"/>
    <cellStyle name="60% - Énfasis2 6 4 2 3" xfId="53490" xr:uid="{BC911E6F-C0FA-45C8-9015-33C5FE522DDA}"/>
    <cellStyle name="60% - Énfasis2 6 4 3" xfId="19690" xr:uid="{2D7DD7B1-293A-4925-9A48-DC5352648807}"/>
    <cellStyle name="60% - Énfasis2 6 4 3 2" xfId="53492" xr:uid="{8002CBB1-F83E-4D8A-83F0-B25BC1D035AF}"/>
    <cellStyle name="60% - Énfasis2 6 4 4" xfId="53489" xr:uid="{A52588BB-8A35-4F85-9792-2C716D7DA7AB}"/>
    <cellStyle name="60% - Énfasis2 6 5" xfId="8272" xr:uid="{FE14F464-A754-43D0-8A63-FEAD2363DB42}"/>
    <cellStyle name="60% - Énfasis2 6 5 2" xfId="23685" xr:uid="{B2C8C7E4-D0E2-4387-9E31-EE7733005818}"/>
    <cellStyle name="60% - Énfasis2 6 5 2 2" xfId="53494" xr:uid="{8AFB7570-D3B8-4D81-8A58-2FD93FA91191}"/>
    <cellStyle name="60% - Énfasis2 6 5 3" xfId="53493" xr:uid="{5F3DE695-861C-4C5F-B495-0B4CE85D04FB}"/>
    <cellStyle name="60% - Énfasis2 6 6" xfId="15980" xr:uid="{F5A9F86B-33F0-48C1-B949-9502E6603B16}"/>
    <cellStyle name="60% - Énfasis2 6 6 2" xfId="53495" xr:uid="{4E02E3B7-70D6-4751-83E9-4A7315276E59}"/>
    <cellStyle name="60% - Énfasis2 6 7" xfId="53464" xr:uid="{609AB3B3-AD4D-42E0-AD6A-93A735813106}"/>
    <cellStyle name="60% - Énfasis2 7" xfId="549" xr:uid="{2B153C5A-1BF2-47E7-97D1-4BB56F2A9536}"/>
    <cellStyle name="60% - Énfasis2 7 2" xfId="1210" xr:uid="{8F13C366-BD0A-457D-AF33-A626A88E050E}"/>
    <cellStyle name="60% - Énfasis2 7 2 2" xfId="2678" xr:uid="{55C7BD6F-E2E3-4B9B-BC52-6E280A39DB77}"/>
    <cellStyle name="60% - Énfasis2 7 2 2 2" xfId="6410" xr:uid="{4068E60E-BE9B-4ABF-B0DD-23FC5E2BD75B}"/>
    <cellStyle name="60% - Énfasis2 7 2 2 2 2" xfId="14118" xr:uid="{1EE9D161-65D3-4B67-81BD-99D684C8665E}"/>
    <cellStyle name="60% - Énfasis2 7 2 2 2 2 2" xfId="29530" xr:uid="{8CCEEE26-F746-4BE4-9188-DD16224B6629}"/>
    <cellStyle name="60% - Énfasis2 7 2 2 2 2 2 2" xfId="53501" xr:uid="{E6C5C7B8-360F-4C81-B30A-C87C8694D94B}"/>
    <cellStyle name="60% - Énfasis2 7 2 2 2 2 3" xfId="53500" xr:uid="{425EDC75-33D2-4638-B702-69D03B8053F9}"/>
    <cellStyle name="60% - Énfasis2 7 2 2 2 3" xfId="21825" xr:uid="{EC0FC8E2-F535-491D-A859-99A5DBC7F4B6}"/>
    <cellStyle name="60% - Énfasis2 7 2 2 2 3 2" xfId="53502" xr:uid="{2856D233-E05E-418F-B2AC-A8FF3346299C}"/>
    <cellStyle name="60% - Énfasis2 7 2 2 2 4" xfId="53499" xr:uid="{F7F10BC6-C49E-45E1-9B08-A87A551745C7}"/>
    <cellStyle name="60% - Énfasis2 7 2 2 3" xfId="10389" xr:uid="{DEB9F5FB-CAE0-4D16-8283-A555CFEFDC59}"/>
    <cellStyle name="60% - Énfasis2 7 2 2 3 2" xfId="25802" xr:uid="{210247D6-D968-4A1E-8394-98920BEBDAAA}"/>
    <cellStyle name="60% - Énfasis2 7 2 2 3 2 2" xfId="53504" xr:uid="{28A41E81-73D0-4FBA-BE42-08FCE70287ED}"/>
    <cellStyle name="60% - Énfasis2 7 2 2 3 3" xfId="53503" xr:uid="{DAFFDDDC-8891-4E1B-830D-D33784183D7F}"/>
    <cellStyle name="60% - Énfasis2 7 2 2 4" xfId="18097" xr:uid="{FA513EDB-80F2-4EF7-8D8F-F65FDB449F84}"/>
    <cellStyle name="60% - Énfasis2 7 2 2 4 2" xfId="53505" xr:uid="{A39B8AEB-AB5F-4E2C-9AAF-50DA3C49366E}"/>
    <cellStyle name="60% - Énfasis2 7 2 2 5" xfId="53498" xr:uid="{3884248A-1BC0-4683-B180-F60F223D4F44}"/>
    <cellStyle name="60% - Énfasis2 7 2 3" xfId="4947" xr:uid="{15C53682-6E7C-418D-9FFB-ED86A3EC5E7B}"/>
    <cellStyle name="60% - Énfasis2 7 2 3 2" xfId="12655" xr:uid="{467969F7-462D-4446-BB91-40943FC01887}"/>
    <cellStyle name="60% - Énfasis2 7 2 3 2 2" xfId="28067" xr:uid="{3A57E68D-74C5-40C7-9B98-E7643D29D7B8}"/>
    <cellStyle name="60% - Énfasis2 7 2 3 2 2 2" xfId="53508" xr:uid="{4933119E-6D1C-4699-BCCC-F870D1501D84}"/>
    <cellStyle name="60% - Énfasis2 7 2 3 2 3" xfId="53507" xr:uid="{E0A7B26E-1B11-42F1-8D42-05222992E7F4}"/>
    <cellStyle name="60% - Énfasis2 7 2 3 3" xfId="20362" xr:uid="{8C99CB51-1582-4ED8-9C57-F5DDB2B943F6}"/>
    <cellStyle name="60% - Énfasis2 7 2 3 3 2" xfId="53509" xr:uid="{7C845AFE-FDAB-49BF-9043-EE09A717CF40}"/>
    <cellStyle name="60% - Énfasis2 7 2 3 4" xfId="53506" xr:uid="{7914E8C8-65F2-44FD-BF2F-F18EA809C400}"/>
    <cellStyle name="60% - Énfasis2 7 2 4" xfId="8930" xr:uid="{9109CAAD-42FA-4F76-834D-D2BD07670A37}"/>
    <cellStyle name="60% - Énfasis2 7 2 4 2" xfId="24343" xr:uid="{5F9A5A9C-034F-441C-8DF4-F81D2BC4C8F5}"/>
    <cellStyle name="60% - Énfasis2 7 2 4 2 2" xfId="53511" xr:uid="{40380ECE-FC7C-4719-9401-E002F5DB8E9D}"/>
    <cellStyle name="60% - Énfasis2 7 2 4 3" xfId="53510" xr:uid="{6B0FFDB0-D4B7-40AF-85EB-3EBA2323F815}"/>
    <cellStyle name="60% - Énfasis2 7 2 5" xfId="16638" xr:uid="{9E543A93-C623-440B-A0BF-C7806225F6C9}"/>
    <cellStyle name="60% - Énfasis2 7 2 5 2" xfId="53512" xr:uid="{413DFAD4-1646-4441-BF60-7DCFF7248949}"/>
    <cellStyle name="60% - Énfasis2 7 2 6" xfId="53497" xr:uid="{398BB638-3F20-47A6-9298-F4A26DDF79AA}"/>
    <cellStyle name="60% - Énfasis2 7 3" xfId="2040" xr:uid="{A5154E67-9938-40DF-8811-6FC2664684C7}"/>
    <cellStyle name="60% - Énfasis2 7 3 2" xfId="5772" xr:uid="{80F94CB9-636D-457F-B479-6DEF840C6E8B}"/>
    <cellStyle name="60% - Énfasis2 7 3 2 2" xfId="13480" xr:uid="{525CEA85-735A-46BF-A464-68E2975B0ADF}"/>
    <cellStyle name="60% - Énfasis2 7 3 2 2 2" xfId="28892" xr:uid="{436074C9-193A-425A-9784-950A537EB940}"/>
    <cellStyle name="60% - Énfasis2 7 3 2 2 2 2" xfId="53516" xr:uid="{E84BCF89-2F75-4626-92D5-15CA457B5E17}"/>
    <cellStyle name="60% - Énfasis2 7 3 2 2 3" xfId="53515" xr:uid="{034C2203-E4D7-41CE-9F0A-2A7710A078CE}"/>
    <cellStyle name="60% - Énfasis2 7 3 2 3" xfId="21187" xr:uid="{7FB12C93-16DC-4192-B524-963B1341D898}"/>
    <cellStyle name="60% - Énfasis2 7 3 2 3 2" xfId="53517" xr:uid="{32E5BA42-D5E9-43BA-909F-2255DF7FE1A6}"/>
    <cellStyle name="60% - Énfasis2 7 3 2 4" xfId="53514" xr:uid="{A98C9656-95FE-4F48-93A5-5A05950214F0}"/>
    <cellStyle name="60% - Énfasis2 7 3 3" xfId="9751" xr:uid="{0DF567F5-98BF-47F4-95FA-61C7BBDE65C2}"/>
    <cellStyle name="60% - Énfasis2 7 3 3 2" xfId="25164" xr:uid="{4ED645BF-1913-4E96-AA34-C96645EBAED5}"/>
    <cellStyle name="60% - Énfasis2 7 3 3 2 2" xfId="53519" xr:uid="{C41537BF-E428-4554-A0C4-890EFAAB7155}"/>
    <cellStyle name="60% - Énfasis2 7 3 3 3" xfId="53518" xr:uid="{F55A1712-5CCC-48A8-8A74-85234483C9D5}"/>
    <cellStyle name="60% - Énfasis2 7 3 4" xfId="17459" xr:uid="{3630B612-D599-4B0A-AA34-36D563D787C6}"/>
    <cellStyle name="60% - Énfasis2 7 3 4 2" xfId="53520" xr:uid="{64922D4B-B66D-468F-9A7B-33035D279E86}"/>
    <cellStyle name="60% - Énfasis2 7 3 5" xfId="53513" xr:uid="{3534A54F-3052-457E-B610-CF31ADB16AAE}"/>
    <cellStyle name="60% - Énfasis2 7 4" xfId="4295" xr:uid="{49F6C116-1C3E-48E1-8339-B822312E9B65}"/>
    <cellStyle name="60% - Énfasis2 7 4 2" xfId="12003" xr:uid="{CE78C995-6D56-4680-83B0-D92596D7D31A}"/>
    <cellStyle name="60% - Énfasis2 7 4 2 2" xfId="27415" xr:uid="{8647ED5E-2E47-4748-BE83-33FB20AD4B7C}"/>
    <cellStyle name="60% - Énfasis2 7 4 2 2 2" xfId="53523" xr:uid="{9D24824C-735B-4CC0-9F59-58773AA34D03}"/>
    <cellStyle name="60% - Énfasis2 7 4 2 3" xfId="53522" xr:uid="{0AA71659-3028-4898-8C71-B7AACD7F43D7}"/>
    <cellStyle name="60% - Énfasis2 7 4 3" xfId="19710" xr:uid="{44C69443-5B41-4C51-8204-44ADC5F0A81A}"/>
    <cellStyle name="60% - Énfasis2 7 4 3 2" xfId="53524" xr:uid="{57BC7A20-812B-4117-9511-0759EBAF77CB}"/>
    <cellStyle name="60% - Énfasis2 7 4 4" xfId="53521" xr:uid="{C26096D7-4ACC-4196-BE0D-DC84F779B3ED}"/>
    <cellStyle name="60% - Énfasis2 7 5" xfId="8292" xr:uid="{7112E1C6-ACDA-4458-8183-18E3D5ED4E71}"/>
    <cellStyle name="60% - Énfasis2 7 5 2" xfId="23705" xr:uid="{69B64B40-0CAF-4393-9D0A-F59410CDD8E7}"/>
    <cellStyle name="60% - Énfasis2 7 5 2 2" xfId="53526" xr:uid="{445867B5-E632-4179-9B53-465A2366EB8D}"/>
    <cellStyle name="60% - Énfasis2 7 5 3" xfId="53525" xr:uid="{AE393DCB-CA82-41C4-AE0C-9CF1BA666100}"/>
    <cellStyle name="60% - Énfasis2 7 6" xfId="16000" xr:uid="{692D61FF-4A9C-4D0D-BC37-57A322344E05}"/>
    <cellStyle name="60% - Énfasis2 7 6 2" xfId="53527" xr:uid="{2A07FC4B-2526-4DE4-B769-475C0F32D2BF}"/>
    <cellStyle name="60% - Énfasis2 7 7" xfId="53496" xr:uid="{83FDD856-7D52-4E51-B012-BEA277098BA5}"/>
    <cellStyle name="60% - Énfasis2 8" xfId="569" xr:uid="{E05A27E8-B020-4643-8870-EA9F0464210C}"/>
    <cellStyle name="60% - Énfasis2 8 2" xfId="1230" xr:uid="{E084561C-FC7A-4AF6-8431-720DD4220338}"/>
    <cellStyle name="60% - Énfasis2 8 2 2" xfId="2698" xr:uid="{2B658123-D513-498C-AD85-C4FE65727AF5}"/>
    <cellStyle name="60% - Énfasis2 8 2 2 2" xfId="6430" xr:uid="{A12E5FE5-368E-4DFC-A66E-3529F45FFF76}"/>
    <cellStyle name="60% - Énfasis2 8 2 2 2 2" xfId="14138" xr:uid="{2989EE70-9346-4DBF-B1C1-C4E004607385}"/>
    <cellStyle name="60% - Énfasis2 8 2 2 2 2 2" xfId="29550" xr:uid="{56C145D8-4ED3-4B9F-AC22-31D2024872DD}"/>
    <cellStyle name="60% - Énfasis2 8 2 2 2 2 2 2" xfId="53533" xr:uid="{1E2DCECA-38C9-4D96-9641-B776807488E1}"/>
    <cellStyle name="60% - Énfasis2 8 2 2 2 2 3" xfId="53532" xr:uid="{FDEC661B-9C1B-44B1-8E98-40B307814924}"/>
    <cellStyle name="60% - Énfasis2 8 2 2 2 3" xfId="21845" xr:uid="{D75FA0C3-8720-44D0-9C89-BEC1C62F92BA}"/>
    <cellStyle name="60% - Énfasis2 8 2 2 2 3 2" xfId="53534" xr:uid="{4D48A874-55E5-4731-99C4-9B41D3C6FFA5}"/>
    <cellStyle name="60% - Énfasis2 8 2 2 2 4" xfId="53531" xr:uid="{45CBC174-2311-4118-9DBD-CA9E48A23A8E}"/>
    <cellStyle name="60% - Énfasis2 8 2 2 3" xfId="10409" xr:uid="{4DD65B43-3D2C-4DC8-B168-B81B9C29B7B9}"/>
    <cellStyle name="60% - Énfasis2 8 2 2 3 2" xfId="25822" xr:uid="{81FD9D93-6614-4691-A1A2-A1D1A8487771}"/>
    <cellStyle name="60% - Énfasis2 8 2 2 3 2 2" xfId="53536" xr:uid="{017D219B-9D91-4393-928F-67216202E306}"/>
    <cellStyle name="60% - Énfasis2 8 2 2 3 3" xfId="53535" xr:uid="{7FE6F8A7-345D-422C-A765-14EF87061789}"/>
    <cellStyle name="60% - Énfasis2 8 2 2 4" xfId="18117" xr:uid="{39C3D137-9BD0-4B18-9EDD-7BA6A176CD06}"/>
    <cellStyle name="60% - Énfasis2 8 2 2 4 2" xfId="53537" xr:uid="{3FAA2E41-56B6-4094-9C71-3CA9631D17BE}"/>
    <cellStyle name="60% - Énfasis2 8 2 2 5" xfId="53530" xr:uid="{73D40803-8893-4FCB-A006-A97A02130CC8}"/>
    <cellStyle name="60% - Énfasis2 8 2 3" xfId="4967" xr:uid="{B4D8DB3F-9042-4BCE-8EA7-6F04AF60BD86}"/>
    <cellStyle name="60% - Énfasis2 8 2 3 2" xfId="12675" xr:uid="{0FB1F7ED-D5FC-42A0-BAAE-DDC444D77473}"/>
    <cellStyle name="60% - Énfasis2 8 2 3 2 2" xfId="28087" xr:uid="{79A3E884-60BA-486C-9312-AC01C5EEF570}"/>
    <cellStyle name="60% - Énfasis2 8 2 3 2 2 2" xfId="53540" xr:uid="{C201A62D-9E91-4C8A-93A9-F2E20219C36F}"/>
    <cellStyle name="60% - Énfasis2 8 2 3 2 3" xfId="53539" xr:uid="{3445B882-BCBA-42C6-96DD-932B7DB05A77}"/>
    <cellStyle name="60% - Énfasis2 8 2 3 3" xfId="20382" xr:uid="{2B859D2B-E585-4543-8D89-1F33107C1D0C}"/>
    <cellStyle name="60% - Énfasis2 8 2 3 3 2" xfId="53541" xr:uid="{18C223F4-6EB8-4C0A-A5C3-7CD9488EC954}"/>
    <cellStyle name="60% - Énfasis2 8 2 3 4" xfId="53538" xr:uid="{281554F4-9328-436C-9863-C8E9205C06DA}"/>
    <cellStyle name="60% - Énfasis2 8 2 4" xfId="8950" xr:uid="{8E2BE202-4493-4D6E-ABE5-582E56BD77DE}"/>
    <cellStyle name="60% - Énfasis2 8 2 4 2" xfId="24363" xr:uid="{AD63904A-CFEB-494B-872B-F07C76B2277B}"/>
    <cellStyle name="60% - Énfasis2 8 2 4 2 2" xfId="53543" xr:uid="{BA777D0A-11B1-47A5-879C-AB10FA9402F5}"/>
    <cellStyle name="60% - Énfasis2 8 2 4 3" xfId="53542" xr:uid="{176D8DD3-F33C-4608-B480-607629578544}"/>
    <cellStyle name="60% - Énfasis2 8 2 5" xfId="16658" xr:uid="{A0ED6F5F-0A1C-4E2F-8515-768BE0EF9CCD}"/>
    <cellStyle name="60% - Énfasis2 8 2 5 2" xfId="53544" xr:uid="{C04EE4E6-F4B9-4E32-8805-3E3E7E5E3528}"/>
    <cellStyle name="60% - Énfasis2 8 2 6" xfId="53529" xr:uid="{85960289-E37E-44FA-A167-DF185A04BD13}"/>
    <cellStyle name="60% - Énfasis2 8 3" xfId="2060" xr:uid="{6E0C327C-B967-4B6F-A26F-6CB143BA463F}"/>
    <cellStyle name="60% - Énfasis2 8 3 2" xfId="5792" xr:uid="{80BE3ADB-718E-4E63-85BD-FD3ABE8F95B6}"/>
    <cellStyle name="60% - Énfasis2 8 3 2 2" xfId="13500" xr:uid="{CFAD8725-151C-4C10-9DA4-D79FE9343B36}"/>
    <cellStyle name="60% - Énfasis2 8 3 2 2 2" xfId="28912" xr:uid="{7A361099-2E2B-4CE8-A52D-E5EED085035A}"/>
    <cellStyle name="60% - Énfasis2 8 3 2 2 2 2" xfId="53548" xr:uid="{594C8268-F23B-49B0-942A-9851CA5BE8FC}"/>
    <cellStyle name="60% - Énfasis2 8 3 2 2 3" xfId="53547" xr:uid="{764ABE03-315F-4116-890C-F0566C926FB0}"/>
    <cellStyle name="60% - Énfasis2 8 3 2 3" xfId="21207" xr:uid="{2DB59C25-E309-4A44-A20F-DCAAFE7DC369}"/>
    <cellStyle name="60% - Énfasis2 8 3 2 3 2" xfId="53549" xr:uid="{CAE9C201-A59D-4087-936A-BEBE9D7B21F0}"/>
    <cellStyle name="60% - Énfasis2 8 3 2 4" xfId="53546" xr:uid="{19B1CDE0-C6CC-4F31-A175-103029B62438}"/>
    <cellStyle name="60% - Énfasis2 8 3 3" xfId="9771" xr:uid="{077B81BF-7BFE-4DF2-B565-CAE6261A0CA6}"/>
    <cellStyle name="60% - Énfasis2 8 3 3 2" xfId="25184" xr:uid="{0E7513EF-3C18-464B-9A66-B080E27F19A8}"/>
    <cellStyle name="60% - Énfasis2 8 3 3 2 2" xfId="53551" xr:uid="{40005A44-6CE6-4E4D-99CB-50CA8DCA6C05}"/>
    <cellStyle name="60% - Énfasis2 8 3 3 3" xfId="53550" xr:uid="{B6153F41-13BB-4439-959A-F81D4DCC565F}"/>
    <cellStyle name="60% - Énfasis2 8 3 4" xfId="17479" xr:uid="{E2D43A86-47C3-48A6-A3C6-87F79CE77508}"/>
    <cellStyle name="60% - Énfasis2 8 3 4 2" xfId="53552" xr:uid="{3B2F4D05-B6C2-4F53-87C1-E954902CC8F6}"/>
    <cellStyle name="60% - Énfasis2 8 3 5" xfId="53545" xr:uid="{C47574A9-5439-4935-9AD0-B498D31D8047}"/>
    <cellStyle name="60% - Énfasis2 8 4" xfId="4315" xr:uid="{E5907262-4959-4AA3-8591-85BB28F9437A}"/>
    <cellStyle name="60% - Énfasis2 8 4 2" xfId="12023" xr:uid="{01619FA4-3547-46C3-8F62-31F95E17CE9B}"/>
    <cellStyle name="60% - Énfasis2 8 4 2 2" xfId="27435" xr:uid="{DB376EC0-FA51-4A75-A794-227F0CA7DE15}"/>
    <cellStyle name="60% - Énfasis2 8 4 2 2 2" xfId="53555" xr:uid="{335129BB-13A0-4994-89FA-C8AD74688EDE}"/>
    <cellStyle name="60% - Énfasis2 8 4 2 3" xfId="53554" xr:uid="{50188E51-55C5-48DA-A260-4AB3BA250C54}"/>
    <cellStyle name="60% - Énfasis2 8 4 3" xfId="19730" xr:uid="{32BE1847-A92D-49AD-81CB-C270BC6EA8CB}"/>
    <cellStyle name="60% - Énfasis2 8 4 3 2" xfId="53556" xr:uid="{8D23DEE3-CC25-4758-81ED-B061BBC59873}"/>
    <cellStyle name="60% - Énfasis2 8 4 4" xfId="53553" xr:uid="{7E2A2CC7-1279-4150-9D4F-682D88BBDF5B}"/>
    <cellStyle name="60% - Énfasis2 8 5" xfId="8312" xr:uid="{1F121035-9238-41D2-BA94-CC0E0D17A3E1}"/>
    <cellStyle name="60% - Énfasis2 8 5 2" xfId="23725" xr:uid="{F635971B-5067-4E97-8CBB-61B53B9F3225}"/>
    <cellStyle name="60% - Énfasis2 8 5 2 2" xfId="53558" xr:uid="{22FD67E1-F79C-45CB-8D0F-27AF07F9D596}"/>
    <cellStyle name="60% - Énfasis2 8 5 3" xfId="53557" xr:uid="{706D6C3E-CD4C-430E-9087-559D812327F7}"/>
    <cellStyle name="60% - Énfasis2 8 6" xfId="16020" xr:uid="{7D94DC48-A87E-4314-9AA1-B0E15EF6B0A0}"/>
    <cellStyle name="60% - Énfasis2 8 6 2" xfId="53559" xr:uid="{AD3103F2-A834-41EB-909A-D7C8E9338EE5}"/>
    <cellStyle name="60% - Énfasis2 8 7" xfId="53528" xr:uid="{9E6A0A7C-393A-4A5B-9DDE-E0F2BDFD9D84}"/>
    <cellStyle name="60% - Énfasis2 9" xfId="589" xr:uid="{5037A350-4AA7-4BE1-AECB-5986C0AA60E2}"/>
    <cellStyle name="60% - Énfasis2 9 2" xfId="1250" xr:uid="{44E11AE3-C5C9-45F3-A518-F2DA5CCC843A}"/>
    <cellStyle name="60% - Énfasis2 9 2 2" xfId="2718" xr:uid="{72FFD544-C11C-439E-9BFA-DACFA7AD79E6}"/>
    <cellStyle name="60% - Énfasis2 9 2 2 2" xfId="6450" xr:uid="{417F7BA8-70EE-4F16-B145-45126CE941D2}"/>
    <cellStyle name="60% - Énfasis2 9 2 2 2 2" xfId="14158" xr:uid="{26F359AE-35CB-4402-9595-A5F61EA5E2B3}"/>
    <cellStyle name="60% - Énfasis2 9 2 2 2 2 2" xfId="29570" xr:uid="{67EB24BD-43E0-4455-AD07-BCD5A0C53D40}"/>
    <cellStyle name="60% - Énfasis2 9 2 2 2 2 2 2" xfId="53565" xr:uid="{E0B373C6-B30F-4DC9-9889-B3F86EA37620}"/>
    <cellStyle name="60% - Énfasis2 9 2 2 2 2 3" xfId="53564" xr:uid="{53520A19-48BC-47D1-91B0-740EA28C08D5}"/>
    <cellStyle name="60% - Énfasis2 9 2 2 2 3" xfId="21865" xr:uid="{495AA5B3-3F39-4C54-9B45-17DE11C131D6}"/>
    <cellStyle name="60% - Énfasis2 9 2 2 2 3 2" xfId="53566" xr:uid="{E0296429-1F51-4B56-A8C9-64AC1A95AAD8}"/>
    <cellStyle name="60% - Énfasis2 9 2 2 2 4" xfId="53563" xr:uid="{854AD543-AECC-47B8-AA06-866B1794F342}"/>
    <cellStyle name="60% - Énfasis2 9 2 2 3" xfId="10429" xr:uid="{A07C77BA-E7C4-443A-8D52-C49270244508}"/>
    <cellStyle name="60% - Énfasis2 9 2 2 3 2" xfId="25842" xr:uid="{F494BCDB-A136-41C8-80E9-45CADFFAB879}"/>
    <cellStyle name="60% - Énfasis2 9 2 2 3 2 2" xfId="53568" xr:uid="{4411F0D5-0609-4A81-A60B-CCE510909792}"/>
    <cellStyle name="60% - Énfasis2 9 2 2 3 3" xfId="53567" xr:uid="{105B7CC4-4D3A-4CE6-A47B-06744B0D60D9}"/>
    <cellStyle name="60% - Énfasis2 9 2 2 4" xfId="18137" xr:uid="{ED00131D-9A2C-4C89-BB18-85D0E5D1D7DF}"/>
    <cellStyle name="60% - Énfasis2 9 2 2 4 2" xfId="53569" xr:uid="{47D98279-00DC-4D1E-9670-D38362CD5922}"/>
    <cellStyle name="60% - Énfasis2 9 2 2 5" xfId="53562" xr:uid="{CC1624C8-694F-4209-93E8-ECC82276A4B6}"/>
    <cellStyle name="60% - Énfasis2 9 2 3" xfId="4987" xr:uid="{A3DED24E-CE56-437D-AAC2-9067195C5892}"/>
    <cellStyle name="60% - Énfasis2 9 2 3 2" xfId="12695" xr:uid="{1C6B9567-CCEA-478E-A455-69212EBC6512}"/>
    <cellStyle name="60% - Énfasis2 9 2 3 2 2" xfId="28107" xr:uid="{0278FF54-904E-4856-8136-808EDD6D59FC}"/>
    <cellStyle name="60% - Énfasis2 9 2 3 2 2 2" xfId="53572" xr:uid="{BC335677-B591-4DC1-82AB-E4EFE6FE34A3}"/>
    <cellStyle name="60% - Énfasis2 9 2 3 2 3" xfId="53571" xr:uid="{DE80E460-74D8-456A-808E-3A60C3977F19}"/>
    <cellStyle name="60% - Énfasis2 9 2 3 3" xfId="20402" xr:uid="{31D93C36-3CDA-4535-BB55-3B2FDBFA1302}"/>
    <cellStyle name="60% - Énfasis2 9 2 3 3 2" xfId="53573" xr:uid="{D89F5C07-8FFD-4AE0-943E-9FC69D2035E4}"/>
    <cellStyle name="60% - Énfasis2 9 2 3 4" xfId="53570" xr:uid="{09165A1F-F968-4C95-A853-D10F7571666A}"/>
    <cellStyle name="60% - Énfasis2 9 2 4" xfId="8970" xr:uid="{EBD74F30-28FD-426E-91F4-D1BB81FF5EFA}"/>
    <cellStyle name="60% - Énfasis2 9 2 4 2" xfId="24383" xr:uid="{FA488E33-4B1B-4608-91D0-F458ACC35123}"/>
    <cellStyle name="60% - Énfasis2 9 2 4 2 2" xfId="53575" xr:uid="{AADAA363-D62A-4B8C-9218-E6609D8EF4C0}"/>
    <cellStyle name="60% - Énfasis2 9 2 4 3" xfId="53574" xr:uid="{46228F32-D122-4F43-90B0-223835929752}"/>
    <cellStyle name="60% - Énfasis2 9 2 5" xfId="16678" xr:uid="{3F572DDB-F8BC-45A2-B6AE-52597A35DC05}"/>
    <cellStyle name="60% - Énfasis2 9 2 5 2" xfId="53576" xr:uid="{C8F77F45-2549-4AAB-ACC4-EED29E8C7553}"/>
    <cellStyle name="60% - Énfasis2 9 2 6" xfId="53561" xr:uid="{0F2CB21C-9C9D-4FA1-9D54-FBEC3E75F576}"/>
    <cellStyle name="60% - Énfasis2 9 3" xfId="2080" xr:uid="{23963BC3-7C7C-47A5-A889-FA79882AA2CB}"/>
    <cellStyle name="60% - Énfasis2 9 3 2" xfId="5812" xr:uid="{AF8A2F63-8F7A-4C3A-90A8-088F28E9568F}"/>
    <cellStyle name="60% - Énfasis2 9 3 2 2" xfId="13520" xr:uid="{2BEC591F-1A90-4D72-BEFA-D11F5AFC321F}"/>
    <cellStyle name="60% - Énfasis2 9 3 2 2 2" xfId="28932" xr:uid="{C3F87B77-09F2-48F5-B61E-7DA49CCC084D}"/>
    <cellStyle name="60% - Énfasis2 9 3 2 2 2 2" xfId="53580" xr:uid="{32FEC881-CBF5-4B28-9300-D788EF9A4A63}"/>
    <cellStyle name="60% - Énfasis2 9 3 2 2 3" xfId="53579" xr:uid="{7A1C1B79-4C80-47C7-9D35-EC3163E49ED6}"/>
    <cellStyle name="60% - Énfasis2 9 3 2 3" xfId="21227" xr:uid="{A629A176-95C6-42DB-B0BE-2CF16C89677E}"/>
    <cellStyle name="60% - Énfasis2 9 3 2 3 2" xfId="53581" xr:uid="{D43144A8-1A9C-4763-8EE3-32D0BDB1F341}"/>
    <cellStyle name="60% - Énfasis2 9 3 2 4" xfId="53578" xr:uid="{1F2509F9-5659-4E1E-86F6-49E254F438C2}"/>
    <cellStyle name="60% - Énfasis2 9 3 3" xfId="9791" xr:uid="{61A86B62-AACC-460B-99A3-A1099DBCB6FA}"/>
    <cellStyle name="60% - Énfasis2 9 3 3 2" xfId="25204" xr:uid="{0B3E23C3-817A-4B84-BFB2-7DEFA6B7F178}"/>
    <cellStyle name="60% - Énfasis2 9 3 3 2 2" xfId="53583" xr:uid="{12FB78B8-D55E-4BE1-BA14-194044F1C3B9}"/>
    <cellStyle name="60% - Énfasis2 9 3 3 3" xfId="53582" xr:uid="{C16D1171-EF13-451A-BB26-D41C169EC2FD}"/>
    <cellStyle name="60% - Énfasis2 9 3 4" xfId="17499" xr:uid="{E93A06B6-5A4B-40AC-829A-6CAA52251E4C}"/>
    <cellStyle name="60% - Énfasis2 9 3 4 2" xfId="53584" xr:uid="{189A354F-7097-4B5D-BBA2-BB038E993A6D}"/>
    <cellStyle name="60% - Énfasis2 9 3 5" xfId="53577" xr:uid="{09F6D1DE-5BF9-4338-BC9C-9CDA61F7E829}"/>
    <cellStyle name="60% - Énfasis2 9 4" xfId="4335" xr:uid="{65629245-D28C-47BA-B464-96D9CB8DCF61}"/>
    <cellStyle name="60% - Énfasis2 9 4 2" xfId="12043" xr:uid="{55C35CCD-D58D-4A87-846E-15C51428CB2D}"/>
    <cellStyle name="60% - Énfasis2 9 4 2 2" xfId="27455" xr:uid="{6E77E474-912C-4AFE-90E8-B061441135E4}"/>
    <cellStyle name="60% - Énfasis2 9 4 2 2 2" xfId="53587" xr:uid="{CDAE97B2-DDFF-4B7C-8D64-68FB1F27AC48}"/>
    <cellStyle name="60% - Énfasis2 9 4 2 3" xfId="53586" xr:uid="{91F3B5AE-8A38-4523-BAAC-1EC76D03E14B}"/>
    <cellStyle name="60% - Énfasis2 9 4 3" xfId="19750" xr:uid="{1B1DAF21-C3A4-4AAC-A1C9-73D1D7014EDF}"/>
    <cellStyle name="60% - Énfasis2 9 4 3 2" xfId="53588" xr:uid="{21597F3A-C3D8-4BF6-8E58-CBA51C0709CE}"/>
    <cellStyle name="60% - Énfasis2 9 4 4" xfId="53585" xr:uid="{4B6D7FF3-8374-49A8-B089-8C146D35F672}"/>
    <cellStyle name="60% - Énfasis2 9 5" xfId="8332" xr:uid="{995654DE-0C63-4445-AB01-A54020A9E473}"/>
    <cellStyle name="60% - Énfasis2 9 5 2" xfId="23745" xr:uid="{8D6AC4A9-B439-4A0E-BE20-B7C1A9012EA3}"/>
    <cellStyle name="60% - Énfasis2 9 5 2 2" xfId="53590" xr:uid="{69B30F01-ED8E-425A-BBCF-73B77D328FE6}"/>
    <cellStyle name="60% - Énfasis2 9 5 3" xfId="53589" xr:uid="{4C9DCD99-389C-4720-A516-385F1D833816}"/>
    <cellStyle name="60% - Énfasis2 9 6" xfId="16040" xr:uid="{73CE135C-F923-48D1-A674-3E373D3FD098}"/>
    <cellStyle name="60% - Énfasis2 9 6 2" xfId="53591" xr:uid="{16053FDE-B559-42F3-9EB1-33DA343FA90F}"/>
    <cellStyle name="60% - Énfasis2 9 7" xfId="53560" xr:uid="{9E34CD92-F65E-40A9-B5FA-B17E2394ACE6}"/>
    <cellStyle name="60% - Énfasis3" xfId="50" builtinId="40" customBuiltin="1"/>
    <cellStyle name="60% - Énfasis3 10" xfId="613" xr:uid="{0789129F-EE80-47AF-B415-9A450B9D037C}"/>
    <cellStyle name="60% - Énfasis3 10 2" xfId="1274" xr:uid="{C5C7D9FE-531D-4B92-894D-365981E33F68}"/>
    <cellStyle name="60% - Énfasis3 10 2 2" xfId="2741" xr:uid="{9EF3B744-6649-4DDE-84FE-EEFD5D38A254}"/>
    <cellStyle name="60% - Énfasis3 10 2 2 2" xfId="6473" xr:uid="{65101A7C-CBFA-4860-9163-075DE012F156}"/>
    <cellStyle name="60% - Énfasis3 10 2 2 2 2" xfId="14181" xr:uid="{73F40196-E3EA-48D5-8B53-D68573831B3E}"/>
    <cellStyle name="60% - Énfasis3 10 2 2 2 2 2" xfId="29593" xr:uid="{D197073C-FB4F-455F-8865-BEC0D64D6222}"/>
    <cellStyle name="60% - Énfasis3 10 2 2 2 2 2 2" xfId="53597" xr:uid="{283EAF17-7441-4B14-A51A-0D9DC81DA561}"/>
    <cellStyle name="60% - Énfasis3 10 2 2 2 2 3" xfId="53596" xr:uid="{7355720C-5206-4148-89CF-63B0CFC89EA2}"/>
    <cellStyle name="60% - Énfasis3 10 2 2 2 3" xfId="21888" xr:uid="{8F258839-7DC6-4CBE-8C02-5218BDC07047}"/>
    <cellStyle name="60% - Énfasis3 10 2 2 2 3 2" xfId="53598" xr:uid="{8275D122-EA6D-4814-B255-B162B987ED12}"/>
    <cellStyle name="60% - Énfasis3 10 2 2 2 4" xfId="53595" xr:uid="{F1CDFCBD-FC7F-4BE5-A7E2-80A1A006C3C1}"/>
    <cellStyle name="60% - Énfasis3 10 2 2 3" xfId="10452" xr:uid="{02E876BB-9CBA-4393-9B73-908B1AAA97AF}"/>
    <cellStyle name="60% - Énfasis3 10 2 2 3 2" xfId="25865" xr:uid="{E0520416-433F-410B-B340-B61427F8B397}"/>
    <cellStyle name="60% - Énfasis3 10 2 2 3 2 2" xfId="53600" xr:uid="{6266D2A9-41F9-4028-953F-EA3B0BA446F4}"/>
    <cellStyle name="60% - Énfasis3 10 2 2 3 3" xfId="53599" xr:uid="{FE47EA85-33CA-4B2D-9B5B-405301FFA5C8}"/>
    <cellStyle name="60% - Énfasis3 10 2 2 4" xfId="18160" xr:uid="{8FC85363-B462-4F36-A108-5FF161D33EC5}"/>
    <cellStyle name="60% - Énfasis3 10 2 2 4 2" xfId="53601" xr:uid="{17293505-63C4-4C3D-9E28-D0B286F0B53F}"/>
    <cellStyle name="60% - Énfasis3 10 2 2 5" xfId="53594" xr:uid="{ED31C272-8F27-45A0-A6C4-FDFB21A16D91}"/>
    <cellStyle name="60% - Énfasis3 10 2 3" xfId="5010" xr:uid="{D9EB49FC-CE84-44F1-BEC7-41F778CE5B2A}"/>
    <cellStyle name="60% - Énfasis3 10 2 3 2" xfId="12718" xr:uid="{BFDD3B56-300C-4290-9CC0-1E913329FD73}"/>
    <cellStyle name="60% - Énfasis3 10 2 3 2 2" xfId="28130" xr:uid="{8E893E8E-6B90-4D0B-B709-BC105B9928CF}"/>
    <cellStyle name="60% - Énfasis3 10 2 3 2 2 2" xfId="53604" xr:uid="{15EF8934-1C62-4891-BF0D-4E386ED55A39}"/>
    <cellStyle name="60% - Énfasis3 10 2 3 2 3" xfId="53603" xr:uid="{DEC717BE-593F-47F0-B03E-8E072BA0BEED}"/>
    <cellStyle name="60% - Énfasis3 10 2 3 3" xfId="20425" xr:uid="{2B01EDB2-BF7A-40B8-AC65-1CF5AD82E2BD}"/>
    <cellStyle name="60% - Énfasis3 10 2 3 3 2" xfId="53605" xr:uid="{F63779F7-E396-4EF0-B4C4-38C2A92B04E3}"/>
    <cellStyle name="60% - Énfasis3 10 2 3 4" xfId="53602" xr:uid="{F31F6EA3-23B7-42BF-96E2-5B976F4643F8}"/>
    <cellStyle name="60% - Énfasis3 10 2 4" xfId="8993" xr:uid="{4364FA29-FDBF-4700-95B9-465BB1FB1869}"/>
    <cellStyle name="60% - Énfasis3 10 2 4 2" xfId="24406" xr:uid="{BD68D308-1330-487E-BABB-0E095F88AA23}"/>
    <cellStyle name="60% - Énfasis3 10 2 4 2 2" xfId="53607" xr:uid="{2761D985-712F-41AC-9F6B-C11D668AC204}"/>
    <cellStyle name="60% - Énfasis3 10 2 4 3" xfId="53606" xr:uid="{1C3FECDB-26A1-41B9-97E0-A19FCBF37364}"/>
    <cellStyle name="60% - Énfasis3 10 2 5" xfId="16701" xr:uid="{42CB4446-122C-4E61-8C94-D8D1CDEE5FA7}"/>
    <cellStyle name="60% - Énfasis3 10 2 5 2" xfId="53608" xr:uid="{E28DA427-286F-4C50-85D8-1AE05757D6DE}"/>
    <cellStyle name="60% - Énfasis3 10 2 6" xfId="53593" xr:uid="{D9A28DA0-3937-45B5-8387-9B1A4DD80E72}"/>
    <cellStyle name="60% - Énfasis3 10 3" xfId="2103" xr:uid="{AFAFA4B6-A0D4-491A-A4EC-164689BA4C49}"/>
    <cellStyle name="60% - Énfasis3 10 3 2" xfId="5835" xr:uid="{F4D71C2F-9E6E-4031-9617-B8330B6B477A}"/>
    <cellStyle name="60% - Énfasis3 10 3 2 2" xfId="13543" xr:uid="{55704EBA-DD0D-4A11-AF8F-1C7B6F45ABE3}"/>
    <cellStyle name="60% - Énfasis3 10 3 2 2 2" xfId="28955" xr:uid="{80A0A34D-8896-40DF-A675-17991658FB17}"/>
    <cellStyle name="60% - Énfasis3 10 3 2 2 2 2" xfId="53612" xr:uid="{4C0584E7-DDAC-4E3D-AAF8-BFD32A6E8076}"/>
    <cellStyle name="60% - Énfasis3 10 3 2 2 3" xfId="53611" xr:uid="{81CDC0D9-6336-48A1-B0BE-C4F5D595F9CA}"/>
    <cellStyle name="60% - Énfasis3 10 3 2 3" xfId="21250" xr:uid="{498CB9A3-A42B-4857-9F48-0A898BDCF813}"/>
    <cellStyle name="60% - Énfasis3 10 3 2 3 2" xfId="53613" xr:uid="{98B40C0D-F950-41F8-9F7C-BA86448556C2}"/>
    <cellStyle name="60% - Énfasis3 10 3 2 4" xfId="53610" xr:uid="{6AD42BEF-4E96-42EF-8E1A-890008B32826}"/>
    <cellStyle name="60% - Énfasis3 10 3 3" xfId="9814" xr:uid="{39BA013A-CC07-4F41-8603-9E6144513674}"/>
    <cellStyle name="60% - Énfasis3 10 3 3 2" xfId="25227" xr:uid="{D3A09F4F-77C6-4D53-8BCF-C03808C562CC}"/>
    <cellStyle name="60% - Énfasis3 10 3 3 2 2" xfId="53615" xr:uid="{F0769FA4-7FF6-495C-9D7E-97DF70A96A45}"/>
    <cellStyle name="60% - Énfasis3 10 3 3 3" xfId="53614" xr:uid="{03AB2E55-6883-494D-A8AF-6A3BFA5DBD8E}"/>
    <cellStyle name="60% - Énfasis3 10 3 4" xfId="17522" xr:uid="{3412AC7D-9011-470C-A88A-F65B4EF045DB}"/>
    <cellStyle name="60% - Énfasis3 10 3 4 2" xfId="53616" xr:uid="{F180DB7A-A4DA-410A-9D8D-01880DE3B88D}"/>
    <cellStyle name="60% - Énfasis3 10 3 5" xfId="53609" xr:uid="{5B94E897-8096-4606-AA6A-837863D700E6}"/>
    <cellStyle name="60% - Énfasis3 10 4" xfId="4358" xr:uid="{568D82E9-6514-4821-8173-6F59F57CCAF5}"/>
    <cellStyle name="60% - Énfasis3 10 4 2" xfId="12066" xr:uid="{554BC7AA-D922-4120-A39D-23BC0A49CDF4}"/>
    <cellStyle name="60% - Énfasis3 10 4 2 2" xfId="27478" xr:uid="{D26778B1-7766-403A-98F9-FCF11D366332}"/>
    <cellStyle name="60% - Énfasis3 10 4 2 2 2" xfId="53619" xr:uid="{4D3C6D1A-72D2-45F9-946C-ABE29704E76F}"/>
    <cellStyle name="60% - Énfasis3 10 4 2 3" xfId="53618" xr:uid="{9E6812A0-B590-4AE4-AB8C-B378DD83C6D8}"/>
    <cellStyle name="60% - Énfasis3 10 4 3" xfId="19773" xr:uid="{0E79CB4C-28D6-4017-979C-B6DB5AA7EE77}"/>
    <cellStyle name="60% - Énfasis3 10 4 3 2" xfId="53620" xr:uid="{0538F2F7-6ABD-42FE-BA91-2EC0470394E1}"/>
    <cellStyle name="60% - Énfasis3 10 4 4" xfId="53617" xr:uid="{431A6C72-0F11-48D9-BCA8-8FE07F84560A}"/>
    <cellStyle name="60% - Énfasis3 10 5" xfId="8355" xr:uid="{043FE9C6-71F2-44AA-A22C-1431A32CAE2F}"/>
    <cellStyle name="60% - Énfasis3 10 5 2" xfId="23768" xr:uid="{10973A36-2BF0-46E6-B7D4-2FCAAB244F20}"/>
    <cellStyle name="60% - Énfasis3 10 5 2 2" xfId="53622" xr:uid="{9C567D7A-FE09-4F70-900F-51E454EF7597}"/>
    <cellStyle name="60% - Énfasis3 10 5 3" xfId="53621" xr:uid="{4E85EBCB-5EFE-4D32-B995-B8171173468D}"/>
    <cellStyle name="60% - Énfasis3 10 6" xfId="16063" xr:uid="{C4FE752C-E07A-49F0-A9B6-58CBF6830642}"/>
    <cellStyle name="60% - Énfasis3 10 6 2" xfId="53623" xr:uid="{D45FC7A4-7761-4D94-BFC6-3756AC5E5793}"/>
    <cellStyle name="60% - Énfasis3 10 7" xfId="53592" xr:uid="{F00FD657-65E2-43E4-BBA9-22C41C03794C}"/>
    <cellStyle name="60% - Énfasis3 11" xfId="633" xr:uid="{A17C8AFC-2E01-4EF8-9C39-11FA4A7AD3ED}"/>
    <cellStyle name="60% - Énfasis3 11 2" xfId="1294" xr:uid="{ABA80B2F-07C7-4426-BC5C-AA9B955BC58B}"/>
    <cellStyle name="60% - Énfasis3 11 2 2" xfId="2761" xr:uid="{6C2AB050-0532-4138-A6A0-E1FE85D18E4F}"/>
    <cellStyle name="60% - Énfasis3 11 2 2 2" xfId="6493" xr:uid="{11681849-D73C-4C54-82E0-65701FC551D2}"/>
    <cellStyle name="60% - Énfasis3 11 2 2 2 2" xfId="14201" xr:uid="{6B33D104-B204-4144-9D51-C18E9724823D}"/>
    <cellStyle name="60% - Énfasis3 11 2 2 2 2 2" xfId="29613" xr:uid="{F42864CC-8678-41CC-A7C9-9DF3479FBAC8}"/>
    <cellStyle name="60% - Énfasis3 11 2 2 2 2 2 2" xfId="53629" xr:uid="{EDC222D3-2D80-41CD-B253-4C4B717E235A}"/>
    <cellStyle name="60% - Énfasis3 11 2 2 2 2 3" xfId="53628" xr:uid="{B7313F03-DCD5-4827-AEBB-1A3F31D86157}"/>
    <cellStyle name="60% - Énfasis3 11 2 2 2 3" xfId="21908" xr:uid="{47B479AF-D65C-470F-B144-CE974DB7217F}"/>
    <cellStyle name="60% - Énfasis3 11 2 2 2 3 2" xfId="53630" xr:uid="{74CD5861-D8A5-48AB-960B-94D479A00085}"/>
    <cellStyle name="60% - Énfasis3 11 2 2 2 4" xfId="53627" xr:uid="{151DA5CB-6C92-475E-B73E-E860F3B4816C}"/>
    <cellStyle name="60% - Énfasis3 11 2 2 3" xfId="10472" xr:uid="{4AF2DCAF-9D7D-4C98-A781-9C81EF73F722}"/>
    <cellStyle name="60% - Énfasis3 11 2 2 3 2" xfId="25885" xr:uid="{59EB7CF3-2D8D-42F6-8DC2-6C293B925DC5}"/>
    <cellStyle name="60% - Énfasis3 11 2 2 3 2 2" xfId="53632" xr:uid="{D96B7CA5-15DE-4C1B-AE3E-44A9E9804670}"/>
    <cellStyle name="60% - Énfasis3 11 2 2 3 3" xfId="53631" xr:uid="{B76E914A-13F4-4934-B49E-F7725A83F335}"/>
    <cellStyle name="60% - Énfasis3 11 2 2 4" xfId="18180" xr:uid="{148B2FBF-B169-4E84-A93F-C53C3DF781B0}"/>
    <cellStyle name="60% - Énfasis3 11 2 2 4 2" xfId="53633" xr:uid="{F23EE364-F146-4723-B911-EB37C5A3B2CA}"/>
    <cellStyle name="60% - Énfasis3 11 2 2 5" xfId="53626" xr:uid="{CDA62734-1FE8-443C-9690-2928D23C5995}"/>
    <cellStyle name="60% - Énfasis3 11 2 3" xfId="5030" xr:uid="{33B1693B-58E0-4062-B0C7-41347D7A64BF}"/>
    <cellStyle name="60% - Énfasis3 11 2 3 2" xfId="12738" xr:uid="{E700709D-A56B-4371-A440-4A70AC858C17}"/>
    <cellStyle name="60% - Énfasis3 11 2 3 2 2" xfId="28150" xr:uid="{5F0349A2-337D-403D-8D13-1F1D37C84AB7}"/>
    <cellStyle name="60% - Énfasis3 11 2 3 2 2 2" xfId="53636" xr:uid="{5F89639A-11C1-4C6E-8121-A1A63B113363}"/>
    <cellStyle name="60% - Énfasis3 11 2 3 2 3" xfId="53635" xr:uid="{DAB44E7F-C93C-4524-B817-AFDEB10F3B85}"/>
    <cellStyle name="60% - Énfasis3 11 2 3 3" xfId="20445" xr:uid="{700DBA77-1285-4159-8A4C-21CC99793B59}"/>
    <cellStyle name="60% - Énfasis3 11 2 3 3 2" xfId="53637" xr:uid="{7C02E6E9-776B-4F36-A930-64C1A5484F06}"/>
    <cellStyle name="60% - Énfasis3 11 2 3 4" xfId="53634" xr:uid="{7397FF3D-5F0E-415C-BE18-A3D34A863665}"/>
    <cellStyle name="60% - Énfasis3 11 2 4" xfId="9013" xr:uid="{91CC83BE-F4CA-4AE0-B97E-3B763EACDB25}"/>
    <cellStyle name="60% - Énfasis3 11 2 4 2" xfId="24426" xr:uid="{5000623B-85F9-4DAA-BAAC-D6CF0028D4E1}"/>
    <cellStyle name="60% - Énfasis3 11 2 4 2 2" xfId="53639" xr:uid="{6292926B-FA92-48E4-AB63-EE04860BD47A}"/>
    <cellStyle name="60% - Énfasis3 11 2 4 3" xfId="53638" xr:uid="{ABC417C9-DCA5-4BEC-8BB1-89897F4AE2AD}"/>
    <cellStyle name="60% - Énfasis3 11 2 5" xfId="16721" xr:uid="{CBF9A36E-EC36-4D13-BCD5-007165734367}"/>
    <cellStyle name="60% - Énfasis3 11 2 5 2" xfId="53640" xr:uid="{61E104F2-4D09-4657-BDC1-671745EECA4F}"/>
    <cellStyle name="60% - Énfasis3 11 2 6" xfId="53625" xr:uid="{D61CAE29-126E-4180-AA02-0AE399F1F642}"/>
    <cellStyle name="60% - Énfasis3 11 3" xfId="2123" xr:uid="{A075342B-19CD-4A1A-B003-83423E727827}"/>
    <cellStyle name="60% - Énfasis3 11 3 2" xfId="5855" xr:uid="{EC8A71A3-A269-470A-81FE-E7DBE616CCDE}"/>
    <cellStyle name="60% - Énfasis3 11 3 2 2" xfId="13563" xr:uid="{7C63DDB4-33B2-45C2-8448-37A93D7090EE}"/>
    <cellStyle name="60% - Énfasis3 11 3 2 2 2" xfId="28975" xr:uid="{3E88A783-AE47-4224-A4F9-F4FD870F3FC2}"/>
    <cellStyle name="60% - Énfasis3 11 3 2 2 2 2" xfId="53644" xr:uid="{7BCF038F-55A7-4203-9CA8-942C93547EB6}"/>
    <cellStyle name="60% - Énfasis3 11 3 2 2 3" xfId="53643" xr:uid="{7EA3B5BD-CCD6-48D1-A3E5-6773AF21F4F2}"/>
    <cellStyle name="60% - Énfasis3 11 3 2 3" xfId="21270" xr:uid="{C488838B-923A-4814-8B4D-D9629BE2F8D8}"/>
    <cellStyle name="60% - Énfasis3 11 3 2 3 2" xfId="53645" xr:uid="{16A638C3-3F1C-4496-84EB-D0E637DAECDE}"/>
    <cellStyle name="60% - Énfasis3 11 3 2 4" xfId="53642" xr:uid="{8F751030-2AA8-4568-A14E-72D418A8B6CF}"/>
    <cellStyle name="60% - Énfasis3 11 3 3" xfId="9834" xr:uid="{EC3995ED-769C-4FDA-8CD2-D029AC72FBF5}"/>
    <cellStyle name="60% - Énfasis3 11 3 3 2" xfId="25247" xr:uid="{C6AB46C3-9403-4E5F-BD10-4978D82D868C}"/>
    <cellStyle name="60% - Énfasis3 11 3 3 2 2" xfId="53647" xr:uid="{E65B7BE7-B768-4CCA-BEF7-197E85CFBA3D}"/>
    <cellStyle name="60% - Énfasis3 11 3 3 3" xfId="53646" xr:uid="{9485D973-1CE3-4F8D-AC13-A801C8832FF5}"/>
    <cellStyle name="60% - Énfasis3 11 3 4" xfId="17542" xr:uid="{DA0CCB1E-A15C-4038-8309-6F7AD2FDB7E4}"/>
    <cellStyle name="60% - Énfasis3 11 3 4 2" xfId="53648" xr:uid="{32F19D43-3CF6-4D5B-A9C6-C574A6629719}"/>
    <cellStyle name="60% - Énfasis3 11 3 5" xfId="53641" xr:uid="{76FE9771-C604-4A47-9649-305BF46CEDF6}"/>
    <cellStyle name="60% - Énfasis3 11 4" xfId="4378" xr:uid="{3FCEBEF5-2196-419A-9227-287FD4D48938}"/>
    <cellStyle name="60% - Énfasis3 11 4 2" xfId="12086" xr:uid="{3B786079-226E-4EDA-BC56-F462C707F0D3}"/>
    <cellStyle name="60% - Énfasis3 11 4 2 2" xfId="27498" xr:uid="{01C3FFC1-E6AD-4226-928D-F970F3812462}"/>
    <cellStyle name="60% - Énfasis3 11 4 2 2 2" xfId="53651" xr:uid="{890FCAA6-5205-44B6-8718-C9BE8F5439E5}"/>
    <cellStyle name="60% - Énfasis3 11 4 2 3" xfId="53650" xr:uid="{2A86AAFD-2673-4448-B86B-B8E4C0BFCCBE}"/>
    <cellStyle name="60% - Énfasis3 11 4 3" xfId="19793" xr:uid="{8D7DB7D3-02BC-4A6E-866A-5B7150AC7A23}"/>
    <cellStyle name="60% - Énfasis3 11 4 3 2" xfId="53652" xr:uid="{05DD6DBB-DE6C-4440-8742-194806EF9797}"/>
    <cellStyle name="60% - Énfasis3 11 4 4" xfId="53649" xr:uid="{B96F9EDA-535E-4AAA-8240-180FB206536A}"/>
    <cellStyle name="60% - Énfasis3 11 5" xfId="8375" xr:uid="{22516B5A-B017-442B-AFE7-3F449F916010}"/>
    <cellStyle name="60% - Énfasis3 11 5 2" xfId="23788" xr:uid="{93D7684D-D14A-4DDB-B188-ED52B7FF8E6B}"/>
    <cellStyle name="60% - Énfasis3 11 5 2 2" xfId="53654" xr:uid="{68598E61-CB11-4938-8955-F21336726DBC}"/>
    <cellStyle name="60% - Énfasis3 11 5 3" xfId="53653" xr:uid="{8D285D10-4BAB-4051-A33B-DB8587E410AA}"/>
    <cellStyle name="60% - Énfasis3 11 6" xfId="16083" xr:uid="{BA60AEF1-7484-4F86-AA11-518728F549DE}"/>
    <cellStyle name="60% - Énfasis3 11 6 2" xfId="53655" xr:uid="{2C7E17D2-FF43-47AB-8D8B-585CC0993A0F}"/>
    <cellStyle name="60% - Énfasis3 11 7" xfId="53624" xr:uid="{FCBE4469-848C-4CC9-AAFF-14B25934DACC}"/>
    <cellStyle name="60% - Énfasis3 12" xfId="654" xr:uid="{12905799-FEE6-4498-949E-DB5D476EFFC0}"/>
    <cellStyle name="60% - Énfasis3 12 2" xfId="1315" xr:uid="{4397C1BF-F927-4830-8D45-CEAE7F5C1383}"/>
    <cellStyle name="60% - Énfasis3 12 2 2" xfId="2782" xr:uid="{6DF04C8F-536B-45FA-BD50-78515E926131}"/>
    <cellStyle name="60% - Énfasis3 12 2 2 2" xfId="6514" xr:uid="{8915CF88-AC7D-434D-846D-C71852E35473}"/>
    <cellStyle name="60% - Énfasis3 12 2 2 2 2" xfId="14222" xr:uid="{55120E49-2C39-4CA1-98E4-ABB3179D59D7}"/>
    <cellStyle name="60% - Énfasis3 12 2 2 2 2 2" xfId="29634" xr:uid="{EC6C504B-8B0E-4804-9910-A8A8F3314D25}"/>
    <cellStyle name="60% - Énfasis3 12 2 2 2 2 2 2" xfId="53661" xr:uid="{EEEE2842-3530-4C72-B2CB-428A53E445C1}"/>
    <cellStyle name="60% - Énfasis3 12 2 2 2 2 3" xfId="53660" xr:uid="{B4F503B0-D65B-4CB0-BD08-35056A973389}"/>
    <cellStyle name="60% - Énfasis3 12 2 2 2 3" xfId="21929" xr:uid="{95BAC121-6A44-45DD-B532-C007E5006A2B}"/>
    <cellStyle name="60% - Énfasis3 12 2 2 2 3 2" xfId="53662" xr:uid="{1312FC6D-0DED-48E1-A377-88B252926DE1}"/>
    <cellStyle name="60% - Énfasis3 12 2 2 2 4" xfId="53659" xr:uid="{3F8D4EA2-0364-4D86-AA2D-049A108AEDB2}"/>
    <cellStyle name="60% - Énfasis3 12 2 2 3" xfId="10493" xr:uid="{B9F9E3B9-D195-4997-8162-360A01D29BD5}"/>
    <cellStyle name="60% - Énfasis3 12 2 2 3 2" xfId="25906" xr:uid="{A0686247-B006-44D1-967C-A138A7C374CC}"/>
    <cellStyle name="60% - Énfasis3 12 2 2 3 2 2" xfId="53664" xr:uid="{94B40C84-1C42-46E7-881D-EE4B65A3E4B4}"/>
    <cellStyle name="60% - Énfasis3 12 2 2 3 3" xfId="53663" xr:uid="{27240FA7-C5C9-453F-9BCC-CEE412BE9350}"/>
    <cellStyle name="60% - Énfasis3 12 2 2 4" xfId="18201" xr:uid="{35CF0615-935A-4146-A0BB-20AD451C6E1B}"/>
    <cellStyle name="60% - Énfasis3 12 2 2 4 2" xfId="53665" xr:uid="{21554182-0ED3-4F26-BDAE-064CB9CD51BF}"/>
    <cellStyle name="60% - Énfasis3 12 2 2 5" xfId="53658" xr:uid="{20E5BE8E-82D3-49B6-B5DF-00C130CF70E3}"/>
    <cellStyle name="60% - Énfasis3 12 2 3" xfId="5051" xr:uid="{987A5B29-5B77-4F39-A38C-50C2C0C68DB1}"/>
    <cellStyle name="60% - Énfasis3 12 2 3 2" xfId="12759" xr:uid="{CE8D5E20-9B8D-432F-910B-E3781D3A44BA}"/>
    <cellStyle name="60% - Énfasis3 12 2 3 2 2" xfId="28171" xr:uid="{2639227A-5803-4797-8CFD-376C15F840E1}"/>
    <cellStyle name="60% - Énfasis3 12 2 3 2 2 2" xfId="53668" xr:uid="{14301E27-017F-4AFC-A977-98DD7CBC1548}"/>
    <cellStyle name="60% - Énfasis3 12 2 3 2 3" xfId="53667" xr:uid="{6E56C80C-98C2-467F-99C1-C75F0BB1E390}"/>
    <cellStyle name="60% - Énfasis3 12 2 3 3" xfId="20466" xr:uid="{713234AB-7763-4258-8777-3AEADFA10823}"/>
    <cellStyle name="60% - Énfasis3 12 2 3 3 2" xfId="53669" xr:uid="{5D311B45-3A06-48D6-A8DC-9DC4C476A456}"/>
    <cellStyle name="60% - Énfasis3 12 2 3 4" xfId="53666" xr:uid="{75FA8AF0-7453-49E5-A48E-A7B2804B21A1}"/>
    <cellStyle name="60% - Énfasis3 12 2 4" xfId="9034" xr:uid="{C0B361E7-2FD0-4960-8653-F389FEBD6EB6}"/>
    <cellStyle name="60% - Énfasis3 12 2 4 2" xfId="24447" xr:uid="{135350BD-3F19-4A9E-843D-41EC1B4DE47D}"/>
    <cellStyle name="60% - Énfasis3 12 2 4 2 2" xfId="53671" xr:uid="{F322ECE3-F701-4768-8FB6-97992052D0C3}"/>
    <cellStyle name="60% - Énfasis3 12 2 4 3" xfId="53670" xr:uid="{03362A4C-E056-45D2-9C19-E832EABB343C}"/>
    <cellStyle name="60% - Énfasis3 12 2 5" xfId="16742" xr:uid="{E66C3567-9772-4314-AC3E-B4B001D8F069}"/>
    <cellStyle name="60% - Énfasis3 12 2 5 2" xfId="53672" xr:uid="{FF5E3F72-4D1F-4AB9-BF0F-C21B504D2F76}"/>
    <cellStyle name="60% - Énfasis3 12 2 6" xfId="53657" xr:uid="{17F06A20-B344-4304-95DD-E580BC24C8FF}"/>
    <cellStyle name="60% - Énfasis3 12 3" xfId="2144" xr:uid="{765B829A-DF20-43D4-8BB0-FE1810294967}"/>
    <cellStyle name="60% - Énfasis3 12 3 2" xfId="5876" xr:uid="{A79E16AB-BD99-4ADA-9B93-716911B91A8F}"/>
    <cellStyle name="60% - Énfasis3 12 3 2 2" xfId="13584" xr:uid="{62706E2D-78E4-4B89-84C9-6EADD9DBF868}"/>
    <cellStyle name="60% - Énfasis3 12 3 2 2 2" xfId="28996" xr:uid="{4E8920D8-8C0D-44B6-9B01-66FED6E67B28}"/>
    <cellStyle name="60% - Énfasis3 12 3 2 2 2 2" xfId="53676" xr:uid="{0FE1D078-664A-4F22-87A7-818DA1CFB5F8}"/>
    <cellStyle name="60% - Énfasis3 12 3 2 2 3" xfId="53675" xr:uid="{6B4E7BF2-9A21-4B46-BFAB-DD01402289B4}"/>
    <cellStyle name="60% - Énfasis3 12 3 2 3" xfId="21291" xr:uid="{2134632C-AC81-460D-A203-966048EDB3C0}"/>
    <cellStyle name="60% - Énfasis3 12 3 2 3 2" xfId="53677" xr:uid="{4E970DAB-826A-44B2-88D5-DCC06BCB5946}"/>
    <cellStyle name="60% - Énfasis3 12 3 2 4" xfId="53674" xr:uid="{A8A3BCDE-A18F-4ADD-983D-AADBBDEB7FD4}"/>
    <cellStyle name="60% - Énfasis3 12 3 3" xfId="9855" xr:uid="{BA386F67-EDA9-454E-9042-3A173FB634C9}"/>
    <cellStyle name="60% - Énfasis3 12 3 3 2" xfId="25268" xr:uid="{59FA1351-4951-48A6-8174-14736ABB39A8}"/>
    <cellStyle name="60% - Énfasis3 12 3 3 2 2" xfId="53679" xr:uid="{6DCC8FA2-99CB-45F8-83B2-EEDFCBC83125}"/>
    <cellStyle name="60% - Énfasis3 12 3 3 3" xfId="53678" xr:uid="{80972F29-A493-442C-B289-9A3D7161D8A6}"/>
    <cellStyle name="60% - Énfasis3 12 3 4" xfId="17563" xr:uid="{6F03330E-ED50-4D0D-B992-4A68BF6F6B82}"/>
    <cellStyle name="60% - Énfasis3 12 3 4 2" xfId="53680" xr:uid="{82BF3324-0B01-4F99-B6C6-05841B10B7B3}"/>
    <cellStyle name="60% - Énfasis3 12 3 5" xfId="53673" xr:uid="{A61C101A-7CDE-4DF0-8BAC-DB141CA346F3}"/>
    <cellStyle name="60% - Énfasis3 12 4" xfId="4399" xr:uid="{60D36F6D-3028-4602-B3D9-5DA6FC68CB70}"/>
    <cellStyle name="60% - Énfasis3 12 4 2" xfId="12107" xr:uid="{F3E07F8E-73C9-4FB1-BBD8-0C49C9A88904}"/>
    <cellStyle name="60% - Énfasis3 12 4 2 2" xfId="27519" xr:uid="{477229DF-57A1-454A-908F-635DD86A4A49}"/>
    <cellStyle name="60% - Énfasis3 12 4 2 2 2" xfId="53683" xr:uid="{60B28F38-7CBC-4EF4-9016-9DD90C385751}"/>
    <cellStyle name="60% - Énfasis3 12 4 2 3" xfId="53682" xr:uid="{9AFA1764-7FF5-4335-8E89-B96E1D6FE588}"/>
    <cellStyle name="60% - Énfasis3 12 4 3" xfId="19814" xr:uid="{07277A35-DF66-4F22-9B5D-9FF2B0A79542}"/>
    <cellStyle name="60% - Énfasis3 12 4 3 2" xfId="53684" xr:uid="{21E6806E-567B-41D2-ADD6-7D264FC795C0}"/>
    <cellStyle name="60% - Énfasis3 12 4 4" xfId="53681" xr:uid="{99A54A7D-E82B-42BE-A755-F6174C59F3F9}"/>
    <cellStyle name="60% - Énfasis3 12 5" xfId="8396" xr:uid="{7FEACB95-B4EC-4897-B847-B8BFDDFDAC3E}"/>
    <cellStyle name="60% - Énfasis3 12 5 2" xfId="23809" xr:uid="{4596E975-1522-4C03-872A-BDD898EEAEB8}"/>
    <cellStyle name="60% - Énfasis3 12 5 2 2" xfId="53686" xr:uid="{F76C1A56-D62B-4AA7-9A63-B5EA88D5028E}"/>
    <cellStyle name="60% - Énfasis3 12 5 3" xfId="53685" xr:uid="{82F979E5-7663-43A7-906E-5A54E686D340}"/>
    <cellStyle name="60% - Énfasis3 12 6" xfId="16104" xr:uid="{4C4D4838-376B-4FBC-9676-556DA72378A7}"/>
    <cellStyle name="60% - Énfasis3 12 6 2" xfId="53687" xr:uid="{2477E5A6-BEEB-4268-9427-04F9D0729E8E}"/>
    <cellStyle name="60% - Énfasis3 12 7" xfId="53656" xr:uid="{F6147306-B505-4B43-BFD7-739831ABF2FE}"/>
    <cellStyle name="60% - Énfasis3 13" xfId="674" xr:uid="{414B9D0D-34CA-41F9-9D36-22E97FB75680}"/>
    <cellStyle name="60% - Énfasis3 13 2" xfId="1335" xr:uid="{02EFD52A-B7A7-4AED-BE2F-63B48D8A7996}"/>
    <cellStyle name="60% - Énfasis3 13 2 2" xfId="2802" xr:uid="{A25F6939-51F3-4FD4-86B6-CB7089712BA9}"/>
    <cellStyle name="60% - Énfasis3 13 2 2 2" xfId="6534" xr:uid="{13076961-5759-40C5-BC36-947A08B45667}"/>
    <cellStyle name="60% - Énfasis3 13 2 2 2 2" xfId="14242" xr:uid="{400C91DE-BF96-4392-9281-5A79429DF33D}"/>
    <cellStyle name="60% - Énfasis3 13 2 2 2 2 2" xfId="29654" xr:uid="{840CD4DF-231E-4110-809D-23A2E590ED28}"/>
    <cellStyle name="60% - Énfasis3 13 2 2 2 2 2 2" xfId="53693" xr:uid="{89D57CD9-32BC-4CBB-8726-FAEF242595C3}"/>
    <cellStyle name="60% - Énfasis3 13 2 2 2 2 3" xfId="53692" xr:uid="{E1FD0392-EA97-4E34-BA64-1CC8FA0B1B8C}"/>
    <cellStyle name="60% - Énfasis3 13 2 2 2 3" xfId="21949" xr:uid="{37399F4F-A07F-412F-97CB-D2825BA783D2}"/>
    <cellStyle name="60% - Énfasis3 13 2 2 2 3 2" xfId="53694" xr:uid="{1664A401-B5C6-46B0-A572-9765F1053D8A}"/>
    <cellStyle name="60% - Énfasis3 13 2 2 2 4" xfId="53691" xr:uid="{7930D5DF-0768-4214-9827-70FA729DB4B7}"/>
    <cellStyle name="60% - Énfasis3 13 2 2 3" xfId="10513" xr:uid="{5338F790-0B24-40A9-8173-C066A037BD62}"/>
    <cellStyle name="60% - Énfasis3 13 2 2 3 2" xfId="25926" xr:uid="{B3CF957F-BAF2-46B4-865B-A46E14FFD085}"/>
    <cellStyle name="60% - Énfasis3 13 2 2 3 2 2" xfId="53696" xr:uid="{FF439670-1A48-446B-BB3A-71D8A5DE936F}"/>
    <cellStyle name="60% - Énfasis3 13 2 2 3 3" xfId="53695" xr:uid="{E88FA7E1-076E-4211-A202-0AF9464F67AB}"/>
    <cellStyle name="60% - Énfasis3 13 2 2 4" xfId="18221" xr:uid="{237FDCF4-42DF-4341-B5DE-ABACF49D47C4}"/>
    <cellStyle name="60% - Énfasis3 13 2 2 4 2" xfId="53697" xr:uid="{EF18E51D-F7A2-489A-932B-7AA9EC0EB292}"/>
    <cellStyle name="60% - Énfasis3 13 2 2 5" xfId="53690" xr:uid="{7C6B9029-FB3E-4CAB-B90A-2CF0669B0AAC}"/>
    <cellStyle name="60% - Énfasis3 13 2 3" xfId="5071" xr:uid="{9F2B5E1F-F7D5-4416-AD18-E01D2E49E657}"/>
    <cellStyle name="60% - Énfasis3 13 2 3 2" xfId="12779" xr:uid="{0765915D-77B2-4CB6-BDE6-01575E2BEFC5}"/>
    <cellStyle name="60% - Énfasis3 13 2 3 2 2" xfId="28191" xr:uid="{89BEE51A-562B-4456-ABFB-DFFF429E16C6}"/>
    <cellStyle name="60% - Énfasis3 13 2 3 2 2 2" xfId="53700" xr:uid="{E210C683-6333-4979-A2E0-5134DA3812E6}"/>
    <cellStyle name="60% - Énfasis3 13 2 3 2 3" xfId="53699" xr:uid="{0B304267-4EDC-429E-951D-197EB6EA5649}"/>
    <cellStyle name="60% - Énfasis3 13 2 3 3" xfId="20486" xr:uid="{A2EFF961-CC8B-4D7C-8D6D-6047EC3A6CD3}"/>
    <cellStyle name="60% - Énfasis3 13 2 3 3 2" xfId="53701" xr:uid="{54013772-FDF7-4AE0-8CD2-417B47E8BE8A}"/>
    <cellStyle name="60% - Énfasis3 13 2 3 4" xfId="53698" xr:uid="{3C9E45C5-353D-4087-8821-1B000FE3A6D4}"/>
    <cellStyle name="60% - Énfasis3 13 2 4" xfId="9054" xr:uid="{C343BB9D-8377-4DC0-AB36-B8902311CB1A}"/>
    <cellStyle name="60% - Énfasis3 13 2 4 2" xfId="24467" xr:uid="{6C04077E-D0FB-4DE9-ADF1-B62C8187DAEE}"/>
    <cellStyle name="60% - Énfasis3 13 2 4 2 2" xfId="53703" xr:uid="{6989EE52-0B36-4A35-9E78-B6830F7B28C4}"/>
    <cellStyle name="60% - Énfasis3 13 2 4 3" xfId="53702" xr:uid="{975978EC-465C-40AF-BDB8-D45E47CF71F0}"/>
    <cellStyle name="60% - Énfasis3 13 2 5" xfId="16762" xr:uid="{EA8C1B5C-B5BD-489A-916B-2A972C83BF98}"/>
    <cellStyle name="60% - Énfasis3 13 2 5 2" xfId="53704" xr:uid="{5878B255-432A-436B-AF1B-A9BEDFFB2E98}"/>
    <cellStyle name="60% - Énfasis3 13 2 6" xfId="53689" xr:uid="{7943A08C-EA65-4E0D-B8DB-B6A86E615E78}"/>
    <cellStyle name="60% - Énfasis3 13 3" xfId="2164" xr:uid="{F74F4378-07F3-4725-A8D2-8E7ADA41CD4E}"/>
    <cellStyle name="60% - Énfasis3 13 3 2" xfId="5896" xr:uid="{912AF47B-2C04-42CF-A0F0-4E6700A2D185}"/>
    <cellStyle name="60% - Énfasis3 13 3 2 2" xfId="13604" xr:uid="{5C098704-0476-4845-93F0-40EB67CDE01C}"/>
    <cellStyle name="60% - Énfasis3 13 3 2 2 2" xfId="29016" xr:uid="{8641BBA0-6F48-4AAF-8B32-899516C969CF}"/>
    <cellStyle name="60% - Énfasis3 13 3 2 2 2 2" xfId="53708" xr:uid="{7C06552F-B18D-4339-A7EA-22FC53F1F10C}"/>
    <cellStyle name="60% - Énfasis3 13 3 2 2 3" xfId="53707" xr:uid="{A63D6417-0E30-489A-9A32-3E24189CFBC7}"/>
    <cellStyle name="60% - Énfasis3 13 3 2 3" xfId="21311" xr:uid="{39C0070F-1820-46D6-8469-B3D7D97D725F}"/>
    <cellStyle name="60% - Énfasis3 13 3 2 3 2" xfId="53709" xr:uid="{8C0A0EFA-EFE7-4ADD-A07B-6690A92AB693}"/>
    <cellStyle name="60% - Énfasis3 13 3 2 4" xfId="53706" xr:uid="{9AC4B2A9-4DBD-4A58-8BDA-603268CE2AB0}"/>
    <cellStyle name="60% - Énfasis3 13 3 3" xfId="9875" xr:uid="{71BB90C1-E330-4529-9690-1E22241EC205}"/>
    <cellStyle name="60% - Énfasis3 13 3 3 2" xfId="25288" xr:uid="{CEBEC2D4-5F4E-488D-8306-05A8472E84E8}"/>
    <cellStyle name="60% - Énfasis3 13 3 3 2 2" xfId="53711" xr:uid="{1B29159B-EA3F-4184-9F24-8D3AAE8023EE}"/>
    <cellStyle name="60% - Énfasis3 13 3 3 3" xfId="53710" xr:uid="{63EE7D71-A5E4-4450-A1B5-DA83A6FDA9EF}"/>
    <cellStyle name="60% - Énfasis3 13 3 4" xfId="17583" xr:uid="{4852B277-59A7-46C4-A054-54227A24BD2A}"/>
    <cellStyle name="60% - Énfasis3 13 3 4 2" xfId="53712" xr:uid="{E2087C26-9A4B-4FF2-B561-D4A12E0AF521}"/>
    <cellStyle name="60% - Énfasis3 13 3 5" xfId="53705" xr:uid="{5B32E044-39D2-401F-9113-42A3849F7994}"/>
    <cellStyle name="60% - Énfasis3 13 4" xfId="4419" xr:uid="{5D1CAD8A-FB51-4D4A-9678-8097B46BC41E}"/>
    <cellStyle name="60% - Énfasis3 13 4 2" xfId="12127" xr:uid="{96E7699F-FFD3-409E-989D-88B69C3C2F4D}"/>
    <cellStyle name="60% - Énfasis3 13 4 2 2" xfId="27539" xr:uid="{0A371CF4-204B-47F0-B3A2-0C108638A895}"/>
    <cellStyle name="60% - Énfasis3 13 4 2 2 2" xfId="53715" xr:uid="{26277E35-145F-4D05-A588-90BC0D5A5371}"/>
    <cellStyle name="60% - Énfasis3 13 4 2 3" xfId="53714" xr:uid="{AFB7A0F8-29BD-42B8-92EC-139A20FEE816}"/>
    <cellStyle name="60% - Énfasis3 13 4 3" xfId="19834" xr:uid="{147E5FF8-F0E5-49B1-B925-180545AAABE7}"/>
    <cellStyle name="60% - Énfasis3 13 4 3 2" xfId="53716" xr:uid="{2D0B2B8E-9087-4D30-87CA-165D7C3642E4}"/>
    <cellStyle name="60% - Énfasis3 13 4 4" xfId="53713" xr:uid="{9591BC3C-65F1-4177-87FD-C42524E7BAB2}"/>
    <cellStyle name="60% - Énfasis3 13 5" xfId="8416" xr:uid="{6324F191-1AE5-4A1B-9CCC-935E2B7FF2D1}"/>
    <cellStyle name="60% - Énfasis3 13 5 2" xfId="23829" xr:uid="{7D03F292-3007-4350-A57C-620175767D58}"/>
    <cellStyle name="60% - Énfasis3 13 5 2 2" xfId="53718" xr:uid="{FA334736-150C-4E74-9936-6C30E418FF38}"/>
    <cellStyle name="60% - Énfasis3 13 5 3" xfId="53717" xr:uid="{F7FA0E39-EDC5-4658-98B3-7267B9B36FBC}"/>
    <cellStyle name="60% - Énfasis3 13 6" xfId="16124" xr:uid="{C863956E-92A5-4D9D-BC5A-63C62656D369}"/>
    <cellStyle name="60% - Énfasis3 13 6 2" xfId="53719" xr:uid="{73EB7B90-3469-4CF1-8ECD-C77E766F9351}"/>
    <cellStyle name="60% - Énfasis3 13 7" xfId="53688" xr:uid="{6D41CCEB-8D57-446A-A072-13D9BEBC6DA1}"/>
    <cellStyle name="60% - Énfasis3 14" xfId="694" xr:uid="{C248CB0A-7437-4006-837F-CBBBE5553625}"/>
    <cellStyle name="60% - Énfasis3 14 2" xfId="1355" xr:uid="{85CDE360-CF69-47E8-86E3-D4A27FB1822D}"/>
    <cellStyle name="60% - Énfasis3 14 2 2" xfId="2822" xr:uid="{503BE120-9A36-41B5-AF40-08B4F8083337}"/>
    <cellStyle name="60% - Énfasis3 14 2 2 2" xfId="6554" xr:uid="{F9B17002-1AF0-4019-96AE-CB37CF6204EF}"/>
    <cellStyle name="60% - Énfasis3 14 2 2 2 2" xfId="14262" xr:uid="{5D16AB37-6CEA-4BE5-852E-BB4DCA41DA62}"/>
    <cellStyle name="60% - Énfasis3 14 2 2 2 2 2" xfId="29674" xr:uid="{C3BB8EDF-4332-4C74-A6A5-52AC812DFA8F}"/>
    <cellStyle name="60% - Énfasis3 14 2 2 2 2 2 2" xfId="53725" xr:uid="{286B655A-89BE-41F1-B043-BF423B5EC38A}"/>
    <cellStyle name="60% - Énfasis3 14 2 2 2 2 3" xfId="53724" xr:uid="{034E9D75-2AF5-44A9-95BA-C2036E8038ED}"/>
    <cellStyle name="60% - Énfasis3 14 2 2 2 3" xfId="21969" xr:uid="{8763A855-46FC-41CD-BD59-F042FE3E4A0E}"/>
    <cellStyle name="60% - Énfasis3 14 2 2 2 3 2" xfId="53726" xr:uid="{CA606B99-F096-44C7-96B3-5C8AA7A4A45D}"/>
    <cellStyle name="60% - Énfasis3 14 2 2 2 4" xfId="53723" xr:uid="{05FE1074-5469-4B8D-AC6A-9FB2B9A5FBD3}"/>
    <cellStyle name="60% - Énfasis3 14 2 2 3" xfId="10533" xr:uid="{82E2DA76-FA73-469B-950A-F01A601AE601}"/>
    <cellStyle name="60% - Énfasis3 14 2 2 3 2" xfId="25946" xr:uid="{232C34A3-B679-4C9F-B084-2587C6B76851}"/>
    <cellStyle name="60% - Énfasis3 14 2 2 3 2 2" xfId="53728" xr:uid="{47A5B7BE-C2FE-47B7-9E78-9D21554BADE4}"/>
    <cellStyle name="60% - Énfasis3 14 2 2 3 3" xfId="53727" xr:uid="{58E89E14-7FF3-4D88-9E11-C4258602C7B0}"/>
    <cellStyle name="60% - Énfasis3 14 2 2 4" xfId="18241" xr:uid="{0AD492AF-ECF6-4076-8EAB-A36CD3E5C5DE}"/>
    <cellStyle name="60% - Énfasis3 14 2 2 4 2" xfId="53729" xr:uid="{DDBF6BA1-0E88-43C3-BFC8-2B734B0A4921}"/>
    <cellStyle name="60% - Énfasis3 14 2 2 5" xfId="53722" xr:uid="{9E1C04BA-AD7D-44EE-BDAF-CDB1BBCE65C5}"/>
    <cellStyle name="60% - Énfasis3 14 2 3" xfId="5091" xr:uid="{558754E5-044D-4C68-9F20-5B8BCFE0A78B}"/>
    <cellStyle name="60% - Énfasis3 14 2 3 2" xfId="12799" xr:uid="{E36A6FFF-BB40-48DA-A672-25C91AF8BEAE}"/>
    <cellStyle name="60% - Énfasis3 14 2 3 2 2" xfId="28211" xr:uid="{914D76C0-A6EA-49E1-92D0-CC7847EA3D6A}"/>
    <cellStyle name="60% - Énfasis3 14 2 3 2 2 2" xfId="53732" xr:uid="{18845E63-614D-4E85-A9FE-00F6FC1920D0}"/>
    <cellStyle name="60% - Énfasis3 14 2 3 2 3" xfId="53731" xr:uid="{FA351589-5C86-4AAB-A45C-657B348DE6B4}"/>
    <cellStyle name="60% - Énfasis3 14 2 3 3" xfId="20506" xr:uid="{20A255C0-793C-4CFB-BB63-17A78787A81F}"/>
    <cellStyle name="60% - Énfasis3 14 2 3 3 2" xfId="53733" xr:uid="{C4457D2C-85B9-44C5-A316-6531C510A9CB}"/>
    <cellStyle name="60% - Énfasis3 14 2 3 4" xfId="53730" xr:uid="{B74A0183-CF31-4DFD-A15A-615A57FC0957}"/>
    <cellStyle name="60% - Énfasis3 14 2 4" xfId="9074" xr:uid="{B073FF5E-5F7D-4520-B8FD-889E61061D14}"/>
    <cellStyle name="60% - Énfasis3 14 2 4 2" xfId="24487" xr:uid="{29FA79EB-BD76-4A31-B807-2D188705FFC7}"/>
    <cellStyle name="60% - Énfasis3 14 2 4 2 2" xfId="53735" xr:uid="{7B68F328-EDC1-40DC-8ED0-ED17727D6441}"/>
    <cellStyle name="60% - Énfasis3 14 2 4 3" xfId="53734" xr:uid="{CC373791-9C84-4E6C-9863-D93496FA88A0}"/>
    <cellStyle name="60% - Énfasis3 14 2 5" xfId="16782" xr:uid="{09DC5C09-013E-4305-89BF-D769556C31F8}"/>
    <cellStyle name="60% - Énfasis3 14 2 5 2" xfId="53736" xr:uid="{646D5B76-19A9-4B21-BD66-35C2EA7100F8}"/>
    <cellStyle name="60% - Énfasis3 14 2 6" xfId="53721" xr:uid="{521CAA86-6E96-4DC4-BE74-A2B2D4C2B41B}"/>
    <cellStyle name="60% - Énfasis3 14 3" xfId="2184" xr:uid="{1CBBCF62-3934-4F26-9002-30841FD6442B}"/>
    <cellStyle name="60% - Énfasis3 14 3 2" xfId="5916" xr:uid="{B5C886CF-132A-49DD-878B-40F1E7D4D267}"/>
    <cellStyle name="60% - Énfasis3 14 3 2 2" xfId="13624" xr:uid="{60F3D508-F4A1-4D10-9F0B-EE91C2CE7234}"/>
    <cellStyle name="60% - Énfasis3 14 3 2 2 2" xfId="29036" xr:uid="{7E58DE18-CFDF-4250-A64E-6922575637A9}"/>
    <cellStyle name="60% - Énfasis3 14 3 2 2 2 2" xfId="53740" xr:uid="{2DD57D76-7C7C-4490-A7FC-E4E6A6329DE1}"/>
    <cellStyle name="60% - Énfasis3 14 3 2 2 3" xfId="53739" xr:uid="{86A37E7A-CB51-44C4-A995-5D2046BEDC0D}"/>
    <cellStyle name="60% - Énfasis3 14 3 2 3" xfId="21331" xr:uid="{05B440CB-18FB-4376-83A3-A20A4B916756}"/>
    <cellStyle name="60% - Énfasis3 14 3 2 3 2" xfId="53741" xr:uid="{59709CE3-6DBB-40AC-8E65-881216E9A82B}"/>
    <cellStyle name="60% - Énfasis3 14 3 2 4" xfId="53738" xr:uid="{988478AD-D68E-4323-8706-0CC13254E88B}"/>
    <cellStyle name="60% - Énfasis3 14 3 3" xfId="9895" xr:uid="{9F7F7CE1-1E94-46A5-B1E0-34DF0DBAD9E5}"/>
    <cellStyle name="60% - Énfasis3 14 3 3 2" xfId="25308" xr:uid="{9B95F7FB-A106-454C-BFCA-76A1E9F2E4CE}"/>
    <cellStyle name="60% - Énfasis3 14 3 3 2 2" xfId="53743" xr:uid="{3CC0FD1A-AFF2-4B0F-BCEC-E4E431E3CA56}"/>
    <cellStyle name="60% - Énfasis3 14 3 3 3" xfId="53742" xr:uid="{0039DBD2-B265-44E2-891C-9B25FDEEC1B6}"/>
    <cellStyle name="60% - Énfasis3 14 3 4" xfId="17603" xr:uid="{C5B5AEDA-ECCD-4993-9D9B-75F1C2C1477D}"/>
    <cellStyle name="60% - Énfasis3 14 3 4 2" xfId="53744" xr:uid="{84225DE9-6142-4BC6-85CB-F887678FE047}"/>
    <cellStyle name="60% - Énfasis3 14 3 5" xfId="53737" xr:uid="{B9A6086B-3240-4D1D-A6E1-60A67A30FCBA}"/>
    <cellStyle name="60% - Énfasis3 14 4" xfId="4439" xr:uid="{A218DF2F-F9F8-466F-9CAB-10AFDE5BCED6}"/>
    <cellStyle name="60% - Énfasis3 14 4 2" xfId="12147" xr:uid="{5A889FC1-1532-40A2-B8E3-91B8FBC51A89}"/>
    <cellStyle name="60% - Énfasis3 14 4 2 2" xfId="27559" xr:uid="{0975893F-1AAB-449E-B156-956D6CEBF238}"/>
    <cellStyle name="60% - Énfasis3 14 4 2 2 2" xfId="53747" xr:uid="{821B49E2-ABF0-4F4D-9242-1971611C23D3}"/>
    <cellStyle name="60% - Énfasis3 14 4 2 3" xfId="53746" xr:uid="{BB4EEEAF-3CCF-4D96-A727-F9E703DD4044}"/>
    <cellStyle name="60% - Énfasis3 14 4 3" xfId="19854" xr:uid="{4AA16855-C85D-4893-97A7-116B3BC28A7D}"/>
    <cellStyle name="60% - Énfasis3 14 4 3 2" xfId="53748" xr:uid="{A4FB0695-F1A5-498B-9640-7493E899D4AD}"/>
    <cellStyle name="60% - Énfasis3 14 4 4" xfId="53745" xr:uid="{486E2812-2E85-4D29-AB6B-9C79E1AB8842}"/>
    <cellStyle name="60% - Énfasis3 14 5" xfId="8436" xr:uid="{3E4694E1-1480-4056-8AD9-826B75AC58F4}"/>
    <cellStyle name="60% - Énfasis3 14 5 2" xfId="23849" xr:uid="{D73A0919-D02F-4902-8E1C-8C4EBDAC6C05}"/>
    <cellStyle name="60% - Énfasis3 14 5 2 2" xfId="53750" xr:uid="{4EA9C664-ACFC-400B-BA9D-44660FE91223}"/>
    <cellStyle name="60% - Énfasis3 14 5 3" xfId="53749" xr:uid="{9BBC9634-0BDA-40AD-9C09-4559707C22CF}"/>
    <cellStyle name="60% - Énfasis3 14 6" xfId="16144" xr:uid="{8279833B-8790-451A-9F31-1B65600A0113}"/>
    <cellStyle name="60% - Énfasis3 14 6 2" xfId="53751" xr:uid="{136E0199-2450-404A-BB4C-3B25D2E9EB86}"/>
    <cellStyle name="60% - Énfasis3 14 7" xfId="53720" xr:uid="{21350818-AB28-4D33-B7BD-5668A5A61E22}"/>
    <cellStyle name="60% - Énfasis3 15" xfId="715" xr:uid="{4F33D862-FCF7-4A32-8F68-5882D9A0ABE9}"/>
    <cellStyle name="60% - Énfasis3 15 2" xfId="1376" xr:uid="{8682F11F-27BF-4FC0-A169-5D66BEE95864}"/>
    <cellStyle name="60% - Énfasis3 15 2 2" xfId="2843" xr:uid="{ADADC322-E657-4564-BF16-FC2E262723AE}"/>
    <cellStyle name="60% - Énfasis3 15 2 2 2" xfId="6575" xr:uid="{53E80F2F-A037-4CDB-8AA1-AAD254BAEC3A}"/>
    <cellStyle name="60% - Énfasis3 15 2 2 2 2" xfId="14283" xr:uid="{2EBCEFAB-56C3-49FE-8E97-52B5B2923A8A}"/>
    <cellStyle name="60% - Énfasis3 15 2 2 2 2 2" xfId="29695" xr:uid="{585712E3-FA8E-46AA-B741-4D4E9431797D}"/>
    <cellStyle name="60% - Énfasis3 15 2 2 2 2 2 2" xfId="53757" xr:uid="{9C1751A6-B202-4609-8BF7-741E50698E1B}"/>
    <cellStyle name="60% - Énfasis3 15 2 2 2 2 3" xfId="53756" xr:uid="{3B326906-6A31-4BA0-B134-21A02361D410}"/>
    <cellStyle name="60% - Énfasis3 15 2 2 2 3" xfId="21990" xr:uid="{04C270C8-5087-4527-BBD4-83857B45666A}"/>
    <cellStyle name="60% - Énfasis3 15 2 2 2 3 2" xfId="53758" xr:uid="{D0523A07-D59E-47F0-A99E-6AE66DF9143B}"/>
    <cellStyle name="60% - Énfasis3 15 2 2 2 4" xfId="53755" xr:uid="{6CBC743F-F793-4134-9535-6327C5071D1E}"/>
    <cellStyle name="60% - Énfasis3 15 2 2 3" xfId="10554" xr:uid="{180FA2BF-1223-45C1-BBEC-9DD9AD25EDDC}"/>
    <cellStyle name="60% - Énfasis3 15 2 2 3 2" xfId="25967" xr:uid="{A87E5B1B-82AB-47FA-BC33-3DC2924BFEFB}"/>
    <cellStyle name="60% - Énfasis3 15 2 2 3 2 2" xfId="53760" xr:uid="{EAEE2CEB-56A5-4A07-80E5-B64D1F431FFB}"/>
    <cellStyle name="60% - Énfasis3 15 2 2 3 3" xfId="53759" xr:uid="{97C4E1A1-5FE7-46EB-BB6F-0D36ACE6B4B6}"/>
    <cellStyle name="60% - Énfasis3 15 2 2 4" xfId="18262" xr:uid="{D7901993-2C23-4FB6-A3EA-E99F4383C1B6}"/>
    <cellStyle name="60% - Énfasis3 15 2 2 4 2" xfId="53761" xr:uid="{FBBBE440-7C74-4F77-B385-9E2111D1262F}"/>
    <cellStyle name="60% - Énfasis3 15 2 2 5" xfId="53754" xr:uid="{19A5B0A1-7D41-4DE8-A16D-583F0D3F96A3}"/>
    <cellStyle name="60% - Énfasis3 15 2 3" xfId="5112" xr:uid="{D2EC818C-82AE-4085-B4A0-6362A426232E}"/>
    <cellStyle name="60% - Énfasis3 15 2 3 2" xfId="12820" xr:uid="{3347E116-C9BE-4F4A-85EE-C7D6477A769E}"/>
    <cellStyle name="60% - Énfasis3 15 2 3 2 2" xfId="28232" xr:uid="{B6DE3ABA-9397-49E1-92C0-435809B40AC7}"/>
    <cellStyle name="60% - Énfasis3 15 2 3 2 2 2" xfId="53764" xr:uid="{3F9AD10C-8F9C-4747-9AFB-8466C91C320F}"/>
    <cellStyle name="60% - Énfasis3 15 2 3 2 3" xfId="53763" xr:uid="{35A29A00-1E43-4AE0-9219-2CA07743FE63}"/>
    <cellStyle name="60% - Énfasis3 15 2 3 3" xfId="20527" xr:uid="{17444197-3458-4E7C-A7DB-53915E7395A0}"/>
    <cellStyle name="60% - Énfasis3 15 2 3 3 2" xfId="53765" xr:uid="{7B82F2A2-D507-44D2-B6B4-F4F5048B560C}"/>
    <cellStyle name="60% - Énfasis3 15 2 3 4" xfId="53762" xr:uid="{7FDFFA28-1B4B-425E-8402-E20E1BE9709C}"/>
    <cellStyle name="60% - Énfasis3 15 2 4" xfId="9095" xr:uid="{4DDA66F5-0376-449B-890C-94D6B2327FF8}"/>
    <cellStyle name="60% - Énfasis3 15 2 4 2" xfId="24508" xr:uid="{C4407FCD-3EDD-43AD-A8EC-2178B0040E2C}"/>
    <cellStyle name="60% - Énfasis3 15 2 4 2 2" xfId="53767" xr:uid="{A5D9B148-A5C1-4DAA-BA76-CAF88A53486E}"/>
    <cellStyle name="60% - Énfasis3 15 2 4 3" xfId="53766" xr:uid="{67F450F4-FC90-4120-9701-B04F18B47BF4}"/>
    <cellStyle name="60% - Énfasis3 15 2 5" xfId="16803" xr:uid="{A9EE4F5B-4958-4D0C-A002-61A006A473E8}"/>
    <cellStyle name="60% - Énfasis3 15 2 5 2" xfId="53768" xr:uid="{FEEA3455-FEE8-498E-AEBC-2885D56F4FC1}"/>
    <cellStyle name="60% - Énfasis3 15 2 6" xfId="53753" xr:uid="{6B4B4DA7-1455-490D-B1DC-FB1887771670}"/>
    <cellStyle name="60% - Énfasis3 15 3" xfId="2205" xr:uid="{776E4845-FE19-4317-A18E-ACB11FDD2E4E}"/>
    <cellStyle name="60% - Énfasis3 15 3 2" xfId="5937" xr:uid="{04DEBFD6-5D67-4139-B3FA-49FACD4414BE}"/>
    <cellStyle name="60% - Énfasis3 15 3 2 2" xfId="13645" xr:uid="{941C91EA-51F2-4086-BC4D-59D9FD44DB17}"/>
    <cellStyle name="60% - Énfasis3 15 3 2 2 2" xfId="29057" xr:uid="{6FA2EF68-B3B7-4541-B86C-5FA0B1D4119F}"/>
    <cellStyle name="60% - Énfasis3 15 3 2 2 2 2" xfId="53772" xr:uid="{DCABCCFA-2489-4F29-BD04-A75AC8A2E8B4}"/>
    <cellStyle name="60% - Énfasis3 15 3 2 2 3" xfId="53771" xr:uid="{6EA0B4DF-9A16-45DD-8CAF-01FBA5597B7D}"/>
    <cellStyle name="60% - Énfasis3 15 3 2 3" xfId="21352" xr:uid="{6816BBCD-C47D-4557-8A75-07BF50D0E1CE}"/>
    <cellStyle name="60% - Énfasis3 15 3 2 3 2" xfId="53773" xr:uid="{824AB230-5C97-4D1D-9EF2-74A673DD485E}"/>
    <cellStyle name="60% - Énfasis3 15 3 2 4" xfId="53770" xr:uid="{42639AF0-E239-49FA-BDC0-28BD748990C5}"/>
    <cellStyle name="60% - Énfasis3 15 3 3" xfId="9916" xr:uid="{38B7CB72-D604-4D7A-A04D-39884CECE554}"/>
    <cellStyle name="60% - Énfasis3 15 3 3 2" xfId="25329" xr:uid="{704BC41C-A11E-4EE0-BAC3-5A1C506CBD40}"/>
    <cellStyle name="60% - Énfasis3 15 3 3 2 2" xfId="53775" xr:uid="{88E091EE-9340-44CB-B131-A30714FF699F}"/>
    <cellStyle name="60% - Énfasis3 15 3 3 3" xfId="53774" xr:uid="{128077D4-0394-4307-B339-986E3BA17190}"/>
    <cellStyle name="60% - Énfasis3 15 3 4" xfId="17624" xr:uid="{792982ED-B8B6-49B9-A64E-30A59C78F535}"/>
    <cellStyle name="60% - Énfasis3 15 3 4 2" xfId="53776" xr:uid="{B2366F90-7274-482A-9193-98379817E68B}"/>
    <cellStyle name="60% - Énfasis3 15 3 5" xfId="53769" xr:uid="{1D96768E-465D-4327-A880-E9FF2932FEB7}"/>
    <cellStyle name="60% - Énfasis3 15 4" xfId="4460" xr:uid="{E94D2CC1-5571-4EEE-AFF2-8CC62797DF5C}"/>
    <cellStyle name="60% - Énfasis3 15 4 2" xfId="12168" xr:uid="{C1E310F6-5A66-4FFF-B236-CE369C927093}"/>
    <cellStyle name="60% - Énfasis3 15 4 2 2" xfId="27580" xr:uid="{0D2B87DE-5927-4F04-BFC7-57FE83B57121}"/>
    <cellStyle name="60% - Énfasis3 15 4 2 2 2" xfId="53779" xr:uid="{22BB05FE-E1C4-44BD-85B1-43AE598A5D42}"/>
    <cellStyle name="60% - Énfasis3 15 4 2 3" xfId="53778" xr:uid="{F5D8662E-5408-4C4C-A2B6-A8657871B0AC}"/>
    <cellStyle name="60% - Énfasis3 15 4 3" xfId="19875" xr:uid="{4FABB645-9581-4D79-B6D0-6D9148A878CB}"/>
    <cellStyle name="60% - Énfasis3 15 4 3 2" xfId="53780" xr:uid="{F7F1874D-5424-41F4-BF04-A76EAB180F89}"/>
    <cellStyle name="60% - Énfasis3 15 4 4" xfId="53777" xr:uid="{12FD7082-4BD2-4BB7-A1D7-6EC3F555F460}"/>
    <cellStyle name="60% - Énfasis3 15 5" xfId="8457" xr:uid="{BEFFE489-802D-4AC2-931A-D61AFC4821C8}"/>
    <cellStyle name="60% - Énfasis3 15 5 2" xfId="23870" xr:uid="{B12B0009-51E7-438C-A591-B50134E35900}"/>
    <cellStyle name="60% - Énfasis3 15 5 2 2" xfId="53782" xr:uid="{7B3BEED3-45AD-43F8-A131-3B5146555866}"/>
    <cellStyle name="60% - Énfasis3 15 5 3" xfId="53781" xr:uid="{D2D5C2F0-3CB2-4C83-A492-529685B2CC71}"/>
    <cellStyle name="60% - Énfasis3 15 6" xfId="16165" xr:uid="{83B3A800-BB6E-4CDF-B679-CA1CEFC76EEA}"/>
    <cellStyle name="60% - Énfasis3 15 6 2" xfId="53783" xr:uid="{F32BA3D7-7BC1-4851-8C85-39F87D2F698A}"/>
    <cellStyle name="60% - Énfasis3 15 7" xfId="53752" xr:uid="{C4AC78CA-7A1B-400E-919D-9FEC3292813D}"/>
    <cellStyle name="60% - Énfasis3 16" xfId="735" xr:uid="{243A50FC-E642-40DE-B522-B85B19B54EB2}"/>
    <cellStyle name="60% - Énfasis3 16 2" xfId="1396" xr:uid="{0E3E5E70-E61D-42F2-98C6-1A5C4AB510E7}"/>
    <cellStyle name="60% - Énfasis3 16 2 2" xfId="2863" xr:uid="{4FB3ABBB-E5C6-4795-AB4D-54A78EF5A961}"/>
    <cellStyle name="60% - Énfasis3 16 2 2 2" xfId="6595" xr:uid="{8E77612B-3315-415F-B215-6A926BD4BF91}"/>
    <cellStyle name="60% - Énfasis3 16 2 2 2 2" xfId="14303" xr:uid="{F48AFE3C-20EA-4F15-A37C-36B7AE49EB09}"/>
    <cellStyle name="60% - Énfasis3 16 2 2 2 2 2" xfId="29715" xr:uid="{63B5153F-BDEE-4313-AFAF-60D537A24B4C}"/>
    <cellStyle name="60% - Énfasis3 16 2 2 2 2 2 2" xfId="53789" xr:uid="{3CB5ACF1-7D0C-4EC4-9E09-5C0B575FDAAA}"/>
    <cellStyle name="60% - Énfasis3 16 2 2 2 2 3" xfId="53788" xr:uid="{FBE70BFE-8941-4F29-A9EF-070CEC5E5F48}"/>
    <cellStyle name="60% - Énfasis3 16 2 2 2 3" xfId="22010" xr:uid="{910D7C36-C61F-450E-B7E4-B06F6193AAF8}"/>
    <cellStyle name="60% - Énfasis3 16 2 2 2 3 2" xfId="53790" xr:uid="{959C9C91-A4DC-4367-9F64-B6EAC8B39085}"/>
    <cellStyle name="60% - Énfasis3 16 2 2 2 4" xfId="53787" xr:uid="{89400014-D54D-4F79-B106-13223EB8935E}"/>
    <cellStyle name="60% - Énfasis3 16 2 2 3" xfId="10574" xr:uid="{E6B2A52E-6A7B-4412-860D-FE95CEB03065}"/>
    <cellStyle name="60% - Énfasis3 16 2 2 3 2" xfId="25987" xr:uid="{A45E3993-92E9-4C1C-AEAB-2E878562F587}"/>
    <cellStyle name="60% - Énfasis3 16 2 2 3 2 2" xfId="53792" xr:uid="{845F9C31-57DE-463C-8031-EC0D31980FBC}"/>
    <cellStyle name="60% - Énfasis3 16 2 2 3 3" xfId="53791" xr:uid="{D2433A40-85DD-4E19-BF99-B24869E090A1}"/>
    <cellStyle name="60% - Énfasis3 16 2 2 4" xfId="18282" xr:uid="{08666F69-8C06-4778-9048-224FC8B7B5CD}"/>
    <cellStyle name="60% - Énfasis3 16 2 2 4 2" xfId="53793" xr:uid="{3A49A268-590E-41F6-997F-195EFA72A8BD}"/>
    <cellStyle name="60% - Énfasis3 16 2 2 5" xfId="53786" xr:uid="{341E337A-67BB-405A-88CD-B02EB9174021}"/>
    <cellStyle name="60% - Énfasis3 16 2 3" xfId="5132" xr:uid="{CC0441E3-ECF2-4B98-86FC-4668CFBE5BCD}"/>
    <cellStyle name="60% - Énfasis3 16 2 3 2" xfId="12840" xr:uid="{B855F79B-313C-42A8-99CD-4994C3910AC1}"/>
    <cellStyle name="60% - Énfasis3 16 2 3 2 2" xfId="28252" xr:uid="{41716C8A-5381-4C5C-90F0-1ACA4471F9F3}"/>
    <cellStyle name="60% - Énfasis3 16 2 3 2 2 2" xfId="53796" xr:uid="{B8A7079C-5E34-4359-8484-6F96146E6747}"/>
    <cellStyle name="60% - Énfasis3 16 2 3 2 3" xfId="53795" xr:uid="{5F455FC4-B975-4314-B719-3158439DF2E0}"/>
    <cellStyle name="60% - Énfasis3 16 2 3 3" xfId="20547" xr:uid="{F8A7A883-9A99-4977-92DC-04FF5110F77C}"/>
    <cellStyle name="60% - Énfasis3 16 2 3 3 2" xfId="53797" xr:uid="{811C8B37-C4C9-419B-B5B8-0E391F7AA585}"/>
    <cellStyle name="60% - Énfasis3 16 2 3 4" xfId="53794" xr:uid="{BBF4D6E6-AAFF-4661-8671-07F7970CFABE}"/>
    <cellStyle name="60% - Énfasis3 16 2 4" xfId="9115" xr:uid="{719CBBF0-0AA0-4720-95C3-E468618B5B0A}"/>
    <cellStyle name="60% - Énfasis3 16 2 4 2" xfId="24528" xr:uid="{27F3FE26-FE7A-4A89-B7B0-5233D27CACB3}"/>
    <cellStyle name="60% - Énfasis3 16 2 4 2 2" xfId="53799" xr:uid="{92BC2B90-EAD0-466A-8462-850E28FA871D}"/>
    <cellStyle name="60% - Énfasis3 16 2 4 3" xfId="53798" xr:uid="{0FFF4A29-638D-4FBF-AC80-5D187DB8EC59}"/>
    <cellStyle name="60% - Énfasis3 16 2 5" xfId="16823" xr:uid="{764C8F4F-E5AF-48EE-9655-8EB3459FAF2F}"/>
    <cellStyle name="60% - Énfasis3 16 2 5 2" xfId="53800" xr:uid="{24A8A829-B8C4-4686-934F-12B62902005E}"/>
    <cellStyle name="60% - Énfasis3 16 2 6" xfId="53785" xr:uid="{3CF0314C-9B30-4267-B818-0ACA806D17DD}"/>
    <cellStyle name="60% - Énfasis3 16 3" xfId="2225" xr:uid="{ACE9C5D3-FE9F-41A4-973D-1846AF58D2D7}"/>
    <cellStyle name="60% - Énfasis3 16 3 2" xfId="5957" xr:uid="{41E0124A-4796-4F93-8A2E-583DC9FA4B38}"/>
    <cellStyle name="60% - Énfasis3 16 3 2 2" xfId="13665" xr:uid="{B8242A5E-75C3-4EE4-BB8E-A411405F71FB}"/>
    <cellStyle name="60% - Énfasis3 16 3 2 2 2" xfId="29077" xr:uid="{034A2091-3931-4543-AB76-F4789623291C}"/>
    <cellStyle name="60% - Énfasis3 16 3 2 2 2 2" xfId="53804" xr:uid="{EE20CBC0-1E2A-45FB-B2FE-3A5538E1E1A4}"/>
    <cellStyle name="60% - Énfasis3 16 3 2 2 3" xfId="53803" xr:uid="{1F4324F5-1B82-440C-B11D-CE59D171817B}"/>
    <cellStyle name="60% - Énfasis3 16 3 2 3" xfId="21372" xr:uid="{242D7737-4415-48AE-8DC0-3A0153B9B9C1}"/>
    <cellStyle name="60% - Énfasis3 16 3 2 3 2" xfId="53805" xr:uid="{402A6693-B540-4F44-98AB-1581210240F1}"/>
    <cellStyle name="60% - Énfasis3 16 3 2 4" xfId="53802" xr:uid="{4BBB9F21-D0DE-44D0-A35D-B96D216686F9}"/>
    <cellStyle name="60% - Énfasis3 16 3 3" xfId="9936" xr:uid="{B1E8EE92-78D6-47DB-BF43-B3846FAA27D0}"/>
    <cellStyle name="60% - Énfasis3 16 3 3 2" xfId="25349" xr:uid="{6F523DAB-0C9A-4E4B-8E40-BFFF62AD6D18}"/>
    <cellStyle name="60% - Énfasis3 16 3 3 2 2" xfId="53807" xr:uid="{B59045FB-74B6-4BBA-9BF3-B3B33414B3B0}"/>
    <cellStyle name="60% - Énfasis3 16 3 3 3" xfId="53806" xr:uid="{B7859A10-9BCD-4A29-88A7-160A77B461D5}"/>
    <cellStyle name="60% - Énfasis3 16 3 4" xfId="17644" xr:uid="{9D2AC333-BA6A-46F2-AB77-7AD35A89806C}"/>
    <cellStyle name="60% - Énfasis3 16 3 4 2" xfId="53808" xr:uid="{6F528A9C-0663-4459-911C-A35BDD5B7A16}"/>
    <cellStyle name="60% - Énfasis3 16 3 5" xfId="53801" xr:uid="{B62F5B6C-EFB9-4E95-B3BA-0EC9DD111963}"/>
    <cellStyle name="60% - Énfasis3 16 4" xfId="4480" xr:uid="{5D9A41DA-C284-41B1-9BDC-EDB17A8ABAE5}"/>
    <cellStyle name="60% - Énfasis3 16 4 2" xfId="12188" xr:uid="{821E801C-477A-43E4-8377-2A64B44A7C24}"/>
    <cellStyle name="60% - Énfasis3 16 4 2 2" xfId="27600" xr:uid="{83E609DF-6077-4562-A120-EF51A9953401}"/>
    <cellStyle name="60% - Énfasis3 16 4 2 2 2" xfId="53811" xr:uid="{BB287496-057F-45C3-BA45-EF86FFF92DD7}"/>
    <cellStyle name="60% - Énfasis3 16 4 2 3" xfId="53810" xr:uid="{971E6685-05B4-4393-A295-798338C2E851}"/>
    <cellStyle name="60% - Énfasis3 16 4 3" xfId="19895" xr:uid="{97B0F4CD-8C2F-45CA-9CF6-2DBF3AEDABF4}"/>
    <cellStyle name="60% - Énfasis3 16 4 3 2" xfId="53812" xr:uid="{3D662792-A0B4-41EF-9DCA-071DF1E31F44}"/>
    <cellStyle name="60% - Énfasis3 16 4 4" xfId="53809" xr:uid="{00273EDB-3C19-4685-AD79-8DF7745D2CE8}"/>
    <cellStyle name="60% - Énfasis3 16 5" xfId="8477" xr:uid="{6705BA92-BEB7-4A4A-BE66-4A828C6A73A5}"/>
    <cellStyle name="60% - Énfasis3 16 5 2" xfId="23890" xr:uid="{5D83091D-8962-4B5D-AA21-3EA677BD1B00}"/>
    <cellStyle name="60% - Énfasis3 16 5 2 2" xfId="53814" xr:uid="{CB288AB8-E30D-419B-880E-CC419A13507E}"/>
    <cellStyle name="60% - Énfasis3 16 5 3" xfId="53813" xr:uid="{16DAACC0-F2AF-45E7-B1FE-E33AB93AA133}"/>
    <cellStyle name="60% - Énfasis3 16 6" xfId="16185" xr:uid="{B25C7856-984C-4098-8ACE-28F9D4E6A224}"/>
    <cellStyle name="60% - Énfasis3 16 6 2" xfId="53815" xr:uid="{85D8E562-7721-4CD4-B019-C585EF12CF0B}"/>
    <cellStyle name="60% - Énfasis3 16 7" xfId="53784" xr:uid="{171B09F1-F68F-45FF-9BDE-7842450F7E7D}"/>
    <cellStyle name="60% - Énfasis3 17" xfId="755" xr:uid="{1C57BB71-FC5E-4B2F-A7F9-53D4B5E4457D}"/>
    <cellStyle name="60% - Énfasis3 17 2" xfId="1416" xr:uid="{7799E225-5AC0-4E6A-9A7C-E6D6B1064DD2}"/>
    <cellStyle name="60% - Énfasis3 17 2 2" xfId="2883" xr:uid="{3E26EC98-ABE8-4CE8-A38A-B275CCBD4AC6}"/>
    <cellStyle name="60% - Énfasis3 17 2 2 2" xfId="6615" xr:uid="{D6CFB1B2-8749-4400-9C48-01349D4E530F}"/>
    <cellStyle name="60% - Énfasis3 17 2 2 2 2" xfId="14323" xr:uid="{12DC394B-0513-4257-A8B4-28B6890DC415}"/>
    <cellStyle name="60% - Énfasis3 17 2 2 2 2 2" xfId="29735" xr:uid="{E2918EF0-6E8E-4BB5-BA5B-BA4685BF889B}"/>
    <cellStyle name="60% - Énfasis3 17 2 2 2 2 2 2" xfId="53821" xr:uid="{80444487-36BA-404E-9234-5EC28A1520DC}"/>
    <cellStyle name="60% - Énfasis3 17 2 2 2 2 3" xfId="53820" xr:uid="{1EC0A477-649C-4A9B-B312-C5374C0D0E8D}"/>
    <cellStyle name="60% - Énfasis3 17 2 2 2 3" xfId="22030" xr:uid="{03508DE7-476F-409F-AA6D-250A9542D055}"/>
    <cellStyle name="60% - Énfasis3 17 2 2 2 3 2" xfId="53822" xr:uid="{9C2B7050-3E71-40E4-A1E0-6B68417433AA}"/>
    <cellStyle name="60% - Énfasis3 17 2 2 2 4" xfId="53819" xr:uid="{E9274C99-3965-41CD-B2B8-CBFB28AD58AA}"/>
    <cellStyle name="60% - Énfasis3 17 2 2 3" xfId="10594" xr:uid="{9B3429C9-AECA-4F9A-9DF4-98C71AAAE60A}"/>
    <cellStyle name="60% - Énfasis3 17 2 2 3 2" xfId="26007" xr:uid="{2D4D0AA8-70BB-44E7-8282-A090132BA0CD}"/>
    <cellStyle name="60% - Énfasis3 17 2 2 3 2 2" xfId="53824" xr:uid="{7D3CD874-4D59-404A-9AE4-F2BA3FB7DA08}"/>
    <cellStyle name="60% - Énfasis3 17 2 2 3 3" xfId="53823" xr:uid="{78DA7541-81B1-4B0E-B525-4E98039EECC9}"/>
    <cellStyle name="60% - Énfasis3 17 2 2 4" xfId="18302" xr:uid="{C40EE131-4E8A-4AF8-9126-7DE08999496D}"/>
    <cellStyle name="60% - Énfasis3 17 2 2 4 2" xfId="53825" xr:uid="{8495838E-89B4-421F-8B4C-895CBEBE6A00}"/>
    <cellStyle name="60% - Énfasis3 17 2 2 5" xfId="53818" xr:uid="{311A34BE-E34B-4B0D-8648-2C14BBAD3CBA}"/>
    <cellStyle name="60% - Énfasis3 17 2 3" xfId="5152" xr:uid="{667FF9A9-6950-4B5F-9EF8-11C6603A86C4}"/>
    <cellStyle name="60% - Énfasis3 17 2 3 2" xfId="12860" xr:uid="{A12D7BB0-714D-4375-8E61-ABDC60495EF6}"/>
    <cellStyle name="60% - Énfasis3 17 2 3 2 2" xfId="28272" xr:uid="{C7E2BECA-A698-4EC9-8BE1-75F899E48424}"/>
    <cellStyle name="60% - Énfasis3 17 2 3 2 2 2" xfId="53828" xr:uid="{C455A59E-85C4-4B74-AD75-C0F0D02B9A0C}"/>
    <cellStyle name="60% - Énfasis3 17 2 3 2 3" xfId="53827" xr:uid="{457F7F76-B5B0-4720-8187-00EA14717A0E}"/>
    <cellStyle name="60% - Énfasis3 17 2 3 3" xfId="20567" xr:uid="{D53A0FA9-1F59-4348-8D56-D3DE2C3553AC}"/>
    <cellStyle name="60% - Énfasis3 17 2 3 3 2" xfId="53829" xr:uid="{23C3DD47-3354-40EE-B747-CBE09EF3F963}"/>
    <cellStyle name="60% - Énfasis3 17 2 3 4" xfId="53826" xr:uid="{9BD5ED85-7F97-49EA-8585-8D40DA17A74C}"/>
    <cellStyle name="60% - Énfasis3 17 2 4" xfId="9135" xr:uid="{053A40CB-B16E-4164-A084-27BF551D302D}"/>
    <cellStyle name="60% - Énfasis3 17 2 4 2" xfId="24548" xr:uid="{24BF0D9F-06E8-45C3-9E19-6C1FF9A47C73}"/>
    <cellStyle name="60% - Énfasis3 17 2 4 2 2" xfId="53831" xr:uid="{21567F50-6A17-407D-B3A4-2C6C9D96CEC8}"/>
    <cellStyle name="60% - Énfasis3 17 2 4 3" xfId="53830" xr:uid="{FC137CCB-633D-43EC-9AE0-979D577BC51F}"/>
    <cellStyle name="60% - Énfasis3 17 2 5" xfId="16843" xr:uid="{F8C52404-751D-408E-8A09-32A9F259EE33}"/>
    <cellStyle name="60% - Énfasis3 17 2 5 2" xfId="53832" xr:uid="{C3CC7822-6983-4CEE-BD6F-0986325E71A2}"/>
    <cellStyle name="60% - Énfasis3 17 2 6" xfId="53817" xr:uid="{251BABB0-A9B2-4AB4-A90A-2AAA54B69F8F}"/>
    <cellStyle name="60% - Énfasis3 17 3" xfId="2245" xr:uid="{60D76744-95AD-4ADC-A01F-6DA627D7DE4E}"/>
    <cellStyle name="60% - Énfasis3 17 3 2" xfId="5977" xr:uid="{4028D956-EB03-4858-9BA8-41193990EBC0}"/>
    <cellStyle name="60% - Énfasis3 17 3 2 2" xfId="13685" xr:uid="{41075184-5A8C-47A6-B88F-4E89C84811B1}"/>
    <cellStyle name="60% - Énfasis3 17 3 2 2 2" xfId="29097" xr:uid="{6EBD14A1-6CAB-4DFE-89D2-022B8989A600}"/>
    <cellStyle name="60% - Énfasis3 17 3 2 2 2 2" xfId="53836" xr:uid="{0A7DA6F9-71FD-455D-A9F1-4D41688DE24D}"/>
    <cellStyle name="60% - Énfasis3 17 3 2 2 3" xfId="53835" xr:uid="{28B8AB43-2037-43D1-834E-CE924FD8FE2B}"/>
    <cellStyle name="60% - Énfasis3 17 3 2 3" xfId="21392" xr:uid="{976BBDBC-6347-4B92-9B15-B549A0C93BC3}"/>
    <cellStyle name="60% - Énfasis3 17 3 2 3 2" xfId="53837" xr:uid="{EAFD00BB-BF56-44D3-92D3-F19088FF908C}"/>
    <cellStyle name="60% - Énfasis3 17 3 2 4" xfId="53834" xr:uid="{F304CEF9-B74F-46A7-AF9F-A51A94E7F6F4}"/>
    <cellStyle name="60% - Énfasis3 17 3 3" xfId="9956" xr:uid="{3A504984-77F9-409A-8FF5-EB254EBEFA37}"/>
    <cellStyle name="60% - Énfasis3 17 3 3 2" xfId="25369" xr:uid="{BB01A22F-006B-4959-8AA9-85BDC035B450}"/>
    <cellStyle name="60% - Énfasis3 17 3 3 2 2" xfId="53839" xr:uid="{1D79A68C-E275-4FE3-85CE-54E027B4B081}"/>
    <cellStyle name="60% - Énfasis3 17 3 3 3" xfId="53838" xr:uid="{39FEE533-6401-4097-8953-0A6B1A32EC78}"/>
    <cellStyle name="60% - Énfasis3 17 3 4" xfId="17664" xr:uid="{D8201023-865D-490A-BC7A-0F75D34FB49C}"/>
    <cellStyle name="60% - Énfasis3 17 3 4 2" xfId="53840" xr:uid="{17C91EEF-1C44-4DB4-A7A5-D6AF47BD6040}"/>
    <cellStyle name="60% - Énfasis3 17 3 5" xfId="53833" xr:uid="{17A82464-10A1-446E-B26E-03865CDD0883}"/>
    <cellStyle name="60% - Énfasis3 17 4" xfId="4500" xr:uid="{4FB9C449-CBF2-4924-B60E-5AD8823647BA}"/>
    <cellStyle name="60% - Énfasis3 17 4 2" xfId="12208" xr:uid="{CB98AC40-CD3B-4D49-A17B-25EDBB6D790E}"/>
    <cellStyle name="60% - Énfasis3 17 4 2 2" xfId="27620" xr:uid="{B3F4AA51-A024-41C9-92CD-E8383797DA87}"/>
    <cellStyle name="60% - Énfasis3 17 4 2 2 2" xfId="53843" xr:uid="{18B52BAE-F3BA-44B7-9F99-A601EA1FC3A1}"/>
    <cellStyle name="60% - Énfasis3 17 4 2 3" xfId="53842" xr:uid="{29602E27-5F9A-4542-91EE-3FF11CD86E7F}"/>
    <cellStyle name="60% - Énfasis3 17 4 3" xfId="19915" xr:uid="{DA257C1B-6006-47E7-A514-4FF5B3C80FFD}"/>
    <cellStyle name="60% - Énfasis3 17 4 3 2" xfId="53844" xr:uid="{12DB45DF-BEF7-45E3-AFFA-7CAF9C77AAA0}"/>
    <cellStyle name="60% - Énfasis3 17 4 4" xfId="53841" xr:uid="{BDC1AA7F-0E2D-40B4-85C8-A9E72291E91D}"/>
    <cellStyle name="60% - Énfasis3 17 5" xfId="8497" xr:uid="{E26CF18B-FAB7-4B3F-8893-F701A9288075}"/>
    <cellStyle name="60% - Énfasis3 17 5 2" xfId="23910" xr:uid="{FBBA0433-BA29-45F8-850E-31B34C2656FB}"/>
    <cellStyle name="60% - Énfasis3 17 5 2 2" xfId="53846" xr:uid="{F16D5DF6-2BB1-4214-87A7-632793674CFB}"/>
    <cellStyle name="60% - Énfasis3 17 5 3" xfId="53845" xr:uid="{BD472175-7262-409C-9EAD-4F9E2C6965AB}"/>
    <cellStyle name="60% - Énfasis3 17 6" xfId="16205" xr:uid="{DA2737AE-FB86-493B-88BD-7B6617AD41CC}"/>
    <cellStyle name="60% - Énfasis3 17 6 2" xfId="53847" xr:uid="{8A9C09F7-FAD1-49CB-B217-53114BBF530D}"/>
    <cellStyle name="60% - Énfasis3 17 7" xfId="53816" xr:uid="{3FAD77ED-8B83-4B8E-ADE0-CC4C5D403581}"/>
    <cellStyle name="60% - Énfasis3 18" xfId="774" xr:uid="{7409AD53-C35C-421B-9A56-D625B5FD8374}"/>
    <cellStyle name="60% - Énfasis3 18 2" xfId="2264" xr:uid="{F0B6EA0B-E492-430E-B446-C1DD64A8B6AB}"/>
    <cellStyle name="60% - Énfasis3 18 2 2" xfId="5996" xr:uid="{4D066386-5FED-4453-B556-1E75A42A74AF}"/>
    <cellStyle name="60% - Énfasis3 18 2 2 2" xfId="13704" xr:uid="{B87E5F7D-61BC-4B7A-AABC-D8623B4FE7E7}"/>
    <cellStyle name="60% - Énfasis3 18 2 2 2 2" xfId="29116" xr:uid="{A0544465-FB6D-4E90-ABBD-63CDA657CEE9}"/>
    <cellStyle name="60% - Énfasis3 18 2 2 2 2 2" xfId="53852" xr:uid="{8A4383FE-5CAD-4BEA-8F63-0B7CA04A0575}"/>
    <cellStyle name="60% - Énfasis3 18 2 2 2 3" xfId="53851" xr:uid="{325DB7F2-1B5E-4B7D-B1E9-908C711E1C1F}"/>
    <cellStyle name="60% - Énfasis3 18 2 2 3" xfId="21411" xr:uid="{7B3059DD-8362-4E05-834C-5D4BB6E10A19}"/>
    <cellStyle name="60% - Énfasis3 18 2 2 3 2" xfId="53853" xr:uid="{A00A42BC-65FD-4A3B-8813-D950C5F7BFDC}"/>
    <cellStyle name="60% - Énfasis3 18 2 2 4" xfId="53850" xr:uid="{8AAEE450-7343-4D81-9F95-0D4F8D0AAF82}"/>
    <cellStyle name="60% - Énfasis3 18 2 3" xfId="9975" xr:uid="{B1C78800-9515-4B3F-9D43-D12CEED8DE88}"/>
    <cellStyle name="60% - Énfasis3 18 2 3 2" xfId="25388" xr:uid="{AB65F6D6-4DA7-4A84-BD12-FC0FD82AEE3E}"/>
    <cellStyle name="60% - Énfasis3 18 2 3 2 2" xfId="53855" xr:uid="{77E7B1C1-39D8-4FA6-AA99-E0941CD0AF79}"/>
    <cellStyle name="60% - Énfasis3 18 2 3 3" xfId="53854" xr:uid="{0E602D78-E62E-40C8-822C-1E7E223C1C6F}"/>
    <cellStyle name="60% - Énfasis3 18 2 4" xfId="17683" xr:uid="{4BC4B2C4-2040-4D60-A99F-D91D37295318}"/>
    <cellStyle name="60% - Énfasis3 18 2 4 2" xfId="53856" xr:uid="{0A88676D-D79B-4CD0-AA2B-228CD2B626C6}"/>
    <cellStyle name="60% - Énfasis3 18 2 5" xfId="53849" xr:uid="{CF83F334-0271-4A02-AFF2-4B83E6D8628F}"/>
    <cellStyle name="60% - Énfasis3 18 3" xfId="4519" xr:uid="{9FD0A3D4-9DEF-4970-BC71-77A05BF7C872}"/>
    <cellStyle name="60% - Énfasis3 18 3 2" xfId="12227" xr:uid="{11377DE4-7E97-4414-B0B0-1EED348AFEF6}"/>
    <cellStyle name="60% - Énfasis3 18 3 2 2" xfId="27639" xr:uid="{EF9FBE58-E740-45F1-905E-C17781056AAF}"/>
    <cellStyle name="60% - Énfasis3 18 3 2 2 2" xfId="53859" xr:uid="{D0195428-581C-495B-8C40-6AB1BA48C8C7}"/>
    <cellStyle name="60% - Énfasis3 18 3 2 3" xfId="53858" xr:uid="{59A6FFDD-0A18-47CB-A88C-197DBABD5CE3}"/>
    <cellStyle name="60% - Énfasis3 18 3 3" xfId="19934" xr:uid="{13F69DA5-8181-43EC-9EAB-769042467B08}"/>
    <cellStyle name="60% - Énfasis3 18 3 3 2" xfId="53860" xr:uid="{ACA5E952-3183-489C-BBB2-D5C6393B58E6}"/>
    <cellStyle name="60% - Énfasis3 18 3 4" xfId="53857" xr:uid="{61C87D20-B980-4A69-BDFD-8F8F411767B1}"/>
    <cellStyle name="60% - Énfasis3 18 4" xfId="8516" xr:uid="{4ABA37E5-F055-49C3-8852-6EE645EAF62C}"/>
    <cellStyle name="60% - Énfasis3 18 4 2" xfId="23929" xr:uid="{F1A011F1-BDA7-43E0-9687-92976FB5AE2C}"/>
    <cellStyle name="60% - Énfasis3 18 4 2 2" xfId="53862" xr:uid="{D8E2B221-EAF3-4AEC-92DD-566F90D0769F}"/>
    <cellStyle name="60% - Énfasis3 18 4 3" xfId="53861" xr:uid="{4F34D3EF-1D4D-463E-B432-79DFD1342C6B}"/>
    <cellStyle name="60% - Énfasis3 18 5" xfId="16224" xr:uid="{7106C984-26A2-47EB-A1FB-CF4A7299693D}"/>
    <cellStyle name="60% - Énfasis3 18 5 2" xfId="53863" xr:uid="{0DBACF4A-EC6B-4072-809B-743290225A45}"/>
    <cellStyle name="60% - Énfasis3 18 6" xfId="53848" xr:uid="{F12DD7D1-3BE0-4DDA-83BB-39E1CD7A6C87}"/>
    <cellStyle name="60% - Énfasis3 19" xfId="1438" xr:uid="{617894E9-CACE-4012-A3A6-C77E2046368E}"/>
    <cellStyle name="60% - Énfasis3 19 2" xfId="2903" xr:uid="{AF863CF4-A5A6-4F86-9A55-569F97F9D83A}"/>
    <cellStyle name="60% - Énfasis3 19 2 2" xfId="6635" xr:uid="{7E3ABD5E-9BBD-4F27-9EA9-73B9B5F0CF30}"/>
    <cellStyle name="60% - Énfasis3 19 2 2 2" xfId="14343" xr:uid="{399C27EF-0C3C-4286-A845-C068BDF1D6A9}"/>
    <cellStyle name="60% - Énfasis3 19 2 2 2 2" xfId="29755" xr:uid="{FCC95DDB-339E-4909-9BCD-AB92B3A81E09}"/>
    <cellStyle name="60% - Énfasis3 19 2 2 2 2 2" xfId="53868" xr:uid="{6291FF94-BF3F-49A5-B55C-3F24D6E94AE3}"/>
    <cellStyle name="60% - Énfasis3 19 2 2 2 3" xfId="53867" xr:uid="{BE534F99-F61E-4727-B33C-FCADC0ABB0A8}"/>
    <cellStyle name="60% - Énfasis3 19 2 2 3" xfId="22050" xr:uid="{F7F90670-3892-47E1-9F5D-4C65C64EC23E}"/>
    <cellStyle name="60% - Énfasis3 19 2 2 3 2" xfId="53869" xr:uid="{0641E21D-675B-4943-963D-D21CB0C02603}"/>
    <cellStyle name="60% - Énfasis3 19 2 2 4" xfId="53866" xr:uid="{E50D68BD-D17E-4057-AFB3-A53DAB7F8393}"/>
    <cellStyle name="60% - Énfasis3 19 2 3" xfId="10614" xr:uid="{9128EC87-79F3-4CAA-9E3E-74037EB8613B}"/>
    <cellStyle name="60% - Énfasis3 19 2 3 2" xfId="26027" xr:uid="{26962284-D069-457D-A99D-7BBC66CDC1C2}"/>
    <cellStyle name="60% - Énfasis3 19 2 3 2 2" xfId="53871" xr:uid="{754BD314-09A9-4862-9750-C32476D07E1C}"/>
    <cellStyle name="60% - Énfasis3 19 2 3 3" xfId="53870" xr:uid="{3669CB9C-B567-4547-9909-64356FE0AEDA}"/>
    <cellStyle name="60% - Énfasis3 19 2 4" xfId="18322" xr:uid="{FCB0CFBD-8055-4C9B-A2E1-C501D97819E6}"/>
    <cellStyle name="60% - Énfasis3 19 2 4 2" xfId="53872" xr:uid="{F1B7D69C-AC43-4111-82BD-5CF65E067F52}"/>
    <cellStyle name="60% - Énfasis3 19 2 5" xfId="53865" xr:uid="{229937F8-CD54-40BA-BF5C-D910C7B14767}"/>
    <cellStyle name="60% - Énfasis3 19 3" xfId="5174" xr:uid="{BFCA9FE7-F162-4D7D-B57A-3CBA7FE143D6}"/>
    <cellStyle name="60% - Énfasis3 19 3 2" xfId="12882" xr:uid="{E4A3EDBE-783D-43AC-9414-24FDFE2D28D0}"/>
    <cellStyle name="60% - Énfasis3 19 3 2 2" xfId="28294" xr:uid="{1784409C-A23A-43A7-ACA6-6853DEF115A9}"/>
    <cellStyle name="60% - Énfasis3 19 3 2 2 2" xfId="53875" xr:uid="{56FCD9C7-0BFF-41CD-A77F-A06A4546E9A5}"/>
    <cellStyle name="60% - Énfasis3 19 3 2 3" xfId="53874" xr:uid="{FEEF3A4E-B739-46EF-8F07-D8FA39F3F4B1}"/>
    <cellStyle name="60% - Énfasis3 19 3 3" xfId="20589" xr:uid="{3C5120C8-541E-4AED-95E0-32D0936BC448}"/>
    <cellStyle name="60% - Énfasis3 19 3 3 2" xfId="53876" xr:uid="{B6F0BBA2-C4C2-4A24-B01A-E0F8AABBF61E}"/>
    <cellStyle name="60% - Énfasis3 19 3 4" xfId="53873" xr:uid="{3E081BE4-311B-46B8-84A0-193624392832}"/>
    <cellStyle name="60% - Énfasis3 19 4" xfId="9155" xr:uid="{A0E30A4B-1A1E-4712-B363-37278B8A3709}"/>
    <cellStyle name="60% - Énfasis3 19 4 2" xfId="24568" xr:uid="{817103E6-6B6E-4411-830D-93DAE6404EAE}"/>
    <cellStyle name="60% - Énfasis3 19 4 2 2" xfId="53878" xr:uid="{5E470343-DC91-423A-B3A7-7702C2F35005}"/>
    <cellStyle name="60% - Énfasis3 19 4 3" xfId="53877" xr:uid="{E1EB337A-DBB8-4906-8EDF-CCE7BC7C9280}"/>
    <cellStyle name="60% - Énfasis3 19 5" xfId="16863" xr:uid="{472C8411-8F7F-4E43-AE67-DEAFE8AE5516}"/>
    <cellStyle name="60% - Énfasis3 19 5 2" xfId="53879" xr:uid="{B290FBC9-3A0D-4992-A3FA-F6A159736844}"/>
    <cellStyle name="60% - Énfasis3 19 6" xfId="53864" xr:uid="{65C86278-5D26-496E-BEF2-86989546A265}"/>
    <cellStyle name="60% - Énfasis3 2" xfId="40" xr:uid="{AD27D99B-B6B8-42A6-B623-68691FBE1DC0}"/>
    <cellStyle name="60% - Énfasis3 2 2" xfId="448" xr:uid="{4A101053-E95F-4D56-9D1C-AFC85DF6D7B5}"/>
    <cellStyle name="60% - Énfasis3 2 2 2" xfId="1109" xr:uid="{833080AF-415A-44E8-928D-BB6A0D8D489F}"/>
    <cellStyle name="60% - Énfasis3 2 2 2 2" xfId="2577" xr:uid="{16B3B562-59DD-4C45-A1E6-EEF9567B3BB5}"/>
    <cellStyle name="60% - Énfasis3 2 2 2 2 2" xfId="6309" xr:uid="{5264F31C-21AC-42ED-B368-86515B595088}"/>
    <cellStyle name="60% - Énfasis3 2 2 2 2 2 2" xfId="14017" xr:uid="{8CE0C862-41CA-41CE-B48E-D1D74F336DB3}"/>
    <cellStyle name="60% - Énfasis3 2 2 2 2 2 2 2" xfId="29429" xr:uid="{A8984AB7-258F-4260-8EB3-55C18F23EDDF}"/>
    <cellStyle name="60% - Énfasis3 2 2 2 2 2 2 2 2" xfId="53886" xr:uid="{BD80356B-FE8A-4873-AB76-45B70D530054}"/>
    <cellStyle name="60% - Énfasis3 2 2 2 2 2 2 3" xfId="53885" xr:uid="{ABB1AA6A-A4FC-4B4D-BA1F-F5F04E32C792}"/>
    <cellStyle name="60% - Énfasis3 2 2 2 2 2 3" xfId="21724" xr:uid="{A3297BC6-3B88-4824-A4D2-3B7DF27BD41D}"/>
    <cellStyle name="60% - Énfasis3 2 2 2 2 2 3 2" xfId="53887" xr:uid="{629F5F5A-E0B4-4E9C-95DB-F523DE9537C0}"/>
    <cellStyle name="60% - Énfasis3 2 2 2 2 2 4" xfId="53884" xr:uid="{5910077C-94AA-4665-8EF2-D4A239664F88}"/>
    <cellStyle name="60% - Énfasis3 2 2 2 2 3" xfId="10288" xr:uid="{520DCD06-D95A-4A22-816E-79311A155CCF}"/>
    <cellStyle name="60% - Énfasis3 2 2 2 2 3 2" xfId="25701" xr:uid="{3CED315A-EF67-48BC-A02F-847A1268D969}"/>
    <cellStyle name="60% - Énfasis3 2 2 2 2 3 2 2" xfId="53889" xr:uid="{F543B72F-09B2-4A09-8600-E46657A45A74}"/>
    <cellStyle name="60% - Énfasis3 2 2 2 2 3 3" xfId="53888" xr:uid="{D79C5846-6F35-42E4-9C7B-915806D78A60}"/>
    <cellStyle name="60% - Énfasis3 2 2 2 2 4" xfId="17996" xr:uid="{1D9F403D-90F0-432B-AE3D-0C9E17E58A42}"/>
    <cellStyle name="60% - Énfasis3 2 2 2 2 4 2" xfId="53890" xr:uid="{AC2CEFA2-4942-4785-B8D7-076E0BEC6A4A}"/>
    <cellStyle name="60% - Énfasis3 2 2 2 2 5" xfId="53883" xr:uid="{85679A85-E58A-4641-B85B-6AB6B938E522}"/>
    <cellStyle name="60% - Énfasis3 2 2 2 3" xfId="4846" xr:uid="{D78055DB-87E9-4B40-A071-87AFFC7E0D69}"/>
    <cellStyle name="60% - Énfasis3 2 2 2 3 2" xfId="12554" xr:uid="{896BA8E1-BAF6-4A13-AA37-E0B6AB2E935F}"/>
    <cellStyle name="60% - Énfasis3 2 2 2 3 2 2" xfId="27966" xr:uid="{B133E19A-5358-4FDB-A319-24E2E9F41A42}"/>
    <cellStyle name="60% - Énfasis3 2 2 2 3 2 2 2" xfId="53893" xr:uid="{0984BC06-13D7-4C52-9CE3-3362FCF6B83F}"/>
    <cellStyle name="60% - Énfasis3 2 2 2 3 2 3" xfId="53892" xr:uid="{84D92E86-5B67-444C-9316-8AC643998195}"/>
    <cellStyle name="60% - Énfasis3 2 2 2 3 3" xfId="20261" xr:uid="{1A61B6EF-5DE0-42D9-BDC7-BB4745FE88EA}"/>
    <cellStyle name="60% - Énfasis3 2 2 2 3 3 2" xfId="53894" xr:uid="{C22F6BE8-A384-4B49-A709-86062C5D66E8}"/>
    <cellStyle name="60% - Énfasis3 2 2 2 3 4" xfId="53891" xr:uid="{565FCB30-32E2-4488-A991-9C61EFB0EE03}"/>
    <cellStyle name="60% - Énfasis3 2 2 2 4" xfId="8829" xr:uid="{17B5DB04-B56F-4A94-8125-8B05639671E6}"/>
    <cellStyle name="60% - Énfasis3 2 2 2 4 2" xfId="24242" xr:uid="{235FCBAC-7F07-4557-948C-1A4A86BFFE6E}"/>
    <cellStyle name="60% - Énfasis3 2 2 2 4 2 2" xfId="53896" xr:uid="{617C8239-FD57-440B-95DB-BBAFD3DD49F1}"/>
    <cellStyle name="60% - Énfasis3 2 2 2 4 3" xfId="53895" xr:uid="{FA3033C4-7AD0-4CB4-88CF-61FD69235A3C}"/>
    <cellStyle name="60% - Énfasis3 2 2 2 5" xfId="16537" xr:uid="{05D9D644-F9CE-4169-8C9B-ED0EC20D577D}"/>
    <cellStyle name="60% - Énfasis3 2 2 2 5 2" xfId="53897" xr:uid="{A3E3048D-4608-45A7-8251-82966DC6A3CC}"/>
    <cellStyle name="60% - Énfasis3 2 2 2 6" xfId="53882" xr:uid="{ED7018BC-0E0B-4E9A-BC3B-49FE00B868A4}"/>
    <cellStyle name="60% - Énfasis3 2 2 3" xfId="1939" xr:uid="{061BAEE3-5C6D-4E5B-A359-08D6CAA8A442}"/>
    <cellStyle name="60% - Énfasis3 2 2 3 2" xfId="5671" xr:uid="{D16AFF06-080D-4181-85C0-405ADE1BB19C}"/>
    <cellStyle name="60% - Énfasis3 2 2 3 2 2" xfId="13379" xr:uid="{CBAEAF9F-6FF5-4DEB-9A5A-3F9A9ACF7A9F}"/>
    <cellStyle name="60% - Énfasis3 2 2 3 2 2 2" xfId="28791" xr:uid="{4A15EC70-D602-4846-9898-5C181FDB0AD5}"/>
    <cellStyle name="60% - Énfasis3 2 2 3 2 2 2 2" xfId="53901" xr:uid="{2627ECA1-E469-46FD-8668-EDB45CC0FBE0}"/>
    <cellStyle name="60% - Énfasis3 2 2 3 2 2 3" xfId="53900" xr:uid="{51E2C3C2-FD61-432E-8BA9-405E91678C3F}"/>
    <cellStyle name="60% - Énfasis3 2 2 3 2 3" xfId="21086" xr:uid="{B326E25D-D388-4DD0-95D4-9D1AC10BA26E}"/>
    <cellStyle name="60% - Énfasis3 2 2 3 2 3 2" xfId="53902" xr:uid="{F0347E96-FE26-4E1D-824E-C441A3A2A535}"/>
    <cellStyle name="60% - Énfasis3 2 2 3 2 4" xfId="53899" xr:uid="{18F83417-A34A-49E9-B818-198DE2499A92}"/>
    <cellStyle name="60% - Énfasis3 2 2 3 3" xfId="9650" xr:uid="{0D235D37-A09E-425A-96D8-3ABB5A9F034A}"/>
    <cellStyle name="60% - Énfasis3 2 2 3 3 2" xfId="25063" xr:uid="{1440DA46-E1B9-4A16-89CB-B0502D4B1F79}"/>
    <cellStyle name="60% - Énfasis3 2 2 3 3 2 2" xfId="53904" xr:uid="{39188E3A-5AA3-43BD-9083-DC6A1A340F58}"/>
    <cellStyle name="60% - Énfasis3 2 2 3 3 3" xfId="53903" xr:uid="{3BFC2BA7-A074-488C-BB7F-08FE5D13C903}"/>
    <cellStyle name="60% - Énfasis3 2 2 3 4" xfId="17358" xr:uid="{68535A0D-F21A-4717-BFAA-3936FCED42B2}"/>
    <cellStyle name="60% - Énfasis3 2 2 3 4 2" xfId="53905" xr:uid="{7331568C-5B82-42FF-9841-08676C02E673}"/>
    <cellStyle name="60% - Énfasis3 2 2 3 5" xfId="53898" xr:uid="{4013E958-8AFE-4751-A14A-1278F01567BB}"/>
    <cellStyle name="60% - Énfasis3 2 2 4" xfId="4194" xr:uid="{34F198C0-7D35-46AD-90FD-598723AD84DD}"/>
    <cellStyle name="60% - Énfasis3 2 2 4 2" xfId="11902" xr:uid="{7A404E57-924E-4B6F-8A19-0888EDA1CFFF}"/>
    <cellStyle name="60% - Énfasis3 2 2 4 2 2" xfId="27314" xr:uid="{D08621FD-5734-4CE8-BEB6-3B08ECABD6D9}"/>
    <cellStyle name="60% - Énfasis3 2 2 4 2 2 2" xfId="53908" xr:uid="{DB467F91-DB3C-4BDE-89B0-EA7477870AFB}"/>
    <cellStyle name="60% - Énfasis3 2 2 4 2 3" xfId="53907" xr:uid="{733560FF-0B37-4BDA-80EE-5B5D74FCF7E6}"/>
    <cellStyle name="60% - Énfasis3 2 2 4 3" xfId="19609" xr:uid="{F93387CE-83C4-4519-A840-DF526E1E4505}"/>
    <cellStyle name="60% - Énfasis3 2 2 4 3 2" xfId="53909" xr:uid="{709598D9-1F11-4B9B-98C4-8A25DAAEA922}"/>
    <cellStyle name="60% - Énfasis3 2 2 4 4" xfId="53906" xr:uid="{2A6AA60A-6097-4AE3-A246-1F42DB5C1414}"/>
    <cellStyle name="60% - Énfasis3 2 2 5" xfId="8191" xr:uid="{980FA318-67BF-4AB4-B8DB-4DE5F50E1BC8}"/>
    <cellStyle name="60% - Énfasis3 2 2 5 2" xfId="23604" xr:uid="{A8DC5BE8-3433-4950-B9C1-7166D8151A39}"/>
    <cellStyle name="60% - Énfasis3 2 2 5 2 2" xfId="53911" xr:uid="{265B1D76-4BDF-4734-9C31-82B3FEA1F3B1}"/>
    <cellStyle name="60% - Énfasis3 2 2 5 3" xfId="53910" xr:uid="{DCE65ACA-8EF2-4C71-A246-41EC282B41E5}"/>
    <cellStyle name="60% - Énfasis3 2 2 6" xfId="15899" xr:uid="{317C12DE-2282-4A0B-8B17-EADD1F962861}"/>
    <cellStyle name="60% - Énfasis3 2 2 6 2" xfId="53912" xr:uid="{2685F5DF-6A9C-4F14-9E1D-F595234BEF0D}"/>
    <cellStyle name="60% - Énfasis3 2 2 7" xfId="53881" xr:uid="{C6C37EF5-9A7C-4F8A-9CBD-F2C84689222C}"/>
    <cellStyle name="60% - Énfasis3 2 3" xfId="909" xr:uid="{27426937-3FF1-4DE5-A8ED-0AF155C6B74D}"/>
    <cellStyle name="60% - Énfasis3 2 3 2" xfId="2379" xr:uid="{CD39ACD6-9828-4EE4-9504-20229B07B436}"/>
    <cellStyle name="60% - Énfasis3 2 3 2 2" xfId="6111" xr:uid="{3287DF2C-12FA-48A4-9A64-A3DFA52F611A}"/>
    <cellStyle name="60% - Énfasis3 2 3 2 2 2" xfId="13819" xr:uid="{CA9A14AB-3E63-45C4-88FB-922599D9379C}"/>
    <cellStyle name="60% - Énfasis3 2 3 2 2 2 2" xfId="29231" xr:uid="{23FFC988-4DFC-4FFB-BDA9-2217F2A86C48}"/>
    <cellStyle name="60% - Énfasis3 2 3 2 2 2 2 2" xfId="53917" xr:uid="{3F74DD6D-BD28-4692-B4B2-078E3049894F}"/>
    <cellStyle name="60% - Énfasis3 2 3 2 2 2 3" xfId="53916" xr:uid="{35377E51-4D99-49BD-A8CC-05950F45B5FE}"/>
    <cellStyle name="60% - Énfasis3 2 3 2 2 3" xfId="21526" xr:uid="{E5E701ED-E8F3-48EF-8D4A-5165A854AE5D}"/>
    <cellStyle name="60% - Énfasis3 2 3 2 2 3 2" xfId="53918" xr:uid="{F49220FA-C21B-45FC-AEBF-8EE263CBA792}"/>
    <cellStyle name="60% - Énfasis3 2 3 2 2 4" xfId="53915" xr:uid="{6296DEFB-3F92-4851-A087-6AB8946BEEB0}"/>
    <cellStyle name="60% - Énfasis3 2 3 2 3" xfId="10090" xr:uid="{116D021D-2DE5-414D-8CF9-6AE54B5347CC}"/>
    <cellStyle name="60% - Énfasis3 2 3 2 3 2" xfId="25503" xr:uid="{B4A14B27-3A8D-40E6-8939-057284C8461D}"/>
    <cellStyle name="60% - Énfasis3 2 3 2 3 2 2" xfId="53920" xr:uid="{74395C88-99FC-45F7-BE58-857F645926CD}"/>
    <cellStyle name="60% - Énfasis3 2 3 2 3 3" xfId="53919" xr:uid="{96652181-8673-4C57-AA4B-3C8C216B4C6A}"/>
    <cellStyle name="60% - Énfasis3 2 3 2 4" xfId="17798" xr:uid="{127974BA-0DFE-493C-93D7-0A02BFBE157D}"/>
    <cellStyle name="60% - Énfasis3 2 3 2 4 2" xfId="53921" xr:uid="{6AA5126F-AAD9-43C2-B68A-B94537558999}"/>
    <cellStyle name="60% - Énfasis3 2 3 2 5" xfId="53914" xr:uid="{7F27B703-5377-45A6-89EF-7045925593B1}"/>
    <cellStyle name="60% - Énfasis3 2 3 3" xfId="4646" xr:uid="{32CBF704-2B35-4431-974A-D074C6CC3F5C}"/>
    <cellStyle name="60% - Énfasis3 2 3 3 2" xfId="12354" xr:uid="{75E1D0D4-8368-462B-94E5-ABDF98EEE82F}"/>
    <cellStyle name="60% - Énfasis3 2 3 3 2 2" xfId="27766" xr:uid="{E349EC47-7F71-430B-B68E-C421DD3E328C}"/>
    <cellStyle name="60% - Énfasis3 2 3 3 2 2 2" xfId="53924" xr:uid="{AD2C59B8-A00C-4820-B006-DA27548D0D0A}"/>
    <cellStyle name="60% - Énfasis3 2 3 3 2 3" xfId="53923" xr:uid="{8A0EB333-EBFF-416B-84E5-7905B1F520C6}"/>
    <cellStyle name="60% - Énfasis3 2 3 3 3" xfId="20061" xr:uid="{D2CF49ED-9418-43EE-A945-3EA019DC8710}"/>
    <cellStyle name="60% - Énfasis3 2 3 3 3 2" xfId="53925" xr:uid="{F7B2E14B-2179-4D95-9B58-73BBCC48425E}"/>
    <cellStyle name="60% - Énfasis3 2 3 3 4" xfId="53922" xr:uid="{E015AE4B-A6C5-4550-B0C1-0CCE4A8F5B17}"/>
    <cellStyle name="60% - Énfasis3 2 3 4" xfId="8631" xr:uid="{342442CA-AD4F-431A-BDD0-44A9B734A310}"/>
    <cellStyle name="60% - Énfasis3 2 3 4 2" xfId="24044" xr:uid="{3AE2BC56-6701-4897-8343-A4E98BB85804}"/>
    <cellStyle name="60% - Énfasis3 2 3 4 2 2" xfId="53927" xr:uid="{8F754739-1D06-4484-8358-679D136D29D6}"/>
    <cellStyle name="60% - Énfasis3 2 3 4 3" xfId="53926" xr:uid="{410490AC-9A14-43E0-946D-05BC9F5BF596}"/>
    <cellStyle name="60% - Énfasis3 2 3 5" xfId="16339" xr:uid="{52D1F83C-D2F5-403E-ABFC-AD19701C34C5}"/>
    <cellStyle name="60% - Énfasis3 2 3 5 2" xfId="53928" xr:uid="{BA44F915-1698-4C38-B30C-C74A561C83F3}"/>
    <cellStyle name="60% - Énfasis3 2 3 6" xfId="53913" xr:uid="{20F47F44-8A00-4F10-A048-1E86F84F5CAC}"/>
    <cellStyle name="60% - Énfasis3 2 4" xfId="1741" xr:uid="{049AA74F-7E34-4D82-A783-2EDFFEA409DC}"/>
    <cellStyle name="60% - Énfasis3 2 4 2" xfId="5473" xr:uid="{C5AB1FBC-F889-4374-B8A6-9FC0C3C7F513}"/>
    <cellStyle name="60% - Énfasis3 2 4 2 2" xfId="13181" xr:uid="{5B68A534-104F-4518-B1C4-95899173E5DF}"/>
    <cellStyle name="60% - Énfasis3 2 4 2 2 2" xfId="28593" xr:uid="{C05462C4-9534-4733-85F1-6967B3821196}"/>
    <cellStyle name="60% - Énfasis3 2 4 2 2 2 2" xfId="53932" xr:uid="{CF80C156-029E-4653-9DA4-CD5D754F71F3}"/>
    <cellStyle name="60% - Énfasis3 2 4 2 2 3" xfId="53931" xr:uid="{FC1022BC-67D7-4B9C-982B-96B4BB4365AC}"/>
    <cellStyle name="60% - Énfasis3 2 4 2 3" xfId="20888" xr:uid="{C6012109-18AC-482B-8142-9616801B0A3F}"/>
    <cellStyle name="60% - Énfasis3 2 4 2 3 2" xfId="53933" xr:uid="{79DB2A2C-A7B5-49E9-9282-E80EA2F8342A}"/>
    <cellStyle name="60% - Énfasis3 2 4 2 4" xfId="53930" xr:uid="{78E236C1-5A76-47A4-A839-50B111C15B89}"/>
    <cellStyle name="60% - Énfasis3 2 4 3" xfId="9452" xr:uid="{686D6343-3F88-4A5A-B726-5F5DCC1F8460}"/>
    <cellStyle name="60% - Énfasis3 2 4 3 2" xfId="24865" xr:uid="{096C9D1E-200C-48CD-9940-A8F0ED304089}"/>
    <cellStyle name="60% - Énfasis3 2 4 3 2 2" xfId="53935" xr:uid="{B88A7FA7-9DED-461F-A29E-B0229A0D8489}"/>
    <cellStyle name="60% - Énfasis3 2 4 3 3" xfId="53934" xr:uid="{64517831-8F4A-4D1F-BFB4-4D2D6A474DB4}"/>
    <cellStyle name="60% - Énfasis3 2 4 4" xfId="17160" xr:uid="{0385CBE1-6B5D-4407-8129-80A8DF426B32}"/>
    <cellStyle name="60% - Énfasis3 2 4 4 2" xfId="53936" xr:uid="{2FE6D679-C114-414F-A701-ED58F08AC8D2}"/>
    <cellStyle name="60% - Énfasis3 2 4 5" xfId="53929" xr:uid="{932FB907-88D5-47A5-BECC-C3BD1F7246F4}"/>
    <cellStyle name="60% - Énfasis3 2 5" xfId="3994" xr:uid="{6F77F593-30E2-44BF-81F3-032D539C3F1C}"/>
    <cellStyle name="60% - Énfasis3 2 5 2" xfId="11702" xr:uid="{D6CA4517-1C1F-4D82-9D06-BD4E72742A9B}"/>
    <cellStyle name="60% - Énfasis3 2 5 2 2" xfId="27114" xr:uid="{DAC683E7-41C0-4D20-8B6F-E2291BD8CBF9}"/>
    <cellStyle name="60% - Énfasis3 2 5 2 2 2" xfId="53939" xr:uid="{3DEB82BF-0813-4ECE-9F55-B22FEDB857D5}"/>
    <cellStyle name="60% - Énfasis3 2 5 2 3" xfId="53938" xr:uid="{EE89C3D6-EB94-456B-9688-9728ECFB19ED}"/>
    <cellStyle name="60% - Énfasis3 2 5 3" xfId="19409" xr:uid="{1977BCD9-BA23-46E0-BFFC-2EF6AB9C33F9}"/>
    <cellStyle name="60% - Énfasis3 2 5 3 2" xfId="53940" xr:uid="{FD906425-9BE9-4913-9620-20DC79E3C105}"/>
    <cellStyle name="60% - Énfasis3 2 5 4" xfId="53937" xr:uid="{AD1F06A6-641D-4121-8504-AF7A5E625D5F}"/>
    <cellStyle name="60% - Énfasis3 2 6" xfId="7993" xr:uid="{23E0A444-602A-40A0-90C7-7AB335764959}"/>
    <cellStyle name="60% - Énfasis3 2 6 2" xfId="23406" xr:uid="{E496DF6F-56DB-4209-9396-ED381A8CC561}"/>
    <cellStyle name="60% - Énfasis3 2 6 2 2" xfId="53942" xr:uid="{E17AC58A-0EC7-4E94-8E2C-5F8A27DBF529}"/>
    <cellStyle name="60% - Énfasis3 2 6 3" xfId="53941" xr:uid="{6644EEDB-5AFA-4EA0-8FB9-D5942F1EF006}"/>
    <cellStyle name="60% - Énfasis3 2 7" xfId="15701" xr:uid="{AACCB507-8C29-4293-8B51-5D56D7E37385}"/>
    <cellStyle name="60% - Énfasis3 2 7 2" xfId="53943" xr:uid="{D419A576-2353-4FB8-BBA8-A4B8509288EF}"/>
    <cellStyle name="60% - Énfasis3 2 8" xfId="53880" xr:uid="{50CDC09F-F0C5-44D3-9A32-F25FE8774945}"/>
    <cellStyle name="60% - Énfasis3 2 9" xfId="246" xr:uid="{BF230652-D2CE-44F1-AF0F-D19FCB1156BF}"/>
    <cellStyle name="60% - Énfasis3 20" xfId="1458" xr:uid="{7ACD7D3D-E27E-4E91-BF86-CD19CA37B342}"/>
    <cellStyle name="60% - Énfasis3 20 2" xfId="2923" xr:uid="{0E452026-6564-4E16-85B3-8CF86B97E5F3}"/>
    <cellStyle name="60% - Énfasis3 20 2 2" xfId="6655" xr:uid="{62070376-B4D6-4CA7-A2FA-E4A0D6DF9649}"/>
    <cellStyle name="60% - Énfasis3 20 2 2 2" xfId="14363" xr:uid="{BA3024C9-46CF-4803-95C3-C83868A47C30}"/>
    <cellStyle name="60% - Énfasis3 20 2 2 2 2" xfId="29775" xr:uid="{4C573DD0-9E16-48A3-B2F0-F66BDFCEC2B6}"/>
    <cellStyle name="60% - Énfasis3 20 2 2 2 2 2" xfId="53948" xr:uid="{14A4B402-E5BC-4AB3-95AF-3C0B538681EE}"/>
    <cellStyle name="60% - Énfasis3 20 2 2 2 3" xfId="53947" xr:uid="{B65ABE97-42CD-43B7-BCB2-89EAD022016F}"/>
    <cellStyle name="60% - Énfasis3 20 2 2 3" xfId="22070" xr:uid="{2A797E06-3761-49CF-A58D-21313A4D6569}"/>
    <cellStyle name="60% - Énfasis3 20 2 2 3 2" xfId="53949" xr:uid="{934CCD97-D601-4CFE-B0C8-9095A1E62C6A}"/>
    <cellStyle name="60% - Énfasis3 20 2 2 4" xfId="53946" xr:uid="{E2B5F150-0130-40CA-A3D7-F7F38DBDD216}"/>
    <cellStyle name="60% - Énfasis3 20 2 3" xfId="10634" xr:uid="{E4C3331C-1ECB-4491-ABFD-04D4BB18F928}"/>
    <cellStyle name="60% - Énfasis3 20 2 3 2" xfId="26047" xr:uid="{1DBA1357-FFF0-44C8-972B-4C005801FC48}"/>
    <cellStyle name="60% - Énfasis3 20 2 3 2 2" xfId="53951" xr:uid="{74947AE8-118A-4B57-A15B-5910412879CC}"/>
    <cellStyle name="60% - Énfasis3 20 2 3 3" xfId="53950" xr:uid="{5EE5F2AA-3858-46C1-8148-CDEC766F31DA}"/>
    <cellStyle name="60% - Énfasis3 20 2 4" xfId="18342" xr:uid="{E3490F88-6A6C-4858-8DF8-21DD4981F281}"/>
    <cellStyle name="60% - Énfasis3 20 2 4 2" xfId="53952" xr:uid="{FDE6B916-3374-4E96-BFC2-309C2D33F3BC}"/>
    <cellStyle name="60% - Énfasis3 20 2 5" xfId="53945" xr:uid="{885EAFFA-945A-4608-A7AB-285D077420B7}"/>
    <cellStyle name="60% - Énfasis3 20 3" xfId="5194" xr:uid="{744A4C8A-0A41-4ABC-8439-A425F1BB6F75}"/>
    <cellStyle name="60% - Énfasis3 20 3 2" xfId="12902" xr:uid="{F5FD470E-6B06-4FBE-8665-F75719FFB7AA}"/>
    <cellStyle name="60% - Énfasis3 20 3 2 2" xfId="28314" xr:uid="{7B612915-80DE-47F1-90DF-E44C19DC806A}"/>
    <cellStyle name="60% - Énfasis3 20 3 2 2 2" xfId="53955" xr:uid="{55212AF4-92D2-4F05-A243-B2D71AE39672}"/>
    <cellStyle name="60% - Énfasis3 20 3 2 3" xfId="53954" xr:uid="{09DBF5CA-FAF4-47F2-9420-CDB3E95BCC75}"/>
    <cellStyle name="60% - Énfasis3 20 3 3" xfId="20609" xr:uid="{69C65223-2EC4-4E65-A7BB-367F3CCC7EF0}"/>
    <cellStyle name="60% - Énfasis3 20 3 3 2" xfId="53956" xr:uid="{33C59131-5713-4F64-A1D4-55DE239ED982}"/>
    <cellStyle name="60% - Énfasis3 20 3 4" xfId="53953" xr:uid="{0794A197-0A92-4349-89BA-64372D283776}"/>
    <cellStyle name="60% - Énfasis3 20 4" xfId="9175" xr:uid="{314D124F-4688-4B36-86D1-9A38AAE01D16}"/>
    <cellStyle name="60% - Énfasis3 20 4 2" xfId="24588" xr:uid="{ABD5A039-974C-441D-9AD5-A5224E7D0908}"/>
    <cellStyle name="60% - Énfasis3 20 4 2 2" xfId="53958" xr:uid="{239AC405-9F16-450A-AD0F-EA0142168D80}"/>
    <cellStyle name="60% - Énfasis3 20 4 3" xfId="53957" xr:uid="{0A1ACEA9-D142-4455-87CE-E958D8B49163}"/>
    <cellStyle name="60% - Énfasis3 20 5" xfId="16883" xr:uid="{6AB512C8-293D-412D-AAEE-87CC4BE787CC}"/>
    <cellStyle name="60% - Énfasis3 20 5 2" xfId="53959" xr:uid="{ED6B3279-02BC-4863-B78B-51F5CAC00E66}"/>
    <cellStyle name="60% - Énfasis3 20 6" xfId="53944" xr:uid="{8AF14457-9184-4087-A3A1-62CF131F39E4}"/>
    <cellStyle name="60% - Énfasis3 21" xfId="1478" xr:uid="{24E3900C-8B54-45FA-97D5-D6B523AF360B}"/>
    <cellStyle name="60% - Énfasis3 21 2" xfId="2943" xr:uid="{0B5F2FA8-39D0-4B1D-856D-66EFBA3DE81D}"/>
    <cellStyle name="60% - Énfasis3 21 2 2" xfId="6675" xr:uid="{CCD3811B-EE6B-4BB0-9911-05A60884F436}"/>
    <cellStyle name="60% - Énfasis3 21 2 2 2" xfId="14383" xr:uid="{28DB14B3-C825-436D-929C-8ED151FBBA69}"/>
    <cellStyle name="60% - Énfasis3 21 2 2 2 2" xfId="29795" xr:uid="{F08905CA-E478-4063-B9BE-F7D14AFDDCBB}"/>
    <cellStyle name="60% - Énfasis3 21 2 2 2 2 2" xfId="53964" xr:uid="{3BAC57CD-7145-466C-A9A4-0D4A12EFBCC5}"/>
    <cellStyle name="60% - Énfasis3 21 2 2 2 3" xfId="53963" xr:uid="{5DC55ED6-3C83-41FC-AACC-FFAD4540A9C6}"/>
    <cellStyle name="60% - Énfasis3 21 2 2 3" xfId="22090" xr:uid="{E46397AA-5114-47D8-893F-7ED488630C0E}"/>
    <cellStyle name="60% - Énfasis3 21 2 2 3 2" xfId="53965" xr:uid="{12DB3FEB-0B4E-40F9-8AF4-F1161923D380}"/>
    <cellStyle name="60% - Énfasis3 21 2 2 4" xfId="53962" xr:uid="{D468A112-FF0F-4BC0-AA98-037894B63D66}"/>
    <cellStyle name="60% - Énfasis3 21 2 3" xfId="10654" xr:uid="{A5DE846B-208E-4E6D-B73F-63B514577424}"/>
    <cellStyle name="60% - Énfasis3 21 2 3 2" xfId="26067" xr:uid="{D2951E5E-63DD-44EC-BC1D-A4281A07931C}"/>
    <cellStyle name="60% - Énfasis3 21 2 3 2 2" xfId="53967" xr:uid="{FE358EA5-A72D-43D5-8020-E2C8E09AFE7B}"/>
    <cellStyle name="60% - Énfasis3 21 2 3 3" xfId="53966" xr:uid="{4351C916-439D-4BA9-82F4-FAD235E587F0}"/>
    <cellStyle name="60% - Énfasis3 21 2 4" xfId="18362" xr:uid="{37353635-5F1B-4FFD-B8B1-B3FAFDA9BB5E}"/>
    <cellStyle name="60% - Énfasis3 21 2 4 2" xfId="53968" xr:uid="{C4399DE2-90C5-4FE5-BCC6-5FA462CFDADD}"/>
    <cellStyle name="60% - Énfasis3 21 2 5" xfId="53961" xr:uid="{914475E5-E625-4E5A-8BD2-0C8A731046DE}"/>
    <cellStyle name="60% - Énfasis3 21 3" xfId="5214" xr:uid="{AAFB7DA2-0412-430C-8EC2-49566B98420D}"/>
    <cellStyle name="60% - Énfasis3 21 3 2" xfId="12922" xr:uid="{2EA94370-0960-43D1-9D90-AF5F68A5F0F0}"/>
    <cellStyle name="60% - Énfasis3 21 3 2 2" xfId="28334" xr:uid="{D7CBD213-E391-462D-B1CC-05E01054093F}"/>
    <cellStyle name="60% - Énfasis3 21 3 2 2 2" xfId="53971" xr:uid="{4FEEB884-5007-4FA9-99AD-A74EFFC370D0}"/>
    <cellStyle name="60% - Énfasis3 21 3 2 3" xfId="53970" xr:uid="{EA55A0FC-7353-4E96-88DF-E23B4DA1564E}"/>
    <cellStyle name="60% - Énfasis3 21 3 3" xfId="20629" xr:uid="{4217F0AD-B621-4FC5-925E-009C2CC3594D}"/>
    <cellStyle name="60% - Énfasis3 21 3 3 2" xfId="53972" xr:uid="{7B421F98-0ADF-4FDD-9AF0-18B9F5FA3079}"/>
    <cellStyle name="60% - Énfasis3 21 3 4" xfId="53969" xr:uid="{BDFF309F-77CC-4F10-90C2-B517A848EF28}"/>
    <cellStyle name="60% - Énfasis3 21 4" xfId="9195" xr:uid="{F30ABBEF-F5E6-4695-A192-903BA7B09207}"/>
    <cellStyle name="60% - Énfasis3 21 4 2" xfId="24608" xr:uid="{E095898B-4DF4-4105-BAF2-C831BE048242}"/>
    <cellStyle name="60% - Énfasis3 21 4 2 2" xfId="53974" xr:uid="{2C319EA8-17E8-444F-A074-BE0D907360A2}"/>
    <cellStyle name="60% - Énfasis3 21 4 3" xfId="53973" xr:uid="{122E17F9-8C37-4502-8DE9-206D2F7E5C94}"/>
    <cellStyle name="60% - Énfasis3 21 5" xfId="16903" xr:uid="{B593C632-0605-4FC7-AB64-241896D422D4}"/>
    <cellStyle name="60% - Énfasis3 21 5 2" xfId="53975" xr:uid="{AF6065C3-900C-4F38-B78D-0F87CC23E73B}"/>
    <cellStyle name="60% - Énfasis3 21 6" xfId="53960" xr:uid="{4D76D33C-1641-4329-9640-13501EDD18C4}"/>
    <cellStyle name="60% - Énfasis3 22" xfId="1498" xr:uid="{4649594E-FAE9-4D7D-8758-288064884B2F}"/>
    <cellStyle name="60% - Énfasis3 22 2" xfId="2963" xr:uid="{9F0ED0F1-3626-41A7-A25D-512FDF6079A4}"/>
    <cellStyle name="60% - Énfasis3 22 2 2" xfId="6695" xr:uid="{D92958C2-27B0-493E-BF5B-B89DD6815963}"/>
    <cellStyle name="60% - Énfasis3 22 2 2 2" xfId="14403" xr:uid="{035BB3F9-5274-492A-BE7B-76D23B3854A5}"/>
    <cellStyle name="60% - Énfasis3 22 2 2 2 2" xfId="29815" xr:uid="{41D35BE4-2492-4FB8-9544-EA6971A27D53}"/>
    <cellStyle name="60% - Énfasis3 22 2 2 2 2 2" xfId="53980" xr:uid="{21B3D0B2-9600-43BF-82B9-0025248E4C61}"/>
    <cellStyle name="60% - Énfasis3 22 2 2 2 3" xfId="53979" xr:uid="{8E6E0933-293E-4C1D-A075-439ED3719A99}"/>
    <cellStyle name="60% - Énfasis3 22 2 2 3" xfId="22110" xr:uid="{36F55EC4-4928-4165-B2AB-C49CCCAE84B8}"/>
    <cellStyle name="60% - Énfasis3 22 2 2 3 2" xfId="53981" xr:uid="{2E5A9F01-B7BE-4B70-A99F-50EE7FE3A1C1}"/>
    <cellStyle name="60% - Énfasis3 22 2 2 4" xfId="53978" xr:uid="{DFE7AE23-A767-4BE7-9A72-132BF597D7EF}"/>
    <cellStyle name="60% - Énfasis3 22 2 3" xfId="10674" xr:uid="{2B3877BF-211D-4B69-A8E0-2A62375CCEA0}"/>
    <cellStyle name="60% - Énfasis3 22 2 3 2" xfId="26087" xr:uid="{3FC07248-B019-4DE0-9EFC-63F1FEFC9D05}"/>
    <cellStyle name="60% - Énfasis3 22 2 3 2 2" xfId="53983" xr:uid="{98366675-39BF-4A3C-8362-4A387C56BBA1}"/>
    <cellStyle name="60% - Énfasis3 22 2 3 3" xfId="53982" xr:uid="{43D10C70-7E40-4EB5-8836-8A4ED84FB1F1}"/>
    <cellStyle name="60% - Énfasis3 22 2 4" xfId="18382" xr:uid="{6CAE79AB-B170-4BA5-9941-8415544BB704}"/>
    <cellStyle name="60% - Énfasis3 22 2 4 2" xfId="53984" xr:uid="{F2B121DF-2563-4129-9C36-B7364BEF251E}"/>
    <cellStyle name="60% - Énfasis3 22 2 5" xfId="53977" xr:uid="{63BECE9E-E372-47CB-887A-FC7A76FA6C42}"/>
    <cellStyle name="60% - Énfasis3 22 3" xfId="5234" xr:uid="{86C698E3-7302-4546-9E36-9B5B8B9DB1CC}"/>
    <cellStyle name="60% - Énfasis3 22 3 2" xfId="12942" xr:uid="{C38D726A-CCD4-459F-B1C6-2CB053D98961}"/>
    <cellStyle name="60% - Énfasis3 22 3 2 2" xfId="28354" xr:uid="{AAD011CD-CFEF-473C-9F4D-9CF3BC8B42CB}"/>
    <cellStyle name="60% - Énfasis3 22 3 2 2 2" xfId="53987" xr:uid="{82126CA0-DD91-4F0B-8838-0864F35B93B8}"/>
    <cellStyle name="60% - Énfasis3 22 3 2 3" xfId="53986" xr:uid="{BB147F19-A17B-40CB-AC9B-5E798BCA27A4}"/>
    <cellStyle name="60% - Énfasis3 22 3 3" xfId="20649" xr:uid="{3FA1BA4F-FDA6-46F8-A910-452ECA9E6598}"/>
    <cellStyle name="60% - Énfasis3 22 3 3 2" xfId="53988" xr:uid="{390B519A-CED5-4BB5-ADB6-827041785FD7}"/>
    <cellStyle name="60% - Énfasis3 22 3 4" xfId="53985" xr:uid="{F704803E-C232-4CEA-860A-DC9BD4B985AB}"/>
    <cellStyle name="60% - Énfasis3 22 4" xfId="9215" xr:uid="{F7031FDC-286E-4513-836A-0C013D848A35}"/>
    <cellStyle name="60% - Énfasis3 22 4 2" xfId="24628" xr:uid="{DF088CFB-2797-4C90-85DF-0B90E24524CF}"/>
    <cellStyle name="60% - Énfasis3 22 4 2 2" xfId="53990" xr:uid="{EAD462CE-5670-45AB-9FCF-22978E95E466}"/>
    <cellStyle name="60% - Énfasis3 22 4 3" xfId="53989" xr:uid="{193CE8D3-C8D8-4DBB-88BD-96D8B7FBDF38}"/>
    <cellStyle name="60% - Énfasis3 22 5" xfId="16923" xr:uid="{E4D74F21-B7DF-4734-BEE4-885E458F0B40}"/>
    <cellStyle name="60% - Énfasis3 22 5 2" xfId="53991" xr:uid="{9093BDD7-2F30-4CF2-AA56-EE3B0B49B614}"/>
    <cellStyle name="60% - Énfasis3 22 6" xfId="53976" xr:uid="{B99571C5-CBC8-4020-8A25-9DFD92F34C27}"/>
    <cellStyle name="60% - Énfasis3 23" xfId="1518" xr:uid="{A269C699-9171-4C83-80BE-6BE337032298}"/>
    <cellStyle name="60% - Énfasis3 23 2" xfId="2983" xr:uid="{154DF844-6DF0-4CA7-8B2E-3A3CC80CCC40}"/>
    <cellStyle name="60% - Énfasis3 23 2 2" xfId="6715" xr:uid="{D3565DED-19FA-4F18-88C5-009B8CD31263}"/>
    <cellStyle name="60% - Énfasis3 23 2 2 2" xfId="14423" xr:uid="{39575CA2-4DEE-4A20-9FDA-71E4442B254F}"/>
    <cellStyle name="60% - Énfasis3 23 2 2 2 2" xfId="29835" xr:uid="{930B79DC-50A3-4D46-8C9A-EC8233C8341A}"/>
    <cellStyle name="60% - Énfasis3 23 2 2 2 2 2" xfId="53996" xr:uid="{8F994BC7-E875-49A4-839C-2A01540A9746}"/>
    <cellStyle name="60% - Énfasis3 23 2 2 2 3" xfId="53995" xr:uid="{634DF864-3C03-4DD9-B79F-E598B3524CA8}"/>
    <cellStyle name="60% - Énfasis3 23 2 2 3" xfId="22130" xr:uid="{375A91BD-8068-49A1-B416-8DCCFEC153C4}"/>
    <cellStyle name="60% - Énfasis3 23 2 2 3 2" xfId="53997" xr:uid="{E291012E-BADE-482E-9C61-98085B4D7059}"/>
    <cellStyle name="60% - Énfasis3 23 2 2 4" xfId="53994" xr:uid="{3756821E-25DA-4580-A07A-61B21A99C61A}"/>
    <cellStyle name="60% - Énfasis3 23 2 3" xfId="10694" xr:uid="{D70B6A6D-35D7-4621-B2CB-494E9D63C320}"/>
    <cellStyle name="60% - Énfasis3 23 2 3 2" xfId="26107" xr:uid="{1C670A76-4561-4918-BD78-70A07673C79E}"/>
    <cellStyle name="60% - Énfasis3 23 2 3 2 2" xfId="53999" xr:uid="{8E2FED57-BC7F-4AD0-A69C-DCC9FAB810D3}"/>
    <cellStyle name="60% - Énfasis3 23 2 3 3" xfId="53998" xr:uid="{15566529-8C72-4F9F-AD73-D7E79B39AD1C}"/>
    <cellStyle name="60% - Énfasis3 23 2 4" xfId="18402" xr:uid="{1E7A6146-5A01-4B01-82EB-6D1482F75C93}"/>
    <cellStyle name="60% - Énfasis3 23 2 4 2" xfId="54000" xr:uid="{14D302D0-C8AF-4E83-B96D-5A391EB01246}"/>
    <cellStyle name="60% - Énfasis3 23 2 5" xfId="53993" xr:uid="{CE337DDC-4B94-48F6-9E22-7A8389A9CED2}"/>
    <cellStyle name="60% - Énfasis3 23 3" xfId="5254" xr:uid="{9ECB22D8-966F-41F3-917B-D66280F53F41}"/>
    <cellStyle name="60% - Énfasis3 23 3 2" xfId="12962" xr:uid="{996692F9-41B4-4C5D-AD92-57FF2F3FC86D}"/>
    <cellStyle name="60% - Énfasis3 23 3 2 2" xfId="28374" xr:uid="{9023F9C4-A182-4466-B679-7D1F742AD4BD}"/>
    <cellStyle name="60% - Énfasis3 23 3 2 2 2" xfId="54003" xr:uid="{34EA7476-70EE-44DF-9852-21205381BBA5}"/>
    <cellStyle name="60% - Énfasis3 23 3 2 3" xfId="54002" xr:uid="{1EEE0792-B3E9-4967-953D-F5419428464B}"/>
    <cellStyle name="60% - Énfasis3 23 3 3" xfId="20669" xr:uid="{45421EFC-D66F-4872-8EB7-743A6DDABF7B}"/>
    <cellStyle name="60% - Énfasis3 23 3 3 2" xfId="54004" xr:uid="{82727314-02B9-478B-ACEF-13E3890D9CC6}"/>
    <cellStyle name="60% - Énfasis3 23 3 4" xfId="54001" xr:uid="{A1E15B75-2BCA-45B2-88C9-FF34F2714EEB}"/>
    <cellStyle name="60% - Énfasis3 23 4" xfId="9235" xr:uid="{D8BD37A9-7993-45D4-90EF-55698109225C}"/>
    <cellStyle name="60% - Énfasis3 23 4 2" xfId="24648" xr:uid="{DD6E3B63-31E2-416E-A708-EA59D9026DC9}"/>
    <cellStyle name="60% - Énfasis3 23 4 2 2" xfId="54006" xr:uid="{9599DC84-A067-4764-BA42-8BD29C9FCD0E}"/>
    <cellStyle name="60% - Énfasis3 23 4 3" xfId="54005" xr:uid="{6FF4D979-B321-48F7-901B-05969832CFFC}"/>
    <cellStyle name="60% - Énfasis3 23 5" xfId="16943" xr:uid="{F1C256C4-E4E4-45B8-8557-07F4B591D2A2}"/>
    <cellStyle name="60% - Énfasis3 23 5 2" xfId="54007" xr:uid="{BFF8BBDC-851F-4C87-98D9-EF67B1112412}"/>
    <cellStyle name="60% - Énfasis3 23 6" xfId="53992" xr:uid="{F74D6103-4CF8-434A-9C76-0442D4847083}"/>
    <cellStyle name="60% - Énfasis3 24" xfId="1538" xr:uid="{50FAB194-2704-4F61-A6C2-E4CCDCFD56A6}"/>
    <cellStyle name="60% - Énfasis3 24 2" xfId="3003" xr:uid="{0AF6560D-8A72-4DA3-8759-9644CCE945B5}"/>
    <cellStyle name="60% - Énfasis3 24 2 2" xfId="6735" xr:uid="{CED3D0FD-2526-467A-9402-ACCB82A30695}"/>
    <cellStyle name="60% - Énfasis3 24 2 2 2" xfId="14443" xr:uid="{59D02DBB-F5FD-4FCB-815C-E735F72BB96B}"/>
    <cellStyle name="60% - Énfasis3 24 2 2 2 2" xfId="29855" xr:uid="{033D4169-54DC-4A6F-A8E2-1944CA489816}"/>
    <cellStyle name="60% - Énfasis3 24 2 2 2 2 2" xfId="54012" xr:uid="{8855B140-CCA0-420F-8625-BADE9303787F}"/>
    <cellStyle name="60% - Énfasis3 24 2 2 2 3" xfId="54011" xr:uid="{E431517E-5F48-4B09-B3ED-04FE62F122B8}"/>
    <cellStyle name="60% - Énfasis3 24 2 2 3" xfId="22150" xr:uid="{F5C9957F-34B9-4EB9-8B70-BC61E1513104}"/>
    <cellStyle name="60% - Énfasis3 24 2 2 3 2" xfId="54013" xr:uid="{9586B760-AEE8-4F32-9101-EB51A98A07FD}"/>
    <cellStyle name="60% - Énfasis3 24 2 2 4" xfId="54010" xr:uid="{0E9521CE-1B9F-4C92-9938-9B3B7A92D8E2}"/>
    <cellStyle name="60% - Énfasis3 24 2 3" xfId="10714" xr:uid="{221A4DC9-E547-407A-949A-0E236676C11F}"/>
    <cellStyle name="60% - Énfasis3 24 2 3 2" xfId="26127" xr:uid="{F25A223B-8A2F-49BB-B0F1-FB6AAE2C728A}"/>
    <cellStyle name="60% - Énfasis3 24 2 3 2 2" xfId="54015" xr:uid="{F1F189C4-41C8-4ED6-A576-15EE79171BC8}"/>
    <cellStyle name="60% - Énfasis3 24 2 3 3" xfId="54014" xr:uid="{AB832F4B-3F63-4E32-B507-5728C0E9DD63}"/>
    <cellStyle name="60% - Énfasis3 24 2 4" xfId="18422" xr:uid="{D985DEDA-647D-430D-8B88-F6A5302C3B6C}"/>
    <cellStyle name="60% - Énfasis3 24 2 4 2" xfId="54016" xr:uid="{00417075-DF90-410C-8FB1-FA039D1FBE06}"/>
    <cellStyle name="60% - Énfasis3 24 2 5" xfId="54009" xr:uid="{450A1D70-D338-4AD4-988C-79CE8B560149}"/>
    <cellStyle name="60% - Énfasis3 24 3" xfId="5274" xr:uid="{945AD154-05AC-42DC-9CD6-6EFB4CE26053}"/>
    <cellStyle name="60% - Énfasis3 24 3 2" xfId="12982" xr:uid="{B07DD75C-1658-4B73-9963-8BA95E9F6E36}"/>
    <cellStyle name="60% - Énfasis3 24 3 2 2" xfId="28394" xr:uid="{3070B1AA-3C34-4B98-8D38-895059ECAB3B}"/>
    <cellStyle name="60% - Énfasis3 24 3 2 2 2" xfId="54019" xr:uid="{128D561C-9B76-4E0F-AB38-2697007CFD6C}"/>
    <cellStyle name="60% - Énfasis3 24 3 2 3" xfId="54018" xr:uid="{EB80FA62-24FA-4233-99C2-C10AC1EC9F92}"/>
    <cellStyle name="60% - Énfasis3 24 3 3" xfId="20689" xr:uid="{E839B8B7-0945-45CC-99F4-5793C4B70E4F}"/>
    <cellStyle name="60% - Énfasis3 24 3 3 2" xfId="54020" xr:uid="{5DA4E137-B9EE-492E-8EF5-1936A221EF9B}"/>
    <cellStyle name="60% - Énfasis3 24 3 4" xfId="54017" xr:uid="{3A9870D2-31FE-4D13-AA6E-23D1CC6A4E97}"/>
    <cellStyle name="60% - Énfasis3 24 4" xfId="9255" xr:uid="{90626C8B-F365-4578-ACA3-3E9B6354D18C}"/>
    <cellStyle name="60% - Énfasis3 24 4 2" xfId="24668" xr:uid="{61C86EDE-1EBF-4D5D-9E9B-9C9AC9FC04FC}"/>
    <cellStyle name="60% - Énfasis3 24 4 2 2" xfId="54022" xr:uid="{4FDE970D-9C83-4D67-AB28-38D2679C979F}"/>
    <cellStyle name="60% - Énfasis3 24 4 3" xfId="54021" xr:uid="{C16594BC-FA55-4025-BA40-56AB7C2D10CD}"/>
    <cellStyle name="60% - Énfasis3 24 5" xfId="16963" xr:uid="{EFE34318-02F2-41BD-B921-6BE0214F9568}"/>
    <cellStyle name="60% - Énfasis3 24 5 2" xfId="54023" xr:uid="{C30CE06F-63DC-49B9-B1AA-D47237E9A6F3}"/>
    <cellStyle name="60% - Énfasis3 24 6" xfId="54008" xr:uid="{4641ED2D-F462-4608-9EB1-30311F8D7F87}"/>
    <cellStyle name="60% - Énfasis3 25" xfId="1558" xr:uid="{CCB79DC8-7D9E-4846-B495-C8EDFA764FA1}"/>
    <cellStyle name="60% - Énfasis3 25 2" xfId="3023" xr:uid="{3EA909DA-1F81-4BDA-8799-66052709775A}"/>
    <cellStyle name="60% - Énfasis3 25 2 2" xfId="6755" xr:uid="{57FA7891-F979-4383-9475-6C93201F4726}"/>
    <cellStyle name="60% - Énfasis3 25 2 2 2" xfId="14463" xr:uid="{4DB0000F-DF5D-40AF-966C-71DFFC3F1CE9}"/>
    <cellStyle name="60% - Énfasis3 25 2 2 2 2" xfId="29875" xr:uid="{1C170191-746C-4C08-A1E4-E33B0460D1B1}"/>
    <cellStyle name="60% - Énfasis3 25 2 2 2 2 2" xfId="54028" xr:uid="{0A7AAAFD-17DE-4D87-9440-267D49BD0D67}"/>
    <cellStyle name="60% - Énfasis3 25 2 2 2 3" xfId="54027" xr:uid="{E3D58C42-0F07-4584-94AC-9391E068ABAA}"/>
    <cellStyle name="60% - Énfasis3 25 2 2 3" xfId="22170" xr:uid="{F37DD895-F721-4495-8D11-42D6CFDF39DC}"/>
    <cellStyle name="60% - Énfasis3 25 2 2 3 2" xfId="54029" xr:uid="{6801E59D-796B-4EA1-A45F-A9866A4DE316}"/>
    <cellStyle name="60% - Énfasis3 25 2 2 4" xfId="54026" xr:uid="{90F33607-994E-474A-B01A-FD03761E2DF0}"/>
    <cellStyle name="60% - Énfasis3 25 2 3" xfId="10734" xr:uid="{1798D724-9206-4BBD-A40C-8B542B25CD5D}"/>
    <cellStyle name="60% - Énfasis3 25 2 3 2" xfId="26147" xr:uid="{5329CBDA-E684-4167-86DF-841D768CDA54}"/>
    <cellStyle name="60% - Énfasis3 25 2 3 2 2" xfId="54031" xr:uid="{E9355577-6686-4297-9C67-A3A21F69C814}"/>
    <cellStyle name="60% - Énfasis3 25 2 3 3" xfId="54030" xr:uid="{C28945FE-EC35-4433-86F6-02B60A858A38}"/>
    <cellStyle name="60% - Énfasis3 25 2 4" xfId="18442" xr:uid="{238B6C60-DCAD-43B5-BCF5-0823177F475B}"/>
    <cellStyle name="60% - Énfasis3 25 2 4 2" xfId="54032" xr:uid="{4EF42F87-7084-4794-9328-101207EF18CC}"/>
    <cellStyle name="60% - Énfasis3 25 2 5" xfId="54025" xr:uid="{075D1B7C-DFB3-4A0D-9429-260C36108CEC}"/>
    <cellStyle name="60% - Énfasis3 25 3" xfId="5294" xr:uid="{D41F1487-E74A-4F8B-9B4B-5C6454ABA763}"/>
    <cellStyle name="60% - Énfasis3 25 3 2" xfId="13002" xr:uid="{A00ECD9D-D3A6-4FAA-A91A-F2EB083EE0A8}"/>
    <cellStyle name="60% - Énfasis3 25 3 2 2" xfId="28414" xr:uid="{862BDF63-438A-4AFE-910E-50FA2CA49445}"/>
    <cellStyle name="60% - Énfasis3 25 3 2 2 2" xfId="54035" xr:uid="{05B2D270-4D2C-4807-BF31-C1E8115694BD}"/>
    <cellStyle name="60% - Énfasis3 25 3 2 3" xfId="54034" xr:uid="{ABA5C5D0-E76D-4FD7-A0D1-DDF34862127E}"/>
    <cellStyle name="60% - Énfasis3 25 3 3" xfId="20709" xr:uid="{A4499033-3EE2-4E9E-9107-4114D0A7FA04}"/>
    <cellStyle name="60% - Énfasis3 25 3 3 2" xfId="54036" xr:uid="{43BBE351-F698-449C-B8E9-B5104520B5C6}"/>
    <cellStyle name="60% - Énfasis3 25 3 4" xfId="54033" xr:uid="{957FD793-31BC-4EDE-9E26-FB6AAFADD71D}"/>
    <cellStyle name="60% - Énfasis3 25 4" xfId="9275" xr:uid="{80FB72EE-4FE6-42DC-AE4E-FD6AC9ECE77D}"/>
    <cellStyle name="60% - Énfasis3 25 4 2" xfId="24688" xr:uid="{8BBB0ECF-98A4-4E8E-96E2-D1224D05229E}"/>
    <cellStyle name="60% - Énfasis3 25 4 2 2" xfId="54038" xr:uid="{EBB466A6-8A09-41C7-87E8-768830309615}"/>
    <cellStyle name="60% - Énfasis3 25 4 3" xfId="54037" xr:uid="{C32E3B67-3389-4FB4-836B-B87F6DA2EF06}"/>
    <cellStyle name="60% - Énfasis3 25 5" xfId="16983" xr:uid="{E7204D7A-0152-469B-9FA1-8B90967B2F24}"/>
    <cellStyle name="60% - Énfasis3 25 5 2" xfId="54039" xr:uid="{DF222819-A794-403E-AA44-A5B2FA2E893A}"/>
    <cellStyle name="60% - Énfasis3 25 6" xfId="54024" xr:uid="{9EA22D53-1704-4DBD-BC5D-12105BBE8564}"/>
    <cellStyle name="60% - Énfasis3 26" xfId="1578" xr:uid="{7A930644-5E9D-43F9-AC0A-191DB6B5C706}"/>
    <cellStyle name="60% - Énfasis3 26 2" xfId="3043" xr:uid="{CC734342-1C4E-43D0-9E9F-C4ED8AD334B3}"/>
    <cellStyle name="60% - Énfasis3 26 2 2" xfId="6775" xr:uid="{15B5F833-7FB7-4216-8344-EB50F4B50709}"/>
    <cellStyle name="60% - Énfasis3 26 2 2 2" xfId="14483" xr:uid="{C5C2A4D6-3CBD-4833-84BE-BE8AF7CE9857}"/>
    <cellStyle name="60% - Énfasis3 26 2 2 2 2" xfId="29895" xr:uid="{0DE2B93E-36F0-4299-ADF3-EEF734B3B704}"/>
    <cellStyle name="60% - Énfasis3 26 2 2 2 2 2" xfId="54044" xr:uid="{8D4C1D31-2271-472C-A87D-7453BECB3742}"/>
    <cellStyle name="60% - Énfasis3 26 2 2 2 3" xfId="54043" xr:uid="{716E3B78-EE33-4151-933D-51B849CFA8FA}"/>
    <cellStyle name="60% - Énfasis3 26 2 2 3" xfId="22190" xr:uid="{C27CC708-D2E1-4F31-A5A0-0C5823047454}"/>
    <cellStyle name="60% - Énfasis3 26 2 2 3 2" xfId="54045" xr:uid="{978FA883-9A47-4B8E-A757-B77695B519C4}"/>
    <cellStyle name="60% - Énfasis3 26 2 2 4" xfId="54042" xr:uid="{1E924A68-FF3E-4161-81EC-BCAED4A095FF}"/>
    <cellStyle name="60% - Énfasis3 26 2 3" xfId="10754" xr:uid="{89558DBF-B1AB-49EA-8DDF-8824121F4D85}"/>
    <cellStyle name="60% - Énfasis3 26 2 3 2" xfId="26167" xr:uid="{F59EA456-803A-49A4-882A-ACD976CB10A7}"/>
    <cellStyle name="60% - Énfasis3 26 2 3 2 2" xfId="54047" xr:uid="{622E9BED-9F56-4D2F-BE70-06EAF07CF798}"/>
    <cellStyle name="60% - Énfasis3 26 2 3 3" xfId="54046" xr:uid="{5BD230C6-45D2-4E59-82A7-D3E48DDD0835}"/>
    <cellStyle name="60% - Énfasis3 26 2 4" xfId="18462" xr:uid="{A46C1AD5-8066-41C2-A992-6F71C7E1C56D}"/>
    <cellStyle name="60% - Énfasis3 26 2 4 2" xfId="54048" xr:uid="{C0E06EA0-E387-42D9-ADB2-BAFF1BFF69FD}"/>
    <cellStyle name="60% - Énfasis3 26 2 5" xfId="54041" xr:uid="{1DA6F0ED-EA1E-4A10-892F-4FB44B8C688B}"/>
    <cellStyle name="60% - Énfasis3 26 3" xfId="5314" xr:uid="{F5F8FDAB-7544-46A5-BD3E-49D16E504B73}"/>
    <cellStyle name="60% - Énfasis3 26 3 2" xfId="13022" xr:uid="{BA86B94D-F223-4D25-A143-1EBEC13C27A1}"/>
    <cellStyle name="60% - Énfasis3 26 3 2 2" xfId="28434" xr:uid="{E2115098-422F-49EA-B7AA-53F7711EACC3}"/>
    <cellStyle name="60% - Énfasis3 26 3 2 2 2" xfId="54051" xr:uid="{06ECFF9C-CAB0-48D3-B5E7-9E2EDEC4ADC0}"/>
    <cellStyle name="60% - Énfasis3 26 3 2 3" xfId="54050" xr:uid="{7F1409AB-B579-47C9-B521-08FB9E69A4EE}"/>
    <cellStyle name="60% - Énfasis3 26 3 3" xfId="20729" xr:uid="{7E82DEBD-E8BC-465B-B2D1-0675964D127A}"/>
    <cellStyle name="60% - Énfasis3 26 3 3 2" xfId="54052" xr:uid="{BD7C69E0-84C4-4AA2-91E8-9C92B02B0A80}"/>
    <cellStyle name="60% - Énfasis3 26 3 4" xfId="54049" xr:uid="{C2CB6118-D72D-4C4E-A142-0E8DABC90FB9}"/>
    <cellStyle name="60% - Énfasis3 26 4" xfId="9295" xr:uid="{C590FA27-B94F-43D4-AD06-A3CF02FD8516}"/>
    <cellStyle name="60% - Énfasis3 26 4 2" xfId="24708" xr:uid="{3E33FA8C-AF13-4FC0-88ED-6A911A4DC2C5}"/>
    <cellStyle name="60% - Énfasis3 26 4 2 2" xfId="54054" xr:uid="{4D163960-1618-4C0F-8170-78A6649659A2}"/>
    <cellStyle name="60% - Énfasis3 26 4 3" xfId="54053" xr:uid="{F2C1B9B3-55EF-4C7F-9ABF-11F13F1E1BDB}"/>
    <cellStyle name="60% - Énfasis3 26 5" xfId="17003" xr:uid="{7493BAFF-56F5-45CA-8746-8E296B84AB1D}"/>
    <cellStyle name="60% - Énfasis3 26 5 2" xfId="54055" xr:uid="{03A4C094-80A3-4C7C-AECD-8A190DB4EDB0}"/>
    <cellStyle name="60% - Énfasis3 26 6" xfId="54040" xr:uid="{1DBD95AE-5335-4167-B05D-219007B675B8}"/>
    <cellStyle name="60% - Énfasis3 27" xfId="1599" xr:uid="{812FAAE0-F3B0-4D52-B0F6-FE328466CA54}"/>
    <cellStyle name="60% - Énfasis3 27 2" xfId="3064" xr:uid="{EAFE998C-8E81-4E44-9296-BF5C067804B1}"/>
    <cellStyle name="60% - Énfasis3 27 2 2" xfId="6796" xr:uid="{B1893006-96A6-4A14-82A5-15D33AC87B97}"/>
    <cellStyle name="60% - Énfasis3 27 2 2 2" xfId="14504" xr:uid="{18FF1D7E-8D13-4F4B-AB49-8C696027589F}"/>
    <cellStyle name="60% - Énfasis3 27 2 2 2 2" xfId="29916" xr:uid="{7E4EACB5-5EAA-429D-9F2C-843126CFA86D}"/>
    <cellStyle name="60% - Énfasis3 27 2 2 2 2 2" xfId="54060" xr:uid="{A71ACEDF-CCBF-4C18-AB92-C0058C8B3F12}"/>
    <cellStyle name="60% - Énfasis3 27 2 2 2 3" xfId="54059" xr:uid="{6AF20802-D38D-404D-936A-761AF441A677}"/>
    <cellStyle name="60% - Énfasis3 27 2 2 3" xfId="22211" xr:uid="{966ADC60-0065-4DFE-9770-807C74BA4039}"/>
    <cellStyle name="60% - Énfasis3 27 2 2 3 2" xfId="54061" xr:uid="{10D95D2B-6349-45D7-9076-A92C68877E9E}"/>
    <cellStyle name="60% - Énfasis3 27 2 2 4" xfId="54058" xr:uid="{F1620D5A-5CB1-499E-AA15-D850FD771E2A}"/>
    <cellStyle name="60% - Énfasis3 27 2 3" xfId="10775" xr:uid="{E9DBD475-183D-4CC9-ABBC-2A1AB93EAF0D}"/>
    <cellStyle name="60% - Énfasis3 27 2 3 2" xfId="26188" xr:uid="{A19E72F2-7663-4B93-BA45-844388B8E720}"/>
    <cellStyle name="60% - Énfasis3 27 2 3 2 2" xfId="54063" xr:uid="{CABEC7D1-8F0D-4F8F-B65C-CB2EC50AFD21}"/>
    <cellStyle name="60% - Énfasis3 27 2 3 3" xfId="54062" xr:uid="{8A2F6F42-3386-42DC-AB6D-16CE55166CEE}"/>
    <cellStyle name="60% - Énfasis3 27 2 4" xfId="18483" xr:uid="{D8BA8A5F-527F-47BA-AC50-F083F52DA50E}"/>
    <cellStyle name="60% - Énfasis3 27 2 4 2" xfId="54064" xr:uid="{8EBD11A6-0B90-44DC-834C-A6737D85E727}"/>
    <cellStyle name="60% - Énfasis3 27 2 5" xfId="54057" xr:uid="{B6B97F13-4BFA-43F2-A8C1-8500E3A2309B}"/>
    <cellStyle name="60% - Énfasis3 27 3" xfId="5335" xr:uid="{A8F37F27-A892-43D6-8B47-A0529AC11774}"/>
    <cellStyle name="60% - Énfasis3 27 3 2" xfId="13043" xr:uid="{5B65BB9C-0453-468E-A64D-A24BB74536BF}"/>
    <cellStyle name="60% - Énfasis3 27 3 2 2" xfId="28455" xr:uid="{DE7DF63C-A9AA-42CE-A5FA-060C2FAB0C42}"/>
    <cellStyle name="60% - Énfasis3 27 3 2 2 2" xfId="54067" xr:uid="{46AF9D10-6FBB-4970-AFDB-EF472B397287}"/>
    <cellStyle name="60% - Énfasis3 27 3 2 3" xfId="54066" xr:uid="{57F4F86B-BA55-42A3-A13D-487445F28121}"/>
    <cellStyle name="60% - Énfasis3 27 3 3" xfId="20750" xr:uid="{4C797D27-FE3E-40E3-A094-3043CC29898C}"/>
    <cellStyle name="60% - Énfasis3 27 3 3 2" xfId="54068" xr:uid="{DEAA56CA-4E49-4F65-ACD5-0A5EF87EC59B}"/>
    <cellStyle name="60% - Énfasis3 27 3 4" xfId="54065" xr:uid="{A32F6E04-A63E-4A0E-9428-3E545E4ADAD1}"/>
    <cellStyle name="60% - Énfasis3 27 4" xfId="9316" xr:uid="{17D213AE-921A-492E-851F-530B1101666A}"/>
    <cellStyle name="60% - Énfasis3 27 4 2" xfId="24729" xr:uid="{E2F8952A-1234-4FB5-A9C8-A7A24580ED69}"/>
    <cellStyle name="60% - Énfasis3 27 4 2 2" xfId="54070" xr:uid="{D039ABE3-67A4-422A-977F-1BE22C2A2FE5}"/>
    <cellStyle name="60% - Énfasis3 27 4 3" xfId="54069" xr:uid="{FD84DC21-978E-43D9-B1E1-52B2BF5652CC}"/>
    <cellStyle name="60% - Énfasis3 27 5" xfId="17024" xr:uid="{777D2BAA-CCAE-488D-92B6-94C40EEF90DE}"/>
    <cellStyle name="60% - Énfasis3 27 5 2" xfId="54071" xr:uid="{66A6A6F3-DA26-410C-9372-791C40B912CB}"/>
    <cellStyle name="60% - Énfasis3 27 6" xfId="54056" xr:uid="{A7BC9307-EE5A-4205-B508-44ACF4C98F95}"/>
    <cellStyle name="60% - Énfasis3 28" xfId="3084" xr:uid="{7B2FDF57-12CC-4E8D-AAE8-EE741A532096}"/>
    <cellStyle name="60% - Énfasis3 28 2" xfId="6816" xr:uid="{CD355593-41B5-497B-AF77-1CB77D57B6C0}"/>
    <cellStyle name="60% - Énfasis3 28 2 2" xfId="14524" xr:uid="{DCDE21EA-7A3C-4449-9A1D-D5BCA1AD5E19}"/>
    <cellStyle name="60% - Énfasis3 28 2 2 2" xfId="29936" xr:uid="{8862C281-4A52-4C38-B0E2-DF4EBD2C3487}"/>
    <cellStyle name="60% - Énfasis3 28 2 2 2 2" xfId="54075" xr:uid="{4D5A2622-9951-405A-82FB-49CDD9DFA115}"/>
    <cellStyle name="60% - Énfasis3 28 2 2 3" xfId="54074" xr:uid="{91172124-D96C-4DAA-B0BF-C3B0B83E02A6}"/>
    <cellStyle name="60% - Énfasis3 28 2 3" xfId="22231" xr:uid="{B24ADC4F-0783-46C3-B428-03BCF0FDB814}"/>
    <cellStyle name="60% - Énfasis3 28 2 3 2" xfId="54076" xr:uid="{4C6B1FC1-813E-4E99-8615-2405722E027A}"/>
    <cellStyle name="60% - Énfasis3 28 2 4" xfId="54073" xr:uid="{39F84199-744A-4ADD-8310-BB5148C9B7C6}"/>
    <cellStyle name="60% - Énfasis3 28 3" xfId="10795" xr:uid="{56DFE2F6-5052-4C05-9FD8-9438822A07AE}"/>
    <cellStyle name="60% - Énfasis3 28 3 2" xfId="26208" xr:uid="{2D91FBA0-46AC-456C-B47D-F3799D420C51}"/>
    <cellStyle name="60% - Énfasis3 28 3 2 2" xfId="54078" xr:uid="{AD89737F-2260-4DD7-8D04-7D03EB876111}"/>
    <cellStyle name="60% - Énfasis3 28 3 3" xfId="54077" xr:uid="{815A5688-44DB-4916-A583-4CF40A35A30C}"/>
    <cellStyle name="60% - Énfasis3 28 4" xfId="18503" xr:uid="{F10E9C73-5A05-4131-82EC-5EF81DC620B7}"/>
    <cellStyle name="60% - Énfasis3 28 4 2" xfId="54079" xr:uid="{B83F342D-4070-4623-9191-70C8A8017343}"/>
    <cellStyle name="60% - Énfasis3 28 5" xfId="54072" xr:uid="{6E844F9F-A13A-4424-B760-199460B845A6}"/>
    <cellStyle name="60% - Énfasis3 29" xfId="3104" xr:uid="{591B3543-658B-4D73-BB0E-FFDA79986B66}"/>
    <cellStyle name="60% - Énfasis3 29 2" xfId="6836" xr:uid="{65DA66FA-5248-4710-A746-00662738C2CB}"/>
    <cellStyle name="60% - Énfasis3 29 2 2" xfId="14544" xr:uid="{A522BB54-6C46-426C-94B6-A251573E069E}"/>
    <cellStyle name="60% - Énfasis3 29 2 2 2" xfId="29956" xr:uid="{3585AD47-4382-4883-A571-B580476827C9}"/>
    <cellStyle name="60% - Énfasis3 29 2 2 2 2" xfId="54083" xr:uid="{4646A313-23CC-45B6-A9F2-B11F980E6BA9}"/>
    <cellStyle name="60% - Énfasis3 29 2 2 3" xfId="54082" xr:uid="{7E3A4B6E-2C1B-41E9-B162-ACD2618E4368}"/>
    <cellStyle name="60% - Énfasis3 29 2 3" xfId="22251" xr:uid="{4717793B-A506-46FC-89D4-4250D6B0001E}"/>
    <cellStyle name="60% - Énfasis3 29 2 3 2" xfId="54084" xr:uid="{F7AF4817-90FB-4CF5-8B5E-022C56C58C10}"/>
    <cellStyle name="60% - Énfasis3 29 2 4" xfId="54081" xr:uid="{F55F3731-0CCB-4852-9C28-B98BE34E6FA4}"/>
    <cellStyle name="60% - Énfasis3 29 3" xfId="10815" xr:uid="{5EBCCB3D-F04F-4D21-8DA7-F332E1947A30}"/>
    <cellStyle name="60% - Énfasis3 29 3 2" xfId="26228" xr:uid="{6797F1F8-FA0E-427F-841B-72DA9C77A371}"/>
    <cellStyle name="60% - Énfasis3 29 3 2 2" xfId="54086" xr:uid="{C2CB28DD-D5A6-45FF-9196-30FDBBEAF854}"/>
    <cellStyle name="60% - Énfasis3 29 3 3" xfId="54085" xr:uid="{4243C97C-1DC4-4C9B-B184-AF880A4066CD}"/>
    <cellStyle name="60% - Énfasis3 29 4" xfId="18523" xr:uid="{1ACA1A41-A8E0-4A86-98B6-8FA9BFFA9D14}"/>
    <cellStyle name="60% - Énfasis3 29 4 2" xfId="54087" xr:uid="{8EDD78B9-1420-480E-A9DB-58564D4AA02B}"/>
    <cellStyle name="60% - Énfasis3 29 5" xfId="54080" xr:uid="{A9AAC9C0-747A-4811-8179-BF05E585A49D}"/>
    <cellStyle name="60% - Énfasis3 3" xfId="269" xr:uid="{B037B930-FA68-447C-9982-C50E0C5B32CB}"/>
    <cellStyle name="60% - Énfasis3 3 2" xfId="472" xr:uid="{D5D95718-7834-4786-94DE-3F28704C5F53}"/>
    <cellStyle name="60% - Énfasis3 3 2 2" xfId="1133" xr:uid="{0C45F99C-523D-4E4E-BB57-CB0D18273A4A}"/>
    <cellStyle name="60% - Énfasis3 3 2 2 2" xfId="2601" xr:uid="{E784B45C-2D53-4CF1-8F5C-D44D93FD1D16}"/>
    <cellStyle name="60% - Énfasis3 3 2 2 2 2" xfId="6333" xr:uid="{3867A62B-30AB-4C2C-8EBE-D57240265B69}"/>
    <cellStyle name="60% - Énfasis3 3 2 2 2 2 2" xfId="14041" xr:uid="{2A051D32-2783-4CFB-B4B3-C2CFFA748104}"/>
    <cellStyle name="60% - Énfasis3 3 2 2 2 2 2 2" xfId="29453" xr:uid="{53FF86AA-DC4B-4E42-B23D-F2C76E8FA095}"/>
    <cellStyle name="60% - Énfasis3 3 2 2 2 2 2 2 2" xfId="54094" xr:uid="{CA17B153-E522-4D9C-865E-C8B81129FA66}"/>
    <cellStyle name="60% - Énfasis3 3 2 2 2 2 2 3" xfId="54093" xr:uid="{B81176D0-C236-403F-B634-A7E19AB4B3B5}"/>
    <cellStyle name="60% - Énfasis3 3 2 2 2 2 3" xfId="21748" xr:uid="{A6B70534-8672-456F-B655-48E2168A1F1A}"/>
    <cellStyle name="60% - Énfasis3 3 2 2 2 2 3 2" xfId="54095" xr:uid="{71ABB673-0486-4D39-85A9-C863FB3EB30C}"/>
    <cellStyle name="60% - Énfasis3 3 2 2 2 2 4" xfId="54092" xr:uid="{EAEC213B-6F94-4175-B0FE-B1ADFC643629}"/>
    <cellStyle name="60% - Énfasis3 3 2 2 2 3" xfId="10312" xr:uid="{7444D445-1687-4497-B474-58D1E393842F}"/>
    <cellStyle name="60% - Énfasis3 3 2 2 2 3 2" xfId="25725" xr:uid="{AEB620D6-B171-4286-824A-D36E637CCF58}"/>
    <cellStyle name="60% - Énfasis3 3 2 2 2 3 2 2" xfId="54097" xr:uid="{82A745CC-C850-4F80-8309-1B5EEC32AB17}"/>
    <cellStyle name="60% - Énfasis3 3 2 2 2 3 3" xfId="54096" xr:uid="{26899B4A-C31A-4CCE-828C-EBDCB9AF94D1}"/>
    <cellStyle name="60% - Énfasis3 3 2 2 2 4" xfId="18020" xr:uid="{AFFEC7E0-FC87-4CC1-8BC2-84FC4ADD7CB1}"/>
    <cellStyle name="60% - Énfasis3 3 2 2 2 4 2" xfId="54098" xr:uid="{DDDC2060-5FA9-4703-8996-E9B113A4D36D}"/>
    <cellStyle name="60% - Énfasis3 3 2 2 2 5" xfId="54091" xr:uid="{B61E6979-5F61-4A05-B1F0-C099A2DF4DF4}"/>
    <cellStyle name="60% - Énfasis3 3 2 2 3" xfId="4870" xr:uid="{9FCD46BD-8425-4388-8372-D7055536C5D4}"/>
    <cellStyle name="60% - Énfasis3 3 2 2 3 2" xfId="12578" xr:uid="{FDF0D11E-5B0D-4EA7-B288-E8D1A73B85FD}"/>
    <cellStyle name="60% - Énfasis3 3 2 2 3 2 2" xfId="27990" xr:uid="{5543C3B6-C62F-43FB-92CA-A45C1A973DD2}"/>
    <cellStyle name="60% - Énfasis3 3 2 2 3 2 2 2" xfId="54101" xr:uid="{F422E7DA-702C-49E2-A175-C7B59FC1290F}"/>
    <cellStyle name="60% - Énfasis3 3 2 2 3 2 3" xfId="54100" xr:uid="{D42A6ACF-9514-4CAA-BCAF-5F1D23A1854C}"/>
    <cellStyle name="60% - Énfasis3 3 2 2 3 3" xfId="20285" xr:uid="{04B26647-2F6D-4AD6-8E02-D0EF24E434A0}"/>
    <cellStyle name="60% - Énfasis3 3 2 2 3 3 2" xfId="54102" xr:uid="{EF3E588B-E469-4F4B-9FC2-19E3782E7570}"/>
    <cellStyle name="60% - Énfasis3 3 2 2 3 4" xfId="54099" xr:uid="{0C7008FD-3F28-4147-A92F-B6E290EA4789}"/>
    <cellStyle name="60% - Énfasis3 3 2 2 4" xfId="8853" xr:uid="{645C92A5-2AC7-4F4F-B745-F4284149044B}"/>
    <cellStyle name="60% - Énfasis3 3 2 2 4 2" xfId="24266" xr:uid="{BA2BBFD0-6CD3-4C35-984A-CD94451C8C8E}"/>
    <cellStyle name="60% - Énfasis3 3 2 2 4 2 2" xfId="54104" xr:uid="{AD7FC22B-BB17-4CAB-9EEE-3A7FD40F0C54}"/>
    <cellStyle name="60% - Énfasis3 3 2 2 4 3" xfId="54103" xr:uid="{A03C6B71-7315-4215-BEAE-3EC4375CF5F0}"/>
    <cellStyle name="60% - Énfasis3 3 2 2 5" xfId="16561" xr:uid="{16FD63CE-8EBA-4956-B3E5-238246D2707E}"/>
    <cellStyle name="60% - Énfasis3 3 2 2 5 2" xfId="54105" xr:uid="{4584025C-3BC3-4F42-B83B-3A0A6E8FC8D0}"/>
    <cellStyle name="60% - Énfasis3 3 2 2 6" xfId="54090" xr:uid="{6D9C8DE7-3348-47CC-8760-E28529E3632A}"/>
    <cellStyle name="60% - Énfasis3 3 2 3" xfId="1963" xr:uid="{888A3680-91A5-437C-8B60-C8257B5EFF0C}"/>
    <cellStyle name="60% - Énfasis3 3 2 3 2" xfId="5695" xr:uid="{76E51CA6-0B05-4B5B-9C82-AA2FD36CBFBF}"/>
    <cellStyle name="60% - Énfasis3 3 2 3 2 2" xfId="13403" xr:uid="{F62B26B1-1F89-4B57-8FE9-7FEB4E070FD6}"/>
    <cellStyle name="60% - Énfasis3 3 2 3 2 2 2" xfId="28815" xr:uid="{3BF4F151-6544-47E6-AA38-3AA8B0AC52EC}"/>
    <cellStyle name="60% - Énfasis3 3 2 3 2 2 2 2" xfId="54109" xr:uid="{CA1990CB-DC22-454E-93BB-88DBF734C59F}"/>
    <cellStyle name="60% - Énfasis3 3 2 3 2 2 3" xfId="54108" xr:uid="{D952A738-3F35-42B3-96F2-DCD71B5FBE9E}"/>
    <cellStyle name="60% - Énfasis3 3 2 3 2 3" xfId="21110" xr:uid="{1BE861D8-2BBB-42D6-BDC7-AC3086587DB1}"/>
    <cellStyle name="60% - Énfasis3 3 2 3 2 3 2" xfId="54110" xr:uid="{A77046FD-135B-4EFF-93E8-B1DB560FD9DE}"/>
    <cellStyle name="60% - Énfasis3 3 2 3 2 4" xfId="54107" xr:uid="{7D6E02C3-643A-4B9C-81A2-E13BA6D7E7BA}"/>
    <cellStyle name="60% - Énfasis3 3 2 3 3" xfId="9674" xr:uid="{9620B3CF-72A8-42C0-98F9-6C2301395E4B}"/>
    <cellStyle name="60% - Énfasis3 3 2 3 3 2" xfId="25087" xr:uid="{AA01BD89-5948-4483-8D5B-DE9725B577C2}"/>
    <cellStyle name="60% - Énfasis3 3 2 3 3 2 2" xfId="54112" xr:uid="{978E537B-EB4C-4820-85D7-11EB641DF6F4}"/>
    <cellStyle name="60% - Énfasis3 3 2 3 3 3" xfId="54111" xr:uid="{B965FE50-4121-47B3-8CEE-1A86572D4BF9}"/>
    <cellStyle name="60% - Énfasis3 3 2 3 4" xfId="17382" xr:uid="{43B492D1-6E90-484B-8B3A-F8A33AF9C7EE}"/>
    <cellStyle name="60% - Énfasis3 3 2 3 4 2" xfId="54113" xr:uid="{AC305D64-5307-486C-8DB7-6CFB1B807EA0}"/>
    <cellStyle name="60% - Énfasis3 3 2 3 5" xfId="54106" xr:uid="{9D9CCDF6-26BB-4E7E-A91D-B7BCA86D7177}"/>
    <cellStyle name="60% - Énfasis3 3 2 4" xfId="4218" xr:uid="{939D855B-DC4F-4040-B716-B1A142E1723E}"/>
    <cellStyle name="60% - Énfasis3 3 2 4 2" xfId="11926" xr:uid="{11F355C6-A44B-45B4-B9F7-CB1DB6032FDF}"/>
    <cellStyle name="60% - Énfasis3 3 2 4 2 2" xfId="27338" xr:uid="{D55085E2-676C-4957-9A81-D58804F57E6C}"/>
    <cellStyle name="60% - Énfasis3 3 2 4 2 2 2" xfId="54116" xr:uid="{BA29F596-7177-4E59-98BE-5F143F91D48B}"/>
    <cellStyle name="60% - Énfasis3 3 2 4 2 3" xfId="54115" xr:uid="{93C5BE97-0690-4002-AB8E-414C1336E43D}"/>
    <cellStyle name="60% - Énfasis3 3 2 4 3" xfId="19633" xr:uid="{1156BD8B-7BF1-4C63-9DCF-0F415B046DC6}"/>
    <cellStyle name="60% - Énfasis3 3 2 4 3 2" xfId="54117" xr:uid="{799266AD-E434-49A6-B401-BD702982DC21}"/>
    <cellStyle name="60% - Énfasis3 3 2 4 4" xfId="54114" xr:uid="{0B663800-C164-4A81-B22C-52A4099F3F42}"/>
    <cellStyle name="60% - Énfasis3 3 2 5" xfId="8215" xr:uid="{82D05C66-FED2-4554-BB11-EB79568266C9}"/>
    <cellStyle name="60% - Énfasis3 3 2 5 2" xfId="23628" xr:uid="{0190476F-7BD0-485E-869A-B35276214981}"/>
    <cellStyle name="60% - Énfasis3 3 2 5 2 2" xfId="54119" xr:uid="{73B8B863-D39D-44BE-B6F0-D5973D783BC5}"/>
    <cellStyle name="60% - Énfasis3 3 2 5 3" xfId="54118" xr:uid="{09072C59-BC04-4EA7-8BAD-77F329D88C78}"/>
    <cellStyle name="60% - Énfasis3 3 2 6" xfId="15923" xr:uid="{B3A36621-AB57-4B1E-A367-E30E4FB57F09}"/>
    <cellStyle name="60% - Énfasis3 3 2 6 2" xfId="54120" xr:uid="{5AA075C2-A91A-49D5-8012-3C0EBCFA3A6D}"/>
    <cellStyle name="60% - Énfasis3 3 2 7" xfId="54089" xr:uid="{C3EAA1B8-7218-42DF-B4AA-F9D7DD00B4EE}"/>
    <cellStyle name="60% - Énfasis3 3 3" xfId="933" xr:uid="{5A810935-B468-4694-BC2D-FDEF599F33EA}"/>
    <cellStyle name="60% - Énfasis3 3 3 2" xfId="2403" xr:uid="{8D422BBD-25F6-47CA-AEED-E48BEB52E9B5}"/>
    <cellStyle name="60% - Énfasis3 3 3 2 2" xfId="6135" xr:uid="{A85DC05B-0647-4837-A94E-3B335F1AE6B8}"/>
    <cellStyle name="60% - Énfasis3 3 3 2 2 2" xfId="13843" xr:uid="{18D23281-4861-4E08-946E-2D411EA50D5A}"/>
    <cellStyle name="60% - Énfasis3 3 3 2 2 2 2" xfId="29255" xr:uid="{80B6DAAD-09D2-4C2F-A397-E75307AFD0DE}"/>
    <cellStyle name="60% - Énfasis3 3 3 2 2 2 2 2" xfId="54125" xr:uid="{8B6F8F2F-4573-4B00-8DF1-9D15037AE8F3}"/>
    <cellStyle name="60% - Énfasis3 3 3 2 2 2 3" xfId="54124" xr:uid="{AF39954E-F5A3-472C-830B-142FA41A484A}"/>
    <cellStyle name="60% - Énfasis3 3 3 2 2 3" xfId="21550" xr:uid="{A63FB474-7544-47C5-A0F2-1B063570A027}"/>
    <cellStyle name="60% - Énfasis3 3 3 2 2 3 2" xfId="54126" xr:uid="{5E441E9F-6C33-4BE6-A449-A16CDCCED4AE}"/>
    <cellStyle name="60% - Énfasis3 3 3 2 2 4" xfId="54123" xr:uid="{59768660-B3BA-4340-AD8B-FD442DFA4043}"/>
    <cellStyle name="60% - Énfasis3 3 3 2 3" xfId="10114" xr:uid="{E6AFD101-8507-4956-95A8-EC7CE6579F8E}"/>
    <cellStyle name="60% - Énfasis3 3 3 2 3 2" xfId="25527" xr:uid="{67F276A9-0524-485B-82F6-F657CBC11512}"/>
    <cellStyle name="60% - Énfasis3 3 3 2 3 2 2" xfId="54128" xr:uid="{318F694A-2ADE-4614-B0C0-276640DF0015}"/>
    <cellStyle name="60% - Énfasis3 3 3 2 3 3" xfId="54127" xr:uid="{827B7BC2-3490-4AC2-818C-4EF46F3EAF2E}"/>
    <cellStyle name="60% - Énfasis3 3 3 2 4" xfId="17822" xr:uid="{A326E72A-5AC7-4471-8062-CA430342C7F3}"/>
    <cellStyle name="60% - Énfasis3 3 3 2 4 2" xfId="54129" xr:uid="{196D5BF2-E2F5-403D-AC30-66FAA41E696D}"/>
    <cellStyle name="60% - Énfasis3 3 3 2 5" xfId="54122" xr:uid="{674A01EE-7ED3-49DE-8C35-3A2597C38520}"/>
    <cellStyle name="60% - Énfasis3 3 3 3" xfId="4670" xr:uid="{7BC36946-8AB6-45F3-8914-5F6CBBADC244}"/>
    <cellStyle name="60% - Énfasis3 3 3 3 2" xfId="12378" xr:uid="{7E404E96-3C65-45A7-B05D-1E4415A73430}"/>
    <cellStyle name="60% - Énfasis3 3 3 3 2 2" xfId="27790" xr:uid="{4BE2000C-6041-412D-AA9B-746993336A17}"/>
    <cellStyle name="60% - Énfasis3 3 3 3 2 2 2" xfId="54132" xr:uid="{169EEA8E-97FD-4F14-BBC0-6525E02E4AF3}"/>
    <cellStyle name="60% - Énfasis3 3 3 3 2 3" xfId="54131" xr:uid="{45DC8E3A-16BD-4E1E-BE2E-EF2442A4839C}"/>
    <cellStyle name="60% - Énfasis3 3 3 3 3" xfId="20085" xr:uid="{57BBA99A-50EE-4177-8F72-F50E0408EB2F}"/>
    <cellStyle name="60% - Énfasis3 3 3 3 3 2" xfId="54133" xr:uid="{4DBEE88E-FA5D-41AE-9260-AE378FABB1D4}"/>
    <cellStyle name="60% - Énfasis3 3 3 3 4" xfId="54130" xr:uid="{819CD41B-2040-4894-A8D4-0BBA11CE3206}"/>
    <cellStyle name="60% - Énfasis3 3 3 4" xfId="8655" xr:uid="{DAF51955-CE0C-43E6-BFAA-1A324C076EF2}"/>
    <cellStyle name="60% - Énfasis3 3 3 4 2" xfId="24068" xr:uid="{FC8C54DB-7163-4147-8CA5-890CCF9D7E4E}"/>
    <cellStyle name="60% - Énfasis3 3 3 4 2 2" xfId="54135" xr:uid="{2FB5524F-7DE3-4C56-ACDD-2EBD344ED602}"/>
    <cellStyle name="60% - Énfasis3 3 3 4 3" xfId="54134" xr:uid="{B11A7F3A-30E9-4FC6-AC5D-33AA072F12D2}"/>
    <cellStyle name="60% - Énfasis3 3 3 5" xfId="16363" xr:uid="{94633376-39E2-4AEA-8679-2B2354EA1140}"/>
    <cellStyle name="60% - Énfasis3 3 3 5 2" xfId="54136" xr:uid="{6FAE6E37-4FF3-436F-8AB2-7420C21744B1}"/>
    <cellStyle name="60% - Énfasis3 3 3 6" xfId="54121" xr:uid="{EDBE5AF1-5AF2-42C0-B03C-3476048FB714}"/>
    <cellStyle name="60% - Énfasis3 3 4" xfId="1765" xr:uid="{56E55A91-DD99-4D76-ABC9-76A0E7D1031F}"/>
    <cellStyle name="60% - Énfasis3 3 4 2" xfId="5497" xr:uid="{83D7FE3F-995A-404E-8906-028631F15CB9}"/>
    <cellStyle name="60% - Énfasis3 3 4 2 2" xfId="13205" xr:uid="{23581D32-8912-428E-BBC9-2F92B681E7A2}"/>
    <cellStyle name="60% - Énfasis3 3 4 2 2 2" xfId="28617" xr:uid="{76770C66-2604-4001-A024-2F70E3C22467}"/>
    <cellStyle name="60% - Énfasis3 3 4 2 2 2 2" xfId="54140" xr:uid="{2EF3F5A7-4515-4325-BF61-6AC42E6A0041}"/>
    <cellStyle name="60% - Énfasis3 3 4 2 2 3" xfId="54139" xr:uid="{07EDFC3E-4AC7-422A-B6FE-A26EC8313261}"/>
    <cellStyle name="60% - Énfasis3 3 4 2 3" xfId="20912" xr:uid="{58E81C1C-8B98-469C-87FD-CE17B0E3627E}"/>
    <cellStyle name="60% - Énfasis3 3 4 2 3 2" xfId="54141" xr:uid="{F34864A4-7D70-4F0B-B851-4EB1683D9893}"/>
    <cellStyle name="60% - Énfasis3 3 4 2 4" xfId="54138" xr:uid="{77F55066-8DDD-4F17-A3DE-99F924EDBDFB}"/>
    <cellStyle name="60% - Énfasis3 3 4 3" xfId="9476" xr:uid="{92A8B33B-28A8-48F2-8142-7C987CB9DAE7}"/>
    <cellStyle name="60% - Énfasis3 3 4 3 2" xfId="24889" xr:uid="{4BBC1812-E361-49AA-91EB-CEEC50397AF8}"/>
    <cellStyle name="60% - Énfasis3 3 4 3 2 2" xfId="54143" xr:uid="{5AACD250-97FB-4AC6-9093-F2CF6D56968B}"/>
    <cellStyle name="60% - Énfasis3 3 4 3 3" xfId="54142" xr:uid="{31E2060C-2E60-492B-BA4D-A31F58965EC7}"/>
    <cellStyle name="60% - Énfasis3 3 4 4" xfId="17184" xr:uid="{BA435888-ED29-4043-9F68-1D5BD17C8ED8}"/>
    <cellStyle name="60% - Énfasis3 3 4 4 2" xfId="54144" xr:uid="{4D3E408A-1B6E-4137-89BB-EC8CC84BAEBA}"/>
    <cellStyle name="60% - Énfasis3 3 4 5" xfId="54137" xr:uid="{7A5FFAFD-C2F4-4663-8074-222EF40E9DDC}"/>
    <cellStyle name="60% - Énfasis3 3 5" xfId="4018" xr:uid="{44F3C876-25C5-4AA3-B5C7-5BB02A12B0CA}"/>
    <cellStyle name="60% - Énfasis3 3 5 2" xfId="11726" xr:uid="{787B1E4F-6FC1-45C4-AD06-3CB0C62F1BDA}"/>
    <cellStyle name="60% - Énfasis3 3 5 2 2" xfId="27138" xr:uid="{82EF5C7B-E6AB-4B1C-A348-3452285BB910}"/>
    <cellStyle name="60% - Énfasis3 3 5 2 2 2" xfId="54147" xr:uid="{501DF8D1-4132-4CA9-BFED-C3B4BB8D0A65}"/>
    <cellStyle name="60% - Énfasis3 3 5 2 3" xfId="54146" xr:uid="{460DD7F8-5F43-4122-894F-D53AEF24275B}"/>
    <cellStyle name="60% - Énfasis3 3 5 3" xfId="19433" xr:uid="{5E78E269-B834-44D2-9583-097DD664B052}"/>
    <cellStyle name="60% - Énfasis3 3 5 3 2" xfId="54148" xr:uid="{A165F52D-CFE4-40AC-B981-987E0B6BEDF7}"/>
    <cellStyle name="60% - Énfasis3 3 5 4" xfId="54145" xr:uid="{3E84B136-1086-4171-98A3-7CA004B96FA1}"/>
    <cellStyle name="60% - Énfasis3 3 6" xfId="8017" xr:uid="{D209F94B-6A47-4656-84BE-9C95E13F502E}"/>
    <cellStyle name="60% - Énfasis3 3 6 2" xfId="23430" xr:uid="{9AA515B4-878D-4342-BB94-F568F0152E94}"/>
    <cellStyle name="60% - Énfasis3 3 6 2 2" xfId="54150" xr:uid="{AF2FDFF8-E543-490B-BCF2-85885F9EA277}"/>
    <cellStyle name="60% - Énfasis3 3 6 3" xfId="54149" xr:uid="{50037282-7FFB-48A1-A06E-DAD94DC25685}"/>
    <cellStyle name="60% - Énfasis3 3 7" xfId="15725" xr:uid="{E8BE221E-0491-40E5-BE31-02BCEC47854C}"/>
    <cellStyle name="60% - Énfasis3 3 7 2" xfId="54151" xr:uid="{5D9B729A-1212-44D3-BAA5-C6EFCDB70535}"/>
    <cellStyle name="60% - Énfasis3 3 8" xfId="54088" xr:uid="{2879156A-F44A-4771-B7E8-ACAE283A4CAB}"/>
    <cellStyle name="60% - Énfasis3 30" xfId="3124" xr:uid="{61F156C2-AE35-45CE-8FB1-54B81951A9F1}"/>
    <cellStyle name="60% - Énfasis3 30 2" xfId="6856" xr:uid="{570B5774-865B-4BC2-8E99-F0783198A254}"/>
    <cellStyle name="60% - Énfasis3 30 2 2" xfId="14564" xr:uid="{621BF4CC-C4CB-454F-8514-DD2EC812E620}"/>
    <cellStyle name="60% - Énfasis3 30 2 2 2" xfId="29976" xr:uid="{7F0ED037-6FE8-456B-BE2E-4EBCA15233ED}"/>
    <cellStyle name="60% - Énfasis3 30 2 2 2 2" xfId="54155" xr:uid="{94F2CB65-C844-46E6-802C-667CE9CAB9B2}"/>
    <cellStyle name="60% - Énfasis3 30 2 2 3" xfId="54154" xr:uid="{E4811F73-434C-4F2E-BF0D-464E6540A460}"/>
    <cellStyle name="60% - Énfasis3 30 2 3" xfId="22271" xr:uid="{891405AD-2D51-4F40-8817-96942A4628D9}"/>
    <cellStyle name="60% - Énfasis3 30 2 3 2" xfId="54156" xr:uid="{38EA2AE8-97AF-4735-BDF4-B421E1B8D600}"/>
    <cellStyle name="60% - Énfasis3 30 2 4" xfId="54153" xr:uid="{C0F68B45-55D2-492E-BCC5-2B8242077169}"/>
    <cellStyle name="60% - Énfasis3 30 3" xfId="10835" xr:uid="{5F16BB3D-A461-4F50-A6DA-32BAA6F18F60}"/>
    <cellStyle name="60% - Énfasis3 30 3 2" xfId="26248" xr:uid="{6DD267A2-75E9-4724-99F6-73AE521004FB}"/>
    <cellStyle name="60% - Énfasis3 30 3 2 2" xfId="54158" xr:uid="{75693B01-00A3-450A-B906-B4CCD1F9E5B0}"/>
    <cellStyle name="60% - Énfasis3 30 3 3" xfId="54157" xr:uid="{AEC1610A-BF1C-4797-8757-C74F8F0F1294}"/>
    <cellStyle name="60% - Énfasis3 30 4" xfId="18543" xr:uid="{4851CF26-8073-42D4-A25D-1778B11640F4}"/>
    <cellStyle name="60% - Énfasis3 30 4 2" xfId="54159" xr:uid="{8BEB4532-7C18-4C5F-9A8F-AB2BDFDA1666}"/>
    <cellStyle name="60% - Énfasis3 30 5" xfId="54152" xr:uid="{8126C0D2-F4E4-435A-B8F0-A23A1FE857F1}"/>
    <cellStyle name="60% - Énfasis3 31" xfId="3144" xr:uid="{456B026B-5C72-4C71-B3D1-274BFE86668F}"/>
    <cellStyle name="60% - Énfasis3 31 2" xfId="6876" xr:uid="{9D060849-5A91-4858-9ADD-E2CFAD743B91}"/>
    <cellStyle name="60% - Énfasis3 31 2 2" xfId="14584" xr:uid="{5D1EE19E-FD33-4BAB-8080-87329DD6F046}"/>
    <cellStyle name="60% - Énfasis3 31 2 2 2" xfId="29996" xr:uid="{97CD8E64-B558-4339-8AEB-CD81D9748154}"/>
    <cellStyle name="60% - Énfasis3 31 2 2 2 2" xfId="54163" xr:uid="{FBC0B979-A699-40D5-A1D3-BB2CBAEBC56D}"/>
    <cellStyle name="60% - Énfasis3 31 2 2 3" xfId="54162" xr:uid="{96CF2981-5CE2-4D64-9DDB-449846A8A1F8}"/>
    <cellStyle name="60% - Énfasis3 31 2 3" xfId="22291" xr:uid="{160F9EE6-92C4-4DD4-8737-D27E6D596B94}"/>
    <cellStyle name="60% - Énfasis3 31 2 3 2" xfId="54164" xr:uid="{D82C3CBB-DECC-42A3-9C7E-F53B48A5C133}"/>
    <cellStyle name="60% - Énfasis3 31 2 4" xfId="54161" xr:uid="{EAB5FEF2-BDC6-4539-ABB1-A99FDD1E3326}"/>
    <cellStyle name="60% - Énfasis3 31 3" xfId="10855" xr:uid="{8F45AB07-10BD-4144-A4E6-2EE96C38083E}"/>
    <cellStyle name="60% - Énfasis3 31 3 2" xfId="26268" xr:uid="{2BC27492-F3A9-4E6C-8CC2-A54E417BEBB0}"/>
    <cellStyle name="60% - Énfasis3 31 3 2 2" xfId="54166" xr:uid="{5FCF82E6-CC67-47C0-9C89-5561BE2F3FA6}"/>
    <cellStyle name="60% - Énfasis3 31 3 3" xfId="54165" xr:uid="{0612B3C2-1C34-4CF7-A21C-C5E75C80AC4A}"/>
    <cellStyle name="60% - Énfasis3 31 4" xfId="18563" xr:uid="{9D0FF7DB-2556-49AE-B687-13E292463383}"/>
    <cellStyle name="60% - Énfasis3 31 4 2" xfId="54167" xr:uid="{968C0D70-9253-44B9-8817-79C67891BBFD}"/>
    <cellStyle name="60% - Énfasis3 31 5" xfId="54160" xr:uid="{8EED7CFC-2B97-4A3B-9ECA-3E202B0D74F2}"/>
    <cellStyle name="60% - Énfasis3 32" xfId="3164" xr:uid="{5F99E025-E1C5-48A3-8EA7-F540FE7C6835}"/>
    <cellStyle name="60% - Énfasis3 32 2" xfId="6896" xr:uid="{2A22929C-FF00-4C7C-9D96-63B6211A6E70}"/>
    <cellStyle name="60% - Énfasis3 32 2 2" xfId="14604" xr:uid="{BDF8E20D-3046-4268-95F3-33D0CE479E36}"/>
    <cellStyle name="60% - Énfasis3 32 2 2 2" xfId="30016" xr:uid="{8480ABF6-D1A7-4A09-9227-8DDFF71DAA61}"/>
    <cellStyle name="60% - Énfasis3 32 2 2 2 2" xfId="54171" xr:uid="{FE96CEDF-672C-4950-86A0-E2A8FE74BE30}"/>
    <cellStyle name="60% - Énfasis3 32 2 2 3" xfId="54170" xr:uid="{20648AEE-35D4-4172-A2F8-17F00613881D}"/>
    <cellStyle name="60% - Énfasis3 32 2 3" xfId="22311" xr:uid="{953CC461-B99C-4FD6-AE41-1A0F408922C3}"/>
    <cellStyle name="60% - Énfasis3 32 2 3 2" xfId="54172" xr:uid="{AD618E95-887D-406E-AB92-B44266AAFAA0}"/>
    <cellStyle name="60% - Énfasis3 32 2 4" xfId="54169" xr:uid="{4154500E-8CD5-42FD-A36A-1D23F80A5E03}"/>
    <cellStyle name="60% - Énfasis3 32 3" xfId="10875" xr:uid="{BAF504DA-C9EA-4C00-BB84-151AD124D899}"/>
    <cellStyle name="60% - Énfasis3 32 3 2" xfId="26288" xr:uid="{2EC93111-7362-469E-9552-C7E94365AC61}"/>
    <cellStyle name="60% - Énfasis3 32 3 2 2" xfId="54174" xr:uid="{AB94B288-4559-4239-B330-1030B8187A7D}"/>
    <cellStyle name="60% - Énfasis3 32 3 3" xfId="54173" xr:uid="{61344FE1-F6CC-46A8-B370-F574BF45ED96}"/>
    <cellStyle name="60% - Énfasis3 32 4" xfId="18583" xr:uid="{F4E58D80-FDC0-4CF1-8E00-322607FC6E86}"/>
    <cellStyle name="60% - Énfasis3 32 4 2" xfId="54175" xr:uid="{D2E824C8-65E3-48F7-A42E-7CCADF9BA327}"/>
    <cellStyle name="60% - Énfasis3 32 5" xfId="54168" xr:uid="{5D81AFDD-E784-42CE-9679-14A7A2CFEA68}"/>
    <cellStyle name="60% - Énfasis3 33" xfId="3184" xr:uid="{BF0B1862-A85B-40A6-ABAB-97E421C97416}"/>
    <cellStyle name="60% - Énfasis3 33 2" xfId="6916" xr:uid="{7F0E5CB6-D39A-4FAE-BA99-68F509D0E540}"/>
    <cellStyle name="60% - Énfasis3 33 2 2" xfId="14624" xr:uid="{04BCB3F3-7300-45A0-8946-3E85EE7295BB}"/>
    <cellStyle name="60% - Énfasis3 33 2 2 2" xfId="30036" xr:uid="{5E35B500-228B-44AA-9B8B-40AC0535955A}"/>
    <cellStyle name="60% - Énfasis3 33 2 2 2 2" xfId="54179" xr:uid="{D53301AB-270F-46AE-A131-117FB84CB8BB}"/>
    <cellStyle name="60% - Énfasis3 33 2 2 3" xfId="54178" xr:uid="{B729BFAA-3729-43DE-825E-3DDFD401A079}"/>
    <cellStyle name="60% - Énfasis3 33 2 3" xfId="22331" xr:uid="{9878A0DA-4223-4BED-BB5B-962DE035EDA7}"/>
    <cellStyle name="60% - Énfasis3 33 2 3 2" xfId="54180" xr:uid="{AFF4B0A5-9E0A-4AAD-80EA-D7AFD92B3AB0}"/>
    <cellStyle name="60% - Énfasis3 33 2 4" xfId="54177" xr:uid="{4F21CFC6-A9F3-47EE-B3F5-5A0E73AC203E}"/>
    <cellStyle name="60% - Énfasis3 33 3" xfId="10895" xr:uid="{1D4058B9-FC32-4FEA-A80C-D62B9653558F}"/>
    <cellStyle name="60% - Énfasis3 33 3 2" xfId="26308" xr:uid="{B6CCA7BF-BC8C-4C43-BC25-0A846F604207}"/>
    <cellStyle name="60% - Énfasis3 33 3 2 2" xfId="54182" xr:uid="{15DA43B7-3C2B-41E8-A40A-F515F1122D0C}"/>
    <cellStyle name="60% - Énfasis3 33 3 3" xfId="54181" xr:uid="{F7583A2F-ED1D-4949-A83A-2A6BC345E387}"/>
    <cellStyle name="60% - Énfasis3 33 4" xfId="18603" xr:uid="{658BEFB0-2B8E-49DD-974A-A15C29D53C7F}"/>
    <cellStyle name="60% - Énfasis3 33 4 2" xfId="54183" xr:uid="{0AF87E19-1A8D-43F1-8A14-7B77163C6F17}"/>
    <cellStyle name="60% - Énfasis3 33 5" xfId="54176" xr:uid="{28AC6461-5CF3-487A-B846-5AC58E19BCFA}"/>
    <cellStyle name="60% - Énfasis3 34" xfId="3204" xr:uid="{85B0CD09-96AF-4E84-9A3E-2F136891320B}"/>
    <cellStyle name="60% - Énfasis3 34 2" xfId="6936" xr:uid="{2CAC0254-CB21-49E2-9550-5ED363CE92D9}"/>
    <cellStyle name="60% - Énfasis3 34 2 2" xfId="14644" xr:uid="{270E7344-E367-4F5C-9898-A5821742F427}"/>
    <cellStyle name="60% - Énfasis3 34 2 2 2" xfId="30056" xr:uid="{856B6763-4752-4F43-8600-8FA538E7908C}"/>
    <cellStyle name="60% - Énfasis3 34 2 2 2 2" xfId="54187" xr:uid="{53A3D2AA-F694-4C37-A72A-FB6459935C59}"/>
    <cellStyle name="60% - Énfasis3 34 2 2 3" xfId="54186" xr:uid="{B2F320B6-44A3-4402-A307-5A1BB1FDB229}"/>
    <cellStyle name="60% - Énfasis3 34 2 3" xfId="22351" xr:uid="{75513933-5B4C-42D5-84D1-69B15921D669}"/>
    <cellStyle name="60% - Énfasis3 34 2 3 2" xfId="54188" xr:uid="{CD90C12A-3946-4B81-8E27-97BFDC8385E1}"/>
    <cellStyle name="60% - Énfasis3 34 2 4" xfId="54185" xr:uid="{7BD1E0D8-F66D-432E-B583-3A3435B872D2}"/>
    <cellStyle name="60% - Énfasis3 34 3" xfId="10915" xr:uid="{82C8C733-C405-4AA5-B703-9F9B6C09B6D3}"/>
    <cellStyle name="60% - Énfasis3 34 3 2" xfId="26328" xr:uid="{4731139C-7BD0-4DD9-8CB9-A76D6625F11B}"/>
    <cellStyle name="60% - Énfasis3 34 3 2 2" xfId="54190" xr:uid="{AA4479C0-A844-4C42-8A87-EED18F74E34C}"/>
    <cellStyle name="60% - Énfasis3 34 3 3" xfId="54189" xr:uid="{5025DD92-AB7D-4E7E-8258-D59533007106}"/>
    <cellStyle name="60% - Énfasis3 34 4" xfId="18623" xr:uid="{0E6093B4-F794-4F50-9167-7B9C5AF13013}"/>
    <cellStyle name="60% - Énfasis3 34 4 2" xfId="54191" xr:uid="{8C57D27B-A559-4E83-89E6-0AD8043C10AA}"/>
    <cellStyle name="60% - Énfasis3 34 5" xfId="54184" xr:uid="{249D2003-32F0-4ECE-BC52-2F023AC692FA}"/>
    <cellStyle name="60% - Énfasis3 35" xfId="3224" xr:uid="{2350761A-E4CB-4870-8EFA-151228A27E09}"/>
    <cellStyle name="60% - Énfasis3 35 2" xfId="6956" xr:uid="{7D4BF35C-2422-4808-8842-E3604AC35B7B}"/>
    <cellStyle name="60% - Énfasis3 35 2 2" xfId="14664" xr:uid="{A7D0A26B-E5FA-4BED-9411-AC4030CF77E9}"/>
    <cellStyle name="60% - Énfasis3 35 2 2 2" xfId="30076" xr:uid="{95FC97A2-8603-42B6-81F8-65D0AD173866}"/>
    <cellStyle name="60% - Énfasis3 35 2 2 2 2" xfId="54195" xr:uid="{D1053803-1BB1-4149-BF71-E11175430692}"/>
    <cellStyle name="60% - Énfasis3 35 2 2 3" xfId="54194" xr:uid="{E8358887-ADDE-46D5-96B1-CD4CB1750B37}"/>
    <cellStyle name="60% - Énfasis3 35 2 3" xfId="22371" xr:uid="{E81B1535-E696-4B99-A956-B70684697161}"/>
    <cellStyle name="60% - Énfasis3 35 2 3 2" xfId="54196" xr:uid="{227FC5C2-1A17-430E-B688-A7D255639EEF}"/>
    <cellStyle name="60% - Énfasis3 35 2 4" xfId="54193" xr:uid="{7B2E133D-34C5-4F5A-B68E-B634525A7063}"/>
    <cellStyle name="60% - Énfasis3 35 3" xfId="10935" xr:uid="{0F46D1C3-0B6C-4F08-8A9F-828B316D3EC9}"/>
    <cellStyle name="60% - Énfasis3 35 3 2" xfId="26348" xr:uid="{FA7FD02E-7EEE-4DB0-B2C8-B94D4866FA22}"/>
    <cellStyle name="60% - Énfasis3 35 3 2 2" xfId="54198" xr:uid="{BE114799-8D84-46FE-B1C9-CE70F2F67A0A}"/>
    <cellStyle name="60% - Énfasis3 35 3 3" xfId="54197" xr:uid="{24EEAF53-3D1C-4376-A7F8-3960289A8E03}"/>
    <cellStyle name="60% - Énfasis3 35 4" xfId="18643" xr:uid="{4CB6E97F-BFB6-4700-AE61-8F74BC3748D6}"/>
    <cellStyle name="60% - Énfasis3 35 4 2" xfId="54199" xr:uid="{C80B087E-5BA4-4A87-B66D-CD70D05996C9}"/>
    <cellStyle name="60% - Énfasis3 35 5" xfId="54192" xr:uid="{98B78C72-14D8-4D89-993C-D0A895B224A3}"/>
    <cellStyle name="60% - Énfasis3 36" xfId="3244" xr:uid="{E62EE44B-0DC1-4B1A-B30C-4711DA8339BF}"/>
    <cellStyle name="60% - Énfasis3 36 2" xfId="6976" xr:uid="{007AB6DF-3731-4D62-9C8B-B53D34DFA5EB}"/>
    <cellStyle name="60% - Énfasis3 36 2 2" xfId="14684" xr:uid="{268B5FDA-35CF-4B49-B21D-F5F2C56BAC92}"/>
    <cellStyle name="60% - Énfasis3 36 2 2 2" xfId="30096" xr:uid="{933D2AD4-8F96-419F-A7B3-43CB9C8748F4}"/>
    <cellStyle name="60% - Énfasis3 36 2 2 2 2" xfId="54203" xr:uid="{40F424B1-C764-4954-8552-A4CBFC79EC02}"/>
    <cellStyle name="60% - Énfasis3 36 2 2 3" xfId="54202" xr:uid="{1562BBFA-63BD-453A-949B-50949A95ED28}"/>
    <cellStyle name="60% - Énfasis3 36 2 3" xfId="22391" xr:uid="{C8762EE8-C1A9-4384-918C-F3DE6EDE0E5D}"/>
    <cellStyle name="60% - Énfasis3 36 2 3 2" xfId="54204" xr:uid="{D73A9B03-2732-4289-B1BC-1012983BC6BD}"/>
    <cellStyle name="60% - Énfasis3 36 2 4" xfId="54201" xr:uid="{451F32AF-EFB1-4661-8830-EA0D6D61148B}"/>
    <cellStyle name="60% - Énfasis3 36 3" xfId="10955" xr:uid="{FAB48516-A7CD-4107-9368-BDEB9A145D30}"/>
    <cellStyle name="60% - Énfasis3 36 3 2" xfId="26368" xr:uid="{467F7B0D-FB82-4EF6-8C97-3EB120A881DB}"/>
    <cellStyle name="60% - Énfasis3 36 3 2 2" xfId="54206" xr:uid="{90708FD0-759F-4D81-A1BC-63591826618F}"/>
    <cellStyle name="60% - Énfasis3 36 3 3" xfId="54205" xr:uid="{FBF17CB6-62D5-456E-A40C-6AD1D8DB6343}"/>
    <cellStyle name="60% - Énfasis3 36 4" xfId="18663" xr:uid="{E22A6CEA-7D18-470A-A897-AA7CC177136C}"/>
    <cellStyle name="60% - Énfasis3 36 4 2" xfId="54207" xr:uid="{12353D29-1D78-419E-AAB2-566D5115C4BB}"/>
    <cellStyle name="60% - Énfasis3 36 5" xfId="54200" xr:uid="{EFDF8400-142D-492E-BAB2-07BDCBFF6FE6}"/>
    <cellStyle name="60% - Énfasis3 37" xfId="3264" xr:uid="{6CBC0021-009B-4561-80EA-82172132E665}"/>
    <cellStyle name="60% - Énfasis3 37 2" xfId="6996" xr:uid="{6F31BDA2-D440-410A-A4B7-6B7AEA968BFD}"/>
    <cellStyle name="60% - Énfasis3 37 2 2" xfId="14704" xr:uid="{158BA50B-1565-4B06-82A1-8B4AC7287199}"/>
    <cellStyle name="60% - Énfasis3 37 2 2 2" xfId="30116" xr:uid="{E29B13FF-4973-4952-9FE7-C9EB65807493}"/>
    <cellStyle name="60% - Énfasis3 37 2 2 2 2" xfId="54211" xr:uid="{738FFB00-E138-4809-8BFA-BB333E0C0169}"/>
    <cellStyle name="60% - Énfasis3 37 2 2 3" xfId="54210" xr:uid="{5DCC3D6C-83E4-4141-8097-F0173D08FF0C}"/>
    <cellStyle name="60% - Énfasis3 37 2 3" xfId="22411" xr:uid="{D0879978-3960-4B0A-96C5-E0C4ABAAAFA7}"/>
    <cellStyle name="60% - Énfasis3 37 2 3 2" xfId="54212" xr:uid="{C3C4778C-FD30-481D-81B5-45089E08361D}"/>
    <cellStyle name="60% - Énfasis3 37 2 4" xfId="54209" xr:uid="{8D180544-333C-4D31-B02F-01AE1B5420D2}"/>
    <cellStyle name="60% - Énfasis3 37 3" xfId="10975" xr:uid="{0F57005E-916B-4229-A636-3E7EF88C1888}"/>
    <cellStyle name="60% - Énfasis3 37 3 2" xfId="26388" xr:uid="{762EBE93-851A-4C91-B700-37A9402E6C58}"/>
    <cellStyle name="60% - Énfasis3 37 3 2 2" xfId="54214" xr:uid="{B8248FAF-D586-4DF4-B442-79BBD8DA2692}"/>
    <cellStyle name="60% - Énfasis3 37 3 3" xfId="54213" xr:uid="{41FB7642-174E-4F32-B617-A54FD3CB0645}"/>
    <cellStyle name="60% - Énfasis3 37 4" xfId="18683" xr:uid="{57A5C781-7BFD-408A-B1BE-7B5A6B82A698}"/>
    <cellStyle name="60% - Énfasis3 37 4 2" xfId="54215" xr:uid="{6C05960E-8C36-4388-9A64-AC72006336F7}"/>
    <cellStyle name="60% - Énfasis3 37 5" xfId="54208" xr:uid="{B4A5746C-FE48-488B-B586-91E640310D5A}"/>
    <cellStyle name="60% - Énfasis3 38" xfId="3284" xr:uid="{FAC924DD-731D-4405-AB85-42BB59696FD4}"/>
    <cellStyle name="60% - Énfasis3 38 2" xfId="7016" xr:uid="{EE446789-AA5A-4F32-A5FB-BB6C78DE67C4}"/>
    <cellStyle name="60% - Énfasis3 38 2 2" xfId="14724" xr:uid="{752BCB2E-7B9B-4EF3-9DFB-BAAB5BE3BEC0}"/>
    <cellStyle name="60% - Énfasis3 38 2 2 2" xfId="30136" xr:uid="{DB37F789-C4A1-416C-9C71-C7AA07A7E440}"/>
    <cellStyle name="60% - Énfasis3 38 2 2 2 2" xfId="54219" xr:uid="{5FE2BD91-01F6-4548-9E75-3EF95DA9C30D}"/>
    <cellStyle name="60% - Énfasis3 38 2 2 3" xfId="54218" xr:uid="{6B2C219A-B655-4509-B397-64745D78146D}"/>
    <cellStyle name="60% - Énfasis3 38 2 3" xfId="22431" xr:uid="{49FCDD77-2942-43AC-AA18-51D1B043A416}"/>
    <cellStyle name="60% - Énfasis3 38 2 3 2" xfId="54220" xr:uid="{1BC1E835-5501-4862-801B-55E9E1DFC12F}"/>
    <cellStyle name="60% - Énfasis3 38 2 4" xfId="54217" xr:uid="{68200CF8-5805-47A5-A232-6A44EA52EB28}"/>
    <cellStyle name="60% - Énfasis3 38 3" xfId="10995" xr:uid="{256592B2-7D01-49E8-9FCD-BB23BD67C528}"/>
    <cellStyle name="60% - Énfasis3 38 3 2" xfId="26408" xr:uid="{D6C467C7-5A71-412D-AC23-EA6ABFC3BC79}"/>
    <cellStyle name="60% - Énfasis3 38 3 2 2" xfId="54222" xr:uid="{78F72334-D9C6-4A03-9F90-F49931142F84}"/>
    <cellStyle name="60% - Énfasis3 38 3 3" xfId="54221" xr:uid="{A929B34A-E253-4E80-B014-BD0F89F0E9F1}"/>
    <cellStyle name="60% - Énfasis3 38 4" xfId="18703" xr:uid="{E8743DF2-D989-4338-BD0B-1B5E2CB31A29}"/>
    <cellStyle name="60% - Énfasis3 38 4 2" xfId="54223" xr:uid="{E1126BB6-2340-44CB-8E35-AF9E1A0A6051}"/>
    <cellStyle name="60% - Énfasis3 38 5" xfId="54216" xr:uid="{6E08529B-B3B9-4D61-A9B3-2AB329A48D60}"/>
    <cellStyle name="60% - Énfasis3 4" xfId="289" xr:uid="{932ABD7A-1935-4E40-8C30-3F7C80561321}"/>
    <cellStyle name="60% - Énfasis3 4 2" xfId="492" xr:uid="{7F06ABB8-680F-4D8E-83C0-7DDD7447CE77}"/>
    <cellStyle name="60% - Énfasis3 4 2 2" xfId="1153" xr:uid="{563D1DBD-D1BD-41DE-9903-0981519B7415}"/>
    <cellStyle name="60% - Énfasis3 4 2 2 2" xfId="2621" xr:uid="{C47B7F75-7AA8-4572-8F02-906EBA89D44C}"/>
    <cellStyle name="60% - Énfasis3 4 2 2 2 2" xfId="6353" xr:uid="{D1AA00CD-B476-47AF-8863-73F96AAC545A}"/>
    <cellStyle name="60% - Énfasis3 4 2 2 2 2 2" xfId="14061" xr:uid="{F30CF003-B018-4929-B079-0A7ECB436ACE}"/>
    <cellStyle name="60% - Énfasis3 4 2 2 2 2 2 2" xfId="29473" xr:uid="{895D78FD-0B34-40CE-8A3F-076B95B281D6}"/>
    <cellStyle name="60% - Énfasis3 4 2 2 2 2 2 2 2" xfId="54230" xr:uid="{F4CE4450-8521-44A8-9FBC-D3E4145F5D0E}"/>
    <cellStyle name="60% - Énfasis3 4 2 2 2 2 2 3" xfId="54229" xr:uid="{ED0691DA-FDE6-42D6-A03D-6A3D462D199F}"/>
    <cellStyle name="60% - Énfasis3 4 2 2 2 2 3" xfId="21768" xr:uid="{F698ACFC-533D-4EDE-84D2-978D4EA82EB9}"/>
    <cellStyle name="60% - Énfasis3 4 2 2 2 2 3 2" xfId="54231" xr:uid="{BC39CCC5-F59E-4BFD-A594-9D118850C1BD}"/>
    <cellStyle name="60% - Énfasis3 4 2 2 2 2 4" xfId="54228" xr:uid="{E9CCF0C7-F9BA-4674-969F-F0BD87118026}"/>
    <cellStyle name="60% - Énfasis3 4 2 2 2 3" xfId="10332" xr:uid="{D5104600-3F7B-4A91-9D1A-CE6EFEE81EAE}"/>
    <cellStyle name="60% - Énfasis3 4 2 2 2 3 2" xfId="25745" xr:uid="{17374853-15FD-4816-9096-DC7AD76A13F9}"/>
    <cellStyle name="60% - Énfasis3 4 2 2 2 3 2 2" xfId="54233" xr:uid="{54BF61D6-C537-41EA-BD0A-AED704B904D1}"/>
    <cellStyle name="60% - Énfasis3 4 2 2 2 3 3" xfId="54232" xr:uid="{3EDDDBD3-1498-4308-9768-3D68729C7DE5}"/>
    <cellStyle name="60% - Énfasis3 4 2 2 2 4" xfId="18040" xr:uid="{8A68E1D6-B67D-4BB9-AE5A-A656C1E6E434}"/>
    <cellStyle name="60% - Énfasis3 4 2 2 2 4 2" xfId="54234" xr:uid="{4A85287A-68E4-42BA-80CD-E006F5362323}"/>
    <cellStyle name="60% - Énfasis3 4 2 2 2 5" xfId="54227" xr:uid="{E6072EEC-21CA-4337-AAEB-27F49C4B3023}"/>
    <cellStyle name="60% - Énfasis3 4 2 2 3" xfId="4890" xr:uid="{DAE47DBC-A09B-4EE8-A24A-EDEF17F6F148}"/>
    <cellStyle name="60% - Énfasis3 4 2 2 3 2" xfId="12598" xr:uid="{0C1DD490-2F3C-4A01-9767-96EE0ADB3D03}"/>
    <cellStyle name="60% - Énfasis3 4 2 2 3 2 2" xfId="28010" xr:uid="{22C0A8E6-B2EA-4661-A4E0-6EBBBDCC351B}"/>
    <cellStyle name="60% - Énfasis3 4 2 2 3 2 2 2" xfId="54237" xr:uid="{BF6BC2FC-D6DA-4EFE-A1FD-DEE49878B853}"/>
    <cellStyle name="60% - Énfasis3 4 2 2 3 2 3" xfId="54236" xr:uid="{77FF2E61-F47C-4068-8589-7ABC23B29067}"/>
    <cellStyle name="60% - Énfasis3 4 2 2 3 3" xfId="20305" xr:uid="{D6730E81-FE94-4B02-AC30-442E064FCABC}"/>
    <cellStyle name="60% - Énfasis3 4 2 2 3 3 2" xfId="54238" xr:uid="{9694AD67-0E0A-4DD3-8221-BBC81A6F39E6}"/>
    <cellStyle name="60% - Énfasis3 4 2 2 3 4" xfId="54235" xr:uid="{563F73CE-EF6F-4CE1-977E-E86BDFEE21AF}"/>
    <cellStyle name="60% - Énfasis3 4 2 2 4" xfId="8873" xr:uid="{EC94B30C-41F4-490C-B45F-5A8D4806F013}"/>
    <cellStyle name="60% - Énfasis3 4 2 2 4 2" xfId="24286" xr:uid="{FBC61A74-CA82-4173-8146-A5D71233140C}"/>
    <cellStyle name="60% - Énfasis3 4 2 2 4 2 2" xfId="54240" xr:uid="{7FF98815-7910-4D42-BBF7-E9903091F081}"/>
    <cellStyle name="60% - Énfasis3 4 2 2 4 3" xfId="54239" xr:uid="{D41EECF8-BD57-4A03-80B0-861C6D5F664F}"/>
    <cellStyle name="60% - Énfasis3 4 2 2 5" xfId="16581" xr:uid="{88F7FAD0-C10F-4625-ABE4-69A277754A79}"/>
    <cellStyle name="60% - Énfasis3 4 2 2 5 2" xfId="54241" xr:uid="{FE6835A8-59A2-4581-AF36-44079AD5B03F}"/>
    <cellStyle name="60% - Énfasis3 4 2 2 6" xfId="54226" xr:uid="{0802C370-BF99-49CB-B45B-361D4F3CC43A}"/>
    <cellStyle name="60% - Énfasis3 4 2 3" xfId="1983" xr:uid="{63A136B0-9961-498A-BD82-BE3E16D20FA1}"/>
    <cellStyle name="60% - Énfasis3 4 2 3 2" xfId="5715" xr:uid="{E04B0068-AD3F-4F73-B9B9-D787D318F666}"/>
    <cellStyle name="60% - Énfasis3 4 2 3 2 2" xfId="13423" xr:uid="{1F4B4CAC-13F2-4E58-9596-C0BCFD91802C}"/>
    <cellStyle name="60% - Énfasis3 4 2 3 2 2 2" xfId="28835" xr:uid="{B20972E4-2ED6-4F28-BA17-15459E025B48}"/>
    <cellStyle name="60% - Énfasis3 4 2 3 2 2 2 2" xfId="54245" xr:uid="{1B2E00F8-C27B-4218-8D70-5F5A200972E1}"/>
    <cellStyle name="60% - Énfasis3 4 2 3 2 2 3" xfId="54244" xr:uid="{D97C197E-8F7D-48E3-87A9-9EA37FC0AB49}"/>
    <cellStyle name="60% - Énfasis3 4 2 3 2 3" xfId="21130" xr:uid="{B4334961-7536-4223-B498-388A3D3F18D8}"/>
    <cellStyle name="60% - Énfasis3 4 2 3 2 3 2" xfId="54246" xr:uid="{704471F1-1EA6-4988-832E-31C9CB428797}"/>
    <cellStyle name="60% - Énfasis3 4 2 3 2 4" xfId="54243" xr:uid="{0E791537-F621-4782-8957-774F47F7567E}"/>
    <cellStyle name="60% - Énfasis3 4 2 3 3" xfId="9694" xr:uid="{44E93585-4B12-4C50-AF0C-CCD3AFF09173}"/>
    <cellStyle name="60% - Énfasis3 4 2 3 3 2" xfId="25107" xr:uid="{F2357B1D-7FAB-4F01-BD5F-8EF208FD5E39}"/>
    <cellStyle name="60% - Énfasis3 4 2 3 3 2 2" xfId="54248" xr:uid="{18C1288C-6BB7-486A-AB93-8B77E3F6BCAF}"/>
    <cellStyle name="60% - Énfasis3 4 2 3 3 3" xfId="54247" xr:uid="{D94CD587-77FC-47AE-B30D-5B994BE62B00}"/>
    <cellStyle name="60% - Énfasis3 4 2 3 4" xfId="17402" xr:uid="{96E80DC4-2130-4804-AF44-506C5D136005}"/>
    <cellStyle name="60% - Énfasis3 4 2 3 4 2" xfId="54249" xr:uid="{496FD85D-E2C4-4E9B-B72F-DAF5B299C9DA}"/>
    <cellStyle name="60% - Énfasis3 4 2 3 5" xfId="54242" xr:uid="{D84BB1FD-F5F6-4983-A90A-E3B5772591E5}"/>
    <cellStyle name="60% - Énfasis3 4 2 4" xfId="4238" xr:uid="{561E6723-420C-497D-8776-52E776DEECB8}"/>
    <cellStyle name="60% - Énfasis3 4 2 4 2" xfId="11946" xr:uid="{B6AFA2AC-CD88-44B8-8A5B-8C2DF2618156}"/>
    <cellStyle name="60% - Énfasis3 4 2 4 2 2" xfId="27358" xr:uid="{617E7D0C-9606-4191-98A4-8B8E490FA984}"/>
    <cellStyle name="60% - Énfasis3 4 2 4 2 2 2" xfId="54252" xr:uid="{52FB7536-D7CF-4A49-9FFE-D07348CEE87E}"/>
    <cellStyle name="60% - Énfasis3 4 2 4 2 3" xfId="54251" xr:uid="{D57C900B-BF53-4F89-892A-797A1367D68B}"/>
    <cellStyle name="60% - Énfasis3 4 2 4 3" xfId="19653" xr:uid="{B647F23D-ADDD-4FAE-9579-BF7DFDD92C69}"/>
    <cellStyle name="60% - Énfasis3 4 2 4 3 2" xfId="54253" xr:uid="{FB921632-1D28-4BB8-98BE-C853F0081A64}"/>
    <cellStyle name="60% - Énfasis3 4 2 4 4" xfId="54250" xr:uid="{70F34A1C-B140-4B10-8D77-9F6E0CC053D5}"/>
    <cellStyle name="60% - Énfasis3 4 2 5" xfId="8235" xr:uid="{2DF2D867-2C0B-41B8-817C-091F43118695}"/>
    <cellStyle name="60% - Énfasis3 4 2 5 2" xfId="23648" xr:uid="{83841670-5951-4DE3-8B29-00FF10310156}"/>
    <cellStyle name="60% - Énfasis3 4 2 5 2 2" xfId="54255" xr:uid="{9F3B5E17-B56C-40F0-8F8A-3134780E4CC9}"/>
    <cellStyle name="60% - Énfasis3 4 2 5 3" xfId="54254" xr:uid="{F6DF4469-B668-492B-BC49-6BE7DC7A6324}"/>
    <cellStyle name="60% - Énfasis3 4 2 6" xfId="15943" xr:uid="{E8C71DE9-308C-4CDB-B640-999839AF6B44}"/>
    <cellStyle name="60% - Énfasis3 4 2 6 2" xfId="54256" xr:uid="{40A43E78-C812-4725-A965-D8F7D2969DF2}"/>
    <cellStyle name="60% - Énfasis3 4 2 7" xfId="54225" xr:uid="{673DDECA-3CBE-44F2-91B6-136845A24EB0}"/>
    <cellStyle name="60% - Énfasis3 4 3" xfId="953" xr:uid="{80E99D34-354B-4E55-A035-362BCC693185}"/>
    <cellStyle name="60% - Énfasis3 4 3 2" xfId="2423" xr:uid="{86B264EA-F2F8-4BFB-AE1A-3FA924F0D1AC}"/>
    <cellStyle name="60% - Énfasis3 4 3 2 2" xfId="6155" xr:uid="{241C896D-0F04-4F20-A290-7022F293DFD6}"/>
    <cellStyle name="60% - Énfasis3 4 3 2 2 2" xfId="13863" xr:uid="{7C9C7738-E341-4AB9-8B0C-D9BECC5D3F43}"/>
    <cellStyle name="60% - Énfasis3 4 3 2 2 2 2" xfId="29275" xr:uid="{C7D0EB48-072B-4B4A-97E8-F1621F8C238B}"/>
    <cellStyle name="60% - Énfasis3 4 3 2 2 2 2 2" xfId="54261" xr:uid="{7C2E79EA-584F-405A-B226-3A091F7D9D5C}"/>
    <cellStyle name="60% - Énfasis3 4 3 2 2 2 3" xfId="54260" xr:uid="{52E7BA72-4F19-4D07-9D65-32E28AB2A991}"/>
    <cellStyle name="60% - Énfasis3 4 3 2 2 3" xfId="21570" xr:uid="{8D572B78-89DB-445F-ADD1-64D8B269BAA5}"/>
    <cellStyle name="60% - Énfasis3 4 3 2 2 3 2" xfId="54262" xr:uid="{F5A67490-5644-4BE0-A782-56D76422E952}"/>
    <cellStyle name="60% - Énfasis3 4 3 2 2 4" xfId="54259" xr:uid="{581272FF-9737-498E-A37A-660F00570833}"/>
    <cellStyle name="60% - Énfasis3 4 3 2 3" xfId="10134" xr:uid="{D954654F-1735-44C3-A63D-C83CCF37AC20}"/>
    <cellStyle name="60% - Énfasis3 4 3 2 3 2" xfId="25547" xr:uid="{F3A411F3-F90D-4C3D-8B57-E8E1FED0919F}"/>
    <cellStyle name="60% - Énfasis3 4 3 2 3 2 2" xfId="54264" xr:uid="{2949CF7A-083C-4EAB-A882-B077434C68CD}"/>
    <cellStyle name="60% - Énfasis3 4 3 2 3 3" xfId="54263" xr:uid="{586BD3CD-D50B-4795-B1F2-99A1A9CD24BE}"/>
    <cellStyle name="60% - Énfasis3 4 3 2 4" xfId="17842" xr:uid="{3EE08726-BC45-41A5-94F0-2C955716E2C3}"/>
    <cellStyle name="60% - Énfasis3 4 3 2 4 2" xfId="54265" xr:uid="{DFEE4699-B5E5-4DA2-BB41-23FB3635F45D}"/>
    <cellStyle name="60% - Énfasis3 4 3 2 5" xfId="54258" xr:uid="{F1F4BB32-FB8F-4503-AFDC-B3775F509794}"/>
    <cellStyle name="60% - Énfasis3 4 3 3" xfId="4690" xr:uid="{389117CF-5BF3-4367-A571-9DA7642B5978}"/>
    <cellStyle name="60% - Énfasis3 4 3 3 2" xfId="12398" xr:uid="{1D1378D9-7A21-43D3-8650-8CBF705E2755}"/>
    <cellStyle name="60% - Énfasis3 4 3 3 2 2" xfId="27810" xr:uid="{DC3BDDC8-594D-4D26-9535-882BA21DC8F8}"/>
    <cellStyle name="60% - Énfasis3 4 3 3 2 2 2" xfId="54268" xr:uid="{C45EF589-6031-4DB4-8528-AE169226993B}"/>
    <cellStyle name="60% - Énfasis3 4 3 3 2 3" xfId="54267" xr:uid="{B467CD08-351E-42F7-9D17-32FB587E9062}"/>
    <cellStyle name="60% - Énfasis3 4 3 3 3" xfId="20105" xr:uid="{99B77198-B692-4974-AC94-891DC3B85482}"/>
    <cellStyle name="60% - Énfasis3 4 3 3 3 2" xfId="54269" xr:uid="{57AFDD83-BFD4-4332-A03E-02567517C2E7}"/>
    <cellStyle name="60% - Énfasis3 4 3 3 4" xfId="54266" xr:uid="{555BEC46-3F2D-4CC6-9E9F-A234FAC1168A}"/>
    <cellStyle name="60% - Énfasis3 4 3 4" xfId="8675" xr:uid="{333005C5-5CA6-41CB-83A4-CDEA37E21FE4}"/>
    <cellStyle name="60% - Énfasis3 4 3 4 2" xfId="24088" xr:uid="{D1BE1AB8-D0A9-42DE-A4EA-260CF5F1817F}"/>
    <cellStyle name="60% - Énfasis3 4 3 4 2 2" xfId="54271" xr:uid="{7C63D37B-6275-427E-8F6C-154265A258E9}"/>
    <cellStyle name="60% - Énfasis3 4 3 4 3" xfId="54270" xr:uid="{415294A1-562C-4BB7-8622-07BCC797C791}"/>
    <cellStyle name="60% - Énfasis3 4 3 5" xfId="16383" xr:uid="{0DEA300F-E7A6-401F-A8B9-9ABFC59E16A4}"/>
    <cellStyle name="60% - Énfasis3 4 3 5 2" xfId="54272" xr:uid="{CF25EA1F-585E-47F1-92D0-CD0916060558}"/>
    <cellStyle name="60% - Énfasis3 4 3 6" xfId="54257" xr:uid="{8A9BE7EB-4389-4EF8-BBD1-1A87E614A848}"/>
    <cellStyle name="60% - Énfasis3 4 4" xfId="1785" xr:uid="{9B0F1FB1-84EA-44ED-A1BA-7590D6F8CD60}"/>
    <cellStyle name="60% - Énfasis3 4 4 2" xfId="5517" xr:uid="{E81E40E9-E101-46F2-865D-D97634AB07D3}"/>
    <cellStyle name="60% - Énfasis3 4 4 2 2" xfId="13225" xr:uid="{0704948F-D823-4198-9509-EDBEC4ECD53E}"/>
    <cellStyle name="60% - Énfasis3 4 4 2 2 2" xfId="28637" xr:uid="{4B6AF53D-FEF2-4E84-AF20-5B9C9E21F060}"/>
    <cellStyle name="60% - Énfasis3 4 4 2 2 2 2" xfId="54276" xr:uid="{3F4D4671-1F50-4EE8-A037-BA4C4BEF8723}"/>
    <cellStyle name="60% - Énfasis3 4 4 2 2 3" xfId="54275" xr:uid="{19296F02-F8F2-4A31-9371-D76FF7488904}"/>
    <cellStyle name="60% - Énfasis3 4 4 2 3" xfId="20932" xr:uid="{97C066DE-4F15-4A0D-ACB1-EAF49F2150D7}"/>
    <cellStyle name="60% - Énfasis3 4 4 2 3 2" xfId="54277" xr:uid="{E86347B2-5AF8-4C98-95BE-E8FD2FFBD0B2}"/>
    <cellStyle name="60% - Énfasis3 4 4 2 4" xfId="54274" xr:uid="{84CCF429-1A6B-4623-A3D0-67BF9873C9C7}"/>
    <cellStyle name="60% - Énfasis3 4 4 3" xfId="9496" xr:uid="{72A5C14C-8E0A-42D6-8DAA-34CBF8C609DB}"/>
    <cellStyle name="60% - Énfasis3 4 4 3 2" xfId="24909" xr:uid="{E8B954C7-6DEA-4A72-AE66-0FD22A2A5CD2}"/>
    <cellStyle name="60% - Énfasis3 4 4 3 2 2" xfId="54279" xr:uid="{1C8F8B90-6A4D-4BE3-BCFB-921928F42433}"/>
    <cellStyle name="60% - Énfasis3 4 4 3 3" xfId="54278" xr:uid="{D7384F2F-E48B-4208-9E1C-3DBC353B7201}"/>
    <cellStyle name="60% - Énfasis3 4 4 4" xfId="17204" xr:uid="{2542F233-F8B2-43B7-A730-F5675EA56C08}"/>
    <cellStyle name="60% - Énfasis3 4 4 4 2" xfId="54280" xr:uid="{58B5E0CB-E8B4-4767-914E-8771D1E119F9}"/>
    <cellStyle name="60% - Énfasis3 4 4 5" xfId="54273" xr:uid="{CA333229-A153-4D5F-B710-BCDAFCDEBCAA}"/>
    <cellStyle name="60% - Énfasis3 4 5" xfId="4038" xr:uid="{948C578E-4515-479B-8E77-CBD24948561E}"/>
    <cellStyle name="60% - Énfasis3 4 5 2" xfId="11746" xr:uid="{CE85A6F8-A0E0-4DD3-89A6-B1397A353ADC}"/>
    <cellStyle name="60% - Énfasis3 4 5 2 2" xfId="27158" xr:uid="{6FC8B155-9ED1-4790-9D3D-BB1EE62E98CA}"/>
    <cellStyle name="60% - Énfasis3 4 5 2 2 2" xfId="54283" xr:uid="{84C15EB2-0176-464E-BA08-DA0711D3AC1B}"/>
    <cellStyle name="60% - Énfasis3 4 5 2 3" xfId="54282" xr:uid="{74BE3327-3F0C-4B61-86F5-F105CF7D1F47}"/>
    <cellStyle name="60% - Énfasis3 4 5 3" xfId="19453" xr:uid="{E963A9F1-1D7B-4900-8846-BA085D438064}"/>
    <cellStyle name="60% - Énfasis3 4 5 3 2" xfId="54284" xr:uid="{F13F7FF0-3049-402A-9AE7-349B98F21C35}"/>
    <cellStyle name="60% - Énfasis3 4 5 4" xfId="54281" xr:uid="{908A8BC3-E7E1-41A6-995A-5FDF6E0B7A12}"/>
    <cellStyle name="60% - Énfasis3 4 6" xfId="8037" xr:uid="{06230E76-DB68-40F2-A05D-79B1F53BA669}"/>
    <cellStyle name="60% - Énfasis3 4 6 2" xfId="23450" xr:uid="{27ECDA90-E1DF-459C-8488-7F634596E1AE}"/>
    <cellStyle name="60% - Énfasis3 4 6 2 2" xfId="54286" xr:uid="{F279CF25-24EE-4852-AD99-7DF7254CA6ED}"/>
    <cellStyle name="60% - Énfasis3 4 6 3" xfId="54285" xr:uid="{6B21493B-4D8D-4D7C-9AEF-CADACD700473}"/>
    <cellStyle name="60% - Énfasis3 4 7" xfId="15745" xr:uid="{8AE45BFA-D307-4695-A929-42F84486B241}"/>
    <cellStyle name="60% - Énfasis3 4 7 2" xfId="54287" xr:uid="{7482DE79-D51F-4180-A6E2-6A004076D867}"/>
    <cellStyle name="60% - Énfasis3 4 8" xfId="54224" xr:uid="{D8250032-155B-4C9A-9BF5-08D800234F30}"/>
    <cellStyle name="60% - Énfasis3 5" xfId="309" xr:uid="{DD530433-2B5F-4883-9F8C-D8E1421319C5}"/>
    <cellStyle name="60% - Énfasis3 5 2" xfId="512" xr:uid="{5A16B7EF-69C2-4A89-AA3D-92F9542D6BB3}"/>
    <cellStyle name="60% - Énfasis3 5 2 2" xfId="1173" xr:uid="{783BAFE6-8354-4DFE-AA63-54AEAD7BF313}"/>
    <cellStyle name="60% - Énfasis3 5 2 2 2" xfId="2641" xr:uid="{BB1AB7FA-7202-40DC-887F-2883ADBCF8E7}"/>
    <cellStyle name="60% - Énfasis3 5 2 2 2 2" xfId="6373" xr:uid="{13B999BF-41D2-4CB9-BF7F-0CBA1E185042}"/>
    <cellStyle name="60% - Énfasis3 5 2 2 2 2 2" xfId="14081" xr:uid="{0BB99838-C7F4-4249-A949-E57B2050F77C}"/>
    <cellStyle name="60% - Énfasis3 5 2 2 2 2 2 2" xfId="29493" xr:uid="{55C1B7B3-B0B9-4DAE-BB33-BFCB9EB44848}"/>
    <cellStyle name="60% - Énfasis3 5 2 2 2 2 2 2 2" xfId="54294" xr:uid="{AF65B236-F73B-41A4-97B3-D6CC0BD42FB2}"/>
    <cellStyle name="60% - Énfasis3 5 2 2 2 2 2 3" xfId="54293" xr:uid="{9C44679B-9608-4854-9FB4-1DB37B129EBE}"/>
    <cellStyle name="60% - Énfasis3 5 2 2 2 2 3" xfId="21788" xr:uid="{04761145-0DA5-453D-A81A-3C6FAED4A222}"/>
    <cellStyle name="60% - Énfasis3 5 2 2 2 2 3 2" xfId="54295" xr:uid="{2CA30570-E83B-4E3D-8394-2B6DCADF0025}"/>
    <cellStyle name="60% - Énfasis3 5 2 2 2 2 4" xfId="54292" xr:uid="{0D41F4C3-756D-4E5B-970A-528B4CC35358}"/>
    <cellStyle name="60% - Énfasis3 5 2 2 2 3" xfId="10352" xr:uid="{D2D848D7-3C70-4E0C-9DB6-337CBC6F98A8}"/>
    <cellStyle name="60% - Énfasis3 5 2 2 2 3 2" xfId="25765" xr:uid="{2281276B-B274-46B3-961D-C99AA83A7CDF}"/>
    <cellStyle name="60% - Énfasis3 5 2 2 2 3 2 2" xfId="54297" xr:uid="{D9581D7E-25B7-4369-9756-3911DA927942}"/>
    <cellStyle name="60% - Énfasis3 5 2 2 2 3 3" xfId="54296" xr:uid="{F963F65B-43B1-4F25-8961-E271B3231FB6}"/>
    <cellStyle name="60% - Énfasis3 5 2 2 2 4" xfId="18060" xr:uid="{43FF531D-6BA9-444B-BC22-5C15685657CD}"/>
    <cellStyle name="60% - Énfasis3 5 2 2 2 4 2" xfId="54298" xr:uid="{F2EE6120-ED48-451F-AED4-7AE8E8FADCD1}"/>
    <cellStyle name="60% - Énfasis3 5 2 2 2 5" xfId="54291" xr:uid="{DB895B2C-A568-429D-89D0-C8FDE3B197A5}"/>
    <cellStyle name="60% - Énfasis3 5 2 2 3" xfId="4910" xr:uid="{0E984F90-3085-452B-8789-DC1692879BFA}"/>
    <cellStyle name="60% - Énfasis3 5 2 2 3 2" xfId="12618" xr:uid="{9DB7BD6F-031A-4E26-88BC-FA570EFEAADE}"/>
    <cellStyle name="60% - Énfasis3 5 2 2 3 2 2" xfId="28030" xr:uid="{280D87B6-865A-4F8F-AF5C-0C28885DDA97}"/>
    <cellStyle name="60% - Énfasis3 5 2 2 3 2 2 2" xfId="54301" xr:uid="{2AADB6A2-97B2-4D9F-BDC7-6773B3B4D219}"/>
    <cellStyle name="60% - Énfasis3 5 2 2 3 2 3" xfId="54300" xr:uid="{AB346279-7965-4DF6-AED0-AEFE54137B68}"/>
    <cellStyle name="60% - Énfasis3 5 2 2 3 3" xfId="20325" xr:uid="{8C00AB75-9A19-46A3-84FC-ABC9DFC3ED04}"/>
    <cellStyle name="60% - Énfasis3 5 2 2 3 3 2" xfId="54302" xr:uid="{40D5F327-3EB0-4D9C-9C43-C834CDA2CA56}"/>
    <cellStyle name="60% - Énfasis3 5 2 2 3 4" xfId="54299" xr:uid="{2AB600EB-06AE-43E7-957E-DF4036186B0C}"/>
    <cellStyle name="60% - Énfasis3 5 2 2 4" xfId="8893" xr:uid="{E116D9A3-156A-47C8-98F1-43A39221A5E4}"/>
    <cellStyle name="60% - Énfasis3 5 2 2 4 2" xfId="24306" xr:uid="{5BA3F464-73DD-423E-B55E-C4FCF66E78AE}"/>
    <cellStyle name="60% - Énfasis3 5 2 2 4 2 2" xfId="54304" xr:uid="{4C67A4FC-EBBF-479E-8598-739D939D5D29}"/>
    <cellStyle name="60% - Énfasis3 5 2 2 4 3" xfId="54303" xr:uid="{F97792AE-CA13-4808-9317-B6E60C491EFF}"/>
    <cellStyle name="60% - Énfasis3 5 2 2 5" xfId="16601" xr:uid="{7A9CFA47-EE8C-4E31-8DB3-828839276B07}"/>
    <cellStyle name="60% - Énfasis3 5 2 2 5 2" xfId="54305" xr:uid="{FC4431E4-709D-45AB-94EE-C0643B42B183}"/>
    <cellStyle name="60% - Énfasis3 5 2 2 6" xfId="54290" xr:uid="{328BEBB5-E398-463D-B7A7-42E13E7868D3}"/>
    <cellStyle name="60% - Énfasis3 5 2 3" xfId="2003" xr:uid="{A405BBCF-9683-4CFE-9E8F-1AB5FE961318}"/>
    <cellStyle name="60% - Énfasis3 5 2 3 2" xfId="5735" xr:uid="{E270EC31-71F2-423A-B006-EDA53E705E48}"/>
    <cellStyle name="60% - Énfasis3 5 2 3 2 2" xfId="13443" xr:uid="{D10E2CEA-887E-4762-93C5-3CDBB2F3D118}"/>
    <cellStyle name="60% - Énfasis3 5 2 3 2 2 2" xfId="28855" xr:uid="{C60A3B62-EF78-4822-B124-D888F62E385D}"/>
    <cellStyle name="60% - Énfasis3 5 2 3 2 2 2 2" xfId="54309" xr:uid="{175EF745-CB87-4FA9-98A0-78DB215A1620}"/>
    <cellStyle name="60% - Énfasis3 5 2 3 2 2 3" xfId="54308" xr:uid="{07C4CE3B-8521-41BB-B289-EF4DB918B9F9}"/>
    <cellStyle name="60% - Énfasis3 5 2 3 2 3" xfId="21150" xr:uid="{2FE73950-3AC4-4974-B2E9-8E157D451745}"/>
    <cellStyle name="60% - Énfasis3 5 2 3 2 3 2" xfId="54310" xr:uid="{23634976-8A64-413D-B7FF-529618FF509B}"/>
    <cellStyle name="60% - Énfasis3 5 2 3 2 4" xfId="54307" xr:uid="{53931C25-AA9A-4125-A2CA-712D23275A73}"/>
    <cellStyle name="60% - Énfasis3 5 2 3 3" xfId="9714" xr:uid="{25C87F0B-9141-4431-9202-197863553444}"/>
    <cellStyle name="60% - Énfasis3 5 2 3 3 2" xfId="25127" xr:uid="{36436938-00C3-4F73-B034-1B0A62E92955}"/>
    <cellStyle name="60% - Énfasis3 5 2 3 3 2 2" xfId="54312" xr:uid="{409E3B7A-468D-4D91-9BC9-6ACA37CC10CF}"/>
    <cellStyle name="60% - Énfasis3 5 2 3 3 3" xfId="54311" xr:uid="{B471A7E0-1495-455E-A587-517455F8744E}"/>
    <cellStyle name="60% - Énfasis3 5 2 3 4" xfId="17422" xr:uid="{1B7B2F9C-BA6B-47CC-8B87-5B40D9ECD7DA}"/>
    <cellStyle name="60% - Énfasis3 5 2 3 4 2" xfId="54313" xr:uid="{634F3AC7-C7AE-4A2C-9043-F8C90A083ED0}"/>
    <cellStyle name="60% - Énfasis3 5 2 3 5" xfId="54306" xr:uid="{2A0D0D72-0F25-47FF-891B-8D67ABED502F}"/>
    <cellStyle name="60% - Énfasis3 5 2 4" xfId="4258" xr:uid="{55DCE3EB-C1E9-436A-A1DB-1DE17F0D01B2}"/>
    <cellStyle name="60% - Énfasis3 5 2 4 2" xfId="11966" xr:uid="{FA43F7B3-7E5D-422E-BB40-EE89833F910D}"/>
    <cellStyle name="60% - Énfasis3 5 2 4 2 2" xfId="27378" xr:uid="{A02BE469-ACFE-438D-A238-2A87292A5EFC}"/>
    <cellStyle name="60% - Énfasis3 5 2 4 2 2 2" xfId="54316" xr:uid="{E17176C5-8D2E-458B-86F5-E005B150F199}"/>
    <cellStyle name="60% - Énfasis3 5 2 4 2 3" xfId="54315" xr:uid="{800BEEE5-B9E8-4C61-BA46-C3B28C09160F}"/>
    <cellStyle name="60% - Énfasis3 5 2 4 3" xfId="19673" xr:uid="{9F0B91BD-9CBE-488F-A073-8B1E788D307F}"/>
    <cellStyle name="60% - Énfasis3 5 2 4 3 2" xfId="54317" xr:uid="{E5D33BAE-E01F-45AC-8F8D-5385BF3DB501}"/>
    <cellStyle name="60% - Énfasis3 5 2 4 4" xfId="54314" xr:uid="{AAC52400-54A9-4872-8050-84834199C75E}"/>
    <cellStyle name="60% - Énfasis3 5 2 5" xfId="8255" xr:uid="{BF1EE05B-345B-4501-97A3-622C06660148}"/>
    <cellStyle name="60% - Énfasis3 5 2 5 2" xfId="23668" xr:uid="{56C5C3E5-E8C8-4FEC-88B7-453AE154EB4C}"/>
    <cellStyle name="60% - Énfasis3 5 2 5 2 2" xfId="54319" xr:uid="{34DFC272-8FF5-4BB4-BD9A-C6D3EAB4D2CC}"/>
    <cellStyle name="60% - Énfasis3 5 2 5 3" xfId="54318" xr:uid="{F02FCF07-5D90-46B7-A6D8-1EFBCF4A3638}"/>
    <cellStyle name="60% - Énfasis3 5 2 6" xfId="15963" xr:uid="{AC6162FB-BDCF-4830-A4B7-F7BDF8EC1464}"/>
    <cellStyle name="60% - Énfasis3 5 2 6 2" xfId="54320" xr:uid="{B7239E9F-1BEF-4C22-A00C-7D111FD062CC}"/>
    <cellStyle name="60% - Énfasis3 5 2 7" xfId="54289" xr:uid="{E8370016-5064-4C4E-A5BA-35D08115D63E}"/>
    <cellStyle name="60% - Énfasis3 5 3" xfId="973" xr:uid="{5F466975-0D4B-461E-BCFB-86018D7996EC}"/>
    <cellStyle name="60% - Énfasis3 5 3 2" xfId="2443" xr:uid="{F2A69C89-105E-4D3D-AC1E-216C7F570905}"/>
    <cellStyle name="60% - Énfasis3 5 3 2 2" xfId="6175" xr:uid="{D221C70C-6C8C-4A90-B28F-A0234484C316}"/>
    <cellStyle name="60% - Énfasis3 5 3 2 2 2" xfId="13883" xr:uid="{4B7BC032-B8B7-4749-9776-A5B1C38E13D2}"/>
    <cellStyle name="60% - Énfasis3 5 3 2 2 2 2" xfId="29295" xr:uid="{21586C8C-A44F-432A-989C-EAFF2D90333E}"/>
    <cellStyle name="60% - Énfasis3 5 3 2 2 2 2 2" xfId="54325" xr:uid="{C7E69DC1-0A70-440D-A2EB-B0AAD036B1A7}"/>
    <cellStyle name="60% - Énfasis3 5 3 2 2 2 3" xfId="54324" xr:uid="{9EACF0D0-6FB8-4205-8AF5-2F01AB6C0457}"/>
    <cellStyle name="60% - Énfasis3 5 3 2 2 3" xfId="21590" xr:uid="{84F98F73-9AA2-4234-8251-4676F2719B0E}"/>
    <cellStyle name="60% - Énfasis3 5 3 2 2 3 2" xfId="54326" xr:uid="{EA2B3F17-A260-4785-B0CA-0E952C7DB369}"/>
    <cellStyle name="60% - Énfasis3 5 3 2 2 4" xfId="54323" xr:uid="{354C0508-6CB5-48BF-BAF7-7C676911F2A0}"/>
    <cellStyle name="60% - Énfasis3 5 3 2 3" xfId="10154" xr:uid="{9D12544E-A84B-4BB5-967D-6CC4ACCB704B}"/>
    <cellStyle name="60% - Énfasis3 5 3 2 3 2" xfId="25567" xr:uid="{79BCE19D-341E-4C5E-899C-039A748E0504}"/>
    <cellStyle name="60% - Énfasis3 5 3 2 3 2 2" xfId="54328" xr:uid="{E5F70B10-E258-4EBD-9A9D-5C5DE6A161A4}"/>
    <cellStyle name="60% - Énfasis3 5 3 2 3 3" xfId="54327" xr:uid="{DDB9D4A2-9E90-4010-B72E-3444148D3355}"/>
    <cellStyle name="60% - Énfasis3 5 3 2 4" xfId="17862" xr:uid="{3BAE66BF-A70B-4E4A-8A23-99DFA939323B}"/>
    <cellStyle name="60% - Énfasis3 5 3 2 4 2" xfId="54329" xr:uid="{09A22CBC-430E-4283-BC95-2B67820BDD89}"/>
    <cellStyle name="60% - Énfasis3 5 3 2 5" xfId="54322" xr:uid="{68148824-5EB1-40BB-8A0B-A4C09EA9134D}"/>
    <cellStyle name="60% - Énfasis3 5 3 3" xfId="4710" xr:uid="{81155B39-1E5D-4730-A072-FE2ABE87FC01}"/>
    <cellStyle name="60% - Énfasis3 5 3 3 2" xfId="12418" xr:uid="{389D5BE2-5B69-416B-B229-0E210FB420BF}"/>
    <cellStyle name="60% - Énfasis3 5 3 3 2 2" xfId="27830" xr:uid="{299EE483-ED58-4FC5-B8CB-DDBF97164148}"/>
    <cellStyle name="60% - Énfasis3 5 3 3 2 2 2" xfId="54332" xr:uid="{8CC4DB99-EA3C-486A-A90E-1CDDBAB8A852}"/>
    <cellStyle name="60% - Énfasis3 5 3 3 2 3" xfId="54331" xr:uid="{6AFC53CA-5D55-4E83-9A9F-2CAC5E52EC99}"/>
    <cellStyle name="60% - Énfasis3 5 3 3 3" xfId="20125" xr:uid="{30E70D9D-58DC-481A-8A7D-D1C429F5862E}"/>
    <cellStyle name="60% - Énfasis3 5 3 3 3 2" xfId="54333" xr:uid="{B96A58DF-B8CB-46F5-8B83-B261207F4043}"/>
    <cellStyle name="60% - Énfasis3 5 3 3 4" xfId="54330" xr:uid="{77197F20-9453-4DB0-82C4-AF2F8A3CFF71}"/>
    <cellStyle name="60% - Énfasis3 5 3 4" xfId="8695" xr:uid="{4D9141DF-B877-49BB-BA01-B8AD8A28A05A}"/>
    <cellStyle name="60% - Énfasis3 5 3 4 2" xfId="24108" xr:uid="{CF3F8D65-30EA-42E6-945C-70454CCCDD06}"/>
    <cellStyle name="60% - Énfasis3 5 3 4 2 2" xfId="54335" xr:uid="{289F022D-5EE3-4443-B4D9-32FCD156002F}"/>
    <cellStyle name="60% - Énfasis3 5 3 4 3" xfId="54334" xr:uid="{2267BA80-5071-495F-8D53-BC4157B49F6D}"/>
    <cellStyle name="60% - Énfasis3 5 3 5" xfId="16403" xr:uid="{E0A6FC66-F479-4DB2-BB9D-894AF94C5D08}"/>
    <cellStyle name="60% - Énfasis3 5 3 5 2" xfId="54336" xr:uid="{BF880227-0918-4BD2-B911-2F55BF388172}"/>
    <cellStyle name="60% - Énfasis3 5 3 6" xfId="54321" xr:uid="{6341E665-DE22-40F8-BFEA-1CEFC9DA3A6A}"/>
    <cellStyle name="60% - Énfasis3 5 4" xfId="1805" xr:uid="{AC5DFB15-C2A2-4889-8986-FEE2A6020F68}"/>
    <cellStyle name="60% - Énfasis3 5 4 2" xfId="5537" xr:uid="{CDE40642-563D-4982-8384-293EF15E861F}"/>
    <cellStyle name="60% - Énfasis3 5 4 2 2" xfId="13245" xr:uid="{41AF1103-A6D8-42CF-8586-E0F3171C2E8D}"/>
    <cellStyle name="60% - Énfasis3 5 4 2 2 2" xfId="28657" xr:uid="{C508123F-2B93-403F-B9D6-E571E50D1716}"/>
    <cellStyle name="60% - Énfasis3 5 4 2 2 2 2" xfId="54340" xr:uid="{3C465A83-8AC3-4CD1-9C05-DE2A80171A33}"/>
    <cellStyle name="60% - Énfasis3 5 4 2 2 3" xfId="54339" xr:uid="{6EE6CD6E-8B5C-4993-8FF3-AC5B71F6BC18}"/>
    <cellStyle name="60% - Énfasis3 5 4 2 3" xfId="20952" xr:uid="{CD26311F-FC5C-47B4-80AA-48037EE37000}"/>
    <cellStyle name="60% - Énfasis3 5 4 2 3 2" xfId="54341" xr:uid="{28C78D69-F334-4ACD-A3DB-B701FD91810B}"/>
    <cellStyle name="60% - Énfasis3 5 4 2 4" xfId="54338" xr:uid="{D5BF78D6-27F5-4531-88D6-149630D20069}"/>
    <cellStyle name="60% - Énfasis3 5 4 3" xfId="9516" xr:uid="{6DFF2F13-DEC2-4F6C-8D91-0E1449A73AF9}"/>
    <cellStyle name="60% - Énfasis3 5 4 3 2" xfId="24929" xr:uid="{C44FFA20-0D90-48E8-9F65-080255BE5F81}"/>
    <cellStyle name="60% - Énfasis3 5 4 3 2 2" xfId="54343" xr:uid="{A7154591-871D-4A14-BD1F-860CBBCBD6BD}"/>
    <cellStyle name="60% - Énfasis3 5 4 3 3" xfId="54342" xr:uid="{A3524C88-A1BF-4A86-85F2-FD85CB7B1F9F}"/>
    <cellStyle name="60% - Énfasis3 5 4 4" xfId="17224" xr:uid="{929B07FF-88E6-4AEA-8F2C-477E777A6679}"/>
    <cellStyle name="60% - Énfasis3 5 4 4 2" xfId="54344" xr:uid="{1AC48132-63C5-4FF1-8032-0E116D1222E6}"/>
    <cellStyle name="60% - Énfasis3 5 4 5" xfId="54337" xr:uid="{0E7993A3-917E-46A3-A10D-BB183ED1EE01}"/>
    <cellStyle name="60% - Énfasis3 5 5" xfId="4058" xr:uid="{8F320933-CB47-47C9-9118-D3500F52CCA3}"/>
    <cellStyle name="60% - Énfasis3 5 5 2" xfId="11766" xr:uid="{8497AE60-0618-4FC5-9A84-91F09574022D}"/>
    <cellStyle name="60% - Énfasis3 5 5 2 2" xfId="27178" xr:uid="{99B42ED1-ED6B-47DA-A812-4AA12736F3FE}"/>
    <cellStyle name="60% - Énfasis3 5 5 2 2 2" xfId="54347" xr:uid="{8DBC3AA2-FDF7-4F48-A13F-4625C1AECC6D}"/>
    <cellStyle name="60% - Énfasis3 5 5 2 3" xfId="54346" xr:uid="{1256FEFF-9D5F-4C26-8E62-7A25780B3780}"/>
    <cellStyle name="60% - Énfasis3 5 5 3" xfId="19473" xr:uid="{48F49246-BC3C-4AE7-B8B1-563A3779ABC6}"/>
    <cellStyle name="60% - Énfasis3 5 5 3 2" xfId="54348" xr:uid="{FC4A7ED0-0EA1-4539-B3E5-97A73F87593E}"/>
    <cellStyle name="60% - Énfasis3 5 5 4" xfId="54345" xr:uid="{65E86740-01B9-4EF3-B1FD-1E6BD68D25AA}"/>
    <cellStyle name="60% - Énfasis3 5 6" xfId="8057" xr:uid="{EBF8F4FE-6ACE-4147-AA93-209105D93B9C}"/>
    <cellStyle name="60% - Énfasis3 5 6 2" xfId="23470" xr:uid="{69517D1C-8B75-4127-801F-42ADC9C3B2D6}"/>
    <cellStyle name="60% - Énfasis3 5 6 2 2" xfId="54350" xr:uid="{CD89B57E-A031-4716-8892-228ABC84B518}"/>
    <cellStyle name="60% - Énfasis3 5 6 3" xfId="54349" xr:uid="{68A01C84-D9DD-42BC-BA36-CBFB53B69A6D}"/>
    <cellStyle name="60% - Énfasis3 5 7" xfId="15765" xr:uid="{30F9AD71-5166-4099-869A-655495510427}"/>
    <cellStyle name="60% - Énfasis3 5 7 2" xfId="54351" xr:uid="{B2420BB0-EB3B-4E85-B838-ED20096FFB02}"/>
    <cellStyle name="60% - Énfasis3 5 8" xfId="54288" xr:uid="{DB64CEA1-35AC-41D7-8C60-BF327B2DBC0B}"/>
    <cellStyle name="60% - Énfasis3 6" xfId="532" xr:uid="{A991D9C6-7270-46D5-B76F-7179F458F467}"/>
    <cellStyle name="60% - Énfasis3 6 2" xfId="1193" xr:uid="{357423A6-3284-451E-9C38-C49C27C46C2A}"/>
    <cellStyle name="60% - Énfasis3 6 2 2" xfId="2661" xr:uid="{FDA2ECFD-6573-4945-B7AB-25B2F79DA7A1}"/>
    <cellStyle name="60% - Énfasis3 6 2 2 2" xfId="6393" xr:uid="{9F87D3A5-2072-4FA6-9301-833912E685BC}"/>
    <cellStyle name="60% - Énfasis3 6 2 2 2 2" xfId="14101" xr:uid="{5D994255-B7C7-4DAD-AD43-C5A60C9E76A2}"/>
    <cellStyle name="60% - Énfasis3 6 2 2 2 2 2" xfId="29513" xr:uid="{B4C3C804-26F2-451F-BB69-B84DEBBEB0C9}"/>
    <cellStyle name="60% - Énfasis3 6 2 2 2 2 2 2" xfId="54357" xr:uid="{6442340A-09CB-4449-89B0-C71C60860C0B}"/>
    <cellStyle name="60% - Énfasis3 6 2 2 2 2 3" xfId="54356" xr:uid="{C56044B6-8315-424D-8486-FFF0B94921A2}"/>
    <cellStyle name="60% - Énfasis3 6 2 2 2 3" xfId="21808" xr:uid="{4AFD668F-3224-46CE-89B1-784D1B994ED5}"/>
    <cellStyle name="60% - Énfasis3 6 2 2 2 3 2" xfId="54358" xr:uid="{E7A32574-5432-4A27-A4E5-A7F25B678BE6}"/>
    <cellStyle name="60% - Énfasis3 6 2 2 2 4" xfId="54355" xr:uid="{751C040A-D352-4752-A25D-8D319B026882}"/>
    <cellStyle name="60% - Énfasis3 6 2 2 3" xfId="10372" xr:uid="{78F1AEEF-EF0F-4168-9DBD-F45B90230523}"/>
    <cellStyle name="60% - Énfasis3 6 2 2 3 2" xfId="25785" xr:uid="{4425B54D-A96F-4D6C-9D55-DAFA1867F86F}"/>
    <cellStyle name="60% - Énfasis3 6 2 2 3 2 2" xfId="54360" xr:uid="{EA0456A8-63EC-431B-9503-CE6937370F54}"/>
    <cellStyle name="60% - Énfasis3 6 2 2 3 3" xfId="54359" xr:uid="{B8802857-D7E6-4884-8050-D421F5B10163}"/>
    <cellStyle name="60% - Énfasis3 6 2 2 4" xfId="18080" xr:uid="{FE0D8442-EE85-4809-A030-E385DA97B692}"/>
    <cellStyle name="60% - Énfasis3 6 2 2 4 2" xfId="54361" xr:uid="{D11BF917-3565-493B-BBDC-C0F346B2C214}"/>
    <cellStyle name="60% - Énfasis3 6 2 2 5" xfId="54354" xr:uid="{D5B293FA-E55E-48B4-A7FD-9FDD59DA833B}"/>
    <cellStyle name="60% - Énfasis3 6 2 3" xfId="4930" xr:uid="{87B1A7C4-0F4D-4C98-8837-45F6F698B123}"/>
    <cellStyle name="60% - Énfasis3 6 2 3 2" xfId="12638" xr:uid="{AD6AD4D7-5416-4428-9BEE-62819E63DCA5}"/>
    <cellStyle name="60% - Énfasis3 6 2 3 2 2" xfId="28050" xr:uid="{94823B47-1C3F-4066-83F4-317F2E1ADA83}"/>
    <cellStyle name="60% - Énfasis3 6 2 3 2 2 2" xfId="54364" xr:uid="{471DC3C6-8F10-4F40-AD0A-51FC5FE5F1B2}"/>
    <cellStyle name="60% - Énfasis3 6 2 3 2 3" xfId="54363" xr:uid="{50B2B87C-4F71-4FC4-B89A-C721B5F163D9}"/>
    <cellStyle name="60% - Énfasis3 6 2 3 3" xfId="20345" xr:uid="{310055CE-3AD9-4303-B0F4-E64CE398D605}"/>
    <cellStyle name="60% - Énfasis3 6 2 3 3 2" xfId="54365" xr:uid="{981B8743-79F4-455C-BB2C-B76BEADCA644}"/>
    <cellStyle name="60% - Énfasis3 6 2 3 4" xfId="54362" xr:uid="{5C68ACEF-6371-4574-B1F3-EB57B5CF9167}"/>
    <cellStyle name="60% - Énfasis3 6 2 4" xfId="8913" xr:uid="{A645D790-6BD8-4312-8CB7-A1EDD41B856D}"/>
    <cellStyle name="60% - Énfasis3 6 2 4 2" xfId="24326" xr:uid="{283DAF61-4B56-4E52-9F3B-C9FC2E36925B}"/>
    <cellStyle name="60% - Énfasis3 6 2 4 2 2" xfId="54367" xr:uid="{37C0BB9E-1A19-42AF-AE9B-1D4CF5635E83}"/>
    <cellStyle name="60% - Énfasis3 6 2 4 3" xfId="54366" xr:uid="{F59F0DCE-7FC5-4C4B-846C-E1EF1B1806DF}"/>
    <cellStyle name="60% - Énfasis3 6 2 5" xfId="16621" xr:uid="{2FD4D33A-F700-48C5-AA59-05D0B1D7C2AB}"/>
    <cellStyle name="60% - Énfasis3 6 2 5 2" xfId="54368" xr:uid="{BDB6B479-DF5D-4456-B59F-D8CAC4C2648F}"/>
    <cellStyle name="60% - Énfasis3 6 2 6" xfId="54353" xr:uid="{1FF9A8F5-6D81-478A-93C1-E9990579FDEB}"/>
    <cellStyle name="60% - Énfasis3 6 3" xfId="2023" xr:uid="{A0E29E68-25B4-4BB5-A3C9-AA32F176B67D}"/>
    <cellStyle name="60% - Énfasis3 6 3 2" xfId="5755" xr:uid="{6E4CF784-C638-48EC-A8C6-8831FE126FB5}"/>
    <cellStyle name="60% - Énfasis3 6 3 2 2" xfId="13463" xr:uid="{C7E68348-A3A7-4BB5-B6C6-F597357F7D12}"/>
    <cellStyle name="60% - Énfasis3 6 3 2 2 2" xfId="28875" xr:uid="{E4A98539-8781-4883-AD4D-3F09F0CABB42}"/>
    <cellStyle name="60% - Énfasis3 6 3 2 2 2 2" xfId="54372" xr:uid="{692D3122-2C5C-4E86-A26C-9AC903E65425}"/>
    <cellStyle name="60% - Énfasis3 6 3 2 2 3" xfId="54371" xr:uid="{A69099B7-E3E5-4B60-88BD-89B48F22DB02}"/>
    <cellStyle name="60% - Énfasis3 6 3 2 3" xfId="21170" xr:uid="{4D6158CF-A8ED-4894-8F99-B3B80C58912E}"/>
    <cellStyle name="60% - Énfasis3 6 3 2 3 2" xfId="54373" xr:uid="{7E570E7E-627D-4986-A408-36A5EAA50EC7}"/>
    <cellStyle name="60% - Énfasis3 6 3 2 4" xfId="54370" xr:uid="{5F500CB6-FD2A-4E77-B3C6-E63608025615}"/>
    <cellStyle name="60% - Énfasis3 6 3 3" xfId="9734" xr:uid="{5BE2E07D-DF3B-4908-94D5-EC8ABC9CA010}"/>
    <cellStyle name="60% - Énfasis3 6 3 3 2" xfId="25147" xr:uid="{0703F6D6-4CA8-4BF4-99FE-7023E1150B91}"/>
    <cellStyle name="60% - Énfasis3 6 3 3 2 2" xfId="54375" xr:uid="{E41B4D85-7C4A-4D49-B73D-183F52D60E83}"/>
    <cellStyle name="60% - Énfasis3 6 3 3 3" xfId="54374" xr:uid="{FCAE6F9A-7F46-44AE-A5EE-BC58BCB7A454}"/>
    <cellStyle name="60% - Énfasis3 6 3 4" xfId="17442" xr:uid="{3B171584-B093-49D7-AC55-50C22EA33E40}"/>
    <cellStyle name="60% - Énfasis3 6 3 4 2" xfId="54376" xr:uid="{109D581D-7E0F-49AA-96F4-5050419F97D1}"/>
    <cellStyle name="60% - Énfasis3 6 3 5" xfId="54369" xr:uid="{2282701F-882E-41E3-B0E6-4AECA30B7642}"/>
    <cellStyle name="60% - Énfasis3 6 4" xfId="4278" xr:uid="{C6343BCE-B779-4F77-BFA2-367A157845D7}"/>
    <cellStyle name="60% - Énfasis3 6 4 2" xfId="11986" xr:uid="{B6715C96-6402-492E-8436-71015691E414}"/>
    <cellStyle name="60% - Énfasis3 6 4 2 2" xfId="27398" xr:uid="{AF36DF40-2709-4ADA-8C0C-F9A199128842}"/>
    <cellStyle name="60% - Énfasis3 6 4 2 2 2" xfId="54379" xr:uid="{E1D6A7FD-9692-4368-AA31-4181C8B839CA}"/>
    <cellStyle name="60% - Énfasis3 6 4 2 3" xfId="54378" xr:uid="{5977C913-D657-43FC-BE4D-CCC506E3FA9F}"/>
    <cellStyle name="60% - Énfasis3 6 4 3" xfId="19693" xr:uid="{FFB93949-DAE3-46E2-93BD-18F9394AE55B}"/>
    <cellStyle name="60% - Énfasis3 6 4 3 2" xfId="54380" xr:uid="{69E4CF42-37E1-49A2-B146-264578F5FCB4}"/>
    <cellStyle name="60% - Énfasis3 6 4 4" xfId="54377" xr:uid="{34952EF1-5ACB-4176-8A87-8D2EF764546C}"/>
    <cellStyle name="60% - Énfasis3 6 5" xfId="8275" xr:uid="{B05335CE-9FDE-4394-852D-0770C8119F1F}"/>
    <cellStyle name="60% - Énfasis3 6 5 2" xfId="23688" xr:uid="{1E351373-34B7-4B24-808E-8B8E08319DD3}"/>
    <cellStyle name="60% - Énfasis3 6 5 2 2" xfId="54382" xr:uid="{327C536F-7CC4-47EE-8232-17313946A94C}"/>
    <cellStyle name="60% - Énfasis3 6 5 3" xfId="54381" xr:uid="{F52B7C95-2DC5-4F83-BDF7-7C01B346A3DC}"/>
    <cellStyle name="60% - Énfasis3 6 6" xfId="15983" xr:uid="{3B756E8E-C895-4C76-A552-C16F5B800C8F}"/>
    <cellStyle name="60% - Énfasis3 6 6 2" xfId="54383" xr:uid="{41EE2DBB-E0ED-4976-9249-C13447E0C1E8}"/>
    <cellStyle name="60% - Énfasis3 6 7" xfId="54352" xr:uid="{87A13527-0815-4579-AF48-178C0598A014}"/>
    <cellStyle name="60% - Énfasis3 7" xfId="552" xr:uid="{4517CFC3-1270-49ED-898E-BF1E76D891EB}"/>
    <cellStyle name="60% - Énfasis3 7 2" xfId="1213" xr:uid="{23FB9B94-4844-4385-8150-B18DE1ED491B}"/>
    <cellStyle name="60% - Énfasis3 7 2 2" xfId="2681" xr:uid="{59868C09-1C93-4A96-A969-36861C0922CE}"/>
    <cellStyle name="60% - Énfasis3 7 2 2 2" xfId="6413" xr:uid="{B900C298-BD37-4EDD-A9E5-5DE01D8893F8}"/>
    <cellStyle name="60% - Énfasis3 7 2 2 2 2" xfId="14121" xr:uid="{DC87B249-43A5-40BC-B9CA-04757C5ABF10}"/>
    <cellStyle name="60% - Énfasis3 7 2 2 2 2 2" xfId="29533" xr:uid="{308C0111-790C-4692-BB13-029779E5AA4F}"/>
    <cellStyle name="60% - Énfasis3 7 2 2 2 2 2 2" xfId="54389" xr:uid="{4C5C5E39-9BAA-4B9C-B132-2F324EB2567D}"/>
    <cellStyle name="60% - Énfasis3 7 2 2 2 2 3" xfId="54388" xr:uid="{DB271C83-224F-4BBA-A6D8-B096338BF293}"/>
    <cellStyle name="60% - Énfasis3 7 2 2 2 3" xfId="21828" xr:uid="{9825CDEB-64CB-47DB-A970-D9136D2CE6B6}"/>
    <cellStyle name="60% - Énfasis3 7 2 2 2 3 2" xfId="54390" xr:uid="{13ADBA6F-2CF2-455D-9ABB-60E595E60FFA}"/>
    <cellStyle name="60% - Énfasis3 7 2 2 2 4" xfId="54387" xr:uid="{6EA4E700-8372-41B3-AB3C-2C55DAD35939}"/>
    <cellStyle name="60% - Énfasis3 7 2 2 3" xfId="10392" xr:uid="{6926EAC5-D730-4858-9B83-BAA3F2BF0CB9}"/>
    <cellStyle name="60% - Énfasis3 7 2 2 3 2" xfId="25805" xr:uid="{DF09AF25-59D1-4E63-B931-079B3797BDAC}"/>
    <cellStyle name="60% - Énfasis3 7 2 2 3 2 2" xfId="54392" xr:uid="{C51E180B-DDAC-4658-9B2B-F3DD1F45F847}"/>
    <cellStyle name="60% - Énfasis3 7 2 2 3 3" xfId="54391" xr:uid="{B81E1FA3-2F30-415C-BD3C-FF8649C39496}"/>
    <cellStyle name="60% - Énfasis3 7 2 2 4" xfId="18100" xr:uid="{F792A3AE-A183-4EE5-802E-2683CB5225C4}"/>
    <cellStyle name="60% - Énfasis3 7 2 2 4 2" xfId="54393" xr:uid="{1432843F-DDF0-475E-8887-CB5E5A3E3C6B}"/>
    <cellStyle name="60% - Énfasis3 7 2 2 5" xfId="54386" xr:uid="{036B7A9F-1303-4E3C-A3FD-5CE4C1D01B0E}"/>
    <cellStyle name="60% - Énfasis3 7 2 3" xfId="4950" xr:uid="{744A8AEB-19D3-488C-A969-1C267A805DED}"/>
    <cellStyle name="60% - Énfasis3 7 2 3 2" xfId="12658" xr:uid="{2B1222F1-BFC0-4287-8DE7-F5C4CACDDF48}"/>
    <cellStyle name="60% - Énfasis3 7 2 3 2 2" xfId="28070" xr:uid="{ABB3898A-DF2B-4C74-B1A3-55516DEE144B}"/>
    <cellStyle name="60% - Énfasis3 7 2 3 2 2 2" xfId="54396" xr:uid="{19771C45-5A0F-48AD-8BEB-A319421F23DC}"/>
    <cellStyle name="60% - Énfasis3 7 2 3 2 3" xfId="54395" xr:uid="{407EC149-1F0B-4FDC-8CCB-EDEB913D144C}"/>
    <cellStyle name="60% - Énfasis3 7 2 3 3" xfId="20365" xr:uid="{443CFEF8-7953-4C90-B55B-BA5A7995C530}"/>
    <cellStyle name="60% - Énfasis3 7 2 3 3 2" xfId="54397" xr:uid="{B0CBBFB5-DCB4-46BD-9715-B3A6558EF64B}"/>
    <cellStyle name="60% - Énfasis3 7 2 3 4" xfId="54394" xr:uid="{8B283A31-6FCF-4913-BE1B-CBB60DDBB79C}"/>
    <cellStyle name="60% - Énfasis3 7 2 4" xfId="8933" xr:uid="{5E3CCFD0-2087-41E7-99C8-27C040C873E2}"/>
    <cellStyle name="60% - Énfasis3 7 2 4 2" xfId="24346" xr:uid="{4EE8CFB1-677E-41F5-A7E6-A085860E7C2D}"/>
    <cellStyle name="60% - Énfasis3 7 2 4 2 2" xfId="54399" xr:uid="{634C672D-9E1B-4EE4-96FD-EC6B0E0254EC}"/>
    <cellStyle name="60% - Énfasis3 7 2 4 3" xfId="54398" xr:uid="{13E1780D-4528-4FD3-986D-A55B54DBFF0D}"/>
    <cellStyle name="60% - Énfasis3 7 2 5" xfId="16641" xr:uid="{9624E517-87BE-4916-A594-712AAD430014}"/>
    <cellStyle name="60% - Énfasis3 7 2 5 2" xfId="54400" xr:uid="{8825A89D-33FB-4ABB-B1E1-68F8EE45EDD1}"/>
    <cellStyle name="60% - Énfasis3 7 2 6" xfId="54385" xr:uid="{85357273-CACF-435A-B225-1612397A267D}"/>
    <cellStyle name="60% - Énfasis3 7 3" xfId="2043" xr:uid="{7CEFC0AA-25B1-480C-9AB3-09565809F79F}"/>
    <cellStyle name="60% - Énfasis3 7 3 2" xfId="5775" xr:uid="{18378AC7-59AE-4679-96BA-BBF736B41C10}"/>
    <cellStyle name="60% - Énfasis3 7 3 2 2" xfId="13483" xr:uid="{8FEDC68F-DB09-42D9-B70D-5C8553FB4252}"/>
    <cellStyle name="60% - Énfasis3 7 3 2 2 2" xfId="28895" xr:uid="{BABC7B17-6217-4F10-BEF8-176DA15ECDF8}"/>
    <cellStyle name="60% - Énfasis3 7 3 2 2 2 2" xfId="54404" xr:uid="{CF680F2F-8F72-403E-B60A-E4A1DF6EBFE2}"/>
    <cellStyle name="60% - Énfasis3 7 3 2 2 3" xfId="54403" xr:uid="{FE159E4C-9945-4040-ACFE-BCA715932C34}"/>
    <cellStyle name="60% - Énfasis3 7 3 2 3" xfId="21190" xr:uid="{E41B02E5-71FC-4453-8C67-21F2FF2E8607}"/>
    <cellStyle name="60% - Énfasis3 7 3 2 3 2" xfId="54405" xr:uid="{6DE19367-5F5D-4416-B830-0C05022DE700}"/>
    <cellStyle name="60% - Énfasis3 7 3 2 4" xfId="54402" xr:uid="{3F779B9E-EB0E-4482-9045-8766032C3BC2}"/>
    <cellStyle name="60% - Énfasis3 7 3 3" xfId="9754" xr:uid="{480B47DA-8AF0-4807-BA10-52C7C403BE7C}"/>
    <cellStyle name="60% - Énfasis3 7 3 3 2" xfId="25167" xr:uid="{9312919C-11CB-4E34-BCFD-4256576ADD08}"/>
    <cellStyle name="60% - Énfasis3 7 3 3 2 2" xfId="54407" xr:uid="{66E2EF85-E6CF-435F-A49C-F62B5A8A3E0B}"/>
    <cellStyle name="60% - Énfasis3 7 3 3 3" xfId="54406" xr:uid="{A55C62CD-4492-4207-BAFB-491454140DA3}"/>
    <cellStyle name="60% - Énfasis3 7 3 4" xfId="17462" xr:uid="{7F827442-DCB4-46AD-B53D-90D20262CEF1}"/>
    <cellStyle name="60% - Énfasis3 7 3 4 2" xfId="54408" xr:uid="{DE0F4801-AE47-4E77-8264-70E734441A8D}"/>
    <cellStyle name="60% - Énfasis3 7 3 5" xfId="54401" xr:uid="{CEBDDC38-3CC2-4990-909D-C76F129DFAF5}"/>
    <cellStyle name="60% - Énfasis3 7 4" xfId="4298" xr:uid="{0DB2B308-5D5E-43B5-BD76-BDC0F9B07C64}"/>
    <cellStyle name="60% - Énfasis3 7 4 2" xfId="12006" xr:uid="{DA233D55-484A-4DA3-93BA-7EDF47E3515C}"/>
    <cellStyle name="60% - Énfasis3 7 4 2 2" xfId="27418" xr:uid="{528BA9C6-E5C2-4E8D-84BF-786F2EF56E76}"/>
    <cellStyle name="60% - Énfasis3 7 4 2 2 2" xfId="54411" xr:uid="{D631DB95-404F-4453-9745-2D538EF42052}"/>
    <cellStyle name="60% - Énfasis3 7 4 2 3" xfId="54410" xr:uid="{264BE17E-D5FD-4A29-AA13-D6D588D4B00F}"/>
    <cellStyle name="60% - Énfasis3 7 4 3" xfId="19713" xr:uid="{49A8B003-A57D-48EE-9B37-401DBD0EAF68}"/>
    <cellStyle name="60% - Énfasis3 7 4 3 2" xfId="54412" xr:uid="{6B54E69F-9400-4C93-9020-5EEFBBB5EE2E}"/>
    <cellStyle name="60% - Énfasis3 7 4 4" xfId="54409" xr:uid="{9005150E-95C4-421E-AE03-05DD16007AF2}"/>
    <cellStyle name="60% - Énfasis3 7 5" xfId="8295" xr:uid="{23B3D993-D820-4093-A1D5-7AEC840D0F83}"/>
    <cellStyle name="60% - Énfasis3 7 5 2" xfId="23708" xr:uid="{9336A05C-8C10-48BD-B7B1-C171040EDA9C}"/>
    <cellStyle name="60% - Énfasis3 7 5 2 2" xfId="54414" xr:uid="{29DE8BBA-ED6B-4AD8-B99A-0D772A6F6684}"/>
    <cellStyle name="60% - Énfasis3 7 5 3" xfId="54413" xr:uid="{CE8BA031-9133-408B-80B9-3F3FBFADF7F1}"/>
    <cellStyle name="60% - Énfasis3 7 6" xfId="16003" xr:uid="{8CE46F60-BE49-4AEC-B646-AEC9B3474BE8}"/>
    <cellStyle name="60% - Énfasis3 7 6 2" xfId="54415" xr:uid="{B25B7349-3BF8-4089-B376-07C369D06674}"/>
    <cellStyle name="60% - Énfasis3 7 7" xfId="54384" xr:uid="{A4C035E3-B867-4731-AD44-D086D20F5FD6}"/>
    <cellStyle name="60% - Énfasis3 8" xfId="572" xr:uid="{0335B16E-C503-4E3A-94CB-133F0B223C68}"/>
    <cellStyle name="60% - Énfasis3 8 2" xfId="1233" xr:uid="{C38471B2-9A19-4D4D-A2FF-5350480475B3}"/>
    <cellStyle name="60% - Énfasis3 8 2 2" xfId="2701" xr:uid="{2F5986AD-8F50-4026-9789-ADE825DF17F6}"/>
    <cellStyle name="60% - Énfasis3 8 2 2 2" xfId="6433" xr:uid="{307C526F-0F4D-45D8-B32C-1A89A37D72E6}"/>
    <cellStyle name="60% - Énfasis3 8 2 2 2 2" xfId="14141" xr:uid="{FFA63ACE-5965-4091-82BF-C7152ED028DA}"/>
    <cellStyle name="60% - Énfasis3 8 2 2 2 2 2" xfId="29553" xr:uid="{10F14D49-C71C-4C1A-807C-F011C0CF2A5A}"/>
    <cellStyle name="60% - Énfasis3 8 2 2 2 2 2 2" xfId="54421" xr:uid="{FCC10E1E-324A-4327-94BA-ED68FECDB57A}"/>
    <cellStyle name="60% - Énfasis3 8 2 2 2 2 3" xfId="54420" xr:uid="{685FBB58-5122-4A38-9F2C-B6A71A391218}"/>
    <cellStyle name="60% - Énfasis3 8 2 2 2 3" xfId="21848" xr:uid="{2A0980EB-23EB-41E6-861A-CDEC993B1FD4}"/>
    <cellStyle name="60% - Énfasis3 8 2 2 2 3 2" xfId="54422" xr:uid="{B5F15E1F-FFF9-4A5F-8751-3B3DF8DB23B0}"/>
    <cellStyle name="60% - Énfasis3 8 2 2 2 4" xfId="54419" xr:uid="{5BBEE64F-B3F8-44AC-8CBF-05BD151882E3}"/>
    <cellStyle name="60% - Énfasis3 8 2 2 3" xfId="10412" xr:uid="{D4891933-548A-4EAC-B600-4AD96EDDD15C}"/>
    <cellStyle name="60% - Énfasis3 8 2 2 3 2" xfId="25825" xr:uid="{0878CF3D-961F-4426-A1AD-C1D6A2643BF8}"/>
    <cellStyle name="60% - Énfasis3 8 2 2 3 2 2" xfId="54424" xr:uid="{A5C48585-E1CA-4292-9EE4-3B3E5BC8A498}"/>
    <cellStyle name="60% - Énfasis3 8 2 2 3 3" xfId="54423" xr:uid="{3130F949-99B0-4FBD-816E-7DA9CC68A517}"/>
    <cellStyle name="60% - Énfasis3 8 2 2 4" xfId="18120" xr:uid="{8B3E1EF5-4EFE-4B5D-9CB0-C13E2C17BA37}"/>
    <cellStyle name="60% - Énfasis3 8 2 2 4 2" xfId="54425" xr:uid="{26788FB0-BD3C-4FBD-851E-5086879836BE}"/>
    <cellStyle name="60% - Énfasis3 8 2 2 5" xfId="54418" xr:uid="{4280D150-9E8F-4949-94E9-DC6DE9FFFD00}"/>
    <cellStyle name="60% - Énfasis3 8 2 3" xfId="4970" xr:uid="{006F47C6-E60D-4861-94A2-AE82879146D4}"/>
    <cellStyle name="60% - Énfasis3 8 2 3 2" xfId="12678" xr:uid="{E02E31CD-C9BF-4B6D-A37B-44C25DFAB554}"/>
    <cellStyle name="60% - Énfasis3 8 2 3 2 2" xfId="28090" xr:uid="{FAEF12EA-E666-4194-98D7-B298D9D42D3C}"/>
    <cellStyle name="60% - Énfasis3 8 2 3 2 2 2" xfId="54428" xr:uid="{391B9E8F-01A2-4618-895C-11B338AE0957}"/>
    <cellStyle name="60% - Énfasis3 8 2 3 2 3" xfId="54427" xr:uid="{5DA3E9FE-0492-4B6C-8934-A856D4CBEF34}"/>
    <cellStyle name="60% - Énfasis3 8 2 3 3" xfId="20385" xr:uid="{52C51E5F-1073-450C-A543-8815BDBF64B8}"/>
    <cellStyle name="60% - Énfasis3 8 2 3 3 2" xfId="54429" xr:uid="{8E9199C6-5AF8-496E-8941-26B065F25992}"/>
    <cellStyle name="60% - Énfasis3 8 2 3 4" xfId="54426" xr:uid="{A832950D-8625-46A1-A614-F7D49AB05514}"/>
    <cellStyle name="60% - Énfasis3 8 2 4" xfId="8953" xr:uid="{2AF143FD-EB82-4790-9E03-89B6AD6CC776}"/>
    <cellStyle name="60% - Énfasis3 8 2 4 2" xfId="24366" xr:uid="{40F4A5A4-90BC-47C3-A04F-86B81D32BC38}"/>
    <cellStyle name="60% - Énfasis3 8 2 4 2 2" xfId="54431" xr:uid="{00501CA4-6D7B-4BC1-80EE-478F5DA96B18}"/>
    <cellStyle name="60% - Énfasis3 8 2 4 3" xfId="54430" xr:uid="{75BF84B0-97BA-4721-9B7C-8DF4E498139B}"/>
    <cellStyle name="60% - Énfasis3 8 2 5" xfId="16661" xr:uid="{DE8D199C-FD6C-4731-933C-7597B6C72CD9}"/>
    <cellStyle name="60% - Énfasis3 8 2 5 2" xfId="54432" xr:uid="{77599CC2-F9DF-4EF7-9041-6DAC3268D3A8}"/>
    <cellStyle name="60% - Énfasis3 8 2 6" xfId="54417" xr:uid="{69710DF5-128D-4CC1-A16C-72EFDC2F59E2}"/>
    <cellStyle name="60% - Énfasis3 8 3" xfId="2063" xr:uid="{43171BCA-07DD-46B1-9C20-D3466BBF15FD}"/>
    <cellStyle name="60% - Énfasis3 8 3 2" xfId="5795" xr:uid="{F71ADA02-FC4F-41BD-938C-E4958333E283}"/>
    <cellStyle name="60% - Énfasis3 8 3 2 2" xfId="13503" xr:uid="{EBE3A10D-57EE-4823-A911-503CF2D5B8AC}"/>
    <cellStyle name="60% - Énfasis3 8 3 2 2 2" xfId="28915" xr:uid="{427931C6-8EC8-4BDF-9736-6CEBDDA37A45}"/>
    <cellStyle name="60% - Énfasis3 8 3 2 2 2 2" xfId="54436" xr:uid="{7600EA94-BD6D-4C80-AA10-BABA70D8A50E}"/>
    <cellStyle name="60% - Énfasis3 8 3 2 2 3" xfId="54435" xr:uid="{F2670AB1-FC76-42C7-B2B5-7799D7864694}"/>
    <cellStyle name="60% - Énfasis3 8 3 2 3" xfId="21210" xr:uid="{3FA78914-6222-4B0C-BA58-690FE791AC39}"/>
    <cellStyle name="60% - Énfasis3 8 3 2 3 2" xfId="54437" xr:uid="{EEB63AD3-3897-4FA3-8A3D-D068DAACCA4E}"/>
    <cellStyle name="60% - Énfasis3 8 3 2 4" xfId="54434" xr:uid="{254FCDF4-E952-48C5-8BF9-4E099096AA9C}"/>
    <cellStyle name="60% - Énfasis3 8 3 3" xfId="9774" xr:uid="{3B58737D-4BCB-4525-AF45-00D541D2E8CC}"/>
    <cellStyle name="60% - Énfasis3 8 3 3 2" xfId="25187" xr:uid="{9CEFD05D-4173-4275-B73F-F73926C3E150}"/>
    <cellStyle name="60% - Énfasis3 8 3 3 2 2" xfId="54439" xr:uid="{951928D7-0087-40EB-8DFD-C3BCF25D9D3B}"/>
    <cellStyle name="60% - Énfasis3 8 3 3 3" xfId="54438" xr:uid="{FE713F87-0D03-4C7F-BB35-FBEE084CE5CF}"/>
    <cellStyle name="60% - Énfasis3 8 3 4" xfId="17482" xr:uid="{A0D89B1D-BF97-4FAB-98C8-7D467167C403}"/>
    <cellStyle name="60% - Énfasis3 8 3 4 2" xfId="54440" xr:uid="{53FFFC6A-D9DB-4604-B956-0EBE036380EE}"/>
    <cellStyle name="60% - Énfasis3 8 3 5" xfId="54433" xr:uid="{22556573-0086-41ED-AF16-E426038B3954}"/>
    <cellStyle name="60% - Énfasis3 8 4" xfId="4318" xr:uid="{8D1C92CC-5DB0-4236-9D74-8E28B48ECFD3}"/>
    <cellStyle name="60% - Énfasis3 8 4 2" xfId="12026" xr:uid="{10514935-1C76-42F2-A62C-581764CA1DAC}"/>
    <cellStyle name="60% - Énfasis3 8 4 2 2" xfId="27438" xr:uid="{C9A5F934-E242-49E0-BB8C-8B93668E8058}"/>
    <cellStyle name="60% - Énfasis3 8 4 2 2 2" xfId="54443" xr:uid="{F762AEA8-4B4A-43C5-9EB1-F701ECADC2D4}"/>
    <cellStyle name="60% - Énfasis3 8 4 2 3" xfId="54442" xr:uid="{806B0363-AD2D-45D1-ADE2-89417AC7D5BB}"/>
    <cellStyle name="60% - Énfasis3 8 4 3" xfId="19733" xr:uid="{E1B2CDB6-0CBB-44BE-BF4B-E256FBF050D5}"/>
    <cellStyle name="60% - Énfasis3 8 4 3 2" xfId="54444" xr:uid="{99BD6DB5-D90D-4F5D-ACAB-6FFCD392D08C}"/>
    <cellStyle name="60% - Énfasis3 8 4 4" xfId="54441" xr:uid="{F7543C7B-3510-4819-9A33-3F2E4DA492EB}"/>
    <cellStyle name="60% - Énfasis3 8 5" xfId="8315" xr:uid="{3D8D8B1A-D13E-430C-8DF9-8D99710E2B36}"/>
    <cellStyle name="60% - Énfasis3 8 5 2" xfId="23728" xr:uid="{26602681-CD1E-4B24-81F8-83489ECD7F22}"/>
    <cellStyle name="60% - Énfasis3 8 5 2 2" xfId="54446" xr:uid="{4DF8D240-73C9-4B7A-B111-FEE710302230}"/>
    <cellStyle name="60% - Énfasis3 8 5 3" xfId="54445" xr:uid="{D4AAC47C-253B-4C95-9629-8C49C065E214}"/>
    <cellStyle name="60% - Énfasis3 8 6" xfId="16023" xr:uid="{1F268916-612A-4769-B49C-70AFC9AC4947}"/>
    <cellStyle name="60% - Énfasis3 8 6 2" xfId="54447" xr:uid="{71107367-E2CD-4C21-98ED-609BF8DD0E61}"/>
    <cellStyle name="60% - Énfasis3 8 7" xfId="54416" xr:uid="{D7A1DB5E-DEAB-477E-B9B5-7A13F3A3A060}"/>
    <cellStyle name="60% - Énfasis3 9" xfId="592" xr:uid="{53BFDAEF-F904-434C-9F5B-EEE0DC3012DB}"/>
    <cellStyle name="60% - Énfasis3 9 2" xfId="1253" xr:uid="{853538A0-842D-4638-9784-489BA3ECEC5D}"/>
    <cellStyle name="60% - Énfasis3 9 2 2" xfId="2721" xr:uid="{03ADC3F1-AE32-4358-866B-3B7F980C26A1}"/>
    <cellStyle name="60% - Énfasis3 9 2 2 2" xfId="6453" xr:uid="{BD5E234D-343D-41F6-BB6C-01CD0C27EC65}"/>
    <cellStyle name="60% - Énfasis3 9 2 2 2 2" xfId="14161" xr:uid="{36529EC9-42D2-41FD-A0F4-E3B67C9AC4DF}"/>
    <cellStyle name="60% - Énfasis3 9 2 2 2 2 2" xfId="29573" xr:uid="{103BE396-6682-417B-ADC0-98723E23D411}"/>
    <cellStyle name="60% - Énfasis3 9 2 2 2 2 2 2" xfId="54453" xr:uid="{39E68425-0DCB-46BA-81F1-E99CAED58595}"/>
    <cellStyle name="60% - Énfasis3 9 2 2 2 2 3" xfId="54452" xr:uid="{BCE446A8-0D0F-4D9E-9D37-8A6A7F5E03D7}"/>
    <cellStyle name="60% - Énfasis3 9 2 2 2 3" xfId="21868" xr:uid="{E13FAE29-1D98-423A-ADCC-75ABE9F38871}"/>
    <cellStyle name="60% - Énfasis3 9 2 2 2 3 2" xfId="54454" xr:uid="{0986229B-FA47-45A5-AAEB-CC0F5755FBC9}"/>
    <cellStyle name="60% - Énfasis3 9 2 2 2 4" xfId="54451" xr:uid="{9721ACAF-9B70-44AA-BBD8-4A4F44653630}"/>
    <cellStyle name="60% - Énfasis3 9 2 2 3" xfId="10432" xr:uid="{4D963AAE-4E0D-451C-A5BA-7A515D69E293}"/>
    <cellStyle name="60% - Énfasis3 9 2 2 3 2" xfId="25845" xr:uid="{386F0BDE-09CE-4898-95C1-2D608AC8145A}"/>
    <cellStyle name="60% - Énfasis3 9 2 2 3 2 2" xfId="54456" xr:uid="{F6A7BB11-D6A3-4F45-B577-043D6AAAA1D9}"/>
    <cellStyle name="60% - Énfasis3 9 2 2 3 3" xfId="54455" xr:uid="{5CB836EE-B09F-49AC-8BF2-7388B1679395}"/>
    <cellStyle name="60% - Énfasis3 9 2 2 4" xfId="18140" xr:uid="{1AE44253-63F4-4575-9974-40314C8716FF}"/>
    <cellStyle name="60% - Énfasis3 9 2 2 4 2" xfId="54457" xr:uid="{F2710594-9C4C-4FF1-968F-5EF6AC2C716A}"/>
    <cellStyle name="60% - Énfasis3 9 2 2 5" xfId="54450" xr:uid="{912A1F8C-0409-4D3D-A6F9-A7E3CB5A1541}"/>
    <cellStyle name="60% - Énfasis3 9 2 3" xfId="4990" xr:uid="{73028B21-B3BC-496F-9B6A-9546CC3A414F}"/>
    <cellStyle name="60% - Énfasis3 9 2 3 2" xfId="12698" xr:uid="{1CDFEF73-E3AB-4BB0-ACA8-5F37F63078B0}"/>
    <cellStyle name="60% - Énfasis3 9 2 3 2 2" xfId="28110" xr:uid="{01C55EC3-E175-46CA-BD73-3F890E23F667}"/>
    <cellStyle name="60% - Énfasis3 9 2 3 2 2 2" xfId="54460" xr:uid="{BD638155-D715-4629-A390-373B0542F339}"/>
    <cellStyle name="60% - Énfasis3 9 2 3 2 3" xfId="54459" xr:uid="{A369E6C4-FED2-461C-94BE-18418BC7A8EE}"/>
    <cellStyle name="60% - Énfasis3 9 2 3 3" xfId="20405" xr:uid="{B42FBC73-3590-4704-8CBC-5FCB19B4533A}"/>
    <cellStyle name="60% - Énfasis3 9 2 3 3 2" xfId="54461" xr:uid="{548C1407-F698-4A59-AA60-C1DAA1088CF1}"/>
    <cellStyle name="60% - Énfasis3 9 2 3 4" xfId="54458" xr:uid="{60CF3B49-5C46-4099-86ED-935ECFCFFB34}"/>
    <cellStyle name="60% - Énfasis3 9 2 4" xfId="8973" xr:uid="{27EC8662-C30D-49D4-BB80-65408450DFBD}"/>
    <cellStyle name="60% - Énfasis3 9 2 4 2" xfId="24386" xr:uid="{5C3D5E5D-EFBA-4DB4-94C4-A640E94E17D5}"/>
    <cellStyle name="60% - Énfasis3 9 2 4 2 2" xfId="54463" xr:uid="{AF0D7D97-348A-4790-8476-CEEFD48202CE}"/>
    <cellStyle name="60% - Énfasis3 9 2 4 3" xfId="54462" xr:uid="{B5739847-EA6C-40E5-A32C-EE8CB9289D2E}"/>
    <cellStyle name="60% - Énfasis3 9 2 5" xfId="16681" xr:uid="{51F7A580-09C1-4CCF-85D0-C843EA6AECE7}"/>
    <cellStyle name="60% - Énfasis3 9 2 5 2" xfId="54464" xr:uid="{CDC01930-50CD-47CF-8352-0983774A9606}"/>
    <cellStyle name="60% - Énfasis3 9 2 6" xfId="54449" xr:uid="{FC3217B1-571C-4FB5-81A4-CEA8D0E12F43}"/>
    <cellStyle name="60% - Énfasis3 9 3" xfId="2083" xr:uid="{14960B57-E505-4E47-B541-53A211815FB0}"/>
    <cellStyle name="60% - Énfasis3 9 3 2" xfId="5815" xr:uid="{AA317ABF-2AF2-439B-B0B8-B00CA9AEF033}"/>
    <cellStyle name="60% - Énfasis3 9 3 2 2" xfId="13523" xr:uid="{2BD85D55-961B-4499-9AD7-50461BD3A880}"/>
    <cellStyle name="60% - Énfasis3 9 3 2 2 2" xfId="28935" xr:uid="{7B1F0866-0069-4F93-85D5-61CD7EEB1906}"/>
    <cellStyle name="60% - Énfasis3 9 3 2 2 2 2" xfId="54468" xr:uid="{8E82BA48-0EF1-4EB4-B54F-2282D96D54C0}"/>
    <cellStyle name="60% - Énfasis3 9 3 2 2 3" xfId="54467" xr:uid="{7861166C-1384-4242-9E77-1C02169E2584}"/>
    <cellStyle name="60% - Énfasis3 9 3 2 3" xfId="21230" xr:uid="{43CB90C7-6C67-4170-8522-CFC0D040EAF2}"/>
    <cellStyle name="60% - Énfasis3 9 3 2 3 2" xfId="54469" xr:uid="{0EB0E1AF-56DD-4150-BFCF-7CB9EAAACBCE}"/>
    <cellStyle name="60% - Énfasis3 9 3 2 4" xfId="54466" xr:uid="{87D30523-5F07-466D-B93C-52A691E8D324}"/>
    <cellStyle name="60% - Énfasis3 9 3 3" xfId="9794" xr:uid="{042F463B-4826-483B-845A-2939841B1630}"/>
    <cellStyle name="60% - Énfasis3 9 3 3 2" xfId="25207" xr:uid="{B68D21C3-863E-4067-A19D-10829135B8FB}"/>
    <cellStyle name="60% - Énfasis3 9 3 3 2 2" xfId="54471" xr:uid="{C45C40D9-6ECC-46A3-B313-88EDCBDF5D3B}"/>
    <cellStyle name="60% - Énfasis3 9 3 3 3" xfId="54470" xr:uid="{BD348C47-E20F-4118-B393-D5D2E3C75567}"/>
    <cellStyle name="60% - Énfasis3 9 3 4" xfId="17502" xr:uid="{833834DF-FE4D-46AD-8B60-32506EFCE871}"/>
    <cellStyle name="60% - Énfasis3 9 3 4 2" xfId="54472" xr:uid="{6BD5788B-6022-4FF0-9681-04BA9DEF0BDE}"/>
    <cellStyle name="60% - Énfasis3 9 3 5" xfId="54465" xr:uid="{ACD928E2-2B75-4E73-9BE9-2882859801DC}"/>
    <cellStyle name="60% - Énfasis3 9 4" xfId="4338" xr:uid="{50FF3AA8-1D96-4FB6-BDCB-1D4FB07AE7CC}"/>
    <cellStyle name="60% - Énfasis3 9 4 2" xfId="12046" xr:uid="{A1A4675A-0872-4CED-B342-014EEDC32C1E}"/>
    <cellStyle name="60% - Énfasis3 9 4 2 2" xfId="27458" xr:uid="{3D7EDFF5-EE7A-4366-AB5C-64BD975F5F0C}"/>
    <cellStyle name="60% - Énfasis3 9 4 2 2 2" xfId="54475" xr:uid="{F9A98C89-4EE5-4AF1-8661-B9ECB5AA3FD6}"/>
    <cellStyle name="60% - Énfasis3 9 4 2 3" xfId="54474" xr:uid="{C2677359-E6C0-4A74-AAF2-C0CB0B086C9B}"/>
    <cellStyle name="60% - Énfasis3 9 4 3" xfId="19753" xr:uid="{B6EBC8E5-A31F-4665-8F88-7B60EF414E92}"/>
    <cellStyle name="60% - Énfasis3 9 4 3 2" xfId="54476" xr:uid="{EDCDBE85-70BB-43A5-8125-21610FBC2680}"/>
    <cellStyle name="60% - Énfasis3 9 4 4" xfId="54473" xr:uid="{7C3F400B-E415-4ED0-9936-21BA78134FFB}"/>
    <cellStyle name="60% - Énfasis3 9 5" xfId="8335" xr:uid="{2CF6CB92-494C-469E-A9F1-DE235096D11B}"/>
    <cellStyle name="60% - Énfasis3 9 5 2" xfId="23748" xr:uid="{DBBE962B-EA7E-4A72-AB17-9936BFE8053F}"/>
    <cellStyle name="60% - Énfasis3 9 5 2 2" xfId="54478" xr:uid="{66CCF61E-517F-4CF6-A970-DB2316D85228}"/>
    <cellStyle name="60% - Énfasis3 9 5 3" xfId="54477" xr:uid="{2CE0C82B-52EE-4371-93C5-424B5D95E29F}"/>
    <cellStyle name="60% - Énfasis3 9 6" xfId="16043" xr:uid="{9E465E7A-DCCC-4489-9332-F93717F80F89}"/>
    <cellStyle name="60% - Énfasis3 9 6 2" xfId="54479" xr:uid="{EE226B43-DBCF-4D30-B833-6C428450ACEA}"/>
    <cellStyle name="60% - Énfasis3 9 7" xfId="54448" xr:uid="{128A97CB-0D08-49F8-813C-83C125108E4E}"/>
    <cellStyle name="60% - Énfasis4" xfId="51" builtinId="44" customBuiltin="1"/>
    <cellStyle name="60% - Énfasis4 10" xfId="616" xr:uid="{D617EECD-E29D-4A18-9EB2-9AE2B7B9BE87}"/>
    <cellStyle name="60% - Énfasis4 10 2" xfId="1277" xr:uid="{F5C07546-8D97-4D46-A355-185B79F6D278}"/>
    <cellStyle name="60% - Énfasis4 10 2 2" xfId="2744" xr:uid="{F9E45C93-2664-47C2-B207-78C30E20867D}"/>
    <cellStyle name="60% - Énfasis4 10 2 2 2" xfId="6476" xr:uid="{D6CE4A0D-029B-430A-8093-402032C6927E}"/>
    <cellStyle name="60% - Énfasis4 10 2 2 2 2" xfId="14184" xr:uid="{7F294BC4-1728-4CF2-AD2B-792A9EAE2F5C}"/>
    <cellStyle name="60% - Énfasis4 10 2 2 2 2 2" xfId="29596" xr:uid="{9AE5534A-1D76-45EC-B777-ED769266D06D}"/>
    <cellStyle name="60% - Énfasis4 10 2 2 2 2 2 2" xfId="54485" xr:uid="{8FBDF7C0-BF49-4B02-9F51-66F83F12CB33}"/>
    <cellStyle name="60% - Énfasis4 10 2 2 2 2 3" xfId="54484" xr:uid="{9414BC15-AABC-4575-B9E2-014D2D189903}"/>
    <cellStyle name="60% - Énfasis4 10 2 2 2 3" xfId="21891" xr:uid="{6E2D14A0-8E4A-4F48-B6AA-7BF2116F8741}"/>
    <cellStyle name="60% - Énfasis4 10 2 2 2 3 2" xfId="54486" xr:uid="{965C8D52-5E66-4061-851D-248C57C68EBF}"/>
    <cellStyle name="60% - Énfasis4 10 2 2 2 4" xfId="54483" xr:uid="{C0749656-42E4-4796-8892-3ABCC40507BC}"/>
    <cellStyle name="60% - Énfasis4 10 2 2 3" xfId="10455" xr:uid="{95F554F5-DB50-4805-AC5F-4745FC32C607}"/>
    <cellStyle name="60% - Énfasis4 10 2 2 3 2" xfId="25868" xr:uid="{F8A0F7E9-E026-4963-AE5F-0ED8268693F6}"/>
    <cellStyle name="60% - Énfasis4 10 2 2 3 2 2" xfId="54488" xr:uid="{6864DC8F-2D0E-4475-85CB-4B1E30397183}"/>
    <cellStyle name="60% - Énfasis4 10 2 2 3 3" xfId="54487" xr:uid="{6C4BC446-927B-461B-9401-62AF8AB6ED11}"/>
    <cellStyle name="60% - Énfasis4 10 2 2 4" xfId="18163" xr:uid="{B40EFFE3-B06D-492C-AF24-B7CBEF82BF15}"/>
    <cellStyle name="60% - Énfasis4 10 2 2 4 2" xfId="54489" xr:uid="{16F4A3BD-9EF7-4EFB-BD35-45663E6D9766}"/>
    <cellStyle name="60% - Énfasis4 10 2 2 5" xfId="54482" xr:uid="{1202481F-073B-4487-BD36-FE9F2C205013}"/>
    <cellStyle name="60% - Énfasis4 10 2 3" xfId="5013" xr:uid="{5AAFE84E-9DDE-42B6-BBF6-1931BC50929E}"/>
    <cellStyle name="60% - Énfasis4 10 2 3 2" xfId="12721" xr:uid="{7A0CF51F-1803-4F50-BF79-029EE41EB629}"/>
    <cellStyle name="60% - Énfasis4 10 2 3 2 2" xfId="28133" xr:uid="{35E5B0AC-4DD2-4C8F-9083-1F29AFD66461}"/>
    <cellStyle name="60% - Énfasis4 10 2 3 2 2 2" xfId="54492" xr:uid="{70A62373-A582-41C6-AFFD-E2D38EA7FC01}"/>
    <cellStyle name="60% - Énfasis4 10 2 3 2 3" xfId="54491" xr:uid="{EBC4BCE1-48E2-4E6B-B65D-DCEDA01FCFB9}"/>
    <cellStyle name="60% - Énfasis4 10 2 3 3" xfId="20428" xr:uid="{FC2D6B92-8969-4845-A407-24C04678B57C}"/>
    <cellStyle name="60% - Énfasis4 10 2 3 3 2" xfId="54493" xr:uid="{D041F75F-29B2-4F07-9592-D84563088DF5}"/>
    <cellStyle name="60% - Énfasis4 10 2 3 4" xfId="54490" xr:uid="{7C4B0441-907D-4BC1-8854-3DB749CEF892}"/>
    <cellStyle name="60% - Énfasis4 10 2 4" xfId="8996" xr:uid="{59E71961-2D54-4235-88AB-8413C6E5370D}"/>
    <cellStyle name="60% - Énfasis4 10 2 4 2" xfId="24409" xr:uid="{BD083935-8844-4BEC-BC46-5578C5A6DABD}"/>
    <cellStyle name="60% - Énfasis4 10 2 4 2 2" xfId="54495" xr:uid="{47F3997A-072B-46EE-ACE8-BA4BDE2A8844}"/>
    <cellStyle name="60% - Énfasis4 10 2 4 3" xfId="54494" xr:uid="{62384D0C-1249-4417-8573-FDD6916C071C}"/>
    <cellStyle name="60% - Énfasis4 10 2 5" xfId="16704" xr:uid="{4009D78C-9463-4C7B-BFF0-F4A26B21878F}"/>
    <cellStyle name="60% - Énfasis4 10 2 5 2" xfId="54496" xr:uid="{30D2AD88-5A81-4DDC-8CDB-209B8D6550CD}"/>
    <cellStyle name="60% - Énfasis4 10 2 6" xfId="54481" xr:uid="{9B2E12E3-8B6E-4A56-81EA-AE09E1DE074D}"/>
    <cellStyle name="60% - Énfasis4 10 3" xfId="2106" xr:uid="{6532CEBC-ADAA-4C4D-A2F0-BAF9B7A5DF7A}"/>
    <cellStyle name="60% - Énfasis4 10 3 2" xfId="5838" xr:uid="{B36CCCF5-BC6D-432D-95EB-85A9B85E7E2A}"/>
    <cellStyle name="60% - Énfasis4 10 3 2 2" xfId="13546" xr:uid="{6FFF8581-D110-40D3-9323-3FEC1A5EAED7}"/>
    <cellStyle name="60% - Énfasis4 10 3 2 2 2" xfId="28958" xr:uid="{6053A19E-4F2D-4E79-93F7-4D4F363F5604}"/>
    <cellStyle name="60% - Énfasis4 10 3 2 2 2 2" xfId="54500" xr:uid="{F1B561BA-7E52-4E36-8DD8-310C7E6BBFBF}"/>
    <cellStyle name="60% - Énfasis4 10 3 2 2 3" xfId="54499" xr:uid="{E58C29B7-29A1-4BB3-A419-E934FE0D7869}"/>
    <cellStyle name="60% - Énfasis4 10 3 2 3" xfId="21253" xr:uid="{2945E4A3-16FB-4038-9DCF-CF4675538C5A}"/>
    <cellStyle name="60% - Énfasis4 10 3 2 3 2" xfId="54501" xr:uid="{6CDC74A3-06ED-461E-9BD6-8B27BC52ED71}"/>
    <cellStyle name="60% - Énfasis4 10 3 2 4" xfId="54498" xr:uid="{1832FA63-04BE-48C6-87B8-A0C1A134EFB0}"/>
    <cellStyle name="60% - Énfasis4 10 3 3" xfId="9817" xr:uid="{0EC5E0AB-3E86-47F7-BE62-363D3C1186F5}"/>
    <cellStyle name="60% - Énfasis4 10 3 3 2" xfId="25230" xr:uid="{4ECB86D5-4574-44D6-8BDB-B775CAE0BE3F}"/>
    <cellStyle name="60% - Énfasis4 10 3 3 2 2" xfId="54503" xr:uid="{A986E490-BB1A-4D39-B76A-D0CCD8BFEF8D}"/>
    <cellStyle name="60% - Énfasis4 10 3 3 3" xfId="54502" xr:uid="{7BB9E151-51E0-4735-A5BF-026AF749052C}"/>
    <cellStyle name="60% - Énfasis4 10 3 4" xfId="17525" xr:uid="{956CCE86-7948-4B3F-BA35-3CA7978319C1}"/>
    <cellStyle name="60% - Énfasis4 10 3 4 2" xfId="54504" xr:uid="{0BF6189C-4777-4A3C-88F9-2F2A52BB1BEA}"/>
    <cellStyle name="60% - Énfasis4 10 3 5" xfId="54497" xr:uid="{8173AFE0-EE16-4557-82DA-2A6F3095A5CD}"/>
    <cellStyle name="60% - Énfasis4 10 4" xfId="4361" xr:uid="{C829FF6F-691D-43B5-8B0C-C8B76F7EFC95}"/>
    <cellStyle name="60% - Énfasis4 10 4 2" xfId="12069" xr:uid="{70F7FE00-EEDE-400A-8B75-1435717CF611}"/>
    <cellStyle name="60% - Énfasis4 10 4 2 2" xfId="27481" xr:uid="{9E15BBCF-3D9E-4F6F-91C1-01F5C0B09EEA}"/>
    <cellStyle name="60% - Énfasis4 10 4 2 2 2" xfId="54507" xr:uid="{A6178029-5519-40CF-8FF5-33E48DD86E17}"/>
    <cellStyle name="60% - Énfasis4 10 4 2 3" xfId="54506" xr:uid="{AA4708FF-5345-4B78-8843-9F5BCFFF8DDD}"/>
    <cellStyle name="60% - Énfasis4 10 4 3" xfId="19776" xr:uid="{E96FA0B0-D125-435B-9FE7-AF4E5114AF96}"/>
    <cellStyle name="60% - Énfasis4 10 4 3 2" xfId="54508" xr:uid="{A84951E9-E508-47EA-807C-0B306FAFB8D7}"/>
    <cellStyle name="60% - Énfasis4 10 4 4" xfId="54505" xr:uid="{FF512694-B8E5-4F51-9C69-14BFFEE13F62}"/>
    <cellStyle name="60% - Énfasis4 10 5" xfId="8358" xr:uid="{7C2F4B6F-62AA-41DF-B61A-F1521B0BEA29}"/>
    <cellStyle name="60% - Énfasis4 10 5 2" xfId="23771" xr:uid="{2EEDD243-59FC-4A95-8154-716428871AD0}"/>
    <cellStyle name="60% - Énfasis4 10 5 2 2" xfId="54510" xr:uid="{AADCD124-51E0-489E-813B-FAD32A1EDCCD}"/>
    <cellStyle name="60% - Énfasis4 10 5 3" xfId="54509" xr:uid="{DA5F14D3-CA1D-43AB-89F2-EF72FB5A94A7}"/>
    <cellStyle name="60% - Énfasis4 10 6" xfId="16066" xr:uid="{1DADEE1D-6AE6-44A5-BB86-5E1203A969E3}"/>
    <cellStyle name="60% - Énfasis4 10 6 2" xfId="54511" xr:uid="{6424AC13-2760-4F99-AC85-05A733D68273}"/>
    <cellStyle name="60% - Énfasis4 10 7" xfId="54480" xr:uid="{9AB084A5-8C6F-4D08-BEB3-C8F95070F9DD}"/>
    <cellStyle name="60% - Énfasis4 11" xfId="636" xr:uid="{2343ABC3-8463-44B9-B6A8-956F9E8A4ADC}"/>
    <cellStyle name="60% - Énfasis4 11 2" xfId="1297" xr:uid="{A45028A8-BBD8-4629-9E08-FCBAA10FF600}"/>
    <cellStyle name="60% - Énfasis4 11 2 2" xfId="2764" xr:uid="{E53FBA20-221B-4A5E-9D8E-05BD8ACC3E15}"/>
    <cellStyle name="60% - Énfasis4 11 2 2 2" xfId="6496" xr:uid="{A3F6C32E-9118-4EB3-A961-E363B9013B7C}"/>
    <cellStyle name="60% - Énfasis4 11 2 2 2 2" xfId="14204" xr:uid="{9F9DFDA6-E997-44E4-81B4-D62B2DBBB2C4}"/>
    <cellStyle name="60% - Énfasis4 11 2 2 2 2 2" xfId="29616" xr:uid="{7475CFDA-D712-46BF-A9CF-1EDB166DEEEF}"/>
    <cellStyle name="60% - Énfasis4 11 2 2 2 2 2 2" xfId="54517" xr:uid="{47C10647-EA0B-4E77-8C9F-0E094C2ED8B0}"/>
    <cellStyle name="60% - Énfasis4 11 2 2 2 2 3" xfId="54516" xr:uid="{447D0C7B-3289-4B5E-8AC5-740F62EDAC0F}"/>
    <cellStyle name="60% - Énfasis4 11 2 2 2 3" xfId="21911" xr:uid="{7AFBBF54-1D7E-4683-ABDB-57CDA986CD84}"/>
    <cellStyle name="60% - Énfasis4 11 2 2 2 3 2" xfId="54518" xr:uid="{A4A0D479-2002-476A-AC79-C00202D18E63}"/>
    <cellStyle name="60% - Énfasis4 11 2 2 2 4" xfId="54515" xr:uid="{9E90CC57-C22F-466E-B7BC-0271978966B2}"/>
    <cellStyle name="60% - Énfasis4 11 2 2 3" xfId="10475" xr:uid="{7780C02B-20C7-4676-862D-322BDC67ABBA}"/>
    <cellStyle name="60% - Énfasis4 11 2 2 3 2" xfId="25888" xr:uid="{35A366FB-DC42-491D-9B14-E0E84FEE2AE5}"/>
    <cellStyle name="60% - Énfasis4 11 2 2 3 2 2" xfId="54520" xr:uid="{8167A117-2521-4DAF-AA89-3680A585EAF1}"/>
    <cellStyle name="60% - Énfasis4 11 2 2 3 3" xfId="54519" xr:uid="{7C89B32A-7912-4994-B42B-7E854E75D32A}"/>
    <cellStyle name="60% - Énfasis4 11 2 2 4" xfId="18183" xr:uid="{0CD04C40-B632-4ACA-94E4-AC267F556DAC}"/>
    <cellStyle name="60% - Énfasis4 11 2 2 4 2" xfId="54521" xr:uid="{D617F5F2-4465-4109-9193-5C63CAC4EBCC}"/>
    <cellStyle name="60% - Énfasis4 11 2 2 5" xfId="54514" xr:uid="{77DF0F26-FE37-43F3-8807-5EE78A02E0B4}"/>
    <cellStyle name="60% - Énfasis4 11 2 3" xfId="5033" xr:uid="{578FAE71-E57E-4371-904F-51B381BF903C}"/>
    <cellStyle name="60% - Énfasis4 11 2 3 2" xfId="12741" xr:uid="{4B6992A9-7B65-4EAD-AC0E-B6C134B21347}"/>
    <cellStyle name="60% - Énfasis4 11 2 3 2 2" xfId="28153" xr:uid="{1F9EA03A-E6F3-4208-BB0F-0923DD77A512}"/>
    <cellStyle name="60% - Énfasis4 11 2 3 2 2 2" xfId="54524" xr:uid="{534A550F-7CE1-4E17-8ABC-299841B9A586}"/>
    <cellStyle name="60% - Énfasis4 11 2 3 2 3" xfId="54523" xr:uid="{C79A7BE5-F4D1-4551-97D8-20A33C6C540B}"/>
    <cellStyle name="60% - Énfasis4 11 2 3 3" xfId="20448" xr:uid="{4501C361-4E2F-4C0D-B48B-229D768F39B8}"/>
    <cellStyle name="60% - Énfasis4 11 2 3 3 2" xfId="54525" xr:uid="{9F0700CD-CC55-45B3-8381-B6CE36AD1499}"/>
    <cellStyle name="60% - Énfasis4 11 2 3 4" xfId="54522" xr:uid="{494D45B1-09F9-490F-94FC-76E5CEEF0B9B}"/>
    <cellStyle name="60% - Énfasis4 11 2 4" xfId="9016" xr:uid="{652B719E-6825-4B5A-A205-762851780D66}"/>
    <cellStyle name="60% - Énfasis4 11 2 4 2" xfId="24429" xr:uid="{5B22C4DD-BC00-49B1-82BB-8D2B673A837E}"/>
    <cellStyle name="60% - Énfasis4 11 2 4 2 2" xfId="54527" xr:uid="{351A7321-9A61-416A-BFB7-47454CF36EAB}"/>
    <cellStyle name="60% - Énfasis4 11 2 4 3" xfId="54526" xr:uid="{B93A97DF-E814-4C6F-A9F8-018046C9C50B}"/>
    <cellStyle name="60% - Énfasis4 11 2 5" xfId="16724" xr:uid="{D18F88C9-EBE3-44D3-AF7A-8AF6094468A5}"/>
    <cellStyle name="60% - Énfasis4 11 2 5 2" xfId="54528" xr:uid="{DC53C6E9-D1A4-4112-9ECE-1F0900EE9CE3}"/>
    <cellStyle name="60% - Énfasis4 11 2 6" xfId="54513" xr:uid="{E6E34C6E-BCFE-433B-8D5A-D43F3D9A286F}"/>
    <cellStyle name="60% - Énfasis4 11 3" xfId="2126" xr:uid="{29050A29-0365-42DA-8A4F-A8F9285D2D0B}"/>
    <cellStyle name="60% - Énfasis4 11 3 2" xfId="5858" xr:uid="{99C8C4F0-DD97-4115-B944-4FB42B3DDFDA}"/>
    <cellStyle name="60% - Énfasis4 11 3 2 2" xfId="13566" xr:uid="{B7CEA61C-C58B-48EE-8ADB-089BA888DCCD}"/>
    <cellStyle name="60% - Énfasis4 11 3 2 2 2" xfId="28978" xr:uid="{BFF30123-D5DA-46D1-90BD-EE4A185C12C6}"/>
    <cellStyle name="60% - Énfasis4 11 3 2 2 2 2" xfId="54532" xr:uid="{8D43BD28-4D34-46A0-ABF2-FC910D25A149}"/>
    <cellStyle name="60% - Énfasis4 11 3 2 2 3" xfId="54531" xr:uid="{B8D03231-0200-41DB-AD6B-164E228C29EE}"/>
    <cellStyle name="60% - Énfasis4 11 3 2 3" xfId="21273" xr:uid="{0838B32A-536E-4455-A336-A13D38838D31}"/>
    <cellStyle name="60% - Énfasis4 11 3 2 3 2" xfId="54533" xr:uid="{5DE979E3-703E-4360-947A-F567ECC6EB39}"/>
    <cellStyle name="60% - Énfasis4 11 3 2 4" xfId="54530" xr:uid="{B460A1B3-048F-4049-8344-55D485704B2B}"/>
    <cellStyle name="60% - Énfasis4 11 3 3" xfId="9837" xr:uid="{5F362F8E-0938-4C84-B021-24828E679C58}"/>
    <cellStyle name="60% - Énfasis4 11 3 3 2" xfId="25250" xr:uid="{A0BFED08-DBCB-4A95-834C-E5FF9409C543}"/>
    <cellStyle name="60% - Énfasis4 11 3 3 2 2" xfId="54535" xr:uid="{F8EE224F-3EC5-422E-AC56-5756684FAFCF}"/>
    <cellStyle name="60% - Énfasis4 11 3 3 3" xfId="54534" xr:uid="{BD0D6214-D5A0-4752-96FC-AE1BC091F426}"/>
    <cellStyle name="60% - Énfasis4 11 3 4" xfId="17545" xr:uid="{DD45D499-8D32-434D-A68D-D02C1721CB43}"/>
    <cellStyle name="60% - Énfasis4 11 3 4 2" xfId="54536" xr:uid="{E357AA88-201B-4F6A-BD57-088E8723E143}"/>
    <cellStyle name="60% - Énfasis4 11 3 5" xfId="54529" xr:uid="{29261CC9-79A1-430D-A401-059EBB8BA4DC}"/>
    <cellStyle name="60% - Énfasis4 11 4" xfId="4381" xr:uid="{E31B7D50-D1DA-448B-9F1E-F08C34F8F604}"/>
    <cellStyle name="60% - Énfasis4 11 4 2" xfId="12089" xr:uid="{CD37AC32-50F5-4CA8-8888-5E3ED028FC55}"/>
    <cellStyle name="60% - Énfasis4 11 4 2 2" xfId="27501" xr:uid="{26E82EEE-F44C-477C-91D9-5476E2EE9339}"/>
    <cellStyle name="60% - Énfasis4 11 4 2 2 2" xfId="54539" xr:uid="{CD5429C5-020D-4F31-B42B-EB1C49B6004B}"/>
    <cellStyle name="60% - Énfasis4 11 4 2 3" xfId="54538" xr:uid="{7E8D3F1F-2DC4-4AEB-BB8F-BD52352FE4A6}"/>
    <cellStyle name="60% - Énfasis4 11 4 3" xfId="19796" xr:uid="{06A4F756-9BE6-4FC1-B127-4CE1D3C46A3D}"/>
    <cellStyle name="60% - Énfasis4 11 4 3 2" xfId="54540" xr:uid="{5EDB90AF-1DA1-438C-A5DA-4D720CA938C7}"/>
    <cellStyle name="60% - Énfasis4 11 4 4" xfId="54537" xr:uid="{50EB8243-3AB9-4745-878E-E9C9AB058F9A}"/>
    <cellStyle name="60% - Énfasis4 11 5" xfId="8378" xr:uid="{4C5E3193-0A6A-4590-884B-5BE9FC5C7B92}"/>
    <cellStyle name="60% - Énfasis4 11 5 2" xfId="23791" xr:uid="{AB9671D4-EAC0-413B-9DF1-D0429BD26A3A}"/>
    <cellStyle name="60% - Énfasis4 11 5 2 2" xfId="54542" xr:uid="{0407E49B-B072-48B1-9235-0BCCD631F3D8}"/>
    <cellStyle name="60% - Énfasis4 11 5 3" xfId="54541" xr:uid="{83ACC916-E0A4-49B1-8FF4-5797DD3ACEA3}"/>
    <cellStyle name="60% - Énfasis4 11 6" xfId="16086" xr:uid="{1B624B1C-033B-469A-A1F2-62CB81073C9B}"/>
    <cellStyle name="60% - Énfasis4 11 6 2" xfId="54543" xr:uid="{CB3E4AD9-D8A5-47C3-8789-D7575946C741}"/>
    <cellStyle name="60% - Énfasis4 11 7" xfId="54512" xr:uid="{8F10789B-9472-4747-B9A5-C35F53718F5E}"/>
    <cellStyle name="60% - Énfasis4 12" xfId="657" xr:uid="{F3707311-2CAD-4EC5-9653-CCAAC59EF2F0}"/>
    <cellStyle name="60% - Énfasis4 12 2" xfId="1318" xr:uid="{44DDD1C9-6561-40D0-939B-0C8238A9B5AE}"/>
    <cellStyle name="60% - Énfasis4 12 2 2" xfId="2785" xr:uid="{869F3DC9-C916-43C0-8CE2-0ABC86E6E5F7}"/>
    <cellStyle name="60% - Énfasis4 12 2 2 2" xfId="6517" xr:uid="{2602DC59-1C4F-4142-98DA-976EE438B718}"/>
    <cellStyle name="60% - Énfasis4 12 2 2 2 2" xfId="14225" xr:uid="{F0F46119-8652-4789-9D12-CAB872DDC36E}"/>
    <cellStyle name="60% - Énfasis4 12 2 2 2 2 2" xfId="29637" xr:uid="{8587DF14-6847-47D9-820C-EB3C576A85E9}"/>
    <cellStyle name="60% - Énfasis4 12 2 2 2 2 2 2" xfId="54549" xr:uid="{7BF0FE17-8460-4448-B331-E20E35085DC4}"/>
    <cellStyle name="60% - Énfasis4 12 2 2 2 2 3" xfId="54548" xr:uid="{AF85803D-780E-4DDF-B08C-B669BCCD25BD}"/>
    <cellStyle name="60% - Énfasis4 12 2 2 2 3" xfId="21932" xr:uid="{C677C699-0B6B-49EC-878C-C37202849690}"/>
    <cellStyle name="60% - Énfasis4 12 2 2 2 3 2" xfId="54550" xr:uid="{F712A4F5-4792-4527-8B0E-8B292A0BFC97}"/>
    <cellStyle name="60% - Énfasis4 12 2 2 2 4" xfId="54547" xr:uid="{9F5C9059-98A2-4DC5-9FF8-55ABE063564E}"/>
    <cellStyle name="60% - Énfasis4 12 2 2 3" xfId="10496" xr:uid="{61EAC113-524B-4A26-8D88-C7A6E8FD5D8E}"/>
    <cellStyle name="60% - Énfasis4 12 2 2 3 2" xfId="25909" xr:uid="{F9F7C79F-749D-479A-ACDA-749F011C9AE4}"/>
    <cellStyle name="60% - Énfasis4 12 2 2 3 2 2" xfId="54552" xr:uid="{292D87B3-B281-49E5-9AF2-90382660C9D5}"/>
    <cellStyle name="60% - Énfasis4 12 2 2 3 3" xfId="54551" xr:uid="{0F6DA758-AF3D-422A-805D-F365F2BADC82}"/>
    <cellStyle name="60% - Énfasis4 12 2 2 4" xfId="18204" xr:uid="{B801E690-46AD-46FA-8B92-3CD3FE0D3BF8}"/>
    <cellStyle name="60% - Énfasis4 12 2 2 4 2" xfId="54553" xr:uid="{32A9A07F-7026-4A29-992E-2AA43933C62F}"/>
    <cellStyle name="60% - Énfasis4 12 2 2 5" xfId="54546" xr:uid="{A66A3075-3C15-4540-9062-8568AD5EE940}"/>
    <cellStyle name="60% - Énfasis4 12 2 3" xfId="5054" xr:uid="{4CD66B66-095D-4AF0-81CF-320B0ABAE420}"/>
    <cellStyle name="60% - Énfasis4 12 2 3 2" xfId="12762" xr:uid="{2518D039-AF2D-41CD-A080-9CC930830853}"/>
    <cellStyle name="60% - Énfasis4 12 2 3 2 2" xfId="28174" xr:uid="{3B591BD7-DC27-4200-A110-5DF4E3C382C0}"/>
    <cellStyle name="60% - Énfasis4 12 2 3 2 2 2" xfId="54556" xr:uid="{88061D23-53CE-4C27-B61D-2244DA6342F9}"/>
    <cellStyle name="60% - Énfasis4 12 2 3 2 3" xfId="54555" xr:uid="{72485FAE-7EE3-4B76-B02E-EF80B72356A5}"/>
    <cellStyle name="60% - Énfasis4 12 2 3 3" xfId="20469" xr:uid="{EF821EA1-3CC0-4F2E-82EA-13CF6BF540C0}"/>
    <cellStyle name="60% - Énfasis4 12 2 3 3 2" xfId="54557" xr:uid="{95843CCF-9CE1-48C1-87AE-3B078743BF1C}"/>
    <cellStyle name="60% - Énfasis4 12 2 3 4" xfId="54554" xr:uid="{393026B5-2160-42B5-9C75-1B1BC61993AF}"/>
    <cellStyle name="60% - Énfasis4 12 2 4" xfId="9037" xr:uid="{EC224946-34C1-43F3-8C43-8101A5A87306}"/>
    <cellStyle name="60% - Énfasis4 12 2 4 2" xfId="24450" xr:uid="{F28B1578-9CD4-4EFE-AFAB-93229C6ADC4A}"/>
    <cellStyle name="60% - Énfasis4 12 2 4 2 2" xfId="54559" xr:uid="{1A374F73-17E0-400B-B02F-685D883C49E7}"/>
    <cellStyle name="60% - Énfasis4 12 2 4 3" xfId="54558" xr:uid="{1301E9AF-3C5A-4041-BBE6-3BED88D951B3}"/>
    <cellStyle name="60% - Énfasis4 12 2 5" xfId="16745" xr:uid="{2B7003E6-9B1F-4CDC-A0DA-8597067FB986}"/>
    <cellStyle name="60% - Énfasis4 12 2 5 2" xfId="54560" xr:uid="{65148FA6-36FC-45BE-9065-703FAA8E3883}"/>
    <cellStyle name="60% - Énfasis4 12 2 6" xfId="54545" xr:uid="{BC17769F-D8D3-4BB2-B49D-8A341670ECD0}"/>
    <cellStyle name="60% - Énfasis4 12 3" xfId="2147" xr:uid="{7A9573DC-6343-4A00-ACF0-BE7D3A6ACA76}"/>
    <cellStyle name="60% - Énfasis4 12 3 2" xfId="5879" xr:uid="{B114F486-EE12-4E6D-B859-86F25AA4AB3D}"/>
    <cellStyle name="60% - Énfasis4 12 3 2 2" xfId="13587" xr:uid="{7BFA7688-8970-43AC-B590-D9BDB23608D0}"/>
    <cellStyle name="60% - Énfasis4 12 3 2 2 2" xfId="28999" xr:uid="{1BAAE060-163C-41A6-975A-03CC5AD87EA7}"/>
    <cellStyle name="60% - Énfasis4 12 3 2 2 2 2" xfId="54564" xr:uid="{A88A7D6E-E53C-4B65-BD43-5F2FEE608536}"/>
    <cellStyle name="60% - Énfasis4 12 3 2 2 3" xfId="54563" xr:uid="{A685CED2-62F8-4437-9325-1CC5D7368601}"/>
    <cellStyle name="60% - Énfasis4 12 3 2 3" xfId="21294" xr:uid="{29962096-08E2-4AA5-B277-A2B6243B320E}"/>
    <cellStyle name="60% - Énfasis4 12 3 2 3 2" xfId="54565" xr:uid="{30564B51-9E00-4869-AFD3-CA7D12C41BFF}"/>
    <cellStyle name="60% - Énfasis4 12 3 2 4" xfId="54562" xr:uid="{288095A8-950C-4792-B370-A84152B1403C}"/>
    <cellStyle name="60% - Énfasis4 12 3 3" xfId="9858" xr:uid="{F42DD6E9-8E16-40A4-9774-6658A2CADD9C}"/>
    <cellStyle name="60% - Énfasis4 12 3 3 2" xfId="25271" xr:uid="{816FC197-8659-47ED-B86D-5D9BF9FB66F1}"/>
    <cellStyle name="60% - Énfasis4 12 3 3 2 2" xfId="54567" xr:uid="{0019B469-D6A8-4E57-B60C-74B3D6C4607E}"/>
    <cellStyle name="60% - Énfasis4 12 3 3 3" xfId="54566" xr:uid="{B761BA68-F4CC-4C3A-8426-DF343B72428F}"/>
    <cellStyle name="60% - Énfasis4 12 3 4" xfId="17566" xr:uid="{AF024915-5F5E-4A70-8A43-8DE6DD5B0583}"/>
    <cellStyle name="60% - Énfasis4 12 3 4 2" xfId="54568" xr:uid="{8D24D28E-0C4F-4380-B43E-D329B07CEAA7}"/>
    <cellStyle name="60% - Énfasis4 12 3 5" xfId="54561" xr:uid="{33010B19-3904-46D6-B407-6A279233E645}"/>
    <cellStyle name="60% - Énfasis4 12 4" xfId="4402" xr:uid="{C2844170-13AF-45EB-A2F5-42FA51583E27}"/>
    <cellStyle name="60% - Énfasis4 12 4 2" xfId="12110" xr:uid="{84D789C4-0953-4210-82EE-41B5F1ED97DC}"/>
    <cellStyle name="60% - Énfasis4 12 4 2 2" xfId="27522" xr:uid="{C1E1C0DE-DE1F-4F08-8DDE-A1CF19ADCEC5}"/>
    <cellStyle name="60% - Énfasis4 12 4 2 2 2" xfId="54571" xr:uid="{9EAD0EB0-1312-4910-B827-E811EC8626BD}"/>
    <cellStyle name="60% - Énfasis4 12 4 2 3" xfId="54570" xr:uid="{BEA5EA10-4BB8-4A39-AA56-A7A56DBFCF1B}"/>
    <cellStyle name="60% - Énfasis4 12 4 3" xfId="19817" xr:uid="{26C25240-FE46-442B-AFE2-38A91046D95E}"/>
    <cellStyle name="60% - Énfasis4 12 4 3 2" xfId="54572" xr:uid="{0035D923-B73B-4C5B-8D03-8F42DE189F2C}"/>
    <cellStyle name="60% - Énfasis4 12 4 4" xfId="54569" xr:uid="{60CE5DA0-FF30-4763-A4E2-7148F9327C1F}"/>
    <cellStyle name="60% - Énfasis4 12 5" xfId="8399" xr:uid="{9F7A7EC7-0D0E-4936-B9AF-71592BED07C7}"/>
    <cellStyle name="60% - Énfasis4 12 5 2" xfId="23812" xr:uid="{ED48655F-414B-4083-93A0-40A3819CAC21}"/>
    <cellStyle name="60% - Énfasis4 12 5 2 2" xfId="54574" xr:uid="{11AB9A15-7532-4EC7-995A-4234228C16EE}"/>
    <cellStyle name="60% - Énfasis4 12 5 3" xfId="54573" xr:uid="{03D5D195-C83D-4CC8-A753-FA9C02E0B2B5}"/>
    <cellStyle name="60% - Énfasis4 12 6" xfId="16107" xr:uid="{3E24FEC2-A5BD-43D5-AF08-A0E05BC1D209}"/>
    <cellStyle name="60% - Énfasis4 12 6 2" xfId="54575" xr:uid="{572EFEFA-DE2D-47BB-941C-8188FEC6BD19}"/>
    <cellStyle name="60% - Énfasis4 12 7" xfId="54544" xr:uid="{C524BF07-E7C6-4026-B2D1-523838A1F8D4}"/>
    <cellStyle name="60% - Énfasis4 13" xfId="677" xr:uid="{7FFBAB47-0068-4190-BDC1-081D506B6864}"/>
    <cellStyle name="60% - Énfasis4 13 2" xfId="1338" xr:uid="{32A010E4-2AB7-405D-826C-7C8535FF87DC}"/>
    <cellStyle name="60% - Énfasis4 13 2 2" xfId="2805" xr:uid="{670CF780-3177-48B1-8555-CC3E2293E272}"/>
    <cellStyle name="60% - Énfasis4 13 2 2 2" xfId="6537" xr:uid="{DF057EB4-0C7D-4894-B859-F3B7F712B5BA}"/>
    <cellStyle name="60% - Énfasis4 13 2 2 2 2" xfId="14245" xr:uid="{86BFC41E-40F6-4428-8B9D-637D82CDC384}"/>
    <cellStyle name="60% - Énfasis4 13 2 2 2 2 2" xfId="29657" xr:uid="{67327798-A2AF-43B1-98D6-ACB903FDBE8C}"/>
    <cellStyle name="60% - Énfasis4 13 2 2 2 2 2 2" xfId="54581" xr:uid="{A247EB97-33DA-4E53-B9B9-5D3D54CA170A}"/>
    <cellStyle name="60% - Énfasis4 13 2 2 2 2 3" xfId="54580" xr:uid="{46D85A32-5021-4B40-BE01-67A54D77831F}"/>
    <cellStyle name="60% - Énfasis4 13 2 2 2 3" xfId="21952" xr:uid="{D5769DCC-2B4E-4CD2-AB9A-6808508FD507}"/>
    <cellStyle name="60% - Énfasis4 13 2 2 2 3 2" xfId="54582" xr:uid="{472E43DB-3793-4F82-81B7-3F8C8DC61B9A}"/>
    <cellStyle name="60% - Énfasis4 13 2 2 2 4" xfId="54579" xr:uid="{5ACC8DB5-B8DA-463E-842A-F70B262F9EE3}"/>
    <cellStyle name="60% - Énfasis4 13 2 2 3" xfId="10516" xr:uid="{45A569ED-2DC5-409C-ADA5-E6FCA0B90FD4}"/>
    <cellStyle name="60% - Énfasis4 13 2 2 3 2" xfId="25929" xr:uid="{B7876729-CCE0-4915-BA9A-6DD91E508517}"/>
    <cellStyle name="60% - Énfasis4 13 2 2 3 2 2" xfId="54584" xr:uid="{71592736-8E09-46FC-8ACF-BA657C7FF438}"/>
    <cellStyle name="60% - Énfasis4 13 2 2 3 3" xfId="54583" xr:uid="{FDA11117-57DF-456A-87D0-9BF79F247716}"/>
    <cellStyle name="60% - Énfasis4 13 2 2 4" xfId="18224" xr:uid="{AF7A860A-6C20-4ABC-AD15-93AC49622818}"/>
    <cellStyle name="60% - Énfasis4 13 2 2 4 2" xfId="54585" xr:uid="{B7D07D92-B694-414A-9E43-0AFFFDF4C4DF}"/>
    <cellStyle name="60% - Énfasis4 13 2 2 5" xfId="54578" xr:uid="{18DCA366-00C0-4E21-AC92-DF04AA2F6A24}"/>
    <cellStyle name="60% - Énfasis4 13 2 3" xfId="5074" xr:uid="{7D9254C2-1939-440F-92EA-D56C72CFC6E1}"/>
    <cellStyle name="60% - Énfasis4 13 2 3 2" xfId="12782" xr:uid="{D90792D9-FA19-48E6-9C19-C9A9277F21A0}"/>
    <cellStyle name="60% - Énfasis4 13 2 3 2 2" xfId="28194" xr:uid="{6E27C562-B569-4D71-B360-4C8B049664C4}"/>
    <cellStyle name="60% - Énfasis4 13 2 3 2 2 2" xfId="54588" xr:uid="{91CFC3E1-0309-491A-8A2E-61307D66E36A}"/>
    <cellStyle name="60% - Énfasis4 13 2 3 2 3" xfId="54587" xr:uid="{739CEB83-C363-4688-97E7-CA010F2C0FEC}"/>
    <cellStyle name="60% - Énfasis4 13 2 3 3" xfId="20489" xr:uid="{44A44B25-C92A-4C9E-9A28-796421A0CC65}"/>
    <cellStyle name="60% - Énfasis4 13 2 3 3 2" xfId="54589" xr:uid="{FC9EA9D9-37FA-4F12-B462-CBC9F3E96F2A}"/>
    <cellStyle name="60% - Énfasis4 13 2 3 4" xfId="54586" xr:uid="{6533361B-9886-47D6-A593-3A12D0CBFF3C}"/>
    <cellStyle name="60% - Énfasis4 13 2 4" xfId="9057" xr:uid="{8EEF1581-FC60-42D7-BD33-BF8C6A7F9EBF}"/>
    <cellStyle name="60% - Énfasis4 13 2 4 2" xfId="24470" xr:uid="{AD448D45-32F7-459F-A950-4B47E4FD902B}"/>
    <cellStyle name="60% - Énfasis4 13 2 4 2 2" xfId="54591" xr:uid="{04066DDB-7C67-421D-BAAF-C16341015A9E}"/>
    <cellStyle name="60% - Énfasis4 13 2 4 3" xfId="54590" xr:uid="{34DA74A5-FDDD-4F5D-AFD3-98C0676CF1F7}"/>
    <cellStyle name="60% - Énfasis4 13 2 5" xfId="16765" xr:uid="{1B6F342C-4200-48D5-9AAE-2F4B037837B2}"/>
    <cellStyle name="60% - Énfasis4 13 2 5 2" xfId="54592" xr:uid="{9BB7185A-5E7E-4387-A11F-C53CE2A0027E}"/>
    <cellStyle name="60% - Énfasis4 13 2 6" xfId="54577" xr:uid="{6BA16C23-2DA2-40DA-95F8-2A8E830763FB}"/>
    <cellStyle name="60% - Énfasis4 13 3" xfId="2167" xr:uid="{E33E4922-041A-4121-858B-A041A099B6ED}"/>
    <cellStyle name="60% - Énfasis4 13 3 2" xfId="5899" xr:uid="{9079D24C-AB91-4E48-8857-D1E3DFBFD750}"/>
    <cellStyle name="60% - Énfasis4 13 3 2 2" xfId="13607" xr:uid="{123D5243-B7A1-4727-8075-66E587099151}"/>
    <cellStyle name="60% - Énfasis4 13 3 2 2 2" xfId="29019" xr:uid="{F65DC90B-C2DB-4DA1-B122-6DC62C5E2A33}"/>
    <cellStyle name="60% - Énfasis4 13 3 2 2 2 2" xfId="54596" xr:uid="{114F3618-3CB0-4529-A196-FF672C758BDF}"/>
    <cellStyle name="60% - Énfasis4 13 3 2 2 3" xfId="54595" xr:uid="{95532301-15E6-41F0-8A3E-03A8FFF39F40}"/>
    <cellStyle name="60% - Énfasis4 13 3 2 3" xfId="21314" xr:uid="{CDBF140F-0674-4221-ADEC-A1E322DE4734}"/>
    <cellStyle name="60% - Énfasis4 13 3 2 3 2" xfId="54597" xr:uid="{E9B1360E-8367-4F49-9339-E84C474DBDF5}"/>
    <cellStyle name="60% - Énfasis4 13 3 2 4" xfId="54594" xr:uid="{E1CB712E-C303-4552-AB04-55DAF89E4375}"/>
    <cellStyle name="60% - Énfasis4 13 3 3" xfId="9878" xr:uid="{44D41EC2-8D96-4BFD-85EB-F6963C3A67F7}"/>
    <cellStyle name="60% - Énfasis4 13 3 3 2" xfId="25291" xr:uid="{8E3B7D20-AFBB-4BBA-95D9-B7E9F0E44D28}"/>
    <cellStyle name="60% - Énfasis4 13 3 3 2 2" xfId="54599" xr:uid="{3D35D600-7C93-4FF7-B237-4075D01EAD29}"/>
    <cellStyle name="60% - Énfasis4 13 3 3 3" xfId="54598" xr:uid="{E786BE16-EEAC-4239-9660-6FBF1E57BB18}"/>
    <cellStyle name="60% - Énfasis4 13 3 4" xfId="17586" xr:uid="{577B651B-2B24-4FA7-9A9A-AF4806BC2E5D}"/>
    <cellStyle name="60% - Énfasis4 13 3 4 2" xfId="54600" xr:uid="{9CCD7ACC-753F-4D63-9EF2-816AC963745A}"/>
    <cellStyle name="60% - Énfasis4 13 3 5" xfId="54593" xr:uid="{ACC1CA7A-FA1C-4D0B-A743-E1C1C5CAF389}"/>
    <cellStyle name="60% - Énfasis4 13 4" xfId="4422" xr:uid="{79227BF8-0B95-456F-B18D-650289371602}"/>
    <cellStyle name="60% - Énfasis4 13 4 2" xfId="12130" xr:uid="{37FD9BDA-93EB-4F1E-8C67-BC01AA0001CF}"/>
    <cellStyle name="60% - Énfasis4 13 4 2 2" xfId="27542" xr:uid="{6878F338-A5E6-4612-B9C3-8EA3FF500682}"/>
    <cellStyle name="60% - Énfasis4 13 4 2 2 2" xfId="54603" xr:uid="{73A805E1-6BCC-4F88-88D2-909B5AB5A905}"/>
    <cellStyle name="60% - Énfasis4 13 4 2 3" xfId="54602" xr:uid="{CAE6A092-69F6-4920-B84B-59576CA77C3C}"/>
    <cellStyle name="60% - Énfasis4 13 4 3" xfId="19837" xr:uid="{9D96A989-2455-4262-AD15-7A6BF6D0C0EC}"/>
    <cellStyle name="60% - Énfasis4 13 4 3 2" xfId="54604" xr:uid="{3A5FE487-F62E-475E-B38E-0B2EF8E708A7}"/>
    <cellStyle name="60% - Énfasis4 13 4 4" xfId="54601" xr:uid="{8722833F-709C-4055-9246-321E8A327F80}"/>
    <cellStyle name="60% - Énfasis4 13 5" xfId="8419" xr:uid="{FABEF57D-DEC9-46C9-A7A3-07A4CBF78FB4}"/>
    <cellStyle name="60% - Énfasis4 13 5 2" xfId="23832" xr:uid="{9DC90D03-9F83-4D32-B95A-366A709D7865}"/>
    <cellStyle name="60% - Énfasis4 13 5 2 2" xfId="54606" xr:uid="{04A7E52B-7DDC-41D9-BC58-5592F1ED3FC1}"/>
    <cellStyle name="60% - Énfasis4 13 5 3" xfId="54605" xr:uid="{3372C239-767D-4CF5-B2D1-962AA2A6EA12}"/>
    <cellStyle name="60% - Énfasis4 13 6" xfId="16127" xr:uid="{9825E3CB-9281-4DF5-8785-43034994C394}"/>
    <cellStyle name="60% - Énfasis4 13 6 2" xfId="54607" xr:uid="{5397F6E6-9389-4E9A-9A30-98D5F8F937ED}"/>
    <cellStyle name="60% - Énfasis4 13 7" xfId="54576" xr:uid="{77D06B1D-0A0E-403D-883C-274A93B5832B}"/>
    <cellStyle name="60% - Énfasis4 14" xfId="697" xr:uid="{2857D54C-E351-492B-84BE-44F1EAE3A736}"/>
    <cellStyle name="60% - Énfasis4 14 2" xfId="1358" xr:uid="{75FA4496-25F6-4F78-AB6A-3ED33F946251}"/>
    <cellStyle name="60% - Énfasis4 14 2 2" xfId="2825" xr:uid="{45126C98-0E59-49B7-85DB-985E36E7D06A}"/>
    <cellStyle name="60% - Énfasis4 14 2 2 2" xfId="6557" xr:uid="{7A68A4F7-FF00-4F8F-92B7-FF868BA65D02}"/>
    <cellStyle name="60% - Énfasis4 14 2 2 2 2" xfId="14265" xr:uid="{3EA9759A-5232-416A-8D4A-DE70448599F5}"/>
    <cellStyle name="60% - Énfasis4 14 2 2 2 2 2" xfId="29677" xr:uid="{FA318F11-9DAC-4964-A36B-32E381BE6720}"/>
    <cellStyle name="60% - Énfasis4 14 2 2 2 2 2 2" xfId="54613" xr:uid="{0FBB1877-153C-4BB1-8109-7619DB5A4A65}"/>
    <cellStyle name="60% - Énfasis4 14 2 2 2 2 3" xfId="54612" xr:uid="{97131182-D5F5-4BC6-A2A5-2E5324AC4BE6}"/>
    <cellStyle name="60% - Énfasis4 14 2 2 2 3" xfId="21972" xr:uid="{6E59460D-5CEB-4E9B-8F71-60B1603D2C19}"/>
    <cellStyle name="60% - Énfasis4 14 2 2 2 3 2" xfId="54614" xr:uid="{AC5F4BE9-72F6-4982-B1BD-9451803C52CC}"/>
    <cellStyle name="60% - Énfasis4 14 2 2 2 4" xfId="54611" xr:uid="{6EB717DE-F114-46A7-906E-2E937D1A057A}"/>
    <cellStyle name="60% - Énfasis4 14 2 2 3" xfId="10536" xr:uid="{71D5BD3A-B513-481C-9553-0B1BDD2C7556}"/>
    <cellStyle name="60% - Énfasis4 14 2 2 3 2" xfId="25949" xr:uid="{53752F4E-FB54-4A57-8ECB-CCE81FE71C93}"/>
    <cellStyle name="60% - Énfasis4 14 2 2 3 2 2" xfId="54616" xr:uid="{E3319C9A-CE52-4985-B6C6-233843F399F0}"/>
    <cellStyle name="60% - Énfasis4 14 2 2 3 3" xfId="54615" xr:uid="{BE424016-658F-47E2-95EF-18302250934F}"/>
    <cellStyle name="60% - Énfasis4 14 2 2 4" xfId="18244" xr:uid="{092FF04C-7B18-4DDF-A376-D1CDE5E0BA31}"/>
    <cellStyle name="60% - Énfasis4 14 2 2 4 2" xfId="54617" xr:uid="{435BB79C-511F-492C-8AA4-DCC6DE045088}"/>
    <cellStyle name="60% - Énfasis4 14 2 2 5" xfId="54610" xr:uid="{9FBE23B5-93F5-44E4-8D32-1697B398FA9A}"/>
    <cellStyle name="60% - Énfasis4 14 2 3" xfId="5094" xr:uid="{BD3014AB-6752-424B-A927-953CA5D356EC}"/>
    <cellStyle name="60% - Énfasis4 14 2 3 2" xfId="12802" xr:uid="{99FE4C28-9788-4CD7-A1B1-D1E947FD464E}"/>
    <cellStyle name="60% - Énfasis4 14 2 3 2 2" xfId="28214" xr:uid="{A229B920-DAD7-4FF6-8A97-5FAC27A0514A}"/>
    <cellStyle name="60% - Énfasis4 14 2 3 2 2 2" xfId="54620" xr:uid="{62E6B10B-333E-4C60-8866-D8CFEC5B0FA3}"/>
    <cellStyle name="60% - Énfasis4 14 2 3 2 3" xfId="54619" xr:uid="{DB79B955-BF71-4758-9844-9539C5B35F98}"/>
    <cellStyle name="60% - Énfasis4 14 2 3 3" xfId="20509" xr:uid="{6017A2F8-CF0F-49C4-9C90-F767549FA9A5}"/>
    <cellStyle name="60% - Énfasis4 14 2 3 3 2" xfId="54621" xr:uid="{E92A2DB0-B419-42F8-AD72-C0187AA9B11C}"/>
    <cellStyle name="60% - Énfasis4 14 2 3 4" xfId="54618" xr:uid="{EC41A681-F049-4538-88BA-5CB255579DE5}"/>
    <cellStyle name="60% - Énfasis4 14 2 4" xfId="9077" xr:uid="{803C6D97-3A39-4047-B9A9-DBFFD0B282BC}"/>
    <cellStyle name="60% - Énfasis4 14 2 4 2" xfId="24490" xr:uid="{9CA797E0-8012-426B-8091-6EA55492534A}"/>
    <cellStyle name="60% - Énfasis4 14 2 4 2 2" xfId="54623" xr:uid="{1737C026-59C7-40DE-914A-97E391BDAB2B}"/>
    <cellStyle name="60% - Énfasis4 14 2 4 3" xfId="54622" xr:uid="{41BE00FB-0453-4478-AD6E-AFE8FA36E075}"/>
    <cellStyle name="60% - Énfasis4 14 2 5" xfId="16785" xr:uid="{D6EEC525-967A-4CCD-940F-E62C7835676F}"/>
    <cellStyle name="60% - Énfasis4 14 2 5 2" xfId="54624" xr:uid="{94C7DE36-8A33-4350-ADD0-0530D24A1F72}"/>
    <cellStyle name="60% - Énfasis4 14 2 6" xfId="54609" xr:uid="{4983C7FD-128A-4AAC-8847-CD544F9EDD96}"/>
    <cellStyle name="60% - Énfasis4 14 3" xfId="2187" xr:uid="{2B3045CC-E8F7-42B0-971D-EF5A7AA0919C}"/>
    <cellStyle name="60% - Énfasis4 14 3 2" xfId="5919" xr:uid="{24F6C464-CCA4-404D-B53D-70EE12C5AB0E}"/>
    <cellStyle name="60% - Énfasis4 14 3 2 2" xfId="13627" xr:uid="{572A7435-D115-4A75-8FAD-A9F16224B5C1}"/>
    <cellStyle name="60% - Énfasis4 14 3 2 2 2" xfId="29039" xr:uid="{E7C5A0E0-4F38-4DC5-A4D5-1A1890BC06A7}"/>
    <cellStyle name="60% - Énfasis4 14 3 2 2 2 2" xfId="54628" xr:uid="{DD906F5C-4655-4177-9628-E7B525258316}"/>
    <cellStyle name="60% - Énfasis4 14 3 2 2 3" xfId="54627" xr:uid="{3C4640BD-5DBD-48C7-B2FA-FCF6C480E919}"/>
    <cellStyle name="60% - Énfasis4 14 3 2 3" xfId="21334" xr:uid="{5578D0D7-1818-4CEB-88E7-B76AAB7356AF}"/>
    <cellStyle name="60% - Énfasis4 14 3 2 3 2" xfId="54629" xr:uid="{DCDCD7B7-1A07-425F-9187-A844C18B4218}"/>
    <cellStyle name="60% - Énfasis4 14 3 2 4" xfId="54626" xr:uid="{B2F997C4-E980-4237-BE27-E6AC933B3ED3}"/>
    <cellStyle name="60% - Énfasis4 14 3 3" xfId="9898" xr:uid="{9F21623E-4D22-4D33-A4E9-7B488C3B5758}"/>
    <cellStyle name="60% - Énfasis4 14 3 3 2" xfId="25311" xr:uid="{C02DC332-23C9-4E82-9347-2BA9C0D52E6A}"/>
    <cellStyle name="60% - Énfasis4 14 3 3 2 2" xfId="54631" xr:uid="{6B99350A-8EAB-4BD1-A251-7787C5C7F4F2}"/>
    <cellStyle name="60% - Énfasis4 14 3 3 3" xfId="54630" xr:uid="{D5357FA9-61BE-4A88-9079-7B3194427CAE}"/>
    <cellStyle name="60% - Énfasis4 14 3 4" xfId="17606" xr:uid="{2062D4E8-437E-4685-8443-E555FDAA7AA8}"/>
    <cellStyle name="60% - Énfasis4 14 3 4 2" xfId="54632" xr:uid="{21C9F2B7-5796-4CB0-A82E-15B821EB48A0}"/>
    <cellStyle name="60% - Énfasis4 14 3 5" xfId="54625" xr:uid="{64D5D00D-4945-4897-B3B2-7B2D7D0E6F1B}"/>
    <cellStyle name="60% - Énfasis4 14 4" xfId="4442" xr:uid="{A4D44CA6-5A32-4920-81F3-6A35CEF50030}"/>
    <cellStyle name="60% - Énfasis4 14 4 2" xfId="12150" xr:uid="{DEF4C565-4DBE-4C7E-B498-8D3A9D1C529E}"/>
    <cellStyle name="60% - Énfasis4 14 4 2 2" xfId="27562" xr:uid="{F1F6C2CD-1204-4550-8578-67A752F9D0E9}"/>
    <cellStyle name="60% - Énfasis4 14 4 2 2 2" xfId="54635" xr:uid="{4982EC7E-0DC7-4BD9-8529-FE93F2647F28}"/>
    <cellStyle name="60% - Énfasis4 14 4 2 3" xfId="54634" xr:uid="{6842FB43-C9B4-43B4-9066-946C0FC4FECB}"/>
    <cellStyle name="60% - Énfasis4 14 4 3" xfId="19857" xr:uid="{EEE5A2E2-4BDF-4EBE-A186-F4AE4C3F4E70}"/>
    <cellStyle name="60% - Énfasis4 14 4 3 2" xfId="54636" xr:uid="{3CD57753-E11A-46D7-B23D-575AD3D3964C}"/>
    <cellStyle name="60% - Énfasis4 14 4 4" xfId="54633" xr:uid="{8F2F25B8-2BC9-41FB-8BC0-0B141551D63E}"/>
    <cellStyle name="60% - Énfasis4 14 5" xfId="8439" xr:uid="{54D288DF-2278-4A2F-878D-561780DE6B9F}"/>
    <cellStyle name="60% - Énfasis4 14 5 2" xfId="23852" xr:uid="{C2B01C05-8F03-4D58-B7CA-609FC1EA322A}"/>
    <cellStyle name="60% - Énfasis4 14 5 2 2" xfId="54638" xr:uid="{857FAED1-36AB-4723-87C9-A2C0544D210B}"/>
    <cellStyle name="60% - Énfasis4 14 5 3" xfId="54637" xr:uid="{B0977069-70C5-49B2-ACAC-10BBB1A7CA94}"/>
    <cellStyle name="60% - Énfasis4 14 6" xfId="16147" xr:uid="{309415C6-758A-49AC-B432-E5BCDC98DBA1}"/>
    <cellStyle name="60% - Énfasis4 14 6 2" xfId="54639" xr:uid="{0A6A9BB1-0926-4753-8B12-1ACEE9DC1CB5}"/>
    <cellStyle name="60% - Énfasis4 14 7" xfId="54608" xr:uid="{FC7524F1-02B0-43BD-86A2-AD6A5E8B586A}"/>
    <cellStyle name="60% - Énfasis4 15" xfId="718" xr:uid="{8D2AEF8A-F932-4207-A94F-4D86DA49E284}"/>
    <cellStyle name="60% - Énfasis4 15 2" xfId="1379" xr:uid="{0E8C5D3E-63CE-447F-87EE-E5081934E581}"/>
    <cellStyle name="60% - Énfasis4 15 2 2" xfId="2846" xr:uid="{968D8FC2-FD82-48B5-8F89-A068EBEAB8D8}"/>
    <cellStyle name="60% - Énfasis4 15 2 2 2" xfId="6578" xr:uid="{5DF05AEC-FEEA-4BA1-9488-03007005A40A}"/>
    <cellStyle name="60% - Énfasis4 15 2 2 2 2" xfId="14286" xr:uid="{1359FB72-CF16-4A81-8939-A4A620C9DD3A}"/>
    <cellStyle name="60% - Énfasis4 15 2 2 2 2 2" xfId="29698" xr:uid="{B232D5EF-9EF5-4DDE-A9AF-9F94A21800EB}"/>
    <cellStyle name="60% - Énfasis4 15 2 2 2 2 2 2" xfId="54645" xr:uid="{E2E253E3-6344-44C4-A556-98775566973E}"/>
    <cellStyle name="60% - Énfasis4 15 2 2 2 2 3" xfId="54644" xr:uid="{9E35610F-044F-4800-A638-583E8AF6C694}"/>
    <cellStyle name="60% - Énfasis4 15 2 2 2 3" xfId="21993" xr:uid="{63D8622A-E726-4A0D-8271-A7E4A068C489}"/>
    <cellStyle name="60% - Énfasis4 15 2 2 2 3 2" xfId="54646" xr:uid="{71DD33ED-05E2-48CC-A67E-68AF599671B8}"/>
    <cellStyle name="60% - Énfasis4 15 2 2 2 4" xfId="54643" xr:uid="{69863F57-3570-42F0-AB92-87FFC5692E42}"/>
    <cellStyle name="60% - Énfasis4 15 2 2 3" xfId="10557" xr:uid="{CE33BD1E-06B3-4D86-BCE0-8B8149B9A234}"/>
    <cellStyle name="60% - Énfasis4 15 2 2 3 2" xfId="25970" xr:uid="{DA84175A-FA6F-4FFD-ACF1-AF2EDFF6A091}"/>
    <cellStyle name="60% - Énfasis4 15 2 2 3 2 2" xfId="54648" xr:uid="{CDEEC1EB-EC69-4177-AA62-E1F4311FB77B}"/>
    <cellStyle name="60% - Énfasis4 15 2 2 3 3" xfId="54647" xr:uid="{A1A1DBAE-B25E-480B-8B42-0EFC97A370D3}"/>
    <cellStyle name="60% - Énfasis4 15 2 2 4" xfId="18265" xr:uid="{98BE6992-D497-4304-B4EB-05645918DC56}"/>
    <cellStyle name="60% - Énfasis4 15 2 2 4 2" xfId="54649" xr:uid="{41D8A898-168A-4B31-BBA3-FBF6087A572A}"/>
    <cellStyle name="60% - Énfasis4 15 2 2 5" xfId="54642" xr:uid="{CB86A983-0117-4AAB-BE3A-2262468D6E4D}"/>
    <cellStyle name="60% - Énfasis4 15 2 3" xfId="5115" xr:uid="{A4632F50-E41C-4D94-9C38-7FCA65AC9127}"/>
    <cellStyle name="60% - Énfasis4 15 2 3 2" xfId="12823" xr:uid="{80891536-455E-46D3-9352-65081A8F09EC}"/>
    <cellStyle name="60% - Énfasis4 15 2 3 2 2" xfId="28235" xr:uid="{CE318418-F2AA-42CD-ADA7-96DF51F9AC43}"/>
    <cellStyle name="60% - Énfasis4 15 2 3 2 2 2" xfId="54652" xr:uid="{81AA7098-0112-42DE-8A21-C604AB6DA0B0}"/>
    <cellStyle name="60% - Énfasis4 15 2 3 2 3" xfId="54651" xr:uid="{D381ED73-D5E4-40B4-87C1-6528CA286196}"/>
    <cellStyle name="60% - Énfasis4 15 2 3 3" xfId="20530" xr:uid="{BF8CBD95-231B-420B-BC95-558ED61BD6BF}"/>
    <cellStyle name="60% - Énfasis4 15 2 3 3 2" xfId="54653" xr:uid="{1CCA25A8-3311-45D4-81DD-8DF6CA1C2EC3}"/>
    <cellStyle name="60% - Énfasis4 15 2 3 4" xfId="54650" xr:uid="{205F4196-D516-4807-8284-E64A9BE32B77}"/>
    <cellStyle name="60% - Énfasis4 15 2 4" xfId="9098" xr:uid="{69676EE4-75A6-4562-8484-5E8E8A5DA4B6}"/>
    <cellStyle name="60% - Énfasis4 15 2 4 2" xfId="24511" xr:uid="{37BF6699-E9C1-44D0-8684-EE8EF02617DC}"/>
    <cellStyle name="60% - Énfasis4 15 2 4 2 2" xfId="54655" xr:uid="{227A1D8F-E988-402D-8F7E-B6753E7C70F1}"/>
    <cellStyle name="60% - Énfasis4 15 2 4 3" xfId="54654" xr:uid="{D6488BE7-8261-40F0-B93D-CAC0411EAA68}"/>
    <cellStyle name="60% - Énfasis4 15 2 5" xfId="16806" xr:uid="{58EFBE97-BE4D-43F2-90A1-649BAC7FED68}"/>
    <cellStyle name="60% - Énfasis4 15 2 5 2" xfId="54656" xr:uid="{15AAB5DF-2D8C-41C4-8902-A8B6991BA211}"/>
    <cellStyle name="60% - Énfasis4 15 2 6" xfId="54641" xr:uid="{56E0F17E-6E38-4485-B878-CF9163745474}"/>
    <cellStyle name="60% - Énfasis4 15 3" xfId="2208" xr:uid="{16F5C86C-C7D3-4B40-A48A-47C7EF8EDCFA}"/>
    <cellStyle name="60% - Énfasis4 15 3 2" xfId="5940" xr:uid="{5B085ED8-DC06-449D-8FF1-7838F251B449}"/>
    <cellStyle name="60% - Énfasis4 15 3 2 2" xfId="13648" xr:uid="{406B14CB-F768-42D6-81F8-A1A46C64B6AC}"/>
    <cellStyle name="60% - Énfasis4 15 3 2 2 2" xfId="29060" xr:uid="{99886C3D-961E-4576-94CC-F8D8C1B7BA22}"/>
    <cellStyle name="60% - Énfasis4 15 3 2 2 2 2" xfId="54660" xr:uid="{D7A1E86C-B021-48CA-9ABE-A8480EEBB980}"/>
    <cellStyle name="60% - Énfasis4 15 3 2 2 3" xfId="54659" xr:uid="{3F5D1730-91E3-4E57-BEAB-1D59F923B26E}"/>
    <cellStyle name="60% - Énfasis4 15 3 2 3" xfId="21355" xr:uid="{77537986-02CD-465E-B3AF-7CA32D2E8BB0}"/>
    <cellStyle name="60% - Énfasis4 15 3 2 3 2" xfId="54661" xr:uid="{DF5054D8-D5B3-45DE-ABCF-5FCF1FCB5E61}"/>
    <cellStyle name="60% - Énfasis4 15 3 2 4" xfId="54658" xr:uid="{35E29E37-DD70-4A08-9BF7-2245CE29B8E7}"/>
    <cellStyle name="60% - Énfasis4 15 3 3" xfId="9919" xr:uid="{6454E3A7-C748-4A9B-813C-F5465634011B}"/>
    <cellStyle name="60% - Énfasis4 15 3 3 2" xfId="25332" xr:uid="{3797FA13-84D2-4169-BD08-851CB65B1F6C}"/>
    <cellStyle name="60% - Énfasis4 15 3 3 2 2" xfId="54663" xr:uid="{5F61FE24-E4FA-4679-9109-FB2CD7EDF673}"/>
    <cellStyle name="60% - Énfasis4 15 3 3 3" xfId="54662" xr:uid="{B169CE17-4078-4D4A-BF5C-E2E59A6C4C5F}"/>
    <cellStyle name="60% - Énfasis4 15 3 4" xfId="17627" xr:uid="{EBE33F60-14C8-48E2-9E61-EC716F7029B8}"/>
    <cellStyle name="60% - Énfasis4 15 3 4 2" xfId="54664" xr:uid="{86E9776D-135A-479C-AD57-97B885727781}"/>
    <cellStyle name="60% - Énfasis4 15 3 5" xfId="54657" xr:uid="{C027C8D4-0BEC-49F0-AC59-75503D047BFB}"/>
    <cellStyle name="60% - Énfasis4 15 4" xfId="4463" xr:uid="{7FE726CB-321A-4E2B-94A9-DD3AEB6BC930}"/>
    <cellStyle name="60% - Énfasis4 15 4 2" xfId="12171" xr:uid="{B2CC7FED-A87C-4F3F-B3AE-ECA2AE233732}"/>
    <cellStyle name="60% - Énfasis4 15 4 2 2" xfId="27583" xr:uid="{AAA9414A-429B-42F6-A292-8295D6DB3AC8}"/>
    <cellStyle name="60% - Énfasis4 15 4 2 2 2" xfId="54667" xr:uid="{B29BE50E-B746-477C-922D-BCCEE6363816}"/>
    <cellStyle name="60% - Énfasis4 15 4 2 3" xfId="54666" xr:uid="{8A83C70E-25DB-4B34-8527-4C4FC1146D71}"/>
    <cellStyle name="60% - Énfasis4 15 4 3" xfId="19878" xr:uid="{5255A76A-1663-4667-9E08-8D0CE6B6AA61}"/>
    <cellStyle name="60% - Énfasis4 15 4 3 2" xfId="54668" xr:uid="{D372CE54-7C55-4AC9-8700-739AB79D5959}"/>
    <cellStyle name="60% - Énfasis4 15 4 4" xfId="54665" xr:uid="{A90BEF5C-01D5-4FA8-BA62-14734F4932B3}"/>
    <cellStyle name="60% - Énfasis4 15 5" xfId="8460" xr:uid="{9B30F1D4-4E6C-4CB4-BC45-74B8D5EE7446}"/>
    <cellStyle name="60% - Énfasis4 15 5 2" xfId="23873" xr:uid="{DEA6D89C-5E6B-4203-8CD3-35A5FFF31357}"/>
    <cellStyle name="60% - Énfasis4 15 5 2 2" xfId="54670" xr:uid="{4804D575-428F-454B-B41E-A8B481C8C396}"/>
    <cellStyle name="60% - Énfasis4 15 5 3" xfId="54669" xr:uid="{BCA0B3AF-1FD8-4404-8833-EDD1431EA393}"/>
    <cellStyle name="60% - Énfasis4 15 6" xfId="16168" xr:uid="{C588A045-2CF2-4987-89DC-FEF5995AE3AB}"/>
    <cellStyle name="60% - Énfasis4 15 6 2" xfId="54671" xr:uid="{FCD3DC70-8772-458D-A36F-1E954CF73AAF}"/>
    <cellStyle name="60% - Énfasis4 15 7" xfId="54640" xr:uid="{BA510931-295A-42DE-BDC9-4E5DF8146343}"/>
    <cellStyle name="60% - Énfasis4 16" xfId="738" xr:uid="{B62C328F-8A0C-46D9-A374-536A4A0398FA}"/>
    <cellStyle name="60% - Énfasis4 16 2" xfId="1399" xr:uid="{5C62C166-18E3-4A39-ADB5-1A86A64A751C}"/>
    <cellStyle name="60% - Énfasis4 16 2 2" xfId="2866" xr:uid="{450C92B8-5E12-4E2F-A712-D82B48D819D0}"/>
    <cellStyle name="60% - Énfasis4 16 2 2 2" xfId="6598" xr:uid="{F674BF75-F1CA-4091-B644-BBB2EEC89450}"/>
    <cellStyle name="60% - Énfasis4 16 2 2 2 2" xfId="14306" xr:uid="{20DCCBCA-6FA5-4F48-8D97-DCB9D6FFA51C}"/>
    <cellStyle name="60% - Énfasis4 16 2 2 2 2 2" xfId="29718" xr:uid="{7751BBD5-B7AC-41A0-962F-19AB010BE83A}"/>
    <cellStyle name="60% - Énfasis4 16 2 2 2 2 2 2" xfId="54677" xr:uid="{AFD5BBD7-74B6-4C65-AE1C-626D56AA718C}"/>
    <cellStyle name="60% - Énfasis4 16 2 2 2 2 3" xfId="54676" xr:uid="{151B0D65-98A5-45DC-AB3F-E1F514FFFC0B}"/>
    <cellStyle name="60% - Énfasis4 16 2 2 2 3" xfId="22013" xr:uid="{7AD796FC-C310-43F3-9EE6-3C60A2C688B9}"/>
    <cellStyle name="60% - Énfasis4 16 2 2 2 3 2" xfId="54678" xr:uid="{94D23178-E2A1-468D-B687-5C5BD213E062}"/>
    <cellStyle name="60% - Énfasis4 16 2 2 2 4" xfId="54675" xr:uid="{2F21BFA1-62D3-40A7-B05E-35652DA44606}"/>
    <cellStyle name="60% - Énfasis4 16 2 2 3" xfId="10577" xr:uid="{11FA2CAE-9A83-48D0-AF74-1A3327349BC2}"/>
    <cellStyle name="60% - Énfasis4 16 2 2 3 2" xfId="25990" xr:uid="{3ED788D7-5C30-42BD-8056-3AFD6B37E259}"/>
    <cellStyle name="60% - Énfasis4 16 2 2 3 2 2" xfId="54680" xr:uid="{53209702-0AC6-4AC2-9E6C-1EA6320FE156}"/>
    <cellStyle name="60% - Énfasis4 16 2 2 3 3" xfId="54679" xr:uid="{47472DDD-D36E-4386-B7A9-9D45A429D115}"/>
    <cellStyle name="60% - Énfasis4 16 2 2 4" xfId="18285" xr:uid="{13AA13D9-C9FB-4DFB-AD9E-E2FD689BA28A}"/>
    <cellStyle name="60% - Énfasis4 16 2 2 4 2" xfId="54681" xr:uid="{E746DA42-8311-4E18-AA36-1C160742EAFA}"/>
    <cellStyle name="60% - Énfasis4 16 2 2 5" xfId="54674" xr:uid="{557C949C-A61F-4862-930C-333B6F00150F}"/>
    <cellStyle name="60% - Énfasis4 16 2 3" xfId="5135" xr:uid="{FDE2CE12-962E-40E7-84E0-77D9E5B45A52}"/>
    <cellStyle name="60% - Énfasis4 16 2 3 2" xfId="12843" xr:uid="{C10AB03C-2E84-41B9-A54B-366ED903C7C3}"/>
    <cellStyle name="60% - Énfasis4 16 2 3 2 2" xfId="28255" xr:uid="{6BF65E3A-456B-4304-B7F1-62B0695267BC}"/>
    <cellStyle name="60% - Énfasis4 16 2 3 2 2 2" xfId="54684" xr:uid="{9136EA1D-64D1-41EC-9C25-07327F657E91}"/>
    <cellStyle name="60% - Énfasis4 16 2 3 2 3" xfId="54683" xr:uid="{F737C50E-A0D9-40B3-8A6C-A01DD4222343}"/>
    <cellStyle name="60% - Énfasis4 16 2 3 3" xfId="20550" xr:uid="{24A10054-90E3-4FD6-93A7-4DC1FDDE9017}"/>
    <cellStyle name="60% - Énfasis4 16 2 3 3 2" xfId="54685" xr:uid="{849D3F75-0858-411E-9467-E4B10D3CDA7C}"/>
    <cellStyle name="60% - Énfasis4 16 2 3 4" xfId="54682" xr:uid="{9D1A46A8-AE3C-4504-862C-B6C69880000F}"/>
    <cellStyle name="60% - Énfasis4 16 2 4" xfId="9118" xr:uid="{79A95BC2-F634-45E7-A73D-BA7B09450A30}"/>
    <cellStyle name="60% - Énfasis4 16 2 4 2" xfId="24531" xr:uid="{6EF36CED-0187-47B3-A048-C3AAD5E7B3FA}"/>
    <cellStyle name="60% - Énfasis4 16 2 4 2 2" xfId="54687" xr:uid="{2E19E6DA-9E4C-4C2C-9FE9-84DE366BD536}"/>
    <cellStyle name="60% - Énfasis4 16 2 4 3" xfId="54686" xr:uid="{C0033947-BFA7-4318-94AE-35CD9405A30A}"/>
    <cellStyle name="60% - Énfasis4 16 2 5" xfId="16826" xr:uid="{A29124FD-B93B-4C8A-A7F4-89364250B7F4}"/>
    <cellStyle name="60% - Énfasis4 16 2 5 2" xfId="54688" xr:uid="{D1578A88-7EF7-4CB0-97E2-F24ADBB43454}"/>
    <cellStyle name="60% - Énfasis4 16 2 6" xfId="54673" xr:uid="{BB13D977-260E-42CB-A574-C1EC3AE25FC6}"/>
    <cellStyle name="60% - Énfasis4 16 3" xfId="2228" xr:uid="{4B63778C-F579-4378-AAE6-7C2C32060BAA}"/>
    <cellStyle name="60% - Énfasis4 16 3 2" xfId="5960" xr:uid="{2DFB6FB9-73FA-4FBA-A78B-81896930FF0F}"/>
    <cellStyle name="60% - Énfasis4 16 3 2 2" xfId="13668" xr:uid="{A19BDFA1-93A8-4E9D-9FF9-8F81232ABB8C}"/>
    <cellStyle name="60% - Énfasis4 16 3 2 2 2" xfId="29080" xr:uid="{E5C0AB90-FD30-4CC2-BAA3-86AC75288630}"/>
    <cellStyle name="60% - Énfasis4 16 3 2 2 2 2" xfId="54692" xr:uid="{4BCB01D2-73A6-49D3-9B49-B3BFA12AF39D}"/>
    <cellStyle name="60% - Énfasis4 16 3 2 2 3" xfId="54691" xr:uid="{61B55AEC-02C1-4A4B-A755-81B5AA7E5380}"/>
    <cellStyle name="60% - Énfasis4 16 3 2 3" xfId="21375" xr:uid="{868A1C7C-BCF5-4312-80C1-41FCB44E59B1}"/>
    <cellStyle name="60% - Énfasis4 16 3 2 3 2" xfId="54693" xr:uid="{8002B610-2DFC-4A39-A9EE-1C3D8836AE6B}"/>
    <cellStyle name="60% - Énfasis4 16 3 2 4" xfId="54690" xr:uid="{A5CB8537-BAAE-4D20-A414-574F5910DDD9}"/>
    <cellStyle name="60% - Énfasis4 16 3 3" xfId="9939" xr:uid="{05B6C2C7-53B0-4D4F-8F1E-152EB1D2E510}"/>
    <cellStyle name="60% - Énfasis4 16 3 3 2" xfId="25352" xr:uid="{A68F7DE6-B218-49AC-92CF-471FEF8F2391}"/>
    <cellStyle name="60% - Énfasis4 16 3 3 2 2" xfId="54695" xr:uid="{CFD682A4-B96E-4B74-972B-09A295AB25E3}"/>
    <cellStyle name="60% - Énfasis4 16 3 3 3" xfId="54694" xr:uid="{60627326-0558-400B-925F-D83778B1702E}"/>
    <cellStyle name="60% - Énfasis4 16 3 4" xfId="17647" xr:uid="{BF675E89-D56C-4E2D-ADCF-CE8D80885134}"/>
    <cellStyle name="60% - Énfasis4 16 3 4 2" xfId="54696" xr:uid="{CAFE3B1C-FEDA-40CB-81D3-CA6A817237DC}"/>
    <cellStyle name="60% - Énfasis4 16 3 5" xfId="54689" xr:uid="{E55FCA14-503F-44C3-99F4-4E7EDEED954C}"/>
    <cellStyle name="60% - Énfasis4 16 4" xfId="4483" xr:uid="{4EEE2C90-084A-4BFE-B422-CB35C726E256}"/>
    <cellStyle name="60% - Énfasis4 16 4 2" xfId="12191" xr:uid="{3D15BE88-ED40-450E-B481-8EA41CB43B4D}"/>
    <cellStyle name="60% - Énfasis4 16 4 2 2" xfId="27603" xr:uid="{050374F7-575E-452B-BC9B-74CBF2E0F5D2}"/>
    <cellStyle name="60% - Énfasis4 16 4 2 2 2" xfId="54699" xr:uid="{5CC1775B-968D-4E37-9271-478F3BF42B1D}"/>
    <cellStyle name="60% - Énfasis4 16 4 2 3" xfId="54698" xr:uid="{5379C2AD-D58D-44E5-B360-ACEAAD628B94}"/>
    <cellStyle name="60% - Énfasis4 16 4 3" xfId="19898" xr:uid="{6C64E31C-D0A8-42F2-B09A-FF166EC17F90}"/>
    <cellStyle name="60% - Énfasis4 16 4 3 2" xfId="54700" xr:uid="{01439071-62CD-4F59-A563-CE0D044C3613}"/>
    <cellStyle name="60% - Énfasis4 16 4 4" xfId="54697" xr:uid="{851A3666-991B-47FF-9916-87B3CDFB2DFF}"/>
    <cellStyle name="60% - Énfasis4 16 5" xfId="8480" xr:uid="{75B63E9A-C1F9-4D72-9925-18D78BA38F9E}"/>
    <cellStyle name="60% - Énfasis4 16 5 2" xfId="23893" xr:uid="{6E5C199E-225C-42A6-915C-49BB2C9285A9}"/>
    <cellStyle name="60% - Énfasis4 16 5 2 2" xfId="54702" xr:uid="{81497E0C-05E3-49CF-A0A7-7225CAE6C2F5}"/>
    <cellStyle name="60% - Énfasis4 16 5 3" xfId="54701" xr:uid="{7FB30E36-E43F-4245-B1C5-BB845F379AEE}"/>
    <cellStyle name="60% - Énfasis4 16 6" xfId="16188" xr:uid="{5CAC38FC-BAE3-438A-A828-D615C0DC9E69}"/>
    <cellStyle name="60% - Énfasis4 16 6 2" xfId="54703" xr:uid="{1EEA9CEA-4C15-4252-9759-A987C6FF4009}"/>
    <cellStyle name="60% - Énfasis4 16 7" xfId="54672" xr:uid="{077683B7-3792-4D66-AE9D-DCD0832FEDEC}"/>
    <cellStyle name="60% - Énfasis4 17" xfId="758" xr:uid="{95EC442C-CD89-46EF-BB9C-E6FE15C4B1FD}"/>
    <cellStyle name="60% - Énfasis4 17 2" xfId="1419" xr:uid="{909FCD35-D332-4BBC-9959-E046A518CD51}"/>
    <cellStyle name="60% - Énfasis4 17 2 2" xfId="2886" xr:uid="{CD17796D-C7C4-4E56-A848-F4A5074082D6}"/>
    <cellStyle name="60% - Énfasis4 17 2 2 2" xfId="6618" xr:uid="{B86C0B1F-2E74-4E4E-A504-CF592BBFF670}"/>
    <cellStyle name="60% - Énfasis4 17 2 2 2 2" xfId="14326" xr:uid="{3D42E401-4D64-4876-8EAD-17D8CACDC87E}"/>
    <cellStyle name="60% - Énfasis4 17 2 2 2 2 2" xfId="29738" xr:uid="{B739ED53-CFDC-4325-9E2E-BEB7F2E337DB}"/>
    <cellStyle name="60% - Énfasis4 17 2 2 2 2 2 2" xfId="54709" xr:uid="{05D6AB55-4648-4BB0-9514-3C55E4B993F1}"/>
    <cellStyle name="60% - Énfasis4 17 2 2 2 2 3" xfId="54708" xr:uid="{8F86B983-8A07-4CCC-8F3A-59043033CE86}"/>
    <cellStyle name="60% - Énfasis4 17 2 2 2 3" xfId="22033" xr:uid="{3A04E23A-A5A0-464C-8CDB-6D9E885CAEAC}"/>
    <cellStyle name="60% - Énfasis4 17 2 2 2 3 2" xfId="54710" xr:uid="{7A1E68C6-E7A2-4D05-85E2-FDB16B467BB5}"/>
    <cellStyle name="60% - Énfasis4 17 2 2 2 4" xfId="54707" xr:uid="{3E479F93-EE67-495A-8E7F-A253CEB2CF56}"/>
    <cellStyle name="60% - Énfasis4 17 2 2 3" xfId="10597" xr:uid="{4B32D4DE-ADBC-4D6A-99FA-32ECD9DA33AC}"/>
    <cellStyle name="60% - Énfasis4 17 2 2 3 2" xfId="26010" xr:uid="{3D1F50D9-246F-40BC-B06C-E51B13ABA882}"/>
    <cellStyle name="60% - Énfasis4 17 2 2 3 2 2" xfId="54712" xr:uid="{ED80733E-B1F1-40AF-AF2C-6BC13D50229A}"/>
    <cellStyle name="60% - Énfasis4 17 2 2 3 3" xfId="54711" xr:uid="{DF8FF0ED-EA47-46EA-9B09-95ED544F1419}"/>
    <cellStyle name="60% - Énfasis4 17 2 2 4" xfId="18305" xr:uid="{21C661FD-0C0B-458A-B699-27A63D7C9DDA}"/>
    <cellStyle name="60% - Énfasis4 17 2 2 4 2" xfId="54713" xr:uid="{09EA2D06-142B-4B60-814C-B885AD58351C}"/>
    <cellStyle name="60% - Énfasis4 17 2 2 5" xfId="54706" xr:uid="{97DE0749-3D5F-4AEF-8338-F75797C164CA}"/>
    <cellStyle name="60% - Énfasis4 17 2 3" xfId="5155" xr:uid="{DACAEF64-8C07-48EF-84A5-7FF96953A4F4}"/>
    <cellStyle name="60% - Énfasis4 17 2 3 2" xfId="12863" xr:uid="{0E8FE06F-9409-43F3-8C44-5682FC419FFB}"/>
    <cellStyle name="60% - Énfasis4 17 2 3 2 2" xfId="28275" xr:uid="{230965F0-C3B0-4249-B9BC-E834ACE788F6}"/>
    <cellStyle name="60% - Énfasis4 17 2 3 2 2 2" xfId="54716" xr:uid="{FA028C8E-FAA3-4A53-ACEA-5A5E50B618C4}"/>
    <cellStyle name="60% - Énfasis4 17 2 3 2 3" xfId="54715" xr:uid="{1CF082D5-AFD5-4CC3-9C7A-AFE8A4BE9F6D}"/>
    <cellStyle name="60% - Énfasis4 17 2 3 3" xfId="20570" xr:uid="{CE31D525-D60B-40C5-A398-C10E2A011204}"/>
    <cellStyle name="60% - Énfasis4 17 2 3 3 2" xfId="54717" xr:uid="{F2DA8035-3DC1-44C5-8398-732E7601D774}"/>
    <cellStyle name="60% - Énfasis4 17 2 3 4" xfId="54714" xr:uid="{1EA27403-68CC-4B2C-97D1-2D0061175BF8}"/>
    <cellStyle name="60% - Énfasis4 17 2 4" xfId="9138" xr:uid="{806D5E41-4F78-4AFF-B765-011B723EE617}"/>
    <cellStyle name="60% - Énfasis4 17 2 4 2" xfId="24551" xr:uid="{6BD35DBC-AF76-4597-9C11-77D204438503}"/>
    <cellStyle name="60% - Énfasis4 17 2 4 2 2" xfId="54719" xr:uid="{24C7C72A-F556-417D-9B88-B9EC4CC5D44D}"/>
    <cellStyle name="60% - Énfasis4 17 2 4 3" xfId="54718" xr:uid="{51EEDDF0-6FF6-46A5-8C17-9D4A586E6857}"/>
    <cellStyle name="60% - Énfasis4 17 2 5" xfId="16846" xr:uid="{397AE849-5CBC-4858-8972-75A1876199A7}"/>
    <cellStyle name="60% - Énfasis4 17 2 5 2" xfId="54720" xr:uid="{98F5227C-B656-444B-A8AC-6C36904BBCF2}"/>
    <cellStyle name="60% - Énfasis4 17 2 6" xfId="54705" xr:uid="{DDBA62F9-4F32-47E5-9881-9DE59819DC50}"/>
    <cellStyle name="60% - Énfasis4 17 3" xfId="2248" xr:uid="{2947C986-BB85-4AF1-91D7-27B619A024C0}"/>
    <cellStyle name="60% - Énfasis4 17 3 2" xfId="5980" xr:uid="{512D552B-04B5-4518-8109-4B34E4A6A186}"/>
    <cellStyle name="60% - Énfasis4 17 3 2 2" xfId="13688" xr:uid="{35333E62-8869-4AD3-8A3F-7BD91BB72C2A}"/>
    <cellStyle name="60% - Énfasis4 17 3 2 2 2" xfId="29100" xr:uid="{BB2FC62A-A93A-41B0-BF9A-C32F12121A32}"/>
    <cellStyle name="60% - Énfasis4 17 3 2 2 2 2" xfId="54724" xr:uid="{42E1D99E-D37B-4017-86CD-EFBCEE42C736}"/>
    <cellStyle name="60% - Énfasis4 17 3 2 2 3" xfId="54723" xr:uid="{3C74C246-49B9-46D5-9E11-B3BFF886861D}"/>
    <cellStyle name="60% - Énfasis4 17 3 2 3" xfId="21395" xr:uid="{F8A4961A-86C8-4245-8022-8E28E633C83D}"/>
    <cellStyle name="60% - Énfasis4 17 3 2 3 2" xfId="54725" xr:uid="{333F28C2-7F9A-476D-B536-E3BB2E906C48}"/>
    <cellStyle name="60% - Énfasis4 17 3 2 4" xfId="54722" xr:uid="{867DACC4-615B-4A9F-A67C-5C64A00F0AFE}"/>
    <cellStyle name="60% - Énfasis4 17 3 3" xfId="9959" xr:uid="{0BFF86BB-B780-4ED8-8A7A-996D2B78132C}"/>
    <cellStyle name="60% - Énfasis4 17 3 3 2" xfId="25372" xr:uid="{04A40445-BB71-420D-A27B-8C60BF9A79E8}"/>
    <cellStyle name="60% - Énfasis4 17 3 3 2 2" xfId="54727" xr:uid="{E4F0297F-2148-4679-A46B-C6BB409937B6}"/>
    <cellStyle name="60% - Énfasis4 17 3 3 3" xfId="54726" xr:uid="{C4AF8A97-AC94-428D-BB87-340DE164B5E8}"/>
    <cellStyle name="60% - Énfasis4 17 3 4" xfId="17667" xr:uid="{71E8F6B0-38B4-420A-8E33-741B22BB38DF}"/>
    <cellStyle name="60% - Énfasis4 17 3 4 2" xfId="54728" xr:uid="{95C63AA1-61BB-4D36-BBFB-AAAEC7973484}"/>
    <cellStyle name="60% - Énfasis4 17 3 5" xfId="54721" xr:uid="{0150040D-7E9E-4165-9310-26335D2F7807}"/>
    <cellStyle name="60% - Énfasis4 17 4" xfId="4503" xr:uid="{A10DA3DD-2F6F-48ED-B7B8-65E94A7AA64C}"/>
    <cellStyle name="60% - Énfasis4 17 4 2" xfId="12211" xr:uid="{7127D70D-1FAD-41B8-9267-99D76DD05296}"/>
    <cellStyle name="60% - Énfasis4 17 4 2 2" xfId="27623" xr:uid="{A4453381-58F9-4CCE-BC8C-CCC44140DCE9}"/>
    <cellStyle name="60% - Énfasis4 17 4 2 2 2" xfId="54731" xr:uid="{3AB1B766-0A7D-4B8C-9525-7DB99BCBC31B}"/>
    <cellStyle name="60% - Énfasis4 17 4 2 3" xfId="54730" xr:uid="{15745438-005A-49D6-A522-B8D9F0C3ECBA}"/>
    <cellStyle name="60% - Énfasis4 17 4 3" xfId="19918" xr:uid="{7C83B55B-141E-4D4C-93D1-3EAE19597CE9}"/>
    <cellStyle name="60% - Énfasis4 17 4 3 2" xfId="54732" xr:uid="{D7870891-D454-4B6B-AB17-7E6D002E6C1A}"/>
    <cellStyle name="60% - Énfasis4 17 4 4" xfId="54729" xr:uid="{7D859C8B-D168-442F-81A9-F1B10859838B}"/>
    <cellStyle name="60% - Énfasis4 17 5" xfId="8500" xr:uid="{676A7145-F45B-4DA5-8917-43158E3401FD}"/>
    <cellStyle name="60% - Énfasis4 17 5 2" xfId="23913" xr:uid="{DD1C1A14-2DF6-4BD7-9BE3-CC9CAE136380}"/>
    <cellStyle name="60% - Énfasis4 17 5 2 2" xfId="54734" xr:uid="{B77C5A44-3D89-43DA-902F-D89877EE3604}"/>
    <cellStyle name="60% - Énfasis4 17 5 3" xfId="54733" xr:uid="{A43C69E6-253F-40F4-A9B3-3AED6B053EF4}"/>
    <cellStyle name="60% - Énfasis4 17 6" xfId="16208" xr:uid="{3D696326-B463-49A7-8FEC-ACC9625A9227}"/>
    <cellStyle name="60% - Énfasis4 17 6 2" xfId="54735" xr:uid="{9C5835AE-4131-4EB0-A4A4-0042C9B9EC64}"/>
    <cellStyle name="60% - Énfasis4 17 7" xfId="54704" xr:uid="{7583AC5E-1B37-410B-A768-F28BE0C4365C}"/>
    <cellStyle name="60% - Énfasis4 18" xfId="777" xr:uid="{4AACE96D-858E-40DF-9685-FBD95159C4B8}"/>
    <cellStyle name="60% - Énfasis4 18 2" xfId="2267" xr:uid="{5CC0249B-19DC-4B9B-B66E-D3C0CE8A2984}"/>
    <cellStyle name="60% - Énfasis4 18 2 2" xfId="5999" xr:uid="{1569ECBD-4502-4589-A203-EDB41E2BEBF5}"/>
    <cellStyle name="60% - Énfasis4 18 2 2 2" xfId="13707" xr:uid="{FF023DE2-87CD-4AF2-9857-22EA0FD939A2}"/>
    <cellStyle name="60% - Énfasis4 18 2 2 2 2" xfId="29119" xr:uid="{95680699-021D-438A-AA3B-8EA2F7EF851A}"/>
    <cellStyle name="60% - Énfasis4 18 2 2 2 2 2" xfId="54740" xr:uid="{06C742E8-65A2-4556-B0B8-66B87D6358F6}"/>
    <cellStyle name="60% - Énfasis4 18 2 2 2 3" xfId="54739" xr:uid="{1887C0FF-D5FA-4E20-900B-C939864B2513}"/>
    <cellStyle name="60% - Énfasis4 18 2 2 3" xfId="21414" xr:uid="{2C2D1995-A19E-453E-B87A-E336F4E1C046}"/>
    <cellStyle name="60% - Énfasis4 18 2 2 3 2" xfId="54741" xr:uid="{F2E9122B-959A-4863-8F05-5AE048DE84F4}"/>
    <cellStyle name="60% - Énfasis4 18 2 2 4" xfId="54738" xr:uid="{043CED63-958F-454E-BDC1-1538F80D5B67}"/>
    <cellStyle name="60% - Énfasis4 18 2 3" xfId="9978" xr:uid="{93905625-F330-4D48-AA5E-CBB099834B02}"/>
    <cellStyle name="60% - Énfasis4 18 2 3 2" xfId="25391" xr:uid="{1F19F15D-72AB-4614-9410-06DF6D32BAC2}"/>
    <cellStyle name="60% - Énfasis4 18 2 3 2 2" xfId="54743" xr:uid="{B99500AC-1168-4693-89A4-669058FD6C91}"/>
    <cellStyle name="60% - Énfasis4 18 2 3 3" xfId="54742" xr:uid="{392B1C3B-DFA3-4B94-8CB6-FA8F48309C8F}"/>
    <cellStyle name="60% - Énfasis4 18 2 4" xfId="17686" xr:uid="{03BB4887-0110-438D-991B-740324DD13AE}"/>
    <cellStyle name="60% - Énfasis4 18 2 4 2" xfId="54744" xr:uid="{3E6D01A0-7D04-4628-8AE3-1E388176D354}"/>
    <cellStyle name="60% - Énfasis4 18 2 5" xfId="54737" xr:uid="{9E37537A-080D-47BB-8DAC-719D46656BC9}"/>
    <cellStyle name="60% - Énfasis4 18 3" xfId="4522" xr:uid="{9F506849-4261-4E08-BC3C-FA5F95CA64EA}"/>
    <cellStyle name="60% - Énfasis4 18 3 2" xfId="12230" xr:uid="{BF947F81-773E-46F6-AB05-6DC450BA0961}"/>
    <cellStyle name="60% - Énfasis4 18 3 2 2" xfId="27642" xr:uid="{29B8BB21-5CDE-40BC-9CAA-9D7FD898FA11}"/>
    <cellStyle name="60% - Énfasis4 18 3 2 2 2" xfId="54747" xr:uid="{E6722CB4-BF7E-4273-8B75-88B2F0B701CC}"/>
    <cellStyle name="60% - Énfasis4 18 3 2 3" xfId="54746" xr:uid="{38B039A4-6006-4D50-BDD0-5243CFF63046}"/>
    <cellStyle name="60% - Énfasis4 18 3 3" xfId="19937" xr:uid="{5D579714-72AB-45F1-8164-7FEF783B11AD}"/>
    <cellStyle name="60% - Énfasis4 18 3 3 2" xfId="54748" xr:uid="{BA1A7653-9D5F-43C6-B189-50FAB2CBB5F9}"/>
    <cellStyle name="60% - Énfasis4 18 3 4" xfId="54745" xr:uid="{BD137102-F287-45CE-8726-2EF8B4910AC5}"/>
    <cellStyle name="60% - Énfasis4 18 4" xfId="8519" xr:uid="{B66B9466-6AA4-4F3C-91D8-7C7119DD7D17}"/>
    <cellStyle name="60% - Énfasis4 18 4 2" xfId="23932" xr:uid="{A92D5D30-75E9-4521-AA28-07258A16C748}"/>
    <cellStyle name="60% - Énfasis4 18 4 2 2" xfId="54750" xr:uid="{3E703483-873E-47E4-96E1-4608F85B77E4}"/>
    <cellStyle name="60% - Énfasis4 18 4 3" xfId="54749" xr:uid="{DE420BFC-0587-46C5-9A7B-4D6584111D87}"/>
    <cellStyle name="60% - Énfasis4 18 5" xfId="16227" xr:uid="{19CA0305-9492-4C9D-B2DD-D60D6DBAEB5B}"/>
    <cellStyle name="60% - Énfasis4 18 5 2" xfId="54751" xr:uid="{7962CE86-A892-4C6A-A165-0EF7904C5533}"/>
    <cellStyle name="60% - Énfasis4 18 6" xfId="54736" xr:uid="{F5167209-840D-4ADF-95C6-F018BF714B0F}"/>
    <cellStyle name="60% - Énfasis4 19" xfId="1441" xr:uid="{93B8A95B-5239-4235-8DCD-3DA78D2849CB}"/>
    <cellStyle name="60% - Énfasis4 19 2" xfId="2906" xr:uid="{B1D35756-8435-4BFF-8FB8-DB47682DCBA5}"/>
    <cellStyle name="60% - Énfasis4 19 2 2" xfId="6638" xr:uid="{80BE0FC9-49FB-400F-ACA7-98944A27B03D}"/>
    <cellStyle name="60% - Énfasis4 19 2 2 2" xfId="14346" xr:uid="{A7FAF921-CF20-408F-9EFA-096881B2E875}"/>
    <cellStyle name="60% - Énfasis4 19 2 2 2 2" xfId="29758" xr:uid="{EA92293C-7890-4D1E-9C40-44E6133E99E8}"/>
    <cellStyle name="60% - Énfasis4 19 2 2 2 2 2" xfId="54756" xr:uid="{95CB8306-24DD-4AAF-823A-EBAEB4F02AA1}"/>
    <cellStyle name="60% - Énfasis4 19 2 2 2 3" xfId="54755" xr:uid="{E995F8E8-8794-448C-9208-E12FEFEF1B2A}"/>
    <cellStyle name="60% - Énfasis4 19 2 2 3" xfId="22053" xr:uid="{1F07D1E6-8D0F-46A5-88AA-424EA731E7C4}"/>
    <cellStyle name="60% - Énfasis4 19 2 2 3 2" xfId="54757" xr:uid="{0670877F-1E3E-44E2-9F7A-294974035E61}"/>
    <cellStyle name="60% - Énfasis4 19 2 2 4" xfId="54754" xr:uid="{DD2F0FF6-B61A-43DB-95D4-B315A4967D3E}"/>
    <cellStyle name="60% - Énfasis4 19 2 3" xfId="10617" xr:uid="{3A3CEECE-05E5-4295-8312-9432B4CF9569}"/>
    <cellStyle name="60% - Énfasis4 19 2 3 2" xfId="26030" xr:uid="{DCE9E410-08AD-43C8-A6B7-8180CD0382E0}"/>
    <cellStyle name="60% - Énfasis4 19 2 3 2 2" xfId="54759" xr:uid="{4D686ED4-6899-4A2E-83A1-AA50EDAD38E9}"/>
    <cellStyle name="60% - Énfasis4 19 2 3 3" xfId="54758" xr:uid="{786D7263-8A75-456F-96A4-48CEFBD00604}"/>
    <cellStyle name="60% - Énfasis4 19 2 4" xfId="18325" xr:uid="{2929FC94-6397-42F4-BFCF-15895D05E61B}"/>
    <cellStyle name="60% - Énfasis4 19 2 4 2" xfId="54760" xr:uid="{F84A2C74-5E1C-44AC-B47F-2BD900B0A9F3}"/>
    <cellStyle name="60% - Énfasis4 19 2 5" xfId="54753" xr:uid="{3093B1CC-4D6D-4991-A5BE-BF8227377D93}"/>
    <cellStyle name="60% - Énfasis4 19 3" xfId="5177" xr:uid="{EBA4CF3A-6827-4BC7-A54E-E8BC8F72BA4E}"/>
    <cellStyle name="60% - Énfasis4 19 3 2" xfId="12885" xr:uid="{101974BF-E471-45EA-A034-508F42392600}"/>
    <cellStyle name="60% - Énfasis4 19 3 2 2" xfId="28297" xr:uid="{C7B5D7C6-3945-4D52-BA98-6D4F265B463B}"/>
    <cellStyle name="60% - Énfasis4 19 3 2 2 2" xfId="54763" xr:uid="{ADCA0399-D0FA-4B17-BEF1-B917B194ACCA}"/>
    <cellStyle name="60% - Énfasis4 19 3 2 3" xfId="54762" xr:uid="{311F3F90-0EA5-4C37-A9C5-383A4281E1F1}"/>
    <cellStyle name="60% - Énfasis4 19 3 3" xfId="20592" xr:uid="{FD2785BF-12AF-4B4B-92DE-1B57ECAEA3C5}"/>
    <cellStyle name="60% - Énfasis4 19 3 3 2" xfId="54764" xr:uid="{7630CA9F-1330-4D67-90CA-E672A4FAC683}"/>
    <cellStyle name="60% - Énfasis4 19 3 4" xfId="54761" xr:uid="{B22CBB33-14BE-4157-BDFE-11DE216A4A37}"/>
    <cellStyle name="60% - Énfasis4 19 4" xfId="9158" xr:uid="{C88AAE49-780C-46D9-91BE-A40374118F5A}"/>
    <cellStyle name="60% - Énfasis4 19 4 2" xfId="24571" xr:uid="{43A403ED-A9E7-4146-B3A0-3FA7D4B647DA}"/>
    <cellStyle name="60% - Énfasis4 19 4 2 2" xfId="54766" xr:uid="{F9A3B8C6-B75C-43C7-9DAE-89FB9F10652C}"/>
    <cellStyle name="60% - Énfasis4 19 4 3" xfId="54765" xr:uid="{DCA3A9DE-3003-4755-B161-0A4FDF521834}"/>
    <cellStyle name="60% - Énfasis4 19 5" xfId="16866" xr:uid="{EAA8D9AD-060F-40B3-B0F2-87E0C88B9854}"/>
    <cellStyle name="60% - Énfasis4 19 5 2" xfId="54767" xr:uid="{5F2E0AEF-B609-4770-9846-54155A0CA73C}"/>
    <cellStyle name="60% - Énfasis4 19 6" xfId="54752" xr:uid="{A3EA4870-245A-45A3-8645-6A037FC08240}"/>
    <cellStyle name="60% - Énfasis4 2" xfId="41" xr:uid="{34548C01-1939-48C4-AED2-2CE1E6428C0D}"/>
    <cellStyle name="60% - Énfasis4 2 2" xfId="451" xr:uid="{801202D0-617D-4344-B57D-2E60F87DC4FF}"/>
    <cellStyle name="60% - Énfasis4 2 2 2" xfId="1112" xr:uid="{A3696FCD-586F-4F5F-B58B-443070A0426B}"/>
    <cellStyle name="60% - Énfasis4 2 2 2 2" xfId="2580" xr:uid="{5F1BB3A2-85B9-4C7D-B5C3-F1A452911275}"/>
    <cellStyle name="60% - Énfasis4 2 2 2 2 2" xfId="6312" xr:uid="{3A4AE18D-DA7B-43FF-BE7E-88EDF10C34B1}"/>
    <cellStyle name="60% - Énfasis4 2 2 2 2 2 2" xfId="14020" xr:uid="{7254D279-A566-4FDD-A09E-EC2865F9412A}"/>
    <cellStyle name="60% - Énfasis4 2 2 2 2 2 2 2" xfId="29432" xr:uid="{7EC0A8CB-5F34-4A29-9B5E-BC348D618481}"/>
    <cellStyle name="60% - Énfasis4 2 2 2 2 2 2 2 2" xfId="54774" xr:uid="{A52DEC1A-BD0A-4A01-BDAF-8E667BF91691}"/>
    <cellStyle name="60% - Énfasis4 2 2 2 2 2 2 3" xfId="54773" xr:uid="{9F86BF77-4504-48A9-B68D-64EA53DB1922}"/>
    <cellStyle name="60% - Énfasis4 2 2 2 2 2 3" xfId="21727" xr:uid="{B40FA2BA-239F-4920-BF7E-B4127E4A7EC2}"/>
    <cellStyle name="60% - Énfasis4 2 2 2 2 2 3 2" xfId="54775" xr:uid="{E9316C86-E4F3-429F-A93A-50AAD9706595}"/>
    <cellStyle name="60% - Énfasis4 2 2 2 2 2 4" xfId="54772" xr:uid="{E40A4F0E-0B3B-4807-B651-C2489815E73C}"/>
    <cellStyle name="60% - Énfasis4 2 2 2 2 3" xfId="10291" xr:uid="{8ECC3269-C4A3-497E-B0E5-A8D69B7F7F75}"/>
    <cellStyle name="60% - Énfasis4 2 2 2 2 3 2" xfId="25704" xr:uid="{B83D9CEA-0580-4D6E-B751-B0E66AF7F676}"/>
    <cellStyle name="60% - Énfasis4 2 2 2 2 3 2 2" xfId="54777" xr:uid="{62A32927-5254-45F5-99C8-25569A855BF8}"/>
    <cellStyle name="60% - Énfasis4 2 2 2 2 3 3" xfId="54776" xr:uid="{9130CDCE-09EE-4638-881E-AD8274BEBD3E}"/>
    <cellStyle name="60% - Énfasis4 2 2 2 2 4" xfId="17999" xr:uid="{CD3AD409-C3D0-4C9D-A63D-4ECBC89FAF59}"/>
    <cellStyle name="60% - Énfasis4 2 2 2 2 4 2" xfId="54778" xr:uid="{852F32BB-CEA7-44B7-AC71-241609E00BBB}"/>
    <cellStyle name="60% - Énfasis4 2 2 2 2 5" xfId="54771" xr:uid="{5E9B2EA3-5C23-4527-8300-744CF35C3957}"/>
    <cellStyle name="60% - Énfasis4 2 2 2 3" xfId="4849" xr:uid="{B1BC30FD-5632-4F80-9F1B-FA1B72881D12}"/>
    <cellStyle name="60% - Énfasis4 2 2 2 3 2" xfId="12557" xr:uid="{92CD5DB9-438A-48DB-87B3-2C0D0A65F83A}"/>
    <cellStyle name="60% - Énfasis4 2 2 2 3 2 2" xfId="27969" xr:uid="{8BDEB4C8-1FB9-4E4C-8D74-9DDD3BDC3C29}"/>
    <cellStyle name="60% - Énfasis4 2 2 2 3 2 2 2" xfId="54781" xr:uid="{B910F0E4-B337-4EA6-9ECB-1C13005B8409}"/>
    <cellStyle name="60% - Énfasis4 2 2 2 3 2 3" xfId="54780" xr:uid="{7150243E-29A2-4BB0-8248-5264A7687D7A}"/>
    <cellStyle name="60% - Énfasis4 2 2 2 3 3" xfId="20264" xr:uid="{80B1FA8C-EFB1-439B-8A54-5EDED9FB54FB}"/>
    <cellStyle name="60% - Énfasis4 2 2 2 3 3 2" xfId="54782" xr:uid="{FF7BB6E3-9638-45A1-8C7E-33ED59E75DC3}"/>
    <cellStyle name="60% - Énfasis4 2 2 2 3 4" xfId="54779" xr:uid="{E6AC1A86-3E92-4D6A-A73D-2878866F2CAD}"/>
    <cellStyle name="60% - Énfasis4 2 2 2 4" xfId="8832" xr:uid="{10B448A7-1E8D-4D42-BED8-C0FA41E84761}"/>
    <cellStyle name="60% - Énfasis4 2 2 2 4 2" xfId="24245" xr:uid="{64507D53-1B79-4A80-AE90-3F025DAE6768}"/>
    <cellStyle name="60% - Énfasis4 2 2 2 4 2 2" xfId="54784" xr:uid="{FDA06522-3F4F-4078-96D9-DDAF54D5CC96}"/>
    <cellStyle name="60% - Énfasis4 2 2 2 4 3" xfId="54783" xr:uid="{66A400CD-34AE-4D70-9BFB-6864AE09995B}"/>
    <cellStyle name="60% - Énfasis4 2 2 2 5" xfId="16540" xr:uid="{87263E6E-2FE0-44A5-8EAF-7C81B2DAAC76}"/>
    <cellStyle name="60% - Énfasis4 2 2 2 5 2" xfId="54785" xr:uid="{B1DFA4E2-0203-4313-BD7E-EA25F18B6491}"/>
    <cellStyle name="60% - Énfasis4 2 2 2 6" xfId="54770" xr:uid="{D785E1F1-7B02-4229-A9B4-011940545310}"/>
    <cellStyle name="60% - Énfasis4 2 2 3" xfId="1942" xr:uid="{D16DE08D-EF62-494C-BADE-518420E6CA91}"/>
    <cellStyle name="60% - Énfasis4 2 2 3 2" xfId="5674" xr:uid="{3E2608C1-7E88-4C32-AB7D-FB4CC18FEBD0}"/>
    <cellStyle name="60% - Énfasis4 2 2 3 2 2" xfId="13382" xr:uid="{F61ED614-C19A-42BB-967F-A52CAFB143FC}"/>
    <cellStyle name="60% - Énfasis4 2 2 3 2 2 2" xfId="28794" xr:uid="{7202C8CC-31DB-4E5C-9A66-7AF7B3B373E8}"/>
    <cellStyle name="60% - Énfasis4 2 2 3 2 2 2 2" xfId="54789" xr:uid="{58FAA177-52E6-46E1-9FD5-BAC302A00402}"/>
    <cellStyle name="60% - Énfasis4 2 2 3 2 2 3" xfId="54788" xr:uid="{3B47070B-8956-41B6-827B-302E2470031B}"/>
    <cellStyle name="60% - Énfasis4 2 2 3 2 3" xfId="21089" xr:uid="{92F6766E-CCCD-4F10-94F1-3E05CC9E3DF5}"/>
    <cellStyle name="60% - Énfasis4 2 2 3 2 3 2" xfId="54790" xr:uid="{F8B4E839-64E6-426E-8CAD-63B04A51E1BE}"/>
    <cellStyle name="60% - Énfasis4 2 2 3 2 4" xfId="54787" xr:uid="{DC6CA4D3-65FF-4911-AE09-1F0911C52C52}"/>
    <cellStyle name="60% - Énfasis4 2 2 3 3" xfId="9653" xr:uid="{B3AD36DC-98F5-4BC7-A7B4-AEB9FB28D008}"/>
    <cellStyle name="60% - Énfasis4 2 2 3 3 2" xfId="25066" xr:uid="{64CBB462-42E1-4A47-9BB0-2F8FD83ED801}"/>
    <cellStyle name="60% - Énfasis4 2 2 3 3 2 2" xfId="54792" xr:uid="{E645853B-FBDB-4081-80EB-C3E646387417}"/>
    <cellStyle name="60% - Énfasis4 2 2 3 3 3" xfId="54791" xr:uid="{3603FDDC-D056-49DE-B7AE-4794CB276909}"/>
    <cellStyle name="60% - Énfasis4 2 2 3 4" xfId="17361" xr:uid="{068890E2-B162-4721-A26D-F69083D2D153}"/>
    <cellStyle name="60% - Énfasis4 2 2 3 4 2" xfId="54793" xr:uid="{7FE031F6-E7BF-4D6C-8A22-C6482FDDB5AC}"/>
    <cellStyle name="60% - Énfasis4 2 2 3 5" xfId="54786" xr:uid="{47EA1443-C378-430B-80A6-E9922BE66181}"/>
    <cellStyle name="60% - Énfasis4 2 2 4" xfId="4197" xr:uid="{AB8A56E5-697D-4946-A917-1F82F23D99A5}"/>
    <cellStyle name="60% - Énfasis4 2 2 4 2" xfId="11905" xr:uid="{DB6CB19E-9307-4B6A-BADA-C0DB83C5F1BE}"/>
    <cellStyle name="60% - Énfasis4 2 2 4 2 2" xfId="27317" xr:uid="{E7D5F45E-AAA9-4CE1-85CF-B3DCCDB7C6EE}"/>
    <cellStyle name="60% - Énfasis4 2 2 4 2 2 2" xfId="54796" xr:uid="{E9E3E0CE-2820-48FB-A367-B288B115F13A}"/>
    <cellStyle name="60% - Énfasis4 2 2 4 2 3" xfId="54795" xr:uid="{31AE523E-49B2-4F15-BDA9-568CADF84F50}"/>
    <cellStyle name="60% - Énfasis4 2 2 4 3" xfId="19612" xr:uid="{963FC899-2A04-49E5-AFBF-E7E1585E4BC3}"/>
    <cellStyle name="60% - Énfasis4 2 2 4 3 2" xfId="54797" xr:uid="{1B909B9D-748E-4378-98C0-69DA4E4F8D12}"/>
    <cellStyle name="60% - Énfasis4 2 2 4 4" xfId="54794" xr:uid="{B1EC8664-11F8-4BFF-8C10-B3C21620439D}"/>
    <cellStyle name="60% - Énfasis4 2 2 5" xfId="8194" xr:uid="{287598C2-497E-4428-A6F2-A9BA24C42404}"/>
    <cellStyle name="60% - Énfasis4 2 2 5 2" xfId="23607" xr:uid="{56AB2787-24C4-411E-86CD-B7D71B2F6E9A}"/>
    <cellStyle name="60% - Énfasis4 2 2 5 2 2" xfId="54799" xr:uid="{766723DC-2138-4E33-B529-2E6A2D83C075}"/>
    <cellStyle name="60% - Énfasis4 2 2 5 3" xfId="54798" xr:uid="{FF60B989-3011-4E16-A738-5B118934B1F8}"/>
    <cellStyle name="60% - Énfasis4 2 2 6" xfId="15902" xr:uid="{57040562-D5FD-4B08-9657-13B4ED07E9FA}"/>
    <cellStyle name="60% - Énfasis4 2 2 6 2" xfId="54800" xr:uid="{FC714EB9-549B-4E8C-A97F-3CF2F21C1EA0}"/>
    <cellStyle name="60% - Énfasis4 2 2 7" xfId="54769" xr:uid="{3C86F33F-4E7E-478B-B76B-F32257143593}"/>
    <cellStyle name="60% - Énfasis4 2 3" xfId="912" xr:uid="{BD2A0A89-3307-40C4-8B9F-484AB20D7519}"/>
    <cellStyle name="60% - Énfasis4 2 3 2" xfId="2382" xr:uid="{0ECE8E90-264D-4356-85F3-DE9495C97127}"/>
    <cellStyle name="60% - Énfasis4 2 3 2 2" xfId="6114" xr:uid="{2C8F6799-1B51-4B29-8674-31ED9A3613BC}"/>
    <cellStyle name="60% - Énfasis4 2 3 2 2 2" xfId="13822" xr:uid="{E62F32AB-4A0C-4B6F-9456-2256904E891E}"/>
    <cellStyle name="60% - Énfasis4 2 3 2 2 2 2" xfId="29234" xr:uid="{3F2435C1-925F-4E6A-AD6A-103777523504}"/>
    <cellStyle name="60% - Énfasis4 2 3 2 2 2 2 2" xfId="54805" xr:uid="{C23EBA89-9476-4D0B-8F7C-141F2210C398}"/>
    <cellStyle name="60% - Énfasis4 2 3 2 2 2 3" xfId="54804" xr:uid="{E8EBEE39-E552-4BD5-BF95-8621C44EF592}"/>
    <cellStyle name="60% - Énfasis4 2 3 2 2 3" xfId="21529" xr:uid="{B214F5C0-0381-477F-81B3-E6AB39B90371}"/>
    <cellStyle name="60% - Énfasis4 2 3 2 2 3 2" xfId="54806" xr:uid="{663D19E9-C49F-4A98-AA5B-10A803E844AE}"/>
    <cellStyle name="60% - Énfasis4 2 3 2 2 4" xfId="54803" xr:uid="{9C79F1BB-84C8-4BBD-8E2C-CC307F30567F}"/>
    <cellStyle name="60% - Énfasis4 2 3 2 3" xfId="10093" xr:uid="{655FAE33-7C8A-4D1F-A30E-C752E1A28952}"/>
    <cellStyle name="60% - Énfasis4 2 3 2 3 2" xfId="25506" xr:uid="{57356704-E5BA-4BFE-A491-BC91099CDAC1}"/>
    <cellStyle name="60% - Énfasis4 2 3 2 3 2 2" xfId="54808" xr:uid="{EBBA75D6-2E34-4644-9B09-7DDB33D2F975}"/>
    <cellStyle name="60% - Énfasis4 2 3 2 3 3" xfId="54807" xr:uid="{99916804-0FFD-4BFA-8364-6A9DFCDB68F7}"/>
    <cellStyle name="60% - Énfasis4 2 3 2 4" xfId="17801" xr:uid="{BA473E91-07BF-4462-8CDB-E7A207F1DCBC}"/>
    <cellStyle name="60% - Énfasis4 2 3 2 4 2" xfId="54809" xr:uid="{570D92C8-DCB9-4552-8B95-C5E6181FEC6D}"/>
    <cellStyle name="60% - Énfasis4 2 3 2 5" xfId="54802" xr:uid="{337AD93C-CEE5-4D5C-98B0-E7A2B96DDB58}"/>
    <cellStyle name="60% - Énfasis4 2 3 3" xfId="4649" xr:uid="{BB200AA8-21CF-4416-85AE-A70ADC5C6EAE}"/>
    <cellStyle name="60% - Énfasis4 2 3 3 2" xfId="12357" xr:uid="{2093327D-2F77-48D3-BA19-062586A6E864}"/>
    <cellStyle name="60% - Énfasis4 2 3 3 2 2" xfId="27769" xr:uid="{1717CA14-66FD-4B6C-8020-A999C3059AB9}"/>
    <cellStyle name="60% - Énfasis4 2 3 3 2 2 2" xfId="54812" xr:uid="{A9E45C12-C86D-4A01-995A-8BB64E79858C}"/>
    <cellStyle name="60% - Énfasis4 2 3 3 2 3" xfId="54811" xr:uid="{B9ED5339-8499-47AA-809E-743593399820}"/>
    <cellStyle name="60% - Énfasis4 2 3 3 3" xfId="20064" xr:uid="{93F999E4-F839-4C43-B073-2B79BE79C79D}"/>
    <cellStyle name="60% - Énfasis4 2 3 3 3 2" xfId="54813" xr:uid="{C9BCCCB3-0C0A-467C-9838-D9099E7746A1}"/>
    <cellStyle name="60% - Énfasis4 2 3 3 4" xfId="54810" xr:uid="{277EB58C-691B-411E-A7B4-B092D616E12A}"/>
    <cellStyle name="60% - Énfasis4 2 3 4" xfId="8634" xr:uid="{DB8D9A1F-7FE9-4269-B86A-039551438F47}"/>
    <cellStyle name="60% - Énfasis4 2 3 4 2" xfId="24047" xr:uid="{58A4A9FA-4B1E-4880-A804-1936F4D9F465}"/>
    <cellStyle name="60% - Énfasis4 2 3 4 2 2" xfId="54815" xr:uid="{34428C83-D12E-41E0-842F-C23347C7A519}"/>
    <cellStyle name="60% - Énfasis4 2 3 4 3" xfId="54814" xr:uid="{62D6CFEE-D329-4736-BC52-9373B2F50E91}"/>
    <cellStyle name="60% - Énfasis4 2 3 5" xfId="16342" xr:uid="{C61C7159-7BEE-410A-94F2-532B3A5DD0DF}"/>
    <cellStyle name="60% - Énfasis4 2 3 5 2" xfId="54816" xr:uid="{36E16DD8-C2D1-4B65-B2E3-AC647CEA37EA}"/>
    <cellStyle name="60% - Énfasis4 2 3 6" xfId="54801" xr:uid="{1D58530D-C1D3-44BA-A1A3-7AB0ED6033FA}"/>
    <cellStyle name="60% - Énfasis4 2 4" xfId="1744" xr:uid="{BAD6A4A8-9A15-42F2-A6F5-C9D0F728EF91}"/>
    <cellStyle name="60% - Énfasis4 2 4 2" xfId="5476" xr:uid="{4210D042-05EF-4AF2-9C0B-6618F5FE305D}"/>
    <cellStyle name="60% - Énfasis4 2 4 2 2" xfId="13184" xr:uid="{69261881-CD1C-4DF6-A815-820F12FFDB7D}"/>
    <cellStyle name="60% - Énfasis4 2 4 2 2 2" xfId="28596" xr:uid="{ADDB7A1C-1FAD-41E0-9C2F-EA77ACCEB3D4}"/>
    <cellStyle name="60% - Énfasis4 2 4 2 2 2 2" xfId="54820" xr:uid="{F84BD363-ECF3-406D-A12A-1BC0695729E7}"/>
    <cellStyle name="60% - Énfasis4 2 4 2 2 3" xfId="54819" xr:uid="{34029F52-61CF-454B-8B33-F346AE373888}"/>
    <cellStyle name="60% - Énfasis4 2 4 2 3" xfId="20891" xr:uid="{B9942778-D010-46EA-9FF3-D7404C7ABA3D}"/>
    <cellStyle name="60% - Énfasis4 2 4 2 3 2" xfId="54821" xr:uid="{47DA8291-9E71-4601-9001-06174B2147C3}"/>
    <cellStyle name="60% - Énfasis4 2 4 2 4" xfId="54818" xr:uid="{A19423DD-D97E-4660-9227-2BF25AADAE2F}"/>
    <cellStyle name="60% - Énfasis4 2 4 3" xfId="9455" xr:uid="{0408CE71-134C-4BD2-B660-6389547624BB}"/>
    <cellStyle name="60% - Énfasis4 2 4 3 2" xfId="24868" xr:uid="{35845B9A-ACDD-446E-9C59-12E7E856D588}"/>
    <cellStyle name="60% - Énfasis4 2 4 3 2 2" xfId="54823" xr:uid="{4314F087-8214-451C-A5CA-437E557D2619}"/>
    <cellStyle name="60% - Énfasis4 2 4 3 3" xfId="54822" xr:uid="{FD81C6FF-9AF1-4C8E-ACA4-7FECD07D26A4}"/>
    <cellStyle name="60% - Énfasis4 2 4 4" xfId="17163" xr:uid="{C76B7719-CA18-4DB6-803A-83BDE99D5F19}"/>
    <cellStyle name="60% - Énfasis4 2 4 4 2" xfId="54824" xr:uid="{EA5E6E20-9F9A-4223-B2CD-057E91F33D04}"/>
    <cellStyle name="60% - Énfasis4 2 4 5" xfId="54817" xr:uid="{5A755A5B-A11F-4A6F-AAFB-C3490A96BE71}"/>
    <cellStyle name="60% - Énfasis4 2 5" xfId="3997" xr:uid="{6A2B4820-D83F-4E7D-88DF-21F05D29D4A7}"/>
    <cellStyle name="60% - Énfasis4 2 5 2" xfId="11705" xr:uid="{FC90A5B3-8594-487F-9702-642C37A2044E}"/>
    <cellStyle name="60% - Énfasis4 2 5 2 2" xfId="27117" xr:uid="{391FBBB7-3B05-4EF8-AD32-2AB5F10496E6}"/>
    <cellStyle name="60% - Énfasis4 2 5 2 2 2" xfId="54827" xr:uid="{451C1C8D-9E01-4FFC-A341-C777CF545F57}"/>
    <cellStyle name="60% - Énfasis4 2 5 2 3" xfId="54826" xr:uid="{21E9B88B-D3CE-4016-BE45-6666973395BF}"/>
    <cellStyle name="60% - Énfasis4 2 5 3" xfId="19412" xr:uid="{02A43E05-15D5-490F-AEE5-828883EEDBDE}"/>
    <cellStyle name="60% - Énfasis4 2 5 3 2" xfId="54828" xr:uid="{2E249BD4-B41E-46EB-948C-8C0E4FB19412}"/>
    <cellStyle name="60% - Énfasis4 2 5 4" xfId="54825" xr:uid="{BFE7028D-3101-4BDB-A8FB-82BC4B9EEA7C}"/>
    <cellStyle name="60% - Énfasis4 2 6" xfId="7996" xr:uid="{A068AA2E-DCF6-40B6-999B-9C5741687CC0}"/>
    <cellStyle name="60% - Énfasis4 2 6 2" xfId="23409" xr:uid="{BBDE8A46-708D-4372-B62F-DBF0F711E05F}"/>
    <cellStyle name="60% - Énfasis4 2 6 2 2" xfId="54830" xr:uid="{419CE620-13B1-491B-B0D6-E0B02B738FB2}"/>
    <cellStyle name="60% - Énfasis4 2 6 3" xfId="54829" xr:uid="{602D74DF-7E1B-4CB1-B06E-D6427BAD8563}"/>
    <cellStyle name="60% - Énfasis4 2 7" xfId="15704" xr:uid="{1988A24E-4D28-4BA0-AC46-6D06860195B3}"/>
    <cellStyle name="60% - Énfasis4 2 7 2" xfId="54831" xr:uid="{2D361A46-6A7E-43BC-808B-08C12F2B9EEB}"/>
    <cellStyle name="60% - Énfasis4 2 8" xfId="54768" xr:uid="{037D038A-E070-44FB-BE97-00FF4A5D386D}"/>
    <cellStyle name="60% - Énfasis4 2 9" xfId="249" xr:uid="{B1AF9D0E-D713-4EB7-8BFF-C75AB8583CF4}"/>
    <cellStyle name="60% - Énfasis4 20" xfId="1461" xr:uid="{4DE7B54A-5AFA-4742-9E8E-58E86A646AE1}"/>
    <cellStyle name="60% - Énfasis4 20 2" xfId="2926" xr:uid="{B84C7A1D-005A-45B9-8949-BA10A56702B6}"/>
    <cellStyle name="60% - Énfasis4 20 2 2" xfId="6658" xr:uid="{994EC6DE-915C-4848-9EBD-72080AAE6DE3}"/>
    <cellStyle name="60% - Énfasis4 20 2 2 2" xfId="14366" xr:uid="{315715C4-D4FA-4B62-82EC-1808BFF761DE}"/>
    <cellStyle name="60% - Énfasis4 20 2 2 2 2" xfId="29778" xr:uid="{1C49EB13-B5B4-4699-887F-D0911C3899F0}"/>
    <cellStyle name="60% - Énfasis4 20 2 2 2 2 2" xfId="54836" xr:uid="{745516ED-FAD8-49AC-8837-E395A0982EDB}"/>
    <cellStyle name="60% - Énfasis4 20 2 2 2 3" xfId="54835" xr:uid="{1620B8A5-BD88-4350-8D9F-F6D617392095}"/>
    <cellStyle name="60% - Énfasis4 20 2 2 3" xfId="22073" xr:uid="{50738DC5-CB30-4743-ABDB-0FCF6C546909}"/>
    <cellStyle name="60% - Énfasis4 20 2 2 3 2" xfId="54837" xr:uid="{F881EC17-DF22-4D19-A364-16738938775D}"/>
    <cellStyle name="60% - Énfasis4 20 2 2 4" xfId="54834" xr:uid="{FD335DCE-70F5-419A-8A72-7C63315030C6}"/>
    <cellStyle name="60% - Énfasis4 20 2 3" xfId="10637" xr:uid="{7C921840-5B64-477A-A0AE-5D343727AF49}"/>
    <cellStyle name="60% - Énfasis4 20 2 3 2" xfId="26050" xr:uid="{52EDBCD7-550A-4D9E-982F-7690CE908B93}"/>
    <cellStyle name="60% - Énfasis4 20 2 3 2 2" xfId="54839" xr:uid="{1ECEA7D8-A34F-4AE2-95CC-A9A002F24463}"/>
    <cellStyle name="60% - Énfasis4 20 2 3 3" xfId="54838" xr:uid="{94D788D0-BB15-4B35-BEBC-9CD4169E24FD}"/>
    <cellStyle name="60% - Énfasis4 20 2 4" xfId="18345" xr:uid="{A725313B-D94F-420F-A0AF-CCEB22C3E9BE}"/>
    <cellStyle name="60% - Énfasis4 20 2 4 2" xfId="54840" xr:uid="{D7098537-8138-489B-8811-BA677DBAF174}"/>
    <cellStyle name="60% - Énfasis4 20 2 5" xfId="54833" xr:uid="{637B91A3-AEB9-4823-B56E-AE78C822F42E}"/>
    <cellStyle name="60% - Énfasis4 20 3" xfId="5197" xr:uid="{7A3803E9-ACF5-43B8-866E-D2A94A6C8697}"/>
    <cellStyle name="60% - Énfasis4 20 3 2" xfId="12905" xr:uid="{C2CE607D-8F75-4A56-9978-4E5A743860C3}"/>
    <cellStyle name="60% - Énfasis4 20 3 2 2" xfId="28317" xr:uid="{DE02298A-69C7-49A2-A3CA-58A3DDD0B330}"/>
    <cellStyle name="60% - Énfasis4 20 3 2 2 2" xfId="54843" xr:uid="{417FA589-E6B1-4610-971C-E8B4B0EAEB7B}"/>
    <cellStyle name="60% - Énfasis4 20 3 2 3" xfId="54842" xr:uid="{A17410B4-458A-4ADB-BF08-AAE994ABE511}"/>
    <cellStyle name="60% - Énfasis4 20 3 3" xfId="20612" xr:uid="{0C13AE9B-C3C2-414A-AA0A-FD9B58149ECD}"/>
    <cellStyle name="60% - Énfasis4 20 3 3 2" xfId="54844" xr:uid="{8A9BFAB3-950C-4598-A1A7-EF08508439C6}"/>
    <cellStyle name="60% - Énfasis4 20 3 4" xfId="54841" xr:uid="{5845630E-F336-41DF-8DBB-8AAFCA472BD0}"/>
    <cellStyle name="60% - Énfasis4 20 4" xfId="9178" xr:uid="{3086ABDD-FFD9-4D65-B1F1-518E9FE0D188}"/>
    <cellStyle name="60% - Énfasis4 20 4 2" xfId="24591" xr:uid="{0DC04DB1-FDC9-429F-9A86-E16ECC15F637}"/>
    <cellStyle name="60% - Énfasis4 20 4 2 2" xfId="54846" xr:uid="{5A28A124-9F52-46D0-BF49-54E55E8CAC15}"/>
    <cellStyle name="60% - Énfasis4 20 4 3" xfId="54845" xr:uid="{AED0564B-8ADC-487F-BE62-4DFBDD98EE56}"/>
    <cellStyle name="60% - Énfasis4 20 5" xfId="16886" xr:uid="{2FB679F7-81F7-4407-8325-D593193A3715}"/>
    <cellStyle name="60% - Énfasis4 20 5 2" xfId="54847" xr:uid="{8CC0C72C-36F1-4358-A3FE-07D8B77CFDD7}"/>
    <cellStyle name="60% - Énfasis4 20 6" xfId="54832" xr:uid="{A4D38275-BFC3-42E3-953A-98F24D02F03F}"/>
    <cellStyle name="60% - Énfasis4 21" xfId="1481" xr:uid="{5D262DA2-7E15-45AE-A797-0923EC8E7575}"/>
    <cellStyle name="60% - Énfasis4 21 2" xfId="2946" xr:uid="{28539BC0-C54F-438D-B5E2-1BD46D77F969}"/>
    <cellStyle name="60% - Énfasis4 21 2 2" xfId="6678" xr:uid="{F9ECC7F1-44AB-4C73-9E03-AE5017069D68}"/>
    <cellStyle name="60% - Énfasis4 21 2 2 2" xfId="14386" xr:uid="{509B67EC-D009-4319-95B5-51834305C32F}"/>
    <cellStyle name="60% - Énfasis4 21 2 2 2 2" xfId="29798" xr:uid="{9DC16EE0-0885-4CB7-8DF6-1A8F70CBDC4F}"/>
    <cellStyle name="60% - Énfasis4 21 2 2 2 2 2" xfId="54852" xr:uid="{25A2CDE5-0EB6-47D4-8709-1304FB953CF9}"/>
    <cellStyle name="60% - Énfasis4 21 2 2 2 3" xfId="54851" xr:uid="{3794387B-0473-4427-A660-6CA480505A94}"/>
    <cellStyle name="60% - Énfasis4 21 2 2 3" xfId="22093" xr:uid="{EA1E153E-C152-4BF2-B3D6-8F9D74BEB4C5}"/>
    <cellStyle name="60% - Énfasis4 21 2 2 3 2" xfId="54853" xr:uid="{FD44BC0D-91EA-4ECD-9308-6613275A69E8}"/>
    <cellStyle name="60% - Énfasis4 21 2 2 4" xfId="54850" xr:uid="{C16E4D53-7E09-43A0-91DF-37650C89DCAF}"/>
    <cellStyle name="60% - Énfasis4 21 2 3" xfId="10657" xr:uid="{AB556DC8-A839-4373-A2B8-720877AA9B06}"/>
    <cellStyle name="60% - Énfasis4 21 2 3 2" xfId="26070" xr:uid="{E689BD5C-07E7-4CAF-8A2F-1CF3DDCB5058}"/>
    <cellStyle name="60% - Énfasis4 21 2 3 2 2" xfId="54855" xr:uid="{BAAC2737-8B01-4EE0-A081-0762CEC0E3F8}"/>
    <cellStyle name="60% - Énfasis4 21 2 3 3" xfId="54854" xr:uid="{01470A87-0A44-4BAC-B439-0E713119FE0E}"/>
    <cellStyle name="60% - Énfasis4 21 2 4" xfId="18365" xr:uid="{D3DC8681-8E63-4486-BF99-30486F74DC70}"/>
    <cellStyle name="60% - Énfasis4 21 2 4 2" xfId="54856" xr:uid="{F82F79E5-7D41-4249-8DD2-81DE93A4D061}"/>
    <cellStyle name="60% - Énfasis4 21 2 5" xfId="54849" xr:uid="{694497D5-9205-467C-A5D2-DAE3AA19D3F4}"/>
    <cellStyle name="60% - Énfasis4 21 3" xfId="5217" xr:uid="{07CB4BC2-D37F-4FE1-BC0E-7653939EB180}"/>
    <cellStyle name="60% - Énfasis4 21 3 2" xfId="12925" xr:uid="{E9A095D6-31A5-4DDC-906C-3E6AA3CC7829}"/>
    <cellStyle name="60% - Énfasis4 21 3 2 2" xfId="28337" xr:uid="{3B84D964-F4EF-42AE-98C9-A3F3FD659594}"/>
    <cellStyle name="60% - Énfasis4 21 3 2 2 2" xfId="54859" xr:uid="{E7183B17-587B-4420-AFCE-E08E8670DE7C}"/>
    <cellStyle name="60% - Énfasis4 21 3 2 3" xfId="54858" xr:uid="{BDA67A83-B2E2-4938-B8D3-5E713A512F28}"/>
    <cellStyle name="60% - Énfasis4 21 3 3" xfId="20632" xr:uid="{390A689A-DFBE-4345-ACAC-10F61512E98E}"/>
    <cellStyle name="60% - Énfasis4 21 3 3 2" xfId="54860" xr:uid="{ABFC5425-9AE0-4D18-9CC1-30E80153130F}"/>
    <cellStyle name="60% - Énfasis4 21 3 4" xfId="54857" xr:uid="{3B0C2DFD-90ED-4836-9760-A94941B8ADAE}"/>
    <cellStyle name="60% - Énfasis4 21 4" xfId="9198" xr:uid="{C8E9A710-59E4-4F70-83C1-F50A753F3128}"/>
    <cellStyle name="60% - Énfasis4 21 4 2" xfId="24611" xr:uid="{EF23AAC4-FD41-42CC-994A-0DE50C554F4D}"/>
    <cellStyle name="60% - Énfasis4 21 4 2 2" xfId="54862" xr:uid="{B6441564-4013-4231-A986-509E81D4D73C}"/>
    <cellStyle name="60% - Énfasis4 21 4 3" xfId="54861" xr:uid="{EC94D5B4-8103-4D75-BC28-D2065E4002B6}"/>
    <cellStyle name="60% - Énfasis4 21 5" xfId="16906" xr:uid="{547501BD-A883-4AF7-B9F1-9E05B20D4C07}"/>
    <cellStyle name="60% - Énfasis4 21 5 2" xfId="54863" xr:uid="{3F2D4BA1-0BC7-4D55-B03C-6C5393B2F9AE}"/>
    <cellStyle name="60% - Énfasis4 21 6" xfId="54848" xr:uid="{E6088907-C59D-4C6C-87D0-88BA3E2175F9}"/>
    <cellStyle name="60% - Énfasis4 22" xfId="1501" xr:uid="{54B94916-DF5B-4A11-9582-C9F22CF57970}"/>
    <cellStyle name="60% - Énfasis4 22 2" xfId="2966" xr:uid="{B586ADCE-E2A9-4C17-A9AE-5D422D5C7C2A}"/>
    <cellStyle name="60% - Énfasis4 22 2 2" xfId="6698" xr:uid="{7FF90ACA-DB6F-4795-A39D-06F511F05C98}"/>
    <cellStyle name="60% - Énfasis4 22 2 2 2" xfId="14406" xr:uid="{C5FA0621-FAF5-46B2-A4F4-2A544827B471}"/>
    <cellStyle name="60% - Énfasis4 22 2 2 2 2" xfId="29818" xr:uid="{3C307D0D-AA49-406E-B8C6-9CF51B1E170F}"/>
    <cellStyle name="60% - Énfasis4 22 2 2 2 2 2" xfId="54868" xr:uid="{E064C79E-D391-4E88-ACD7-04551040E0FB}"/>
    <cellStyle name="60% - Énfasis4 22 2 2 2 3" xfId="54867" xr:uid="{52CAD340-0C8C-413D-AC31-BE8CC1AD730A}"/>
    <cellStyle name="60% - Énfasis4 22 2 2 3" xfId="22113" xr:uid="{2D7F2278-7FA3-4A37-ACEE-BD8C6431586D}"/>
    <cellStyle name="60% - Énfasis4 22 2 2 3 2" xfId="54869" xr:uid="{1593E5A7-CE0D-47F5-BF7B-C1265667C201}"/>
    <cellStyle name="60% - Énfasis4 22 2 2 4" xfId="54866" xr:uid="{F7BA9C87-E557-4231-9C22-5A974776E24F}"/>
    <cellStyle name="60% - Énfasis4 22 2 3" xfId="10677" xr:uid="{30C360A9-0585-4F39-B733-B4CFB41571B5}"/>
    <cellStyle name="60% - Énfasis4 22 2 3 2" xfId="26090" xr:uid="{A1F5DE82-C737-4874-A5FC-849FA60CA781}"/>
    <cellStyle name="60% - Énfasis4 22 2 3 2 2" xfId="54871" xr:uid="{C36E0583-5071-4852-8B9E-0BFBEE245A58}"/>
    <cellStyle name="60% - Énfasis4 22 2 3 3" xfId="54870" xr:uid="{869AC83B-D690-4C4B-849F-B5A93CA99A17}"/>
    <cellStyle name="60% - Énfasis4 22 2 4" xfId="18385" xr:uid="{5E1A11F3-1204-4289-9141-E8081E4C56D8}"/>
    <cellStyle name="60% - Énfasis4 22 2 4 2" xfId="54872" xr:uid="{F26BF4B0-DF12-481F-A03B-2E7937C964FE}"/>
    <cellStyle name="60% - Énfasis4 22 2 5" xfId="54865" xr:uid="{558A65AF-7A38-4662-970D-482220FFA318}"/>
    <cellStyle name="60% - Énfasis4 22 3" xfId="5237" xr:uid="{B4686B16-AF3F-47C0-B583-7A120F7F6510}"/>
    <cellStyle name="60% - Énfasis4 22 3 2" xfId="12945" xr:uid="{EEE06039-F7E0-4196-B44F-1AC55DF8EDB0}"/>
    <cellStyle name="60% - Énfasis4 22 3 2 2" xfId="28357" xr:uid="{CE96D1F5-A885-403A-8046-E98E7F9B67A8}"/>
    <cellStyle name="60% - Énfasis4 22 3 2 2 2" xfId="54875" xr:uid="{5F201335-3B1B-4EF3-83FE-A61F3915F6F5}"/>
    <cellStyle name="60% - Énfasis4 22 3 2 3" xfId="54874" xr:uid="{013F4B95-FAAD-4082-BF54-4399ED6DFF6E}"/>
    <cellStyle name="60% - Énfasis4 22 3 3" xfId="20652" xr:uid="{44DB268B-DF06-44FB-A950-87B2E1E08202}"/>
    <cellStyle name="60% - Énfasis4 22 3 3 2" xfId="54876" xr:uid="{D13BC2A2-71CE-429D-BC89-66C9F47F3C43}"/>
    <cellStyle name="60% - Énfasis4 22 3 4" xfId="54873" xr:uid="{4D4C1CA3-103B-4EFF-9B7F-F955CC1FAAAC}"/>
    <cellStyle name="60% - Énfasis4 22 4" xfId="9218" xr:uid="{93254744-B4C6-4976-A76A-A1ED2FD8A20D}"/>
    <cellStyle name="60% - Énfasis4 22 4 2" xfId="24631" xr:uid="{F51F05F2-7CF1-44F6-8940-7A436681F8C2}"/>
    <cellStyle name="60% - Énfasis4 22 4 2 2" xfId="54878" xr:uid="{1F0853AC-23C6-4C94-B16E-CC5C92072C92}"/>
    <cellStyle name="60% - Énfasis4 22 4 3" xfId="54877" xr:uid="{CE536D98-2355-449D-B0D0-26B85D6A610E}"/>
    <cellStyle name="60% - Énfasis4 22 5" xfId="16926" xr:uid="{DC096C57-A107-48BC-BF60-53E0EE7D0897}"/>
    <cellStyle name="60% - Énfasis4 22 5 2" xfId="54879" xr:uid="{232743C7-71CC-4AFB-A067-BDD7D4445213}"/>
    <cellStyle name="60% - Énfasis4 22 6" xfId="54864" xr:uid="{D2C10E35-3ADB-4E57-9A06-4F3B1C086456}"/>
    <cellStyle name="60% - Énfasis4 23" xfId="1521" xr:uid="{5060AD6F-56CE-4582-AC79-F69160B3840A}"/>
    <cellStyle name="60% - Énfasis4 23 2" xfId="2986" xr:uid="{720EDF7E-652A-4E80-9BA3-D07A1A43E655}"/>
    <cellStyle name="60% - Énfasis4 23 2 2" xfId="6718" xr:uid="{BD80F9CC-F724-4A7F-9ABC-8EDA3BC3E4E3}"/>
    <cellStyle name="60% - Énfasis4 23 2 2 2" xfId="14426" xr:uid="{9487A529-7C9A-442D-8634-0F4A3DFC67F9}"/>
    <cellStyle name="60% - Énfasis4 23 2 2 2 2" xfId="29838" xr:uid="{C49E86D3-726F-402F-93CB-4126FCC97AAC}"/>
    <cellStyle name="60% - Énfasis4 23 2 2 2 2 2" xfId="54884" xr:uid="{774B9FC1-CE53-4554-A000-18CDDC4A2AB4}"/>
    <cellStyle name="60% - Énfasis4 23 2 2 2 3" xfId="54883" xr:uid="{78BD2070-EAE5-4989-BFF3-DB85F609DF17}"/>
    <cellStyle name="60% - Énfasis4 23 2 2 3" xfId="22133" xr:uid="{A9A76B7F-6E83-44C3-BD37-9C803B707550}"/>
    <cellStyle name="60% - Énfasis4 23 2 2 3 2" xfId="54885" xr:uid="{D6ABF366-CC7C-4552-A07A-ACD63087CC2C}"/>
    <cellStyle name="60% - Énfasis4 23 2 2 4" xfId="54882" xr:uid="{5D2D3556-BA65-472A-B691-786DBBCE207E}"/>
    <cellStyle name="60% - Énfasis4 23 2 3" xfId="10697" xr:uid="{861C7F14-1171-48A5-A2DD-31255E76254A}"/>
    <cellStyle name="60% - Énfasis4 23 2 3 2" xfId="26110" xr:uid="{6B99F2A7-6274-4C42-A1D7-B70910BDD8E4}"/>
    <cellStyle name="60% - Énfasis4 23 2 3 2 2" xfId="54887" xr:uid="{64688C78-DE5C-4BD0-BE98-4CF9CA5A5781}"/>
    <cellStyle name="60% - Énfasis4 23 2 3 3" xfId="54886" xr:uid="{C5FC97CF-B4AA-4002-8D21-3F834C4B364D}"/>
    <cellStyle name="60% - Énfasis4 23 2 4" xfId="18405" xr:uid="{6257F3DD-EE46-491F-BAB5-239E3D86F1D8}"/>
    <cellStyle name="60% - Énfasis4 23 2 4 2" xfId="54888" xr:uid="{315CBCFF-C65D-4B4E-90FD-49CAF8662ABD}"/>
    <cellStyle name="60% - Énfasis4 23 2 5" xfId="54881" xr:uid="{887AFF0E-1039-42F0-92C9-EADC3EE67906}"/>
    <cellStyle name="60% - Énfasis4 23 3" xfId="5257" xr:uid="{71773D05-4C9C-4897-9AF4-33E546A68AF5}"/>
    <cellStyle name="60% - Énfasis4 23 3 2" xfId="12965" xr:uid="{2F129ED6-F184-4FED-BEAA-C634B32C2841}"/>
    <cellStyle name="60% - Énfasis4 23 3 2 2" xfId="28377" xr:uid="{418E8239-46D8-4E22-B302-C0B4E70FD3A9}"/>
    <cellStyle name="60% - Énfasis4 23 3 2 2 2" xfId="54891" xr:uid="{8A1C9763-FE93-4E05-B9F3-4220DC0D9617}"/>
    <cellStyle name="60% - Énfasis4 23 3 2 3" xfId="54890" xr:uid="{F5A0D3B4-B9A1-489C-B90B-381BE6257CEC}"/>
    <cellStyle name="60% - Énfasis4 23 3 3" xfId="20672" xr:uid="{E2FE44A9-D53C-4ECE-BB65-E5202EE965A3}"/>
    <cellStyle name="60% - Énfasis4 23 3 3 2" xfId="54892" xr:uid="{A98109D8-F795-4230-93EA-C3EE7EB236ED}"/>
    <cellStyle name="60% - Énfasis4 23 3 4" xfId="54889" xr:uid="{0F329434-EF51-496B-988B-96F1137A5A0C}"/>
    <cellStyle name="60% - Énfasis4 23 4" xfId="9238" xr:uid="{D65A2184-CFC6-432E-ABB7-43F504754BDD}"/>
    <cellStyle name="60% - Énfasis4 23 4 2" xfId="24651" xr:uid="{BA8B5EA2-080A-4AD4-8848-5F8E35EF55FE}"/>
    <cellStyle name="60% - Énfasis4 23 4 2 2" xfId="54894" xr:uid="{49A4C90D-9275-476B-941B-CFA3F529D4F3}"/>
    <cellStyle name="60% - Énfasis4 23 4 3" xfId="54893" xr:uid="{3E35DF63-B1B0-42FC-BEFE-390663AD684F}"/>
    <cellStyle name="60% - Énfasis4 23 5" xfId="16946" xr:uid="{ED087336-8A5D-4220-85EB-3F922BF07D7D}"/>
    <cellStyle name="60% - Énfasis4 23 5 2" xfId="54895" xr:uid="{94DE7E55-75DA-4499-8BBC-A060925110F6}"/>
    <cellStyle name="60% - Énfasis4 23 6" xfId="54880" xr:uid="{BC63C196-804B-41FE-8AC3-4CD6C75BBCC8}"/>
    <cellStyle name="60% - Énfasis4 24" xfId="1541" xr:uid="{502CCA7E-C339-4F86-BFE7-35B5364E99FF}"/>
    <cellStyle name="60% - Énfasis4 24 2" xfId="3006" xr:uid="{2BE12BCA-838A-48A0-BE40-93EB5ADE397E}"/>
    <cellStyle name="60% - Énfasis4 24 2 2" xfId="6738" xr:uid="{868BB98A-AAD7-4662-B8EB-437FAE37188D}"/>
    <cellStyle name="60% - Énfasis4 24 2 2 2" xfId="14446" xr:uid="{3EC3F5FC-28BC-4D23-9245-7E143BCA0F54}"/>
    <cellStyle name="60% - Énfasis4 24 2 2 2 2" xfId="29858" xr:uid="{BA999312-F691-438C-A9AB-EC37535ABFD5}"/>
    <cellStyle name="60% - Énfasis4 24 2 2 2 2 2" xfId="54900" xr:uid="{68F8995D-0EEB-418E-8D96-C8CC98C4A7E4}"/>
    <cellStyle name="60% - Énfasis4 24 2 2 2 3" xfId="54899" xr:uid="{2EF3DB71-62E5-4A50-8882-3073719F0C0F}"/>
    <cellStyle name="60% - Énfasis4 24 2 2 3" xfId="22153" xr:uid="{B822A6B6-5610-4ED5-85DF-AF341C0D44F9}"/>
    <cellStyle name="60% - Énfasis4 24 2 2 3 2" xfId="54901" xr:uid="{5CE7140C-A56A-447D-B44A-EEC6A04EC3AA}"/>
    <cellStyle name="60% - Énfasis4 24 2 2 4" xfId="54898" xr:uid="{57783017-A688-4F9A-9A6B-2C16397B4CD4}"/>
    <cellStyle name="60% - Énfasis4 24 2 3" xfId="10717" xr:uid="{30D20793-DAF9-4045-AC6A-3BAD8A95DE1A}"/>
    <cellStyle name="60% - Énfasis4 24 2 3 2" xfId="26130" xr:uid="{49C52C70-C666-4053-9CF2-F5955C7EC0DE}"/>
    <cellStyle name="60% - Énfasis4 24 2 3 2 2" xfId="54903" xr:uid="{98699770-D91A-4C17-8295-33E0C4014F3D}"/>
    <cellStyle name="60% - Énfasis4 24 2 3 3" xfId="54902" xr:uid="{2EBA1BBA-305C-4940-9847-C247AE212F5F}"/>
    <cellStyle name="60% - Énfasis4 24 2 4" xfId="18425" xr:uid="{683236F4-46E5-49D9-BF9D-007A2704AEC0}"/>
    <cellStyle name="60% - Énfasis4 24 2 4 2" xfId="54904" xr:uid="{AB9054BA-02B3-434D-BBDB-4F5745E650D2}"/>
    <cellStyle name="60% - Énfasis4 24 2 5" xfId="54897" xr:uid="{84C7A229-2E47-4E3B-A5D0-B2D2AECEF902}"/>
    <cellStyle name="60% - Énfasis4 24 3" xfId="5277" xr:uid="{E97855BF-B423-41CB-B36F-5E7B733DCBE8}"/>
    <cellStyle name="60% - Énfasis4 24 3 2" xfId="12985" xr:uid="{5D95AF8B-C5D8-4E15-A1B8-AE450FC2372C}"/>
    <cellStyle name="60% - Énfasis4 24 3 2 2" xfId="28397" xr:uid="{2E51A8AC-64EC-4B9A-AD18-255EDB6FCFBC}"/>
    <cellStyle name="60% - Énfasis4 24 3 2 2 2" xfId="54907" xr:uid="{534D539A-31F9-4DBF-A7F4-247A24C229CB}"/>
    <cellStyle name="60% - Énfasis4 24 3 2 3" xfId="54906" xr:uid="{AEC42813-7E27-40F1-BDDE-B9F1217606AC}"/>
    <cellStyle name="60% - Énfasis4 24 3 3" xfId="20692" xr:uid="{BC0D6A01-619D-4C57-8828-A083939FCD0A}"/>
    <cellStyle name="60% - Énfasis4 24 3 3 2" xfId="54908" xr:uid="{B646C3E0-50AB-4E16-9CB9-A6EAEB28691E}"/>
    <cellStyle name="60% - Énfasis4 24 3 4" xfId="54905" xr:uid="{D576EC29-40B9-480A-9EAD-7B062C8037CE}"/>
    <cellStyle name="60% - Énfasis4 24 4" xfId="9258" xr:uid="{6456F8DF-C93A-478F-824C-CE2F8555BE20}"/>
    <cellStyle name="60% - Énfasis4 24 4 2" xfId="24671" xr:uid="{E9F80BDC-646D-4CD8-BF04-F225F8F14331}"/>
    <cellStyle name="60% - Énfasis4 24 4 2 2" xfId="54910" xr:uid="{9B8DB58A-EFB1-4766-904B-502C1B41BE07}"/>
    <cellStyle name="60% - Énfasis4 24 4 3" xfId="54909" xr:uid="{F13D0A4D-B5BE-4599-8848-851499FE66E4}"/>
    <cellStyle name="60% - Énfasis4 24 5" xfId="16966" xr:uid="{A77DFA46-E1BE-464D-8258-F978F0F97A76}"/>
    <cellStyle name="60% - Énfasis4 24 5 2" xfId="54911" xr:uid="{71F65EBF-A985-44E3-BBB9-92698059C29C}"/>
    <cellStyle name="60% - Énfasis4 24 6" xfId="54896" xr:uid="{FD4A1A13-7BE5-406C-843A-0C3EB6D22D9B}"/>
    <cellStyle name="60% - Énfasis4 25" xfId="1561" xr:uid="{F223C08E-1A30-450D-A443-8A2BC4A4ADF7}"/>
    <cellStyle name="60% - Énfasis4 25 2" xfId="3026" xr:uid="{4A3A1973-2BD5-42A8-988D-7F6961FE7E43}"/>
    <cellStyle name="60% - Énfasis4 25 2 2" xfId="6758" xr:uid="{AFA67BAB-9627-41C1-9B77-B7546B8B12E1}"/>
    <cellStyle name="60% - Énfasis4 25 2 2 2" xfId="14466" xr:uid="{0EA45BC0-DED9-48BE-9F8A-D5F0D9C9AB92}"/>
    <cellStyle name="60% - Énfasis4 25 2 2 2 2" xfId="29878" xr:uid="{FDABEA46-A393-411A-8246-C35D4D742920}"/>
    <cellStyle name="60% - Énfasis4 25 2 2 2 2 2" xfId="54916" xr:uid="{8B56E6A6-A367-464F-9476-D41670D0BEBD}"/>
    <cellStyle name="60% - Énfasis4 25 2 2 2 3" xfId="54915" xr:uid="{8DCD5CF7-C37E-4917-8192-59CBD852BB0A}"/>
    <cellStyle name="60% - Énfasis4 25 2 2 3" xfId="22173" xr:uid="{7926DDA8-0F7E-4F6A-BF5A-CC2373EA9F58}"/>
    <cellStyle name="60% - Énfasis4 25 2 2 3 2" xfId="54917" xr:uid="{2EAB1482-5DD1-414E-9F06-119498CC0826}"/>
    <cellStyle name="60% - Énfasis4 25 2 2 4" xfId="54914" xr:uid="{619BCA15-83F3-47A6-86F1-D544502C89BE}"/>
    <cellStyle name="60% - Énfasis4 25 2 3" xfId="10737" xr:uid="{1592F757-F74B-4361-B172-67ED4A6577C5}"/>
    <cellStyle name="60% - Énfasis4 25 2 3 2" xfId="26150" xr:uid="{61EF3E9F-CD96-4ECD-860F-7291AA038C8A}"/>
    <cellStyle name="60% - Énfasis4 25 2 3 2 2" xfId="54919" xr:uid="{1CD0F5A3-A704-4F05-841F-719A04CAC6EF}"/>
    <cellStyle name="60% - Énfasis4 25 2 3 3" xfId="54918" xr:uid="{60E6F3BB-400F-4CF5-8642-B253E855D59A}"/>
    <cellStyle name="60% - Énfasis4 25 2 4" xfId="18445" xr:uid="{041449DD-AEB6-4808-B18D-18DA5EDC1D8F}"/>
    <cellStyle name="60% - Énfasis4 25 2 4 2" xfId="54920" xr:uid="{B1D1F4BA-DCE5-4022-9A5C-810425BDF254}"/>
    <cellStyle name="60% - Énfasis4 25 2 5" xfId="54913" xr:uid="{F95D54C2-DCCB-4371-8DAD-9DA1D13358D7}"/>
    <cellStyle name="60% - Énfasis4 25 3" xfId="5297" xr:uid="{F678AE2C-5BE8-4E81-8605-7FD662F44926}"/>
    <cellStyle name="60% - Énfasis4 25 3 2" xfId="13005" xr:uid="{F60C39A2-9731-48BF-B99C-FA5E830CBE93}"/>
    <cellStyle name="60% - Énfasis4 25 3 2 2" xfId="28417" xr:uid="{394FF747-FB45-40CD-B0D0-50DAEF21A546}"/>
    <cellStyle name="60% - Énfasis4 25 3 2 2 2" xfId="54923" xr:uid="{A2D866C9-7685-42AE-8DB3-EEB61069C9C5}"/>
    <cellStyle name="60% - Énfasis4 25 3 2 3" xfId="54922" xr:uid="{2AE1BDC3-444D-4AC7-869F-0DEE1617BCA8}"/>
    <cellStyle name="60% - Énfasis4 25 3 3" xfId="20712" xr:uid="{175E880E-15A4-42EF-ACCF-9C278C3321C5}"/>
    <cellStyle name="60% - Énfasis4 25 3 3 2" xfId="54924" xr:uid="{FBD5D3C1-7020-4AED-8B9C-AFF4CEEF2FDC}"/>
    <cellStyle name="60% - Énfasis4 25 3 4" xfId="54921" xr:uid="{83AADF00-917F-4ABD-8C83-BAE6E4C8EB9C}"/>
    <cellStyle name="60% - Énfasis4 25 4" xfId="9278" xr:uid="{5B390A90-3617-49A0-BBC5-254A905E8ADC}"/>
    <cellStyle name="60% - Énfasis4 25 4 2" xfId="24691" xr:uid="{E447286F-7FC0-4492-8A52-03E2D1D41691}"/>
    <cellStyle name="60% - Énfasis4 25 4 2 2" xfId="54926" xr:uid="{352FA758-43F2-46DB-B8C9-CD3D83161B95}"/>
    <cellStyle name="60% - Énfasis4 25 4 3" xfId="54925" xr:uid="{C3558641-F4D0-43CC-BB67-478483C8F943}"/>
    <cellStyle name="60% - Énfasis4 25 5" xfId="16986" xr:uid="{935EE002-F091-4F91-B7C4-BEFE846ACB46}"/>
    <cellStyle name="60% - Énfasis4 25 5 2" xfId="54927" xr:uid="{09D0955B-C417-46FA-9EB7-F292AFC7C7C5}"/>
    <cellStyle name="60% - Énfasis4 25 6" xfId="54912" xr:uid="{5F3A472C-DA5B-401E-8BFF-17832BE56849}"/>
    <cellStyle name="60% - Énfasis4 26" xfId="1581" xr:uid="{D8E2BBCA-5997-429D-AF4C-90E3C406168A}"/>
    <cellStyle name="60% - Énfasis4 26 2" xfId="3046" xr:uid="{3CEB1923-A0E3-402E-9C18-634335DF19A0}"/>
    <cellStyle name="60% - Énfasis4 26 2 2" xfId="6778" xr:uid="{41E302C7-B1AF-4693-9E90-39175B2391C5}"/>
    <cellStyle name="60% - Énfasis4 26 2 2 2" xfId="14486" xr:uid="{7A61565E-C43D-4310-BC68-FBFEF3E4A732}"/>
    <cellStyle name="60% - Énfasis4 26 2 2 2 2" xfId="29898" xr:uid="{A1231373-EE08-4721-8FB0-81E861340F8E}"/>
    <cellStyle name="60% - Énfasis4 26 2 2 2 2 2" xfId="54932" xr:uid="{95032CFA-1CE0-4CE9-9199-85AE50B031E8}"/>
    <cellStyle name="60% - Énfasis4 26 2 2 2 3" xfId="54931" xr:uid="{D977EBCF-4B0A-4BA6-AFEA-0C262CEC3473}"/>
    <cellStyle name="60% - Énfasis4 26 2 2 3" xfId="22193" xr:uid="{6E8F5B05-A114-4E94-BD9C-4FBFEFC7713A}"/>
    <cellStyle name="60% - Énfasis4 26 2 2 3 2" xfId="54933" xr:uid="{8D1E7EF8-D425-4431-9DBD-C223C7BD1006}"/>
    <cellStyle name="60% - Énfasis4 26 2 2 4" xfId="54930" xr:uid="{2D81E447-6A3C-4C46-A5F7-B8AD122C1DEA}"/>
    <cellStyle name="60% - Énfasis4 26 2 3" xfId="10757" xr:uid="{48D8445C-5824-44ED-8088-1BECFA73791E}"/>
    <cellStyle name="60% - Énfasis4 26 2 3 2" xfId="26170" xr:uid="{778D3B65-011B-42BD-871E-3785C582B205}"/>
    <cellStyle name="60% - Énfasis4 26 2 3 2 2" xfId="54935" xr:uid="{5E66A7B8-CF2A-4940-A3AF-8694E66D988E}"/>
    <cellStyle name="60% - Énfasis4 26 2 3 3" xfId="54934" xr:uid="{6B8F3C92-3053-4BDD-A111-12227D1F2648}"/>
    <cellStyle name="60% - Énfasis4 26 2 4" xfId="18465" xr:uid="{49CA1ACC-43F9-4F93-926B-76DDFCC1F608}"/>
    <cellStyle name="60% - Énfasis4 26 2 4 2" xfId="54936" xr:uid="{240B26F7-F940-4863-AD9C-610D64D891F1}"/>
    <cellStyle name="60% - Énfasis4 26 2 5" xfId="54929" xr:uid="{F8A51E01-68E1-4D26-98C4-5B4E03328F62}"/>
    <cellStyle name="60% - Énfasis4 26 3" xfId="5317" xr:uid="{47FDBE9F-832C-4E51-9952-17EE8DA761AC}"/>
    <cellStyle name="60% - Énfasis4 26 3 2" xfId="13025" xr:uid="{A06B3184-43AB-4800-B0C3-267956741F8D}"/>
    <cellStyle name="60% - Énfasis4 26 3 2 2" xfId="28437" xr:uid="{E92792BD-2CBE-4CF2-BB52-C7D054C8259E}"/>
    <cellStyle name="60% - Énfasis4 26 3 2 2 2" xfId="54939" xr:uid="{A43FCEFE-E830-40F3-9E8C-D90F3A82DB54}"/>
    <cellStyle name="60% - Énfasis4 26 3 2 3" xfId="54938" xr:uid="{31777DAD-8BA3-4D37-945F-2D12B7ACBF1D}"/>
    <cellStyle name="60% - Énfasis4 26 3 3" xfId="20732" xr:uid="{08D25361-1F04-4DF2-A0A8-FDE19F21E1CF}"/>
    <cellStyle name="60% - Énfasis4 26 3 3 2" xfId="54940" xr:uid="{81E04F19-2F5D-4327-AA18-6F193E614F56}"/>
    <cellStyle name="60% - Énfasis4 26 3 4" xfId="54937" xr:uid="{C7B1B230-AAE0-4EB0-87FD-BB1426514CD5}"/>
    <cellStyle name="60% - Énfasis4 26 4" xfId="9298" xr:uid="{7675A4D6-7DDF-422D-BF95-04B3808FC5AB}"/>
    <cellStyle name="60% - Énfasis4 26 4 2" xfId="24711" xr:uid="{E5479378-770E-4B3E-A571-5D67A7159B8B}"/>
    <cellStyle name="60% - Énfasis4 26 4 2 2" xfId="54942" xr:uid="{CC41F043-DC21-4C49-9907-18C57F7F3197}"/>
    <cellStyle name="60% - Énfasis4 26 4 3" xfId="54941" xr:uid="{29B2DA06-4577-4E69-B92E-724BEBCE3DC4}"/>
    <cellStyle name="60% - Énfasis4 26 5" xfId="17006" xr:uid="{5BABFB82-0F36-4934-9149-A034E1A5C250}"/>
    <cellStyle name="60% - Énfasis4 26 5 2" xfId="54943" xr:uid="{ECFEB408-C620-4F0C-8805-575E8F15DBBB}"/>
    <cellStyle name="60% - Énfasis4 26 6" xfId="54928" xr:uid="{A53395AA-310D-47B5-BAB1-28AEB25F93C8}"/>
    <cellStyle name="60% - Énfasis4 27" xfId="1602" xr:uid="{76F4C121-AA41-43F3-BBBA-AD5F33D3FA15}"/>
    <cellStyle name="60% - Énfasis4 27 2" xfId="3067" xr:uid="{2243BE1F-FE18-4491-A8B9-7A3C5E73EE49}"/>
    <cellStyle name="60% - Énfasis4 27 2 2" xfId="6799" xr:uid="{EB6EDE78-D6F0-492A-86A2-8362CF44FA00}"/>
    <cellStyle name="60% - Énfasis4 27 2 2 2" xfId="14507" xr:uid="{A9CE58D2-4D4D-411A-8B1E-7637F317FDAD}"/>
    <cellStyle name="60% - Énfasis4 27 2 2 2 2" xfId="29919" xr:uid="{9372B135-F28A-4127-B9B2-451A672E95D9}"/>
    <cellStyle name="60% - Énfasis4 27 2 2 2 2 2" xfId="54948" xr:uid="{ED542D21-614F-4FC4-BE57-5D7B4D060483}"/>
    <cellStyle name="60% - Énfasis4 27 2 2 2 3" xfId="54947" xr:uid="{A5DF8AA5-838A-4FA5-B83C-C97B02CFCB14}"/>
    <cellStyle name="60% - Énfasis4 27 2 2 3" xfId="22214" xr:uid="{71542D49-5846-4871-A914-49F61E916A63}"/>
    <cellStyle name="60% - Énfasis4 27 2 2 3 2" xfId="54949" xr:uid="{533A30DD-8070-46A3-A773-63AFFEC27EED}"/>
    <cellStyle name="60% - Énfasis4 27 2 2 4" xfId="54946" xr:uid="{AB2816A9-736A-4827-A6BF-290C4BCD91FE}"/>
    <cellStyle name="60% - Énfasis4 27 2 3" xfId="10778" xr:uid="{FF898814-35FC-4F65-93F1-47641C05533E}"/>
    <cellStyle name="60% - Énfasis4 27 2 3 2" xfId="26191" xr:uid="{CCBAD2C2-0F11-4015-9EDD-105E2EAC891A}"/>
    <cellStyle name="60% - Énfasis4 27 2 3 2 2" xfId="54951" xr:uid="{A1E8BF02-5F50-428E-8CDF-7982D51FE8C3}"/>
    <cellStyle name="60% - Énfasis4 27 2 3 3" xfId="54950" xr:uid="{5C6F0F77-561B-4CA3-B18C-E33DF16A8EE6}"/>
    <cellStyle name="60% - Énfasis4 27 2 4" xfId="18486" xr:uid="{DE5DDED3-346A-4B0E-9E4B-21EAEC62E335}"/>
    <cellStyle name="60% - Énfasis4 27 2 4 2" xfId="54952" xr:uid="{47F97A09-05AA-4105-9742-0B3A31AB2E8B}"/>
    <cellStyle name="60% - Énfasis4 27 2 5" xfId="54945" xr:uid="{903D421E-0760-48DD-A91D-ED3F209895D9}"/>
    <cellStyle name="60% - Énfasis4 27 3" xfId="5338" xr:uid="{49D4EF79-695B-4A03-B284-029BE5242B7B}"/>
    <cellStyle name="60% - Énfasis4 27 3 2" xfId="13046" xr:uid="{126EF6D6-6E05-481C-BD46-089A7DF6282E}"/>
    <cellStyle name="60% - Énfasis4 27 3 2 2" xfId="28458" xr:uid="{0CA4D626-972B-47B5-8C34-8B05920A81C5}"/>
    <cellStyle name="60% - Énfasis4 27 3 2 2 2" xfId="54955" xr:uid="{A13CFF14-CF42-4CB7-B28F-572B5EE9A10F}"/>
    <cellStyle name="60% - Énfasis4 27 3 2 3" xfId="54954" xr:uid="{67B85FF9-1EAB-4FB8-80D0-187CD4C25AD6}"/>
    <cellStyle name="60% - Énfasis4 27 3 3" xfId="20753" xr:uid="{32434F92-7E95-4F4D-A3CA-6EA1C9388294}"/>
    <cellStyle name="60% - Énfasis4 27 3 3 2" xfId="54956" xr:uid="{7B43F4BB-982E-427C-9F83-ADED0D83A396}"/>
    <cellStyle name="60% - Énfasis4 27 3 4" xfId="54953" xr:uid="{9194545E-30EA-42A9-B499-3078513033C3}"/>
    <cellStyle name="60% - Énfasis4 27 4" xfId="9319" xr:uid="{3D95512F-38D7-4430-8AE0-3390D6E364DF}"/>
    <cellStyle name="60% - Énfasis4 27 4 2" xfId="24732" xr:uid="{4FBE9ED7-E722-40D0-AF69-FEC08D91C7F2}"/>
    <cellStyle name="60% - Énfasis4 27 4 2 2" xfId="54958" xr:uid="{E695C85D-7056-4B53-AA96-5B4505238E96}"/>
    <cellStyle name="60% - Énfasis4 27 4 3" xfId="54957" xr:uid="{0C3775D9-C096-4E4E-B546-F26EEBBAA12B}"/>
    <cellStyle name="60% - Énfasis4 27 5" xfId="17027" xr:uid="{A4076EB8-5BF0-457E-B904-206E1CB6308B}"/>
    <cellStyle name="60% - Énfasis4 27 5 2" xfId="54959" xr:uid="{44660A6D-0AA1-4B59-9747-DB52A259C492}"/>
    <cellStyle name="60% - Énfasis4 27 6" xfId="54944" xr:uid="{312769D6-9E79-47B1-8DB4-458C6A7E4994}"/>
    <cellStyle name="60% - Énfasis4 28" xfId="3087" xr:uid="{786E2B42-5450-466C-A6A3-ADEE67C5944E}"/>
    <cellStyle name="60% - Énfasis4 28 2" xfId="6819" xr:uid="{D02C3E04-D863-426C-B6C5-A529B77B2C6D}"/>
    <cellStyle name="60% - Énfasis4 28 2 2" xfId="14527" xr:uid="{95177996-4FB5-4D00-9AA4-5770EE346DF7}"/>
    <cellStyle name="60% - Énfasis4 28 2 2 2" xfId="29939" xr:uid="{1D29389F-C059-4CEE-B5E8-9527861F7DD3}"/>
    <cellStyle name="60% - Énfasis4 28 2 2 2 2" xfId="54963" xr:uid="{36FB7C35-B39B-49B3-9F32-6BE2BC2A4695}"/>
    <cellStyle name="60% - Énfasis4 28 2 2 3" xfId="54962" xr:uid="{0EE1B1B8-5CDE-4D0D-AC14-C6705F24F0B9}"/>
    <cellStyle name="60% - Énfasis4 28 2 3" xfId="22234" xr:uid="{07AF7D6D-887C-45E0-BAC6-249EBF76D7DE}"/>
    <cellStyle name="60% - Énfasis4 28 2 3 2" xfId="54964" xr:uid="{6F51A3C8-FB85-4557-927D-5B2B2807EFE2}"/>
    <cellStyle name="60% - Énfasis4 28 2 4" xfId="54961" xr:uid="{3ED17569-CDAC-4D9F-B535-1E2C3A09BD6D}"/>
    <cellStyle name="60% - Énfasis4 28 3" xfId="10798" xr:uid="{D78DA2F3-66E0-4D62-A281-FDE67A80EAC3}"/>
    <cellStyle name="60% - Énfasis4 28 3 2" xfId="26211" xr:uid="{7C0B5A3C-4C90-462B-A8ED-5C94983BC2FE}"/>
    <cellStyle name="60% - Énfasis4 28 3 2 2" xfId="54966" xr:uid="{AF4AB7A4-121F-4D2B-893D-92C8F9A395F4}"/>
    <cellStyle name="60% - Énfasis4 28 3 3" xfId="54965" xr:uid="{A68C173A-2513-41D8-98C8-6286D5A30A00}"/>
    <cellStyle name="60% - Énfasis4 28 4" xfId="18506" xr:uid="{DEC06FDA-E92A-4AD9-83CE-6E0AAD22FF39}"/>
    <cellStyle name="60% - Énfasis4 28 4 2" xfId="54967" xr:uid="{A3847C3B-72FA-438A-BAE4-6522F9C7679A}"/>
    <cellStyle name="60% - Énfasis4 28 5" xfId="54960" xr:uid="{76C0D24A-1B82-4713-801D-275734F7724F}"/>
    <cellStyle name="60% - Énfasis4 29" xfId="3107" xr:uid="{C7E3EB1E-D5DE-41F0-91E7-7BB717D9BB11}"/>
    <cellStyle name="60% - Énfasis4 29 2" xfId="6839" xr:uid="{70CE5080-0963-4EB5-B51F-BB4751E89F63}"/>
    <cellStyle name="60% - Énfasis4 29 2 2" xfId="14547" xr:uid="{544DE952-B8DE-4039-BF6D-5182DB9D3C4C}"/>
    <cellStyle name="60% - Énfasis4 29 2 2 2" xfId="29959" xr:uid="{31DB3E7B-0D58-4BAD-B9EB-B12DBB7E3139}"/>
    <cellStyle name="60% - Énfasis4 29 2 2 2 2" xfId="54971" xr:uid="{E41B4779-7380-4048-968F-981F854DC2E1}"/>
    <cellStyle name="60% - Énfasis4 29 2 2 3" xfId="54970" xr:uid="{FAA99D5A-0C62-4003-9258-5D0B0E16AD27}"/>
    <cellStyle name="60% - Énfasis4 29 2 3" xfId="22254" xr:uid="{CA41A9FD-94D2-4E17-A453-7486686FA392}"/>
    <cellStyle name="60% - Énfasis4 29 2 3 2" xfId="54972" xr:uid="{D54EE3AA-196B-43C7-92DB-6EF9977C2621}"/>
    <cellStyle name="60% - Énfasis4 29 2 4" xfId="54969" xr:uid="{A704BCCE-4452-424D-A132-59E1C68B8596}"/>
    <cellStyle name="60% - Énfasis4 29 3" xfId="10818" xr:uid="{1842B92B-DA4D-4E51-ABE6-64EEC1BBA7E2}"/>
    <cellStyle name="60% - Énfasis4 29 3 2" xfId="26231" xr:uid="{B8BA9FA6-BD41-4B8C-994D-45EAF6BB841E}"/>
    <cellStyle name="60% - Énfasis4 29 3 2 2" xfId="54974" xr:uid="{7F63D03F-B86F-4DE7-8944-6F9C9A73A66B}"/>
    <cellStyle name="60% - Énfasis4 29 3 3" xfId="54973" xr:uid="{A7CB1F19-AB11-443A-AE47-5323DC8F2CF9}"/>
    <cellStyle name="60% - Énfasis4 29 4" xfId="18526" xr:uid="{7B6088C6-E6F1-423A-90AF-042D7F937E9D}"/>
    <cellStyle name="60% - Énfasis4 29 4 2" xfId="54975" xr:uid="{B45F34E1-28BC-4A03-9A92-9D4FD026BD13}"/>
    <cellStyle name="60% - Énfasis4 29 5" xfId="54968" xr:uid="{EFD4EF9E-12F7-42D1-9B2B-B627B7C8BF31}"/>
    <cellStyle name="60% - Énfasis4 3" xfId="272" xr:uid="{A5139A60-55EA-43C5-ADED-0F5D24DA45F5}"/>
    <cellStyle name="60% - Énfasis4 3 2" xfId="475" xr:uid="{4E154718-6EA0-4DAC-9B73-512B99424780}"/>
    <cellStyle name="60% - Énfasis4 3 2 2" xfId="1136" xr:uid="{553048A1-35D0-4E5A-BDB0-8CB77C118999}"/>
    <cellStyle name="60% - Énfasis4 3 2 2 2" xfId="2604" xr:uid="{4619E2C3-F50A-4944-90CF-B7951C9BAF37}"/>
    <cellStyle name="60% - Énfasis4 3 2 2 2 2" xfId="6336" xr:uid="{F2EFD88E-6DD0-4E3F-96B3-A4255BBCAC48}"/>
    <cellStyle name="60% - Énfasis4 3 2 2 2 2 2" xfId="14044" xr:uid="{94B6FF0C-058A-4CFE-8719-B159A4B8DEDB}"/>
    <cellStyle name="60% - Énfasis4 3 2 2 2 2 2 2" xfId="29456" xr:uid="{2EB5D6BC-64C1-47E0-9FA9-57CE51CD4212}"/>
    <cellStyle name="60% - Énfasis4 3 2 2 2 2 2 2 2" xfId="54982" xr:uid="{F3423252-BAE9-40CD-B11D-6ACAB1A6C98F}"/>
    <cellStyle name="60% - Énfasis4 3 2 2 2 2 2 3" xfId="54981" xr:uid="{3641E3BB-3877-4703-933A-A74B893278C5}"/>
    <cellStyle name="60% - Énfasis4 3 2 2 2 2 3" xfId="21751" xr:uid="{DE78B410-2F86-433A-8AE7-9E3E4FFEE671}"/>
    <cellStyle name="60% - Énfasis4 3 2 2 2 2 3 2" xfId="54983" xr:uid="{6F566787-856F-4F35-939D-B286E2BA067A}"/>
    <cellStyle name="60% - Énfasis4 3 2 2 2 2 4" xfId="54980" xr:uid="{B85BB03F-3C0B-4B2B-BA47-C8F68AE1AEEF}"/>
    <cellStyle name="60% - Énfasis4 3 2 2 2 3" xfId="10315" xr:uid="{0AA39B43-7C80-4BBC-81A5-A123814A5FBB}"/>
    <cellStyle name="60% - Énfasis4 3 2 2 2 3 2" xfId="25728" xr:uid="{D555254E-6AAF-4EFA-8873-4E198C000D47}"/>
    <cellStyle name="60% - Énfasis4 3 2 2 2 3 2 2" xfId="54985" xr:uid="{1F6AAA88-A399-4587-BC9C-460A8A0C00F8}"/>
    <cellStyle name="60% - Énfasis4 3 2 2 2 3 3" xfId="54984" xr:uid="{6CF77B17-5F9E-464C-BB6C-B14323EEEA87}"/>
    <cellStyle name="60% - Énfasis4 3 2 2 2 4" xfId="18023" xr:uid="{3E7775D8-1D53-4B8D-ABCA-F2AC59D4EB0D}"/>
    <cellStyle name="60% - Énfasis4 3 2 2 2 4 2" xfId="54986" xr:uid="{AE99BF6E-DD54-428B-8334-E26EE0BF87EE}"/>
    <cellStyle name="60% - Énfasis4 3 2 2 2 5" xfId="54979" xr:uid="{09A14040-DFEA-4438-B230-E19D85E3E81A}"/>
    <cellStyle name="60% - Énfasis4 3 2 2 3" xfId="4873" xr:uid="{453021F0-1FDE-4F75-818E-82BDFF41EA0D}"/>
    <cellStyle name="60% - Énfasis4 3 2 2 3 2" xfId="12581" xr:uid="{DE3BBF09-A239-44A7-9BE0-2C840BA58208}"/>
    <cellStyle name="60% - Énfasis4 3 2 2 3 2 2" xfId="27993" xr:uid="{3D1B41B2-C6DA-4D29-941A-3B44CC8194FD}"/>
    <cellStyle name="60% - Énfasis4 3 2 2 3 2 2 2" xfId="54989" xr:uid="{D8E0F1E6-85AA-4D20-B1B5-C6CFE0EB4AE2}"/>
    <cellStyle name="60% - Énfasis4 3 2 2 3 2 3" xfId="54988" xr:uid="{9B9AF472-7A2F-4554-A6A8-0F380A81E659}"/>
    <cellStyle name="60% - Énfasis4 3 2 2 3 3" xfId="20288" xr:uid="{157DC77D-AB0C-4DBC-B35D-6551B9C5DA8F}"/>
    <cellStyle name="60% - Énfasis4 3 2 2 3 3 2" xfId="54990" xr:uid="{7062EDA6-0BD3-4995-9BC3-EFF35763C2FA}"/>
    <cellStyle name="60% - Énfasis4 3 2 2 3 4" xfId="54987" xr:uid="{00102FC3-4F78-46B1-9C44-7575C47B7693}"/>
    <cellStyle name="60% - Énfasis4 3 2 2 4" xfId="8856" xr:uid="{0991236D-342D-4037-B2EB-F7C86BDF34FB}"/>
    <cellStyle name="60% - Énfasis4 3 2 2 4 2" xfId="24269" xr:uid="{877431E3-37AD-4A51-AD5D-F7500F516800}"/>
    <cellStyle name="60% - Énfasis4 3 2 2 4 2 2" xfId="54992" xr:uid="{F242645A-75F4-4419-8F2B-BAA8FC01AFC8}"/>
    <cellStyle name="60% - Énfasis4 3 2 2 4 3" xfId="54991" xr:uid="{C1D2A915-7110-4744-848C-1B1A7ECBFF0F}"/>
    <cellStyle name="60% - Énfasis4 3 2 2 5" xfId="16564" xr:uid="{342CD348-823A-4C9F-899B-19422244B9A2}"/>
    <cellStyle name="60% - Énfasis4 3 2 2 5 2" xfId="54993" xr:uid="{A160D118-4399-43E1-B9CB-925103549748}"/>
    <cellStyle name="60% - Énfasis4 3 2 2 6" xfId="54978" xr:uid="{E25B1EA8-303B-4301-8C92-C1F032DD5299}"/>
    <cellStyle name="60% - Énfasis4 3 2 3" xfId="1966" xr:uid="{AB15AD54-EF6E-4478-A03F-0D428AB3E14F}"/>
    <cellStyle name="60% - Énfasis4 3 2 3 2" xfId="5698" xr:uid="{83F66612-5416-4F29-B3D3-5E896F4467D5}"/>
    <cellStyle name="60% - Énfasis4 3 2 3 2 2" xfId="13406" xr:uid="{56058B81-EBE7-483C-8928-CB44DEE9D7C3}"/>
    <cellStyle name="60% - Énfasis4 3 2 3 2 2 2" xfId="28818" xr:uid="{8D26FAB1-1F36-4FF9-ACD9-75DBC527758F}"/>
    <cellStyle name="60% - Énfasis4 3 2 3 2 2 2 2" xfId="54997" xr:uid="{0859D3D8-0C51-481B-9FE9-6D8791ECA5FC}"/>
    <cellStyle name="60% - Énfasis4 3 2 3 2 2 3" xfId="54996" xr:uid="{F43CE267-55A8-4369-A9A9-2808BE32F123}"/>
    <cellStyle name="60% - Énfasis4 3 2 3 2 3" xfId="21113" xr:uid="{048ADA84-7A55-47BF-82B6-EBBF474BB9C2}"/>
    <cellStyle name="60% - Énfasis4 3 2 3 2 3 2" xfId="54998" xr:uid="{B9458826-C1EF-429E-8AD3-48FF93B5AF4B}"/>
    <cellStyle name="60% - Énfasis4 3 2 3 2 4" xfId="54995" xr:uid="{5F0DE666-C183-48A0-9101-E35ED9434BF9}"/>
    <cellStyle name="60% - Énfasis4 3 2 3 3" xfId="9677" xr:uid="{66F3442A-B1C8-4CEF-BFEB-E43FDB8F3AE6}"/>
    <cellStyle name="60% - Énfasis4 3 2 3 3 2" xfId="25090" xr:uid="{98C8BDC8-3F5F-460F-A2AB-C78AD6649094}"/>
    <cellStyle name="60% - Énfasis4 3 2 3 3 2 2" xfId="55000" xr:uid="{CCBCBB48-2C85-49DC-BAE9-63AB048BFA79}"/>
    <cellStyle name="60% - Énfasis4 3 2 3 3 3" xfId="54999" xr:uid="{0BE7A690-261E-4BA3-BF33-7E31DF3CE18C}"/>
    <cellStyle name="60% - Énfasis4 3 2 3 4" xfId="17385" xr:uid="{3F804AE8-8D70-456F-A4B0-AD133CE985EA}"/>
    <cellStyle name="60% - Énfasis4 3 2 3 4 2" xfId="55001" xr:uid="{C5F2650D-E7B0-44A2-9F5D-842630C17044}"/>
    <cellStyle name="60% - Énfasis4 3 2 3 5" xfId="54994" xr:uid="{F2A5A9CD-DC87-4709-BD2B-AD639DD364C7}"/>
    <cellStyle name="60% - Énfasis4 3 2 4" xfId="4221" xr:uid="{2578315A-E6FC-4523-AD74-AAD40A54409F}"/>
    <cellStyle name="60% - Énfasis4 3 2 4 2" xfId="11929" xr:uid="{6A4A49B0-2D67-40D4-9F3E-1FA58D889DD8}"/>
    <cellStyle name="60% - Énfasis4 3 2 4 2 2" xfId="27341" xr:uid="{3B5385B5-AE81-4E07-964D-78DE4D833312}"/>
    <cellStyle name="60% - Énfasis4 3 2 4 2 2 2" xfId="55004" xr:uid="{C7BCC801-B84C-44E9-9487-C26837F97D0F}"/>
    <cellStyle name="60% - Énfasis4 3 2 4 2 3" xfId="55003" xr:uid="{C8CAB7E8-FCCC-4E7A-B38B-EC5857C599DC}"/>
    <cellStyle name="60% - Énfasis4 3 2 4 3" xfId="19636" xr:uid="{8698BDE7-7F73-4945-A0F4-7996F65A73F7}"/>
    <cellStyle name="60% - Énfasis4 3 2 4 3 2" xfId="55005" xr:uid="{DF3DB4D5-702E-4C9E-910B-0FF2088D6ACA}"/>
    <cellStyle name="60% - Énfasis4 3 2 4 4" xfId="55002" xr:uid="{4A3A91A3-0792-4E8B-9AD2-72DC1072101D}"/>
    <cellStyle name="60% - Énfasis4 3 2 5" xfId="8218" xr:uid="{1E073D76-8F37-4FBD-9E12-043AA62241A9}"/>
    <cellStyle name="60% - Énfasis4 3 2 5 2" xfId="23631" xr:uid="{87EA8F42-8A76-463F-B7F4-54D7B516B228}"/>
    <cellStyle name="60% - Énfasis4 3 2 5 2 2" xfId="55007" xr:uid="{5EDEEDE0-05B6-4B55-98F0-034737E212A3}"/>
    <cellStyle name="60% - Énfasis4 3 2 5 3" xfId="55006" xr:uid="{A29231F0-7E6E-43B0-A4E7-B63BF545A329}"/>
    <cellStyle name="60% - Énfasis4 3 2 6" xfId="15926" xr:uid="{0BD26DCC-8CA6-46BC-B4A3-2CA017980F29}"/>
    <cellStyle name="60% - Énfasis4 3 2 6 2" xfId="55008" xr:uid="{E39DAA03-86E2-4F6B-9BB0-F9287D91B9FE}"/>
    <cellStyle name="60% - Énfasis4 3 2 7" xfId="54977" xr:uid="{DB5EB2B7-9225-408E-B467-5D7A61D57435}"/>
    <cellStyle name="60% - Énfasis4 3 3" xfId="936" xr:uid="{4B507FE0-EFAC-4306-84B3-907390F8B9E7}"/>
    <cellStyle name="60% - Énfasis4 3 3 2" xfId="2406" xr:uid="{F5809731-0B33-41C7-83CB-5ECA6210EA1C}"/>
    <cellStyle name="60% - Énfasis4 3 3 2 2" xfId="6138" xr:uid="{3AADBE96-2B40-47FF-9F83-C06F4A0C478A}"/>
    <cellStyle name="60% - Énfasis4 3 3 2 2 2" xfId="13846" xr:uid="{C415D5E2-41AA-4390-8AC9-82C86234BC53}"/>
    <cellStyle name="60% - Énfasis4 3 3 2 2 2 2" xfId="29258" xr:uid="{B653A37C-9FED-4E59-B32E-3378AC95BCBE}"/>
    <cellStyle name="60% - Énfasis4 3 3 2 2 2 2 2" xfId="55013" xr:uid="{4B80E6A0-B77B-4127-85A0-84D8FD63B757}"/>
    <cellStyle name="60% - Énfasis4 3 3 2 2 2 3" xfId="55012" xr:uid="{E917A83C-A3DE-410B-A867-7E1C27BDC501}"/>
    <cellStyle name="60% - Énfasis4 3 3 2 2 3" xfId="21553" xr:uid="{2C40DF13-5FE9-4291-98AA-7539350F1F89}"/>
    <cellStyle name="60% - Énfasis4 3 3 2 2 3 2" xfId="55014" xr:uid="{C687BDA8-83DC-4165-B036-79B4F51130C3}"/>
    <cellStyle name="60% - Énfasis4 3 3 2 2 4" xfId="55011" xr:uid="{43DB5709-6CE0-4827-9B59-AD7441C3A50B}"/>
    <cellStyle name="60% - Énfasis4 3 3 2 3" xfId="10117" xr:uid="{E9218000-B9C0-4F55-8ABD-FC06DB6F6323}"/>
    <cellStyle name="60% - Énfasis4 3 3 2 3 2" xfId="25530" xr:uid="{82D80502-CA16-4550-A0E4-3EB03D890A0E}"/>
    <cellStyle name="60% - Énfasis4 3 3 2 3 2 2" xfId="55016" xr:uid="{2A28C3C4-7406-45B0-8237-D4F6A65D3014}"/>
    <cellStyle name="60% - Énfasis4 3 3 2 3 3" xfId="55015" xr:uid="{2D0B8F15-DCA4-4BD0-A9F8-5FBA88BE1E8D}"/>
    <cellStyle name="60% - Énfasis4 3 3 2 4" xfId="17825" xr:uid="{704F97F7-2E26-4A17-91D3-C074838D1E89}"/>
    <cellStyle name="60% - Énfasis4 3 3 2 4 2" xfId="55017" xr:uid="{0A39A588-B601-4361-9E84-F542CC692AD5}"/>
    <cellStyle name="60% - Énfasis4 3 3 2 5" xfId="55010" xr:uid="{88BD762E-145F-45CF-9E42-8DE43C6BA0FF}"/>
    <cellStyle name="60% - Énfasis4 3 3 3" xfId="4673" xr:uid="{B475B2BA-83DB-4AAA-B0F4-EAB5D0FA4DDD}"/>
    <cellStyle name="60% - Énfasis4 3 3 3 2" xfId="12381" xr:uid="{C6A3B893-C0D1-4939-AF22-68752C30CC3B}"/>
    <cellStyle name="60% - Énfasis4 3 3 3 2 2" xfId="27793" xr:uid="{4AB43BBA-61F8-4084-8D95-C666791F6FE4}"/>
    <cellStyle name="60% - Énfasis4 3 3 3 2 2 2" xfId="55020" xr:uid="{5FED4B59-49D7-47F5-BA76-E4F282CDCB04}"/>
    <cellStyle name="60% - Énfasis4 3 3 3 2 3" xfId="55019" xr:uid="{58F8B12F-2FB6-4369-AB47-456AB4EE15D1}"/>
    <cellStyle name="60% - Énfasis4 3 3 3 3" xfId="20088" xr:uid="{A0A1A270-E0FA-4FA4-BD40-67A92A98DE31}"/>
    <cellStyle name="60% - Énfasis4 3 3 3 3 2" xfId="55021" xr:uid="{D07706E2-E098-4826-B47C-E4CF0D3BF1AB}"/>
    <cellStyle name="60% - Énfasis4 3 3 3 4" xfId="55018" xr:uid="{6581BB4F-58C4-44E2-9DF1-2E11373CB8E8}"/>
    <cellStyle name="60% - Énfasis4 3 3 4" xfId="8658" xr:uid="{72A3EE21-BEE3-43D0-BBE4-C3500432EBF2}"/>
    <cellStyle name="60% - Énfasis4 3 3 4 2" xfId="24071" xr:uid="{374CDF11-A7B2-4CC8-98E0-ABC07EE545E8}"/>
    <cellStyle name="60% - Énfasis4 3 3 4 2 2" xfId="55023" xr:uid="{A03DAB55-AAE6-4C0E-AE63-B052E2348E5D}"/>
    <cellStyle name="60% - Énfasis4 3 3 4 3" xfId="55022" xr:uid="{E6D3B88E-196C-4AB4-9C04-CD7D0B4D5777}"/>
    <cellStyle name="60% - Énfasis4 3 3 5" xfId="16366" xr:uid="{0F4A51CE-0BD6-4DAE-8BE7-137E80DF53DA}"/>
    <cellStyle name="60% - Énfasis4 3 3 5 2" xfId="55024" xr:uid="{3C8B3068-E8EC-489F-9C86-A114C7AAD4CA}"/>
    <cellStyle name="60% - Énfasis4 3 3 6" xfId="55009" xr:uid="{A6D8DCE3-9D17-417B-AD03-62D8C715C630}"/>
    <cellStyle name="60% - Énfasis4 3 4" xfId="1768" xr:uid="{643AFF8B-77AA-4955-AC29-3F668AA41BF8}"/>
    <cellStyle name="60% - Énfasis4 3 4 2" xfId="5500" xr:uid="{03F9DCDC-8E2B-4698-9D83-59ABB6CAF23A}"/>
    <cellStyle name="60% - Énfasis4 3 4 2 2" xfId="13208" xr:uid="{1B419CB2-2C5E-40F8-BDAB-EFC6AB17DAC7}"/>
    <cellStyle name="60% - Énfasis4 3 4 2 2 2" xfId="28620" xr:uid="{3E4576DB-3B32-491B-B739-C043444917AE}"/>
    <cellStyle name="60% - Énfasis4 3 4 2 2 2 2" xfId="55028" xr:uid="{E1A4777E-FC26-4488-9753-82D1C82A95E2}"/>
    <cellStyle name="60% - Énfasis4 3 4 2 2 3" xfId="55027" xr:uid="{5706BCA2-FC8F-4BAF-959E-9BE2B4AA568F}"/>
    <cellStyle name="60% - Énfasis4 3 4 2 3" xfId="20915" xr:uid="{AB719774-155C-4549-B7E5-7D6012A4580C}"/>
    <cellStyle name="60% - Énfasis4 3 4 2 3 2" xfId="55029" xr:uid="{81EB8E0F-1014-4CE1-9677-2765B9981F1C}"/>
    <cellStyle name="60% - Énfasis4 3 4 2 4" xfId="55026" xr:uid="{1A8E472F-5149-4E93-BB55-CB376C86E2CF}"/>
    <cellStyle name="60% - Énfasis4 3 4 3" xfId="9479" xr:uid="{3F76C7FA-B6EF-4538-B0B8-6628F64E1CAF}"/>
    <cellStyle name="60% - Énfasis4 3 4 3 2" xfId="24892" xr:uid="{F94F2BF5-2FCC-44AC-83EF-4A4D08F475C1}"/>
    <cellStyle name="60% - Énfasis4 3 4 3 2 2" xfId="55031" xr:uid="{5A4269A5-846D-489C-9B77-FC13F44FEFFD}"/>
    <cellStyle name="60% - Énfasis4 3 4 3 3" xfId="55030" xr:uid="{E3A80C88-4027-4666-ADCF-E34E80484BF3}"/>
    <cellStyle name="60% - Énfasis4 3 4 4" xfId="17187" xr:uid="{51698DF4-78A7-4F66-BD9A-1853C7E75CF1}"/>
    <cellStyle name="60% - Énfasis4 3 4 4 2" xfId="55032" xr:uid="{0E0D7939-F0D1-48DA-B2DA-893EC7185DC4}"/>
    <cellStyle name="60% - Énfasis4 3 4 5" xfId="55025" xr:uid="{85D205B1-4FD6-4356-90C9-AAFD39BB8CF1}"/>
    <cellStyle name="60% - Énfasis4 3 5" xfId="4021" xr:uid="{537A8C5E-64A5-4635-8241-ABF6470CB291}"/>
    <cellStyle name="60% - Énfasis4 3 5 2" xfId="11729" xr:uid="{4EE1131D-CC28-4A65-8261-835B1C65845A}"/>
    <cellStyle name="60% - Énfasis4 3 5 2 2" xfId="27141" xr:uid="{ECF08AFF-9953-48F0-8121-67B040619BA3}"/>
    <cellStyle name="60% - Énfasis4 3 5 2 2 2" xfId="55035" xr:uid="{7A202EE9-2D19-43E3-B914-788152431752}"/>
    <cellStyle name="60% - Énfasis4 3 5 2 3" xfId="55034" xr:uid="{18DA5EC8-8674-45D1-B834-9C180914F013}"/>
    <cellStyle name="60% - Énfasis4 3 5 3" xfId="19436" xr:uid="{0AB2320D-3DB9-4637-BCCD-4C506CC13A3E}"/>
    <cellStyle name="60% - Énfasis4 3 5 3 2" xfId="55036" xr:uid="{0528CFD8-6D59-4664-AB01-B4D3DFA83A77}"/>
    <cellStyle name="60% - Énfasis4 3 5 4" xfId="55033" xr:uid="{F43F98C8-630A-4D8E-AFE7-6EAF28CB827D}"/>
    <cellStyle name="60% - Énfasis4 3 6" xfId="8020" xr:uid="{3430B60E-486F-4954-ABF3-D0574C13996D}"/>
    <cellStyle name="60% - Énfasis4 3 6 2" xfId="23433" xr:uid="{F746DCF1-C3AD-4160-9C89-23BF26997A28}"/>
    <cellStyle name="60% - Énfasis4 3 6 2 2" xfId="55038" xr:uid="{49728DED-91E8-484A-B46E-D970FB9E125F}"/>
    <cellStyle name="60% - Énfasis4 3 6 3" xfId="55037" xr:uid="{8C547B2A-35D8-4650-82FE-20923147FEB3}"/>
    <cellStyle name="60% - Énfasis4 3 7" xfId="15728" xr:uid="{2E8F6569-6214-4BE9-8146-F46D3F282C51}"/>
    <cellStyle name="60% - Énfasis4 3 7 2" xfId="55039" xr:uid="{B08B2BA7-CA44-4603-B204-32D6C31137EF}"/>
    <cellStyle name="60% - Énfasis4 3 8" xfId="54976" xr:uid="{06E8ACB8-040E-4D88-827D-5039B26B5036}"/>
    <cellStyle name="60% - Énfasis4 30" xfId="3127" xr:uid="{EB496B82-1D2E-4F55-AFE9-68871B746275}"/>
    <cellStyle name="60% - Énfasis4 30 2" xfId="6859" xr:uid="{E37C7EC3-5798-496E-BCB5-9B652993715D}"/>
    <cellStyle name="60% - Énfasis4 30 2 2" xfId="14567" xr:uid="{E0ED9A56-74D6-44C9-8658-B79FAF9B06AB}"/>
    <cellStyle name="60% - Énfasis4 30 2 2 2" xfId="29979" xr:uid="{AF950863-4919-4615-BFAC-F271ADC88723}"/>
    <cellStyle name="60% - Énfasis4 30 2 2 2 2" xfId="55043" xr:uid="{075DBED2-6536-47B3-BCB2-52D667AC8E7A}"/>
    <cellStyle name="60% - Énfasis4 30 2 2 3" xfId="55042" xr:uid="{AC28B72C-D67C-4602-BA9A-1EFA0FAD1E2F}"/>
    <cellStyle name="60% - Énfasis4 30 2 3" xfId="22274" xr:uid="{6A3018C4-FCAE-405A-BA51-F01EFD626142}"/>
    <cellStyle name="60% - Énfasis4 30 2 3 2" xfId="55044" xr:uid="{4297BDCE-ACCC-4274-9D35-A86AA8003E80}"/>
    <cellStyle name="60% - Énfasis4 30 2 4" xfId="55041" xr:uid="{F8726A4A-E63F-48AB-A4AE-3A3633232844}"/>
    <cellStyle name="60% - Énfasis4 30 3" xfId="10838" xr:uid="{2D18101D-2BB0-4D90-93D7-9EE7FAB00851}"/>
    <cellStyle name="60% - Énfasis4 30 3 2" xfId="26251" xr:uid="{D8BB6B47-9444-405D-84A1-87F7E7FFEA19}"/>
    <cellStyle name="60% - Énfasis4 30 3 2 2" xfId="55046" xr:uid="{1958AA32-EF4A-4DCE-9C43-0B336161A065}"/>
    <cellStyle name="60% - Énfasis4 30 3 3" xfId="55045" xr:uid="{56FAC1C8-ACA4-4FD4-88DF-7F2A88370F94}"/>
    <cellStyle name="60% - Énfasis4 30 4" xfId="18546" xr:uid="{BF9F4EBB-C4FF-4214-BDA7-E7678E604D7E}"/>
    <cellStyle name="60% - Énfasis4 30 4 2" xfId="55047" xr:uid="{0BD362B1-6D41-4BFF-82F5-6132528BCD83}"/>
    <cellStyle name="60% - Énfasis4 30 5" xfId="55040" xr:uid="{8A699898-6642-4BB8-A2F7-B04EEE5E7064}"/>
    <cellStyle name="60% - Énfasis4 31" xfId="3147" xr:uid="{5EF09D53-3B00-4F57-8198-B98259522327}"/>
    <cellStyle name="60% - Énfasis4 31 2" xfId="6879" xr:uid="{E71E51AB-A06F-4943-BA5B-8A08A31EB9FF}"/>
    <cellStyle name="60% - Énfasis4 31 2 2" xfId="14587" xr:uid="{9E410136-17C1-410A-959D-05768703C7EB}"/>
    <cellStyle name="60% - Énfasis4 31 2 2 2" xfId="29999" xr:uid="{2801BF0B-2E39-4C96-BB2A-7F5D720F1139}"/>
    <cellStyle name="60% - Énfasis4 31 2 2 2 2" xfId="55051" xr:uid="{8ADA654A-B429-44EF-8B07-3CB83B45AD6C}"/>
    <cellStyle name="60% - Énfasis4 31 2 2 3" xfId="55050" xr:uid="{134BCF4F-8918-4BBE-9749-6421CDF13A85}"/>
    <cellStyle name="60% - Énfasis4 31 2 3" xfId="22294" xr:uid="{AA6D1986-9D45-4C5F-9669-A79619ABA2C3}"/>
    <cellStyle name="60% - Énfasis4 31 2 3 2" xfId="55052" xr:uid="{BC882BB0-2498-475C-B30B-DB0EEE05587E}"/>
    <cellStyle name="60% - Énfasis4 31 2 4" xfId="55049" xr:uid="{AD71783A-1E0D-4D6C-B2F9-19E16CF25CCB}"/>
    <cellStyle name="60% - Énfasis4 31 3" xfId="10858" xr:uid="{34D333BC-2E5D-4101-B7FC-78CAB358811B}"/>
    <cellStyle name="60% - Énfasis4 31 3 2" xfId="26271" xr:uid="{F767E6CE-E175-42BF-A1BE-D845B8318197}"/>
    <cellStyle name="60% - Énfasis4 31 3 2 2" xfId="55054" xr:uid="{A107085F-D039-4925-9918-C570FF17B9D6}"/>
    <cellStyle name="60% - Énfasis4 31 3 3" xfId="55053" xr:uid="{CF5AAAD2-18DE-404A-923A-DA40CAE4C652}"/>
    <cellStyle name="60% - Énfasis4 31 4" xfId="18566" xr:uid="{9986F214-37B7-4070-887C-EDE0F106BA17}"/>
    <cellStyle name="60% - Énfasis4 31 4 2" xfId="55055" xr:uid="{AC71FE27-63B8-4119-8E1B-BACE47604FED}"/>
    <cellStyle name="60% - Énfasis4 31 5" xfId="55048" xr:uid="{9F6D88FD-6EE9-4EC8-9ACE-C0F4C2E41708}"/>
    <cellStyle name="60% - Énfasis4 32" xfId="3167" xr:uid="{7E6AD077-EDAD-47DC-8C7D-D152A5F77B2E}"/>
    <cellStyle name="60% - Énfasis4 32 2" xfId="6899" xr:uid="{D21F8BEB-DBF4-4F72-AA3B-8694F7B197D9}"/>
    <cellStyle name="60% - Énfasis4 32 2 2" xfId="14607" xr:uid="{60C9061F-C01D-4879-A59E-28273D71301F}"/>
    <cellStyle name="60% - Énfasis4 32 2 2 2" xfId="30019" xr:uid="{6AE2EBE5-7CC1-460B-ACDA-6315CF25D726}"/>
    <cellStyle name="60% - Énfasis4 32 2 2 2 2" xfId="55059" xr:uid="{EAB2DD03-4FE9-4CB6-AB00-8211D055D3DA}"/>
    <cellStyle name="60% - Énfasis4 32 2 2 3" xfId="55058" xr:uid="{C319A4F6-111F-4BB8-98E2-CFD4B7438EAF}"/>
    <cellStyle name="60% - Énfasis4 32 2 3" xfId="22314" xr:uid="{07AF608F-BD35-4746-A4FF-4932895B7EFD}"/>
    <cellStyle name="60% - Énfasis4 32 2 3 2" xfId="55060" xr:uid="{939AF41F-EBAC-480E-A46E-B73AB6867ED4}"/>
    <cellStyle name="60% - Énfasis4 32 2 4" xfId="55057" xr:uid="{9C9C3443-3C7E-4257-8E51-A2F21B92B516}"/>
    <cellStyle name="60% - Énfasis4 32 3" xfId="10878" xr:uid="{B45EA067-FB35-49D1-BFDE-3B98733A7E05}"/>
    <cellStyle name="60% - Énfasis4 32 3 2" xfId="26291" xr:uid="{123561AD-946B-483B-9EE0-6FD97CEFF7FE}"/>
    <cellStyle name="60% - Énfasis4 32 3 2 2" xfId="55062" xr:uid="{9EAD5A9D-8C9D-4CA7-8D83-F7FF9EADAF4D}"/>
    <cellStyle name="60% - Énfasis4 32 3 3" xfId="55061" xr:uid="{A023A81F-36B9-4BB0-AAFA-3576FCC0E936}"/>
    <cellStyle name="60% - Énfasis4 32 4" xfId="18586" xr:uid="{A92C5711-B7CE-463B-863E-64C4DB10F7D4}"/>
    <cellStyle name="60% - Énfasis4 32 4 2" xfId="55063" xr:uid="{7EFEE6FA-5E81-45CD-A720-B94404662C91}"/>
    <cellStyle name="60% - Énfasis4 32 5" xfId="55056" xr:uid="{362B1734-E406-499B-8006-E6CFB41F5D1F}"/>
    <cellStyle name="60% - Énfasis4 33" xfId="3187" xr:uid="{32772AE8-7610-4365-B965-94F03BFEF5B5}"/>
    <cellStyle name="60% - Énfasis4 33 2" xfId="6919" xr:uid="{F3570705-0E35-4801-93B2-07E2E8284C34}"/>
    <cellStyle name="60% - Énfasis4 33 2 2" xfId="14627" xr:uid="{F857E2F2-B308-402E-93ED-3EEA38290324}"/>
    <cellStyle name="60% - Énfasis4 33 2 2 2" xfId="30039" xr:uid="{CD3F8522-8C29-449E-ACBE-BFE56C7E8FA7}"/>
    <cellStyle name="60% - Énfasis4 33 2 2 2 2" xfId="55067" xr:uid="{4B971C2E-B41F-4B1A-88DD-1857B601AB51}"/>
    <cellStyle name="60% - Énfasis4 33 2 2 3" xfId="55066" xr:uid="{CA096E20-8EF0-4ECA-ACEA-A2BDE899E40E}"/>
    <cellStyle name="60% - Énfasis4 33 2 3" xfId="22334" xr:uid="{A3182B9D-8137-4215-A8E4-AD52C3DC0150}"/>
    <cellStyle name="60% - Énfasis4 33 2 3 2" xfId="55068" xr:uid="{230328BC-E0E9-4387-8F7C-6E1B53BFD816}"/>
    <cellStyle name="60% - Énfasis4 33 2 4" xfId="55065" xr:uid="{9BE49063-05DD-4853-AA73-AD2D0CB6E22F}"/>
    <cellStyle name="60% - Énfasis4 33 3" xfId="10898" xr:uid="{76454D60-F2EF-4EE6-8E37-C7F6B7706532}"/>
    <cellStyle name="60% - Énfasis4 33 3 2" xfId="26311" xr:uid="{7019F6D0-12AB-44E8-AF4E-10C540BA4014}"/>
    <cellStyle name="60% - Énfasis4 33 3 2 2" xfId="55070" xr:uid="{6A59D4B4-71B9-40B3-9175-CE07C17AB4CF}"/>
    <cellStyle name="60% - Énfasis4 33 3 3" xfId="55069" xr:uid="{9968FB84-F07D-4FCD-92E5-62F8954D6622}"/>
    <cellStyle name="60% - Énfasis4 33 4" xfId="18606" xr:uid="{22049208-151E-4F45-8F69-0DA4C8E81F47}"/>
    <cellStyle name="60% - Énfasis4 33 4 2" xfId="55071" xr:uid="{6EDDC204-5F70-498F-B30D-84059C51C180}"/>
    <cellStyle name="60% - Énfasis4 33 5" xfId="55064" xr:uid="{AC89F174-593A-4D2A-9CE8-CDE3644FFD4A}"/>
    <cellStyle name="60% - Énfasis4 34" xfId="3207" xr:uid="{5E7A0E3C-B7BF-422C-99CF-8E992487CD2F}"/>
    <cellStyle name="60% - Énfasis4 34 2" xfId="6939" xr:uid="{4D06F8D0-F7F8-45C4-9BAA-B5EEFFC02BED}"/>
    <cellStyle name="60% - Énfasis4 34 2 2" xfId="14647" xr:uid="{3012A4D3-2BDC-4F05-B6F8-C3C1C59D2C86}"/>
    <cellStyle name="60% - Énfasis4 34 2 2 2" xfId="30059" xr:uid="{09C0BA5E-F1A0-494F-9DEA-2A228CCFA8B3}"/>
    <cellStyle name="60% - Énfasis4 34 2 2 2 2" xfId="55075" xr:uid="{F6F71D0F-CCBB-4A83-BA69-211D7AA0D30E}"/>
    <cellStyle name="60% - Énfasis4 34 2 2 3" xfId="55074" xr:uid="{08A142CF-6188-4045-9BE3-A1B3C4A04B02}"/>
    <cellStyle name="60% - Énfasis4 34 2 3" xfId="22354" xr:uid="{BF12D56C-C3A8-44B9-83ED-B47646E96494}"/>
    <cellStyle name="60% - Énfasis4 34 2 3 2" xfId="55076" xr:uid="{B26D2AF4-6791-4067-9688-5463407536CA}"/>
    <cellStyle name="60% - Énfasis4 34 2 4" xfId="55073" xr:uid="{3E8707FA-061E-4291-94C0-2EC33BADA252}"/>
    <cellStyle name="60% - Énfasis4 34 3" xfId="10918" xr:uid="{FDD19233-AA76-452C-A4E5-DDD1C1E8EC32}"/>
    <cellStyle name="60% - Énfasis4 34 3 2" xfId="26331" xr:uid="{401A75B2-71E8-4DBB-B0C5-1CAB14657B44}"/>
    <cellStyle name="60% - Énfasis4 34 3 2 2" xfId="55078" xr:uid="{8FA59487-11C4-4653-8D38-F326E7B13092}"/>
    <cellStyle name="60% - Énfasis4 34 3 3" xfId="55077" xr:uid="{D108E959-EAE5-4B0B-B9D9-03DA96D1D298}"/>
    <cellStyle name="60% - Énfasis4 34 4" xfId="18626" xr:uid="{E7071724-30AB-413E-9477-F2ABF1558598}"/>
    <cellStyle name="60% - Énfasis4 34 4 2" xfId="55079" xr:uid="{D39B1DEA-4D77-44BF-981A-2179BBDC1395}"/>
    <cellStyle name="60% - Énfasis4 34 5" xfId="55072" xr:uid="{7DB29508-0DD1-4467-BAC0-A77B39B0FAA3}"/>
    <cellStyle name="60% - Énfasis4 35" xfId="3227" xr:uid="{07E13EDF-66F3-4C41-923E-FA636D2E4232}"/>
    <cellStyle name="60% - Énfasis4 35 2" xfId="6959" xr:uid="{DB308015-FDC3-4B9F-AA6D-A3C40F15F199}"/>
    <cellStyle name="60% - Énfasis4 35 2 2" xfId="14667" xr:uid="{61D8C3F7-D1AA-4043-8978-220FE3D9C4DC}"/>
    <cellStyle name="60% - Énfasis4 35 2 2 2" xfId="30079" xr:uid="{BA0F8D27-7656-43F7-83D6-B1B34936B095}"/>
    <cellStyle name="60% - Énfasis4 35 2 2 2 2" xfId="55083" xr:uid="{95C98C33-2158-4478-80A1-F6D11A4A884E}"/>
    <cellStyle name="60% - Énfasis4 35 2 2 3" xfId="55082" xr:uid="{7E248638-46F0-415F-B526-3B3D8D23F0EA}"/>
    <cellStyle name="60% - Énfasis4 35 2 3" xfId="22374" xr:uid="{700A3D12-D912-4140-9626-BC427B5C9DE5}"/>
    <cellStyle name="60% - Énfasis4 35 2 3 2" xfId="55084" xr:uid="{7FA49906-542C-492D-B8FA-523044FFE4FF}"/>
    <cellStyle name="60% - Énfasis4 35 2 4" xfId="55081" xr:uid="{80CF92D4-7094-426F-B930-14F6B079B0D2}"/>
    <cellStyle name="60% - Énfasis4 35 3" xfId="10938" xr:uid="{F66DFEFC-DB9A-43B0-BDD3-4731548096E7}"/>
    <cellStyle name="60% - Énfasis4 35 3 2" xfId="26351" xr:uid="{F255B2EA-F60E-4384-898F-4332A494005D}"/>
    <cellStyle name="60% - Énfasis4 35 3 2 2" xfId="55086" xr:uid="{4138E2DC-6D79-4F90-B638-0BEAC7AA8D11}"/>
    <cellStyle name="60% - Énfasis4 35 3 3" xfId="55085" xr:uid="{C8272C42-E312-4152-881B-854534CDF2DF}"/>
    <cellStyle name="60% - Énfasis4 35 4" xfId="18646" xr:uid="{C2DB72B6-7346-41F4-844E-C8EFE0919025}"/>
    <cellStyle name="60% - Énfasis4 35 4 2" xfId="55087" xr:uid="{C0E216D1-EE6C-4980-A21D-DDAC607A822B}"/>
    <cellStyle name="60% - Énfasis4 35 5" xfId="55080" xr:uid="{A9215524-BDA5-45B1-8A13-2AD4CC5DF6BD}"/>
    <cellStyle name="60% - Énfasis4 36" xfId="3247" xr:uid="{56B98DE9-0E5A-4CC8-92E9-C3AE7447792F}"/>
    <cellStyle name="60% - Énfasis4 36 2" xfId="6979" xr:uid="{56AA5823-B7C1-4FBB-BBE9-F438FAEFA80A}"/>
    <cellStyle name="60% - Énfasis4 36 2 2" xfId="14687" xr:uid="{3F83D23D-1B91-4D00-A5C2-B98C040A011F}"/>
    <cellStyle name="60% - Énfasis4 36 2 2 2" xfId="30099" xr:uid="{D892770D-A895-4D65-8277-4A54914E9F7D}"/>
    <cellStyle name="60% - Énfasis4 36 2 2 2 2" xfId="55091" xr:uid="{1EF1C10F-0336-44D8-AA84-391F7CD8355E}"/>
    <cellStyle name="60% - Énfasis4 36 2 2 3" xfId="55090" xr:uid="{E7A2E9D1-8E67-4A2A-8040-BC4EF60C51B9}"/>
    <cellStyle name="60% - Énfasis4 36 2 3" xfId="22394" xr:uid="{F8249BF2-4138-4053-8C2B-530C8A484D8D}"/>
    <cellStyle name="60% - Énfasis4 36 2 3 2" xfId="55092" xr:uid="{AB948057-FA7E-4EF9-9FF0-E4AD1096EBB6}"/>
    <cellStyle name="60% - Énfasis4 36 2 4" xfId="55089" xr:uid="{01A4380C-F5AF-4EFA-9CBC-46AE84BA835D}"/>
    <cellStyle name="60% - Énfasis4 36 3" xfId="10958" xr:uid="{82E674D3-9EDF-4C95-B3F4-6AC615F3DDE4}"/>
    <cellStyle name="60% - Énfasis4 36 3 2" xfId="26371" xr:uid="{9A2531D4-AC31-4F6E-A3AA-056FE356267D}"/>
    <cellStyle name="60% - Énfasis4 36 3 2 2" xfId="55094" xr:uid="{53464AAD-8916-4F96-8EA0-DCFD749C5C7A}"/>
    <cellStyle name="60% - Énfasis4 36 3 3" xfId="55093" xr:uid="{461C8856-52B8-4A0F-86E4-0FE6A22851E7}"/>
    <cellStyle name="60% - Énfasis4 36 4" xfId="18666" xr:uid="{B6FE471E-AF45-41BB-903C-FE762A40E1B0}"/>
    <cellStyle name="60% - Énfasis4 36 4 2" xfId="55095" xr:uid="{AE60661C-0B4D-4904-A7CE-F3989551C832}"/>
    <cellStyle name="60% - Énfasis4 36 5" xfId="55088" xr:uid="{566CB310-8BB6-44BB-BAEB-100A7CA02179}"/>
    <cellStyle name="60% - Énfasis4 37" xfId="3267" xr:uid="{4ABA9329-7395-4831-9895-45C4A7FC7328}"/>
    <cellStyle name="60% - Énfasis4 37 2" xfId="6999" xr:uid="{581D7480-2F4A-4D13-B537-FF5375065AB2}"/>
    <cellStyle name="60% - Énfasis4 37 2 2" xfId="14707" xr:uid="{48C448C3-09D2-4B1B-AD97-EBDE982D90F6}"/>
    <cellStyle name="60% - Énfasis4 37 2 2 2" xfId="30119" xr:uid="{FA645DAA-E768-4A3A-8E7B-AACE5C9635B8}"/>
    <cellStyle name="60% - Énfasis4 37 2 2 2 2" xfId="55099" xr:uid="{33B257B0-FB4E-450A-A0B6-F06476371A78}"/>
    <cellStyle name="60% - Énfasis4 37 2 2 3" xfId="55098" xr:uid="{D119516A-3006-4ABD-82DE-49F24C711E70}"/>
    <cellStyle name="60% - Énfasis4 37 2 3" xfId="22414" xr:uid="{60024261-4409-4954-942C-599AA4E8C869}"/>
    <cellStyle name="60% - Énfasis4 37 2 3 2" xfId="55100" xr:uid="{666F1FB3-B150-45D2-8953-A8989CA0BCF4}"/>
    <cellStyle name="60% - Énfasis4 37 2 4" xfId="55097" xr:uid="{55FD5D38-0CB3-49DD-B51C-C65D8D1EFEBD}"/>
    <cellStyle name="60% - Énfasis4 37 3" xfId="10978" xr:uid="{70A0BC9A-AE0E-4FE5-8ABD-38246C5DED5E}"/>
    <cellStyle name="60% - Énfasis4 37 3 2" xfId="26391" xr:uid="{52721C61-8DF9-4BB0-B576-FC9EC9A908E8}"/>
    <cellStyle name="60% - Énfasis4 37 3 2 2" xfId="55102" xr:uid="{A99C2615-8694-4B78-95D8-A2BE3F585CDD}"/>
    <cellStyle name="60% - Énfasis4 37 3 3" xfId="55101" xr:uid="{4008480E-2834-40DE-91FF-80EFA6889786}"/>
    <cellStyle name="60% - Énfasis4 37 4" xfId="18686" xr:uid="{028CFCB6-51CB-439A-B7E5-F391ADA92EC2}"/>
    <cellStyle name="60% - Énfasis4 37 4 2" xfId="55103" xr:uid="{F414E411-75E1-477E-ABBC-B0F77B9B91BD}"/>
    <cellStyle name="60% - Énfasis4 37 5" xfId="55096" xr:uid="{33A86B5E-934F-47D0-A70E-1F966E72E4D3}"/>
    <cellStyle name="60% - Énfasis4 38" xfId="3287" xr:uid="{363FA947-C400-426D-BBED-55F6A6526C61}"/>
    <cellStyle name="60% - Énfasis4 38 2" xfId="7019" xr:uid="{62C56B66-EC5A-40B4-AD0B-C818BD598873}"/>
    <cellStyle name="60% - Énfasis4 38 2 2" xfId="14727" xr:uid="{E8DBA2D7-D69F-4442-81C2-7A40CC395D7D}"/>
    <cellStyle name="60% - Énfasis4 38 2 2 2" xfId="30139" xr:uid="{50C239A7-0CBA-4B0C-B3F2-647BBED72FA0}"/>
    <cellStyle name="60% - Énfasis4 38 2 2 2 2" xfId="55107" xr:uid="{22D0632F-FC25-4369-8554-5975DC6309BF}"/>
    <cellStyle name="60% - Énfasis4 38 2 2 3" xfId="55106" xr:uid="{57DA5BB9-FD6A-45F8-9482-E59FB783EBA4}"/>
    <cellStyle name="60% - Énfasis4 38 2 3" xfId="22434" xr:uid="{712E11BA-8771-47B3-909F-8934ACEC57E4}"/>
    <cellStyle name="60% - Énfasis4 38 2 3 2" xfId="55108" xr:uid="{DA1E83EA-200C-4063-BC3C-BA35324E5292}"/>
    <cellStyle name="60% - Énfasis4 38 2 4" xfId="55105" xr:uid="{B08C4EE0-C8BD-4FC5-A6FE-CA8E77DDC390}"/>
    <cellStyle name="60% - Énfasis4 38 3" xfId="10998" xr:uid="{716CA7E6-F496-4DE8-9889-EDD40B271E64}"/>
    <cellStyle name="60% - Énfasis4 38 3 2" xfId="26411" xr:uid="{E004E3AE-89A7-4B63-9C1C-EDAF5E079354}"/>
    <cellStyle name="60% - Énfasis4 38 3 2 2" xfId="55110" xr:uid="{5E388F7A-33FC-4B47-952F-79F06557629D}"/>
    <cellStyle name="60% - Énfasis4 38 3 3" xfId="55109" xr:uid="{D1D71DC7-0511-44CB-8670-F5E63D82094D}"/>
    <cellStyle name="60% - Énfasis4 38 4" xfId="18706" xr:uid="{C1B81C02-F3BE-474A-B481-A7DA9B16FB3B}"/>
    <cellStyle name="60% - Énfasis4 38 4 2" xfId="55111" xr:uid="{34F2D03D-3BA1-41CB-A1AC-E045262EBB9E}"/>
    <cellStyle name="60% - Énfasis4 38 5" xfId="55104" xr:uid="{EC457A56-E963-4FC3-B5D5-E7FCF15CC4CA}"/>
    <cellStyle name="60% - Énfasis4 4" xfId="292" xr:uid="{16BC5202-6C2C-4C32-8CDE-8C074A536B2C}"/>
    <cellStyle name="60% - Énfasis4 4 2" xfId="495" xr:uid="{38678C38-A251-414F-876D-983199419F3C}"/>
    <cellStyle name="60% - Énfasis4 4 2 2" xfId="1156" xr:uid="{5269124F-AB3F-4D95-A4BD-6B319E621918}"/>
    <cellStyle name="60% - Énfasis4 4 2 2 2" xfId="2624" xr:uid="{56FBE98B-2B6C-4063-8CA4-6A268728E6D9}"/>
    <cellStyle name="60% - Énfasis4 4 2 2 2 2" xfId="6356" xr:uid="{E06EDC46-4E94-40E6-A456-E2EB2A11A9FE}"/>
    <cellStyle name="60% - Énfasis4 4 2 2 2 2 2" xfId="14064" xr:uid="{D97E0827-2702-4B24-A560-67EBE67662D7}"/>
    <cellStyle name="60% - Énfasis4 4 2 2 2 2 2 2" xfId="29476" xr:uid="{EE1D53E0-7872-4CDE-926C-8521A55D7908}"/>
    <cellStyle name="60% - Énfasis4 4 2 2 2 2 2 2 2" xfId="55118" xr:uid="{4148DC8B-F28A-4246-8A54-BF7CEF59E36E}"/>
    <cellStyle name="60% - Énfasis4 4 2 2 2 2 2 3" xfId="55117" xr:uid="{877110E7-53D6-4549-B757-E49E80365981}"/>
    <cellStyle name="60% - Énfasis4 4 2 2 2 2 3" xfId="21771" xr:uid="{6391F19F-5142-4B14-A576-6F84804DC10E}"/>
    <cellStyle name="60% - Énfasis4 4 2 2 2 2 3 2" xfId="55119" xr:uid="{4F9DE911-D3F7-4661-AB45-EE913D913FC1}"/>
    <cellStyle name="60% - Énfasis4 4 2 2 2 2 4" xfId="55116" xr:uid="{09B14974-CA26-4297-AD58-1BD80FE204D6}"/>
    <cellStyle name="60% - Énfasis4 4 2 2 2 3" xfId="10335" xr:uid="{ABB04DF8-49A7-4287-96F7-A4A44AA84F1C}"/>
    <cellStyle name="60% - Énfasis4 4 2 2 2 3 2" xfId="25748" xr:uid="{E56696E5-229B-4558-AE54-0760C9266F85}"/>
    <cellStyle name="60% - Énfasis4 4 2 2 2 3 2 2" xfId="55121" xr:uid="{B026AAC3-95A2-4CBE-95F3-1E6FDC475CB6}"/>
    <cellStyle name="60% - Énfasis4 4 2 2 2 3 3" xfId="55120" xr:uid="{6FE4C136-F222-4391-A364-D890B591E0D3}"/>
    <cellStyle name="60% - Énfasis4 4 2 2 2 4" xfId="18043" xr:uid="{0B8E4A71-5DBA-4CE4-B6AE-5E201B7FE67F}"/>
    <cellStyle name="60% - Énfasis4 4 2 2 2 4 2" xfId="55122" xr:uid="{E7A01D30-275B-4D12-AAF7-D4A1C5BF65DE}"/>
    <cellStyle name="60% - Énfasis4 4 2 2 2 5" xfId="55115" xr:uid="{35CD3E1D-0064-4D05-8428-5517EBF129C6}"/>
    <cellStyle name="60% - Énfasis4 4 2 2 3" xfId="4893" xr:uid="{6254418A-BC15-4F52-892A-032A94119A34}"/>
    <cellStyle name="60% - Énfasis4 4 2 2 3 2" xfId="12601" xr:uid="{5310CCCE-A297-4F81-AE6F-823F693B627E}"/>
    <cellStyle name="60% - Énfasis4 4 2 2 3 2 2" xfId="28013" xr:uid="{BD8790D8-2984-4747-AE66-56573BC565BA}"/>
    <cellStyle name="60% - Énfasis4 4 2 2 3 2 2 2" xfId="55125" xr:uid="{63DAA310-57C2-44E1-8B13-F2FC6456EE85}"/>
    <cellStyle name="60% - Énfasis4 4 2 2 3 2 3" xfId="55124" xr:uid="{6983EF11-16F0-4AAB-B033-94096074CF8E}"/>
    <cellStyle name="60% - Énfasis4 4 2 2 3 3" xfId="20308" xr:uid="{A3BF78FF-CBE9-44A2-918A-9388B5B2B9EC}"/>
    <cellStyle name="60% - Énfasis4 4 2 2 3 3 2" xfId="55126" xr:uid="{FEB14D61-5750-4AFA-A410-033C41611396}"/>
    <cellStyle name="60% - Énfasis4 4 2 2 3 4" xfId="55123" xr:uid="{B3929869-745D-4151-B07F-C4ED33A36765}"/>
    <cellStyle name="60% - Énfasis4 4 2 2 4" xfId="8876" xr:uid="{FAFCADED-2849-4BE2-82F4-5F88E28D7F62}"/>
    <cellStyle name="60% - Énfasis4 4 2 2 4 2" xfId="24289" xr:uid="{0E1075F2-8E5B-49C4-B85F-D83B2AE02DC2}"/>
    <cellStyle name="60% - Énfasis4 4 2 2 4 2 2" xfId="55128" xr:uid="{C52FAE99-4F67-46BD-8FF3-922B4CEB2B83}"/>
    <cellStyle name="60% - Énfasis4 4 2 2 4 3" xfId="55127" xr:uid="{6DABFA47-2CB2-48A0-8CAF-4BDE49754A63}"/>
    <cellStyle name="60% - Énfasis4 4 2 2 5" xfId="16584" xr:uid="{D1EFE0EB-4756-40AE-B6A0-76E74B196A67}"/>
    <cellStyle name="60% - Énfasis4 4 2 2 5 2" xfId="55129" xr:uid="{E40910C2-7ED2-413F-AAB6-DF1F94F39111}"/>
    <cellStyle name="60% - Énfasis4 4 2 2 6" xfId="55114" xr:uid="{E714D05B-4FF8-4E63-B2C5-EE799D3C28E2}"/>
    <cellStyle name="60% - Énfasis4 4 2 3" xfId="1986" xr:uid="{59F3B887-E1F7-4AC8-B123-8591AB8E9A6F}"/>
    <cellStyle name="60% - Énfasis4 4 2 3 2" xfId="5718" xr:uid="{B5DD3235-35C4-490A-8A1B-659956163AB7}"/>
    <cellStyle name="60% - Énfasis4 4 2 3 2 2" xfId="13426" xr:uid="{D2BC6678-B0DD-4083-B0D7-E5FC84BBAA72}"/>
    <cellStyle name="60% - Énfasis4 4 2 3 2 2 2" xfId="28838" xr:uid="{E9BC2187-8E8F-485E-861A-71341F127D2B}"/>
    <cellStyle name="60% - Énfasis4 4 2 3 2 2 2 2" xfId="55133" xr:uid="{9CF5C285-31E4-4FDD-8D74-9978F19B48CE}"/>
    <cellStyle name="60% - Énfasis4 4 2 3 2 2 3" xfId="55132" xr:uid="{ACA219B1-0B31-42E1-9624-7A082E83F0D4}"/>
    <cellStyle name="60% - Énfasis4 4 2 3 2 3" xfId="21133" xr:uid="{00C9F2BE-E529-4112-953B-FD549B9A31AA}"/>
    <cellStyle name="60% - Énfasis4 4 2 3 2 3 2" xfId="55134" xr:uid="{6E431301-B783-408F-8CED-564FC4BE1769}"/>
    <cellStyle name="60% - Énfasis4 4 2 3 2 4" xfId="55131" xr:uid="{AB543AAD-1340-4D8C-A29E-8A4EB494E515}"/>
    <cellStyle name="60% - Énfasis4 4 2 3 3" xfId="9697" xr:uid="{68231E2C-91D7-4FF3-9818-17B8F17095A9}"/>
    <cellStyle name="60% - Énfasis4 4 2 3 3 2" xfId="25110" xr:uid="{505C3CC6-2B18-43BE-B7D6-C9282B063CEF}"/>
    <cellStyle name="60% - Énfasis4 4 2 3 3 2 2" xfId="55136" xr:uid="{B46DB0BF-2785-497F-8D94-3E7E28E32576}"/>
    <cellStyle name="60% - Énfasis4 4 2 3 3 3" xfId="55135" xr:uid="{C0EC0B2F-0F2E-4B82-B152-17661965FE3B}"/>
    <cellStyle name="60% - Énfasis4 4 2 3 4" xfId="17405" xr:uid="{881BD652-1F63-4812-8D97-E2A966973512}"/>
    <cellStyle name="60% - Énfasis4 4 2 3 4 2" xfId="55137" xr:uid="{CD2BB860-A873-4C90-9523-753496EDFFF4}"/>
    <cellStyle name="60% - Énfasis4 4 2 3 5" xfId="55130" xr:uid="{22224DAE-6C51-4A28-B3B2-B5F7B958C0A9}"/>
    <cellStyle name="60% - Énfasis4 4 2 4" xfId="4241" xr:uid="{E06DE540-173E-420B-9D3C-D5E7D1A50F42}"/>
    <cellStyle name="60% - Énfasis4 4 2 4 2" xfId="11949" xr:uid="{E8B028B4-A60B-48A0-AC56-5A75D8F619A6}"/>
    <cellStyle name="60% - Énfasis4 4 2 4 2 2" xfId="27361" xr:uid="{6838194B-428D-45D0-B534-AF5726088FB7}"/>
    <cellStyle name="60% - Énfasis4 4 2 4 2 2 2" xfId="55140" xr:uid="{8B7F5E50-8A66-4DA6-960F-C5DD65A2BFF8}"/>
    <cellStyle name="60% - Énfasis4 4 2 4 2 3" xfId="55139" xr:uid="{D640576D-C5F1-4FDF-81AE-65BEE7088F22}"/>
    <cellStyle name="60% - Énfasis4 4 2 4 3" xfId="19656" xr:uid="{5628F108-3BF9-4DA2-A6EA-85C4C2ADF647}"/>
    <cellStyle name="60% - Énfasis4 4 2 4 3 2" xfId="55141" xr:uid="{105B4975-8F8F-4613-8C28-5F4F4E5F6904}"/>
    <cellStyle name="60% - Énfasis4 4 2 4 4" xfId="55138" xr:uid="{04AA9B5E-AB5C-4AF6-B392-F137AF483C4B}"/>
    <cellStyle name="60% - Énfasis4 4 2 5" xfId="8238" xr:uid="{E329209A-9AE1-47E8-BA72-87CD10315257}"/>
    <cellStyle name="60% - Énfasis4 4 2 5 2" xfId="23651" xr:uid="{10FC81C5-DB3B-4408-8ADD-848562A84E80}"/>
    <cellStyle name="60% - Énfasis4 4 2 5 2 2" xfId="55143" xr:uid="{BBEEAD1A-94A5-4534-9A4E-3DBFAE74E3A6}"/>
    <cellStyle name="60% - Énfasis4 4 2 5 3" xfId="55142" xr:uid="{44FB4110-F9B4-4237-84FA-13853CE9E92A}"/>
    <cellStyle name="60% - Énfasis4 4 2 6" xfId="15946" xr:uid="{EE38FB60-387E-430D-92AB-E51567ABDBAD}"/>
    <cellStyle name="60% - Énfasis4 4 2 6 2" xfId="55144" xr:uid="{6BEAFAB6-F8DF-4C76-ABE7-6043CE905FEF}"/>
    <cellStyle name="60% - Énfasis4 4 2 7" xfId="55113" xr:uid="{10C18DB1-92BA-4698-BC8B-C311BFF9B688}"/>
    <cellStyle name="60% - Énfasis4 4 3" xfId="956" xr:uid="{6BEAC4C6-F100-4926-932A-4DA95A93C343}"/>
    <cellStyle name="60% - Énfasis4 4 3 2" xfId="2426" xr:uid="{223B32A8-8354-49A2-B323-8989C8C8DD53}"/>
    <cellStyle name="60% - Énfasis4 4 3 2 2" xfId="6158" xr:uid="{74B7F3A4-CA8E-4990-8977-7DE0D0FDF671}"/>
    <cellStyle name="60% - Énfasis4 4 3 2 2 2" xfId="13866" xr:uid="{22D860EB-1A63-4B16-9D17-3B98969DFDB4}"/>
    <cellStyle name="60% - Énfasis4 4 3 2 2 2 2" xfId="29278" xr:uid="{436C3E74-20D2-4389-B192-3D0C86A0052F}"/>
    <cellStyle name="60% - Énfasis4 4 3 2 2 2 2 2" xfId="55149" xr:uid="{A677483C-1D3F-40B1-8DE8-B3FC11710899}"/>
    <cellStyle name="60% - Énfasis4 4 3 2 2 2 3" xfId="55148" xr:uid="{F7DEEF02-4158-40CC-8E88-C7AF401AFB02}"/>
    <cellStyle name="60% - Énfasis4 4 3 2 2 3" xfId="21573" xr:uid="{56F7DA14-2A8D-428F-ABAD-41B448BECDB6}"/>
    <cellStyle name="60% - Énfasis4 4 3 2 2 3 2" xfId="55150" xr:uid="{58F6A32E-1E80-4DCB-92D1-7CD58CF180B1}"/>
    <cellStyle name="60% - Énfasis4 4 3 2 2 4" xfId="55147" xr:uid="{1D326CD7-04C6-44CE-8618-F83944F196D1}"/>
    <cellStyle name="60% - Énfasis4 4 3 2 3" xfId="10137" xr:uid="{E6750354-94CE-4202-A0C3-C053CD87EB51}"/>
    <cellStyle name="60% - Énfasis4 4 3 2 3 2" xfId="25550" xr:uid="{E131621F-3AAD-471C-B937-A976E9B21265}"/>
    <cellStyle name="60% - Énfasis4 4 3 2 3 2 2" xfId="55152" xr:uid="{95774244-226D-4EF0-97EF-57A2A94CF0B6}"/>
    <cellStyle name="60% - Énfasis4 4 3 2 3 3" xfId="55151" xr:uid="{B5A39951-F9B8-4A47-A1AC-4680A9E6C6A6}"/>
    <cellStyle name="60% - Énfasis4 4 3 2 4" xfId="17845" xr:uid="{FE15FC02-DC83-44B8-874E-2FCE468EB080}"/>
    <cellStyle name="60% - Énfasis4 4 3 2 4 2" xfId="55153" xr:uid="{BF3112AA-8264-41CA-BBE7-7B059BF923EF}"/>
    <cellStyle name="60% - Énfasis4 4 3 2 5" xfId="55146" xr:uid="{C2E466CF-6FF4-4523-BC5C-FB87818F7380}"/>
    <cellStyle name="60% - Énfasis4 4 3 3" xfId="4693" xr:uid="{C693A560-B97B-4032-856E-B0883E048F33}"/>
    <cellStyle name="60% - Énfasis4 4 3 3 2" xfId="12401" xr:uid="{972B84E4-4E4F-48F9-B593-3B7A55447355}"/>
    <cellStyle name="60% - Énfasis4 4 3 3 2 2" xfId="27813" xr:uid="{DF5B0062-6C3C-4901-9924-B8DECD025111}"/>
    <cellStyle name="60% - Énfasis4 4 3 3 2 2 2" xfId="55156" xr:uid="{6500BB7E-E102-4A33-A54F-8BE37E61536B}"/>
    <cellStyle name="60% - Énfasis4 4 3 3 2 3" xfId="55155" xr:uid="{763BA5E8-8EB4-4ED8-9574-1DCDA64731E2}"/>
    <cellStyle name="60% - Énfasis4 4 3 3 3" xfId="20108" xr:uid="{DA7F76B0-5FBD-49E2-9320-889D84E249A3}"/>
    <cellStyle name="60% - Énfasis4 4 3 3 3 2" xfId="55157" xr:uid="{85FF0AAE-9F6A-4032-9086-D3D168FF2FC7}"/>
    <cellStyle name="60% - Énfasis4 4 3 3 4" xfId="55154" xr:uid="{9870B903-F8F9-47AC-B744-B85CC1941DF0}"/>
    <cellStyle name="60% - Énfasis4 4 3 4" xfId="8678" xr:uid="{53C51B33-9A41-416E-8489-6936A40F6C7B}"/>
    <cellStyle name="60% - Énfasis4 4 3 4 2" xfId="24091" xr:uid="{9D64EF79-7C27-40A9-BDDA-2A54C3BCB9CD}"/>
    <cellStyle name="60% - Énfasis4 4 3 4 2 2" xfId="55159" xr:uid="{99BEC683-43E4-4A59-8246-7CE3DD43D649}"/>
    <cellStyle name="60% - Énfasis4 4 3 4 3" xfId="55158" xr:uid="{BB7C2245-A5B7-436C-A4AD-0D1D3FFA3DF5}"/>
    <cellStyle name="60% - Énfasis4 4 3 5" xfId="16386" xr:uid="{FCC56D76-A518-464B-81E5-F3C2F515B755}"/>
    <cellStyle name="60% - Énfasis4 4 3 5 2" xfId="55160" xr:uid="{9F57B582-D279-470E-A653-E24556741486}"/>
    <cellStyle name="60% - Énfasis4 4 3 6" xfId="55145" xr:uid="{EA2666DB-41C8-4C4A-A2CD-A0A36B2AD7EA}"/>
    <cellStyle name="60% - Énfasis4 4 4" xfId="1788" xr:uid="{D3675CC0-D7B1-4E54-BE97-7E950DAD4619}"/>
    <cellStyle name="60% - Énfasis4 4 4 2" xfId="5520" xr:uid="{93715AD2-16C4-422D-B6CF-66A2496BED92}"/>
    <cellStyle name="60% - Énfasis4 4 4 2 2" xfId="13228" xr:uid="{C6CD9452-E228-410A-ACC7-D741A16F3042}"/>
    <cellStyle name="60% - Énfasis4 4 4 2 2 2" xfId="28640" xr:uid="{8998BE92-3EA5-4311-9343-C5460936F4B7}"/>
    <cellStyle name="60% - Énfasis4 4 4 2 2 2 2" xfId="55164" xr:uid="{D5C8624D-38CD-4E9C-98CE-6E1C432ACF65}"/>
    <cellStyle name="60% - Énfasis4 4 4 2 2 3" xfId="55163" xr:uid="{B10F4C2C-6D80-4C5C-AEA1-8BEFEBC9238D}"/>
    <cellStyle name="60% - Énfasis4 4 4 2 3" xfId="20935" xr:uid="{51753A27-52DF-456D-84FF-576A587D540F}"/>
    <cellStyle name="60% - Énfasis4 4 4 2 3 2" xfId="55165" xr:uid="{C4EEF29A-721E-4546-81AD-80E884A50207}"/>
    <cellStyle name="60% - Énfasis4 4 4 2 4" xfId="55162" xr:uid="{5202E19C-D0DC-4A1D-8A30-494D5E251080}"/>
    <cellStyle name="60% - Énfasis4 4 4 3" xfId="9499" xr:uid="{E6A4FF89-6676-456E-AD7E-E3C7308B7CDC}"/>
    <cellStyle name="60% - Énfasis4 4 4 3 2" xfId="24912" xr:uid="{AD60D17A-9F40-4346-AE8E-602F6A7A9C26}"/>
    <cellStyle name="60% - Énfasis4 4 4 3 2 2" xfId="55167" xr:uid="{B3D0A60D-0EFD-457C-B404-29B12C24B0CF}"/>
    <cellStyle name="60% - Énfasis4 4 4 3 3" xfId="55166" xr:uid="{C395B330-36A7-4A8D-901C-8ECC0BCC48A2}"/>
    <cellStyle name="60% - Énfasis4 4 4 4" xfId="17207" xr:uid="{760B9D5E-EB0F-4FF5-9C0C-D9767CB3BF9A}"/>
    <cellStyle name="60% - Énfasis4 4 4 4 2" xfId="55168" xr:uid="{ECA46EBB-C044-4D2F-BF75-FAAF722A35FB}"/>
    <cellStyle name="60% - Énfasis4 4 4 5" xfId="55161" xr:uid="{3721B14B-69D7-41D0-BB98-CD027951049A}"/>
    <cellStyle name="60% - Énfasis4 4 5" xfId="4041" xr:uid="{6BE5A2E6-4C73-401B-BA81-026B6FEAF6F1}"/>
    <cellStyle name="60% - Énfasis4 4 5 2" xfId="11749" xr:uid="{EECDFFBA-B79C-43F9-A7DF-3AC5F031F549}"/>
    <cellStyle name="60% - Énfasis4 4 5 2 2" xfId="27161" xr:uid="{144E77AF-96A6-41F5-86AD-1E4A1517BABD}"/>
    <cellStyle name="60% - Énfasis4 4 5 2 2 2" xfId="55171" xr:uid="{3E8A2131-DCC3-4263-A4B3-D229FCFF1E6F}"/>
    <cellStyle name="60% - Énfasis4 4 5 2 3" xfId="55170" xr:uid="{F1A1582E-4744-49EB-AE41-E79BFDD7268F}"/>
    <cellStyle name="60% - Énfasis4 4 5 3" xfId="19456" xr:uid="{62CC451C-AC83-4F8D-BBE9-79E820A5D4E0}"/>
    <cellStyle name="60% - Énfasis4 4 5 3 2" xfId="55172" xr:uid="{0B2F0B2D-4A9D-4D4C-AB64-7FC731039026}"/>
    <cellStyle name="60% - Énfasis4 4 5 4" xfId="55169" xr:uid="{59F73148-6FB4-4D95-89E7-41D8140A87FA}"/>
    <cellStyle name="60% - Énfasis4 4 6" xfId="8040" xr:uid="{13CF5CF3-5BCF-4FEA-AFA5-804172959DD0}"/>
    <cellStyle name="60% - Énfasis4 4 6 2" xfId="23453" xr:uid="{8563741A-638B-4C84-AFD8-270BB38248A6}"/>
    <cellStyle name="60% - Énfasis4 4 6 2 2" xfId="55174" xr:uid="{5B5B002C-9CF8-463B-8F0E-C1C480356B41}"/>
    <cellStyle name="60% - Énfasis4 4 6 3" xfId="55173" xr:uid="{42FB9B2B-26F9-4AC9-A852-9C323A1D0D37}"/>
    <cellStyle name="60% - Énfasis4 4 7" xfId="15748" xr:uid="{5DF52DD4-5492-4FF3-918D-FAF6DCAD66BD}"/>
    <cellStyle name="60% - Énfasis4 4 7 2" xfId="55175" xr:uid="{B8832D46-C51D-4F06-8363-E492EDCFF6D5}"/>
    <cellStyle name="60% - Énfasis4 4 8" xfId="55112" xr:uid="{27054060-F887-4F55-A54E-B944C40BF8A2}"/>
    <cellStyle name="60% - Énfasis4 5" xfId="312" xr:uid="{38CBC203-FC81-4398-9F95-01E7392D0872}"/>
    <cellStyle name="60% - Énfasis4 5 2" xfId="515" xr:uid="{C9DF7A8A-FBD9-4402-A0E1-497A8E36587B}"/>
    <cellStyle name="60% - Énfasis4 5 2 2" xfId="1176" xr:uid="{5F734693-DE20-4B7A-9C0D-F985EE7BF2E0}"/>
    <cellStyle name="60% - Énfasis4 5 2 2 2" xfId="2644" xr:uid="{8B02057A-7BAD-4CBE-A360-DE2A650DCAA8}"/>
    <cellStyle name="60% - Énfasis4 5 2 2 2 2" xfId="6376" xr:uid="{C5E5FA9F-6E55-4E43-A25B-1D54435AB155}"/>
    <cellStyle name="60% - Énfasis4 5 2 2 2 2 2" xfId="14084" xr:uid="{7A565F98-0831-47F0-9200-FFE28C2E6431}"/>
    <cellStyle name="60% - Énfasis4 5 2 2 2 2 2 2" xfId="29496" xr:uid="{E9BDA6F7-CDA1-424E-9422-384AB9F001A3}"/>
    <cellStyle name="60% - Énfasis4 5 2 2 2 2 2 2 2" xfId="55182" xr:uid="{693DE4B8-AF49-41BB-8A54-537D6ED52B74}"/>
    <cellStyle name="60% - Énfasis4 5 2 2 2 2 2 3" xfId="55181" xr:uid="{875D79EC-CF15-43E3-86AC-B315C09B071A}"/>
    <cellStyle name="60% - Énfasis4 5 2 2 2 2 3" xfId="21791" xr:uid="{F7B57167-25B9-43C1-9F53-46E73268EDEC}"/>
    <cellStyle name="60% - Énfasis4 5 2 2 2 2 3 2" xfId="55183" xr:uid="{8926A79E-3FAA-4360-A2F3-8B563891B9CB}"/>
    <cellStyle name="60% - Énfasis4 5 2 2 2 2 4" xfId="55180" xr:uid="{7550CB59-7195-40B9-B8C4-BA1EA77D2905}"/>
    <cellStyle name="60% - Énfasis4 5 2 2 2 3" xfId="10355" xr:uid="{917366B3-505B-4034-8E3B-5DF6E2633EE9}"/>
    <cellStyle name="60% - Énfasis4 5 2 2 2 3 2" xfId="25768" xr:uid="{AE093002-091B-4B26-B9B8-3353A6945AF8}"/>
    <cellStyle name="60% - Énfasis4 5 2 2 2 3 2 2" xfId="55185" xr:uid="{2ED07DD9-EDFB-46A6-AA85-2DE80A9AA8FF}"/>
    <cellStyle name="60% - Énfasis4 5 2 2 2 3 3" xfId="55184" xr:uid="{C625984C-15DD-48B3-85FE-B207FAEEC2C3}"/>
    <cellStyle name="60% - Énfasis4 5 2 2 2 4" xfId="18063" xr:uid="{A938C0C3-36C8-4B32-80D1-C1C8715A4FCB}"/>
    <cellStyle name="60% - Énfasis4 5 2 2 2 4 2" xfId="55186" xr:uid="{CE187A01-4C7D-4275-830B-AC3D78B3F38C}"/>
    <cellStyle name="60% - Énfasis4 5 2 2 2 5" xfId="55179" xr:uid="{4083A5AC-8FD1-447A-B69F-3598A6C0EED3}"/>
    <cellStyle name="60% - Énfasis4 5 2 2 3" xfId="4913" xr:uid="{05544EDF-9D78-43E6-9EEE-C2A9734504C9}"/>
    <cellStyle name="60% - Énfasis4 5 2 2 3 2" xfId="12621" xr:uid="{F54DF86A-659F-4850-9F22-C2BA57069AC7}"/>
    <cellStyle name="60% - Énfasis4 5 2 2 3 2 2" xfId="28033" xr:uid="{923738D6-F850-4310-BA68-E32A1E307684}"/>
    <cellStyle name="60% - Énfasis4 5 2 2 3 2 2 2" xfId="55189" xr:uid="{80F750EE-C9FD-4FD3-8F05-CB1562A8680D}"/>
    <cellStyle name="60% - Énfasis4 5 2 2 3 2 3" xfId="55188" xr:uid="{1B7C5F80-B66D-451D-891A-C62514F84E87}"/>
    <cellStyle name="60% - Énfasis4 5 2 2 3 3" xfId="20328" xr:uid="{EDFD8463-BB35-44E3-8473-AFAD16353340}"/>
    <cellStyle name="60% - Énfasis4 5 2 2 3 3 2" xfId="55190" xr:uid="{857F88F8-FCEB-44A9-8CFF-E3E426B81F8A}"/>
    <cellStyle name="60% - Énfasis4 5 2 2 3 4" xfId="55187" xr:uid="{8FC9F8AB-CADA-4889-B580-7ADB41C3FA37}"/>
    <cellStyle name="60% - Énfasis4 5 2 2 4" xfId="8896" xr:uid="{7ADD537D-44B3-4116-A211-9522B6421046}"/>
    <cellStyle name="60% - Énfasis4 5 2 2 4 2" xfId="24309" xr:uid="{F6ABBF4F-1D57-42D4-A53F-43E24C5FE310}"/>
    <cellStyle name="60% - Énfasis4 5 2 2 4 2 2" xfId="55192" xr:uid="{EF919133-5AB8-42FF-BDD1-3C44EC250526}"/>
    <cellStyle name="60% - Énfasis4 5 2 2 4 3" xfId="55191" xr:uid="{3D01FC24-0AB3-4FDC-ACD6-94904A1E79D7}"/>
    <cellStyle name="60% - Énfasis4 5 2 2 5" xfId="16604" xr:uid="{585D950D-6B78-4E93-BA0A-60259311B8FE}"/>
    <cellStyle name="60% - Énfasis4 5 2 2 5 2" xfId="55193" xr:uid="{96F36151-4831-4404-8EE7-BC81C3C3DE3E}"/>
    <cellStyle name="60% - Énfasis4 5 2 2 6" xfId="55178" xr:uid="{3414ECB1-68BD-4A9B-A072-41FA685F89BC}"/>
    <cellStyle name="60% - Énfasis4 5 2 3" xfId="2006" xr:uid="{D5E9B489-189C-4AFF-AC5F-EB8FB36D9A64}"/>
    <cellStyle name="60% - Énfasis4 5 2 3 2" xfId="5738" xr:uid="{C0F39C37-F05D-49F1-9BDC-63E88BE69EC4}"/>
    <cellStyle name="60% - Énfasis4 5 2 3 2 2" xfId="13446" xr:uid="{4C405482-CAA4-43B2-B93D-784AF7A3B8D6}"/>
    <cellStyle name="60% - Énfasis4 5 2 3 2 2 2" xfId="28858" xr:uid="{ABDA3B19-62A1-40B9-B082-00BF94E104DF}"/>
    <cellStyle name="60% - Énfasis4 5 2 3 2 2 2 2" xfId="55197" xr:uid="{D3F6E5C0-52C5-486F-8D07-F4E543C1B60E}"/>
    <cellStyle name="60% - Énfasis4 5 2 3 2 2 3" xfId="55196" xr:uid="{2501A518-78D1-4884-8AE7-A2B67CB69790}"/>
    <cellStyle name="60% - Énfasis4 5 2 3 2 3" xfId="21153" xr:uid="{EB296ACD-BCB6-464F-B097-F401E2EF8F18}"/>
    <cellStyle name="60% - Énfasis4 5 2 3 2 3 2" xfId="55198" xr:uid="{4B9899DE-8170-4C58-A666-B19F48A08F79}"/>
    <cellStyle name="60% - Énfasis4 5 2 3 2 4" xfId="55195" xr:uid="{CCCE9B21-BE02-4305-8D85-B47A329087CE}"/>
    <cellStyle name="60% - Énfasis4 5 2 3 3" xfId="9717" xr:uid="{C57342AF-8323-4233-A69D-7FC7BD62ADE8}"/>
    <cellStyle name="60% - Énfasis4 5 2 3 3 2" xfId="25130" xr:uid="{54033532-5A1C-4257-B62A-29700A0863DD}"/>
    <cellStyle name="60% - Énfasis4 5 2 3 3 2 2" xfId="55200" xr:uid="{95E76DA6-A46E-4AD1-9847-0383607CCC57}"/>
    <cellStyle name="60% - Énfasis4 5 2 3 3 3" xfId="55199" xr:uid="{E620BD25-3970-4CD6-9FEA-B345ACABC2DA}"/>
    <cellStyle name="60% - Énfasis4 5 2 3 4" xfId="17425" xr:uid="{EA7C65AB-C638-4FA9-B347-A0692DACE13B}"/>
    <cellStyle name="60% - Énfasis4 5 2 3 4 2" xfId="55201" xr:uid="{B756A896-E41A-4579-8E06-2844ABDF5C3B}"/>
    <cellStyle name="60% - Énfasis4 5 2 3 5" xfId="55194" xr:uid="{5B16D17F-1BFE-45F9-8AE0-33E6DBDCDB92}"/>
    <cellStyle name="60% - Énfasis4 5 2 4" xfId="4261" xr:uid="{1A2BC174-131E-447F-9675-180975713F70}"/>
    <cellStyle name="60% - Énfasis4 5 2 4 2" xfId="11969" xr:uid="{3F024137-5804-454B-BD4D-B96E52CF1386}"/>
    <cellStyle name="60% - Énfasis4 5 2 4 2 2" xfId="27381" xr:uid="{601C4F17-8DAC-4018-A4EC-D2677E6716C6}"/>
    <cellStyle name="60% - Énfasis4 5 2 4 2 2 2" xfId="55204" xr:uid="{65F223DE-CD02-4541-9E32-2AA0D56CA0E6}"/>
    <cellStyle name="60% - Énfasis4 5 2 4 2 3" xfId="55203" xr:uid="{315AA124-AB05-447F-AAE4-E8F9EE651368}"/>
    <cellStyle name="60% - Énfasis4 5 2 4 3" xfId="19676" xr:uid="{69AA484C-9D44-4C2C-A0C0-00621A501818}"/>
    <cellStyle name="60% - Énfasis4 5 2 4 3 2" xfId="55205" xr:uid="{901F23A3-978A-4DAF-BB25-558427EFCBD8}"/>
    <cellStyle name="60% - Énfasis4 5 2 4 4" xfId="55202" xr:uid="{9020856E-82B2-43DA-99D4-5E40E757F9F8}"/>
    <cellStyle name="60% - Énfasis4 5 2 5" xfId="8258" xr:uid="{C7421F2F-A6B0-41EC-ACD0-3EA19A4DBF89}"/>
    <cellStyle name="60% - Énfasis4 5 2 5 2" xfId="23671" xr:uid="{148090D5-B7F1-4472-BC3A-F0698CB97EA4}"/>
    <cellStyle name="60% - Énfasis4 5 2 5 2 2" xfId="55207" xr:uid="{45E9379C-0A17-4F6D-BDB2-8B2AC18FCD5A}"/>
    <cellStyle name="60% - Énfasis4 5 2 5 3" xfId="55206" xr:uid="{296A59C8-EE5E-4D9E-A5D5-E86FE225EA43}"/>
    <cellStyle name="60% - Énfasis4 5 2 6" xfId="15966" xr:uid="{935A0580-70F3-4DCC-B08B-60A72E2CF237}"/>
    <cellStyle name="60% - Énfasis4 5 2 6 2" xfId="55208" xr:uid="{00EB0356-2C55-4E41-B9DA-75210545308B}"/>
    <cellStyle name="60% - Énfasis4 5 2 7" xfId="55177" xr:uid="{E27E506C-A4EF-44B6-ADD0-305026BB470B}"/>
    <cellStyle name="60% - Énfasis4 5 3" xfId="976" xr:uid="{D31F6475-0A0E-4804-A2BD-0F29410D377C}"/>
    <cellStyle name="60% - Énfasis4 5 3 2" xfId="2446" xr:uid="{7B5BAD46-D2C5-4A1E-BC00-AB28B2649EE2}"/>
    <cellStyle name="60% - Énfasis4 5 3 2 2" xfId="6178" xr:uid="{48256518-44F8-4933-AB48-E31168B82292}"/>
    <cellStyle name="60% - Énfasis4 5 3 2 2 2" xfId="13886" xr:uid="{5CBEFB56-3148-4DFC-8313-C17755085247}"/>
    <cellStyle name="60% - Énfasis4 5 3 2 2 2 2" xfId="29298" xr:uid="{E1DFEB90-981A-45CE-94F0-DA5FBA329706}"/>
    <cellStyle name="60% - Énfasis4 5 3 2 2 2 2 2" xfId="55213" xr:uid="{8EA61E7A-E3DB-4DA6-B3CC-F9E592564944}"/>
    <cellStyle name="60% - Énfasis4 5 3 2 2 2 3" xfId="55212" xr:uid="{8A803907-7B0C-44CD-A734-107AB998996F}"/>
    <cellStyle name="60% - Énfasis4 5 3 2 2 3" xfId="21593" xr:uid="{00D9FFF1-08BB-4260-A551-43AE1BC160D3}"/>
    <cellStyle name="60% - Énfasis4 5 3 2 2 3 2" xfId="55214" xr:uid="{112A2F65-CCE8-456B-B666-00FA93C30B84}"/>
    <cellStyle name="60% - Énfasis4 5 3 2 2 4" xfId="55211" xr:uid="{2EEC7092-C352-459F-B1DC-2D3695D30A2D}"/>
    <cellStyle name="60% - Énfasis4 5 3 2 3" xfId="10157" xr:uid="{0025C697-1165-49D4-844A-1CB738A372C1}"/>
    <cellStyle name="60% - Énfasis4 5 3 2 3 2" xfId="25570" xr:uid="{F9456FFD-5CA3-484B-AC79-0945B632A5D1}"/>
    <cellStyle name="60% - Énfasis4 5 3 2 3 2 2" xfId="55216" xr:uid="{CCCF3134-7B11-4D24-9BE9-D7EFDA7BC163}"/>
    <cellStyle name="60% - Énfasis4 5 3 2 3 3" xfId="55215" xr:uid="{32D97866-51CB-4C92-AA39-CE4AB5D627D7}"/>
    <cellStyle name="60% - Énfasis4 5 3 2 4" xfId="17865" xr:uid="{DF593BE7-7D25-46B8-87E5-026041D1908E}"/>
    <cellStyle name="60% - Énfasis4 5 3 2 4 2" xfId="55217" xr:uid="{2FF66CBA-C3A2-4B46-9F70-580C4338991F}"/>
    <cellStyle name="60% - Énfasis4 5 3 2 5" xfId="55210" xr:uid="{A100C650-B86F-4AC8-A7D5-648CA51FCA41}"/>
    <cellStyle name="60% - Énfasis4 5 3 3" xfId="4713" xr:uid="{6EFCEB10-D229-49A1-B19D-9661263BDCE1}"/>
    <cellStyle name="60% - Énfasis4 5 3 3 2" xfId="12421" xr:uid="{98FB15BB-DB3C-4F4C-95CA-49C91AD654B6}"/>
    <cellStyle name="60% - Énfasis4 5 3 3 2 2" xfId="27833" xr:uid="{2F16E38E-198B-4B38-909F-C846B5681EFE}"/>
    <cellStyle name="60% - Énfasis4 5 3 3 2 2 2" xfId="55220" xr:uid="{56FAAA97-C8BB-4441-83F2-4868EAB010D3}"/>
    <cellStyle name="60% - Énfasis4 5 3 3 2 3" xfId="55219" xr:uid="{29157135-1164-4FE8-A973-DD0969F444ED}"/>
    <cellStyle name="60% - Énfasis4 5 3 3 3" xfId="20128" xr:uid="{EA41D413-8F71-46D9-9C2A-BA5814286625}"/>
    <cellStyle name="60% - Énfasis4 5 3 3 3 2" xfId="55221" xr:uid="{4DD2AD8B-EE68-4B0C-B1B3-C6CED8A3C3F1}"/>
    <cellStyle name="60% - Énfasis4 5 3 3 4" xfId="55218" xr:uid="{3345F53B-1B08-4EA0-9B56-095078AB91EC}"/>
    <cellStyle name="60% - Énfasis4 5 3 4" xfId="8698" xr:uid="{EBDED20B-14CE-409A-B3A3-A63C91D58C9F}"/>
    <cellStyle name="60% - Énfasis4 5 3 4 2" xfId="24111" xr:uid="{7FE96666-8FE6-4076-A99B-ACC89404AEB7}"/>
    <cellStyle name="60% - Énfasis4 5 3 4 2 2" xfId="55223" xr:uid="{114E1055-ECB3-4252-B111-FF025D27119A}"/>
    <cellStyle name="60% - Énfasis4 5 3 4 3" xfId="55222" xr:uid="{736D5646-E0FF-43AE-AC3D-28DA7039C06A}"/>
    <cellStyle name="60% - Énfasis4 5 3 5" xfId="16406" xr:uid="{CBBBA548-A3B7-4B0C-BA7F-282DE09CDC02}"/>
    <cellStyle name="60% - Énfasis4 5 3 5 2" xfId="55224" xr:uid="{97CF8C2E-67A2-481C-8D1A-D6C05BD2C716}"/>
    <cellStyle name="60% - Énfasis4 5 3 6" xfId="55209" xr:uid="{74D4DD31-D036-4A35-8D20-F6D2D373B4C8}"/>
    <cellStyle name="60% - Énfasis4 5 4" xfId="1808" xr:uid="{50415BFA-C2FC-4AD3-BE2A-D344F013881A}"/>
    <cellStyle name="60% - Énfasis4 5 4 2" xfId="5540" xr:uid="{D13CB898-B36C-4845-A918-23965B1F7BE2}"/>
    <cellStyle name="60% - Énfasis4 5 4 2 2" xfId="13248" xr:uid="{C68DBDBB-303F-4CC6-9672-4D2B3D1A1B1C}"/>
    <cellStyle name="60% - Énfasis4 5 4 2 2 2" xfId="28660" xr:uid="{FD91D3C2-465B-4CEC-8F0C-326F2F7DA663}"/>
    <cellStyle name="60% - Énfasis4 5 4 2 2 2 2" xfId="55228" xr:uid="{2560BB1F-E78E-4A46-9E21-4A1F8EB9DE7F}"/>
    <cellStyle name="60% - Énfasis4 5 4 2 2 3" xfId="55227" xr:uid="{924E7ECD-8A66-4C12-9760-21E4239C34B4}"/>
    <cellStyle name="60% - Énfasis4 5 4 2 3" xfId="20955" xr:uid="{902C34A0-325A-45F4-B34C-93947510BF28}"/>
    <cellStyle name="60% - Énfasis4 5 4 2 3 2" xfId="55229" xr:uid="{5895F502-AD40-4C0F-A192-B7E138E9269D}"/>
    <cellStyle name="60% - Énfasis4 5 4 2 4" xfId="55226" xr:uid="{88D5FD67-E14A-418E-97F3-4E2813612758}"/>
    <cellStyle name="60% - Énfasis4 5 4 3" xfId="9519" xr:uid="{59F3D804-2AA8-4952-82E3-7663F8EABEEB}"/>
    <cellStyle name="60% - Énfasis4 5 4 3 2" xfId="24932" xr:uid="{3D9F8B9B-2788-455B-A859-F5F0ADB7C59B}"/>
    <cellStyle name="60% - Énfasis4 5 4 3 2 2" xfId="55231" xr:uid="{25C556F0-F044-4989-9A69-AF1EFC103F67}"/>
    <cellStyle name="60% - Énfasis4 5 4 3 3" xfId="55230" xr:uid="{AC86BCB6-BC3A-44D3-B41E-2A993D541F58}"/>
    <cellStyle name="60% - Énfasis4 5 4 4" xfId="17227" xr:uid="{D3BFA79D-F945-4B7D-BC20-DD8A7C7B0E22}"/>
    <cellStyle name="60% - Énfasis4 5 4 4 2" xfId="55232" xr:uid="{1D6B95DC-EE15-46E2-B6BE-B1983B09760C}"/>
    <cellStyle name="60% - Énfasis4 5 4 5" xfId="55225" xr:uid="{F63DEC4E-6003-4EA7-8534-1C397B5F3D42}"/>
    <cellStyle name="60% - Énfasis4 5 5" xfId="4061" xr:uid="{B6CFFF5B-3D26-4927-9DE6-0846C769A52A}"/>
    <cellStyle name="60% - Énfasis4 5 5 2" xfId="11769" xr:uid="{9E5EC5DF-479D-4812-9297-4DBC6A590F49}"/>
    <cellStyle name="60% - Énfasis4 5 5 2 2" xfId="27181" xr:uid="{86F98D37-3B10-46DE-938E-E090C5FBC8EC}"/>
    <cellStyle name="60% - Énfasis4 5 5 2 2 2" xfId="55235" xr:uid="{84B5F76A-740A-4253-9CBA-735D8C0DD4E8}"/>
    <cellStyle name="60% - Énfasis4 5 5 2 3" xfId="55234" xr:uid="{CF5BF56B-9674-47DF-80F0-775CDC098C85}"/>
    <cellStyle name="60% - Énfasis4 5 5 3" xfId="19476" xr:uid="{238612CD-4F10-4DF7-947D-80203BEDBED8}"/>
    <cellStyle name="60% - Énfasis4 5 5 3 2" xfId="55236" xr:uid="{544BB0E5-6A55-4276-B5DD-7D39F3A0A109}"/>
    <cellStyle name="60% - Énfasis4 5 5 4" xfId="55233" xr:uid="{FDACD94D-3C7A-43EF-BF05-2EE615E38DF6}"/>
    <cellStyle name="60% - Énfasis4 5 6" xfId="8060" xr:uid="{D57F743F-5C49-4ED3-866C-D4D62559BF50}"/>
    <cellStyle name="60% - Énfasis4 5 6 2" xfId="23473" xr:uid="{862DC25E-0774-4539-8735-E6247D0B078F}"/>
    <cellStyle name="60% - Énfasis4 5 6 2 2" xfId="55238" xr:uid="{1054757C-77DB-434A-86F5-F28154972461}"/>
    <cellStyle name="60% - Énfasis4 5 6 3" xfId="55237" xr:uid="{9D1D20C6-81C9-4F74-BD67-26E6BC4F5FBC}"/>
    <cellStyle name="60% - Énfasis4 5 7" xfId="15768" xr:uid="{83750921-0A5B-4397-B203-A61F0E7D4DE8}"/>
    <cellStyle name="60% - Énfasis4 5 7 2" xfId="55239" xr:uid="{1422821E-DB8A-46BF-B143-CE4385EDD2EF}"/>
    <cellStyle name="60% - Énfasis4 5 8" xfId="55176" xr:uid="{87A2474B-7019-4F2D-A1BD-D4D3E74388C6}"/>
    <cellStyle name="60% - Énfasis4 6" xfId="535" xr:uid="{4741FE5E-A42A-4BE9-8926-50AC09739C17}"/>
    <cellStyle name="60% - Énfasis4 6 2" xfId="1196" xr:uid="{A97DF35B-42EE-45CF-A730-89E67C1F5F1B}"/>
    <cellStyle name="60% - Énfasis4 6 2 2" xfId="2664" xr:uid="{ED337A3C-AC18-42CE-BAEB-D2CF39E6D5A5}"/>
    <cellStyle name="60% - Énfasis4 6 2 2 2" xfId="6396" xr:uid="{A65DC563-2E06-49EE-81F7-2257D31D54E7}"/>
    <cellStyle name="60% - Énfasis4 6 2 2 2 2" xfId="14104" xr:uid="{316B0B75-D3FA-408A-A99A-6CEEB6032064}"/>
    <cellStyle name="60% - Énfasis4 6 2 2 2 2 2" xfId="29516" xr:uid="{113D3F51-602F-492A-B868-4ED16D5B6002}"/>
    <cellStyle name="60% - Énfasis4 6 2 2 2 2 2 2" xfId="55245" xr:uid="{82B8DE86-1294-416B-8ACB-EB460A027CA9}"/>
    <cellStyle name="60% - Énfasis4 6 2 2 2 2 3" xfId="55244" xr:uid="{6E54630E-FC5C-4D75-B9B2-82E6606607AD}"/>
    <cellStyle name="60% - Énfasis4 6 2 2 2 3" xfId="21811" xr:uid="{18465318-D3FC-4EAF-9B9D-1BA891E0DA6B}"/>
    <cellStyle name="60% - Énfasis4 6 2 2 2 3 2" xfId="55246" xr:uid="{67F392A7-78A6-4698-96E9-126E5ABF0ED6}"/>
    <cellStyle name="60% - Énfasis4 6 2 2 2 4" xfId="55243" xr:uid="{40A6789F-86D4-4D16-9C8C-6BA419E0711F}"/>
    <cellStyle name="60% - Énfasis4 6 2 2 3" xfId="10375" xr:uid="{EA1604CE-819C-4514-8E4E-3F933D402247}"/>
    <cellStyle name="60% - Énfasis4 6 2 2 3 2" xfId="25788" xr:uid="{C109A9B3-BDA1-4D85-9B28-3B3D28F1E63B}"/>
    <cellStyle name="60% - Énfasis4 6 2 2 3 2 2" xfId="55248" xr:uid="{E224E009-4764-47C7-B860-4C1B7C9FD5FD}"/>
    <cellStyle name="60% - Énfasis4 6 2 2 3 3" xfId="55247" xr:uid="{164FDFDE-D6F0-461E-950E-152395B66210}"/>
    <cellStyle name="60% - Énfasis4 6 2 2 4" xfId="18083" xr:uid="{0185A869-2F3B-42EB-B403-ADC3F8B613FE}"/>
    <cellStyle name="60% - Énfasis4 6 2 2 4 2" xfId="55249" xr:uid="{2C85E935-E67F-4917-8278-250D5E65701B}"/>
    <cellStyle name="60% - Énfasis4 6 2 2 5" xfId="55242" xr:uid="{13AA191E-A64D-43D8-8BF8-E91AA2965CB7}"/>
    <cellStyle name="60% - Énfasis4 6 2 3" xfId="4933" xr:uid="{A7FB580E-3612-42D2-8F05-66C3E18471D7}"/>
    <cellStyle name="60% - Énfasis4 6 2 3 2" xfId="12641" xr:uid="{396814F4-74FD-4047-859B-42027B35FEA1}"/>
    <cellStyle name="60% - Énfasis4 6 2 3 2 2" xfId="28053" xr:uid="{71A10413-BB00-41F1-8070-A2A7603BB2E9}"/>
    <cellStyle name="60% - Énfasis4 6 2 3 2 2 2" xfId="55252" xr:uid="{9CC05B90-10B1-478D-95EA-F399A7028A9C}"/>
    <cellStyle name="60% - Énfasis4 6 2 3 2 3" xfId="55251" xr:uid="{98EBBD5C-5C8C-4464-8450-39F627C30FB9}"/>
    <cellStyle name="60% - Énfasis4 6 2 3 3" xfId="20348" xr:uid="{74D8FB45-1241-41B1-B428-BFE7293AE1FB}"/>
    <cellStyle name="60% - Énfasis4 6 2 3 3 2" xfId="55253" xr:uid="{24569E1C-6C33-4F5F-B87A-732A5271759A}"/>
    <cellStyle name="60% - Énfasis4 6 2 3 4" xfId="55250" xr:uid="{71DF37B2-BAD6-4FE4-89E6-1B4061AA4CAC}"/>
    <cellStyle name="60% - Énfasis4 6 2 4" xfId="8916" xr:uid="{DD9F52BD-A874-44F6-A8D9-D7C8105FD8C1}"/>
    <cellStyle name="60% - Énfasis4 6 2 4 2" xfId="24329" xr:uid="{2126CAFD-BD6E-47EB-A011-5B40C423C141}"/>
    <cellStyle name="60% - Énfasis4 6 2 4 2 2" xfId="55255" xr:uid="{1E7910FA-0E09-4C07-8947-88F7D17CC235}"/>
    <cellStyle name="60% - Énfasis4 6 2 4 3" xfId="55254" xr:uid="{061A27F1-4EE2-491A-BE5E-CB785CBADDC7}"/>
    <cellStyle name="60% - Énfasis4 6 2 5" xfId="16624" xr:uid="{B35CF7AC-EFD9-4301-B204-BDDAFE5B50B6}"/>
    <cellStyle name="60% - Énfasis4 6 2 5 2" xfId="55256" xr:uid="{742B29B1-E307-43A4-A02E-4576C00E4D81}"/>
    <cellStyle name="60% - Énfasis4 6 2 6" xfId="55241" xr:uid="{BD9623CB-8A84-4CD0-AB26-4497DE367778}"/>
    <cellStyle name="60% - Énfasis4 6 3" xfId="2026" xr:uid="{971BF0B3-4B07-4A6C-9F07-E477AC5E811F}"/>
    <cellStyle name="60% - Énfasis4 6 3 2" xfId="5758" xr:uid="{C0C74F3E-BABC-4A21-AC32-2F2A620174ED}"/>
    <cellStyle name="60% - Énfasis4 6 3 2 2" xfId="13466" xr:uid="{C5AEC252-5A90-4A50-93E4-B7B5ED3128A0}"/>
    <cellStyle name="60% - Énfasis4 6 3 2 2 2" xfId="28878" xr:uid="{4C5AE785-F616-4DBF-BEA2-E260B46778F5}"/>
    <cellStyle name="60% - Énfasis4 6 3 2 2 2 2" xfId="55260" xr:uid="{F200D20A-7C99-4F06-97BB-40E2A5E25E9D}"/>
    <cellStyle name="60% - Énfasis4 6 3 2 2 3" xfId="55259" xr:uid="{93A435B7-F577-434C-952F-19EC85DC7748}"/>
    <cellStyle name="60% - Énfasis4 6 3 2 3" xfId="21173" xr:uid="{86C84F8B-C1A5-42A7-823C-6FCC5B43A5F3}"/>
    <cellStyle name="60% - Énfasis4 6 3 2 3 2" xfId="55261" xr:uid="{744BD20A-8F99-419E-8C1F-DE8CAD746150}"/>
    <cellStyle name="60% - Énfasis4 6 3 2 4" xfId="55258" xr:uid="{21745EC2-181A-4C72-9225-F97005591E04}"/>
    <cellStyle name="60% - Énfasis4 6 3 3" xfId="9737" xr:uid="{C55FC39C-26E4-42E0-9EE1-A162580B7491}"/>
    <cellStyle name="60% - Énfasis4 6 3 3 2" xfId="25150" xr:uid="{751E0788-748A-422C-BC41-34E621D1CD41}"/>
    <cellStyle name="60% - Énfasis4 6 3 3 2 2" xfId="55263" xr:uid="{3931D83C-5442-4ABE-B47C-855E0AC55B76}"/>
    <cellStyle name="60% - Énfasis4 6 3 3 3" xfId="55262" xr:uid="{261D64BD-5BE1-4D4B-9DCF-993CB8A73A94}"/>
    <cellStyle name="60% - Énfasis4 6 3 4" xfId="17445" xr:uid="{EA952F9B-59D8-42E0-BE0E-215661E3B001}"/>
    <cellStyle name="60% - Énfasis4 6 3 4 2" xfId="55264" xr:uid="{6BEA2819-D016-4D1C-BE2D-8DB98B9CDA29}"/>
    <cellStyle name="60% - Énfasis4 6 3 5" xfId="55257" xr:uid="{B8DA1C47-AB8D-46C5-9C46-AC620049982F}"/>
    <cellStyle name="60% - Énfasis4 6 4" xfId="4281" xr:uid="{A6BA1C2E-C356-4533-8A9B-B1F961E7E9FB}"/>
    <cellStyle name="60% - Énfasis4 6 4 2" xfId="11989" xr:uid="{4DEDB885-AEF0-4FA3-AE67-B6110343A2B9}"/>
    <cellStyle name="60% - Énfasis4 6 4 2 2" xfId="27401" xr:uid="{C0C8F0FD-27F6-43D4-A73C-1BD28900C432}"/>
    <cellStyle name="60% - Énfasis4 6 4 2 2 2" xfId="55267" xr:uid="{8BD23478-D7FA-45F6-96EA-12B6B146F6F5}"/>
    <cellStyle name="60% - Énfasis4 6 4 2 3" xfId="55266" xr:uid="{A9180085-B3A2-40AA-ADC8-ACCF4CC06D42}"/>
    <cellStyle name="60% - Énfasis4 6 4 3" xfId="19696" xr:uid="{B10F5B92-8BA8-4CAC-9AE9-D95963679427}"/>
    <cellStyle name="60% - Énfasis4 6 4 3 2" xfId="55268" xr:uid="{4BD72ADB-31ED-4773-AD07-D4A5B083B033}"/>
    <cellStyle name="60% - Énfasis4 6 4 4" xfId="55265" xr:uid="{B21B016A-5A82-4B0C-AE0C-8672E1155C90}"/>
    <cellStyle name="60% - Énfasis4 6 5" xfId="8278" xr:uid="{8AFABA9B-6AFE-44A0-8D97-1C8CA6935E1F}"/>
    <cellStyle name="60% - Énfasis4 6 5 2" xfId="23691" xr:uid="{F99D7616-8444-43A9-ABAF-561A5CF8E59E}"/>
    <cellStyle name="60% - Énfasis4 6 5 2 2" xfId="55270" xr:uid="{50D2966F-EC16-4537-AA9A-2D74F2B6608A}"/>
    <cellStyle name="60% - Énfasis4 6 5 3" xfId="55269" xr:uid="{CF6F9F4E-05AC-4277-9018-04A07891EB8F}"/>
    <cellStyle name="60% - Énfasis4 6 6" xfId="15986" xr:uid="{5C87F670-42A0-4C3E-8205-684107A108D8}"/>
    <cellStyle name="60% - Énfasis4 6 6 2" xfId="55271" xr:uid="{75696761-113F-4D8A-9643-094AEE22D2F4}"/>
    <cellStyle name="60% - Énfasis4 6 7" xfId="55240" xr:uid="{2C895CF7-7AE1-458A-8909-FC53A54CC78F}"/>
    <cellStyle name="60% - Énfasis4 7" xfId="555" xr:uid="{1ECD4901-CB20-43ED-B289-931EADD19D10}"/>
    <cellStyle name="60% - Énfasis4 7 2" xfId="1216" xr:uid="{7B592901-985F-4B86-AB66-B7D324916FE9}"/>
    <cellStyle name="60% - Énfasis4 7 2 2" xfId="2684" xr:uid="{8A2570F6-62EE-45AA-A5E2-1907042FD3A6}"/>
    <cellStyle name="60% - Énfasis4 7 2 2 2" xfId="6416" xr:uid="{7FE87CE2-C950-418D-8E85-214BC551FEE6}"/>
    <cellStyle name="60% - Énfasis4 7 2 2 2 2" xfId="14124" xr:uid="{8CD6C8A7-E441-4C4A-B9BD-0AC2653DA7D2}"/>
    <cellStyle name="60% - Énfasis4 7 2 2 2 2 2" xfId="29536" xr:uid="{D31D19C4-E231-49B1-9507-0717B7A5C565}"/>
    <cellStyle name="60% - Énfasis4 7 2 2 2 2 2 2" xfId="55277" xr:uid="{D990ABD6-24C4-44BE-A13A-EEC529CD9A14}"/>
    <cellStyle name="60% - Énfasis4 7 2 2 2 2 3" xfId="55276" xr:uid="{9D413AE8-A9A8-4100-98EF-5FC020B6496F}"/>
    <cellStyle name="60% - Énfasis4 7 2 2 2 3" xfId="21831" xr:uid="{D5C8B5DF-5A02-4E48-9C70-142BC41BC0B9}"/>
    <cellStyle name="60% - Énfasis4 7 2 2 2 3 2" xfId="55278" xr:uid="{5DE2F394-EA9D-423B-A2F8-B0A0E2A2A578}"/>
    <cellStyle name="60% - Énfasis4 7 2 2 2 4" xfId="55275" xr:uid="{BC63443D-8B4A-4952-8A31-F16BEB821DED}"/>
    <cellStyle name="60% - Énfasis4 7 2 2 3" xfId="10395" xr:uid="{4C6D93D2-79B6-4B52-B2BB-DB99803BC51A}"/>
    <cellStyle name="60% - Énfasis4 7 2 2 3 2" xfId="25808" xr:uid="{DF6FF19B-31A0-424D-8484-70C59FDF0CFC}"/>
    <cellStyle name="60% - Énfasis4 7 2 2 3 2 2" xfId="55280" xr:uid="{FE1DC716-FD16-4D18-A726-64C9FE52A930}"/>
    <cellStyle name="60% - Énfasis4 7 2 2 3 3" xfId="55279" xr:uid="{B16CF564-0A39-43BB-ABF4-CDD736948C96}"/>
    <cellStyle name="60% - Énfasis4 7 2 2 4" xfId="18103" xr:uid="{CB8605AA-C4B6-44F1-922D-819D3D6819EE}"/>
    <cellStyle name="60% - Énfasis4 7 2 2 4 2" xfId="55281" xr:uid="{F012B084-C6ED-4EAE-BA81-5B1693AEBA6D}"/>
    <cellStyle name="60% - Énfasis4 7 2 2 5" xfId="55274" xr:uid="{62327EFC-D453-468F-809A-C164CD28382A}"/>
    <cellStyle name="60% - Énfasis4 7 2 3" xfId="4953" xr:uid="{D9EBDF28-8DF6-4110-BC83-18FDF6407F36}"/>
    <cellStyle name="60% - Énfasis4 7 2 3 2" xfId="12661" xr:uid="{F9075CC7-44DF-4BA0-BC8B-2E3DE79137CF}"/>
    <cellStyle name="60% - Énfasis4 7 2 3 2 2" xfId="28073" xr:uid="{D0E1A7D1-C2DA-45C8-86DD-9AB6163EF750}"/>
    <cellStyle name="60% - Énfasis4 7 2 3 2 2 2" xfId="55284" xr:uid="{FAA39DF8-4C23-4B32-B01D-47D7C92C961F}"/>
    <cellStyle name="60% - Énfasis4 7 2 3 2 3" xfId="55283" xr:uid="{3978C87F-7498-44A6-99CB-36EEDEC868FA}"/>
    <cellStyle name="60% - Énfasis4 7 2 3 3" xfId="20368" xr:uid="{5852C950-47C7-4E02-97EA-87443215A3A8}"/>
    <cellStyle name="60% - Énfasis4 7 2 3 3 2" xfId="55285" xr:uid="{EFC48E1A-43ED-4D56-9659-9BB51379E193}"/>
    <cellStyle name="60% - Énfasis4 7 2 3 4" xfId="55282" xr:uid="{5B6731B6-60F0-42B3-B197-351041C9E5CF}"/>
    <cellStyle name="60% - Énfasis4 7 2 4" xfId="8936" xr:uid="{F7C3A977-6D02-467E-8822-3D8FEF2C890A}"/>
    <cellStyle name="60% - Énfasis4 7 2 4 2" xfId="24349" xr:uid="{D5715EC8-1B2D-4AE6-91D0-0B62812A5893}"/>
    <cellStyle name="60% - Énfasis4 7 2 4 2 2" xfId="55287" xr:uid="{0C325444-5262-4E8A-BD45-0BFDC3B8414D}"/>
    <cellStyle name="60% - Énfasis4 7 2 4 3" xfId="55286" xr:uid="{4989DC05-F023-4B8C-9289-90104656F48F}"/>
    <cellStyle name="60% - Énfasis4 7 2 5" xfId="16644" xr:uid="{78A110D8-7AE8-452B-BD0B-FEEC027509D1}"/>
    <cellStyle name="60% - Énfasis4 7 2 5 2" xfId="55288" xr:uid="{3AE7A750-E603-4C82-8B36-E2B7671DC4C5}"/>
    <cellStyle name="60% - Énfasis4 7 2 6" xfId="55273" xr:uid="{8F71B236-DE6F-4AF6-9958-C35845361D34}"/>
    <cellStyle name="60% - Énfasis4 7 3" xfId="2046" xr:uid="{5A6F8548-144C-422E-AD93-3E36D93E9C3C}"/>
    <cellStyle name="60% - Énfasis4 7 3 2" xfId="5778" xr:uid="{FEA47925-AC57-4B2A-92D1-1647F2FE9D7F}"/>
    <cellStyle name="60% - Énfasis4 7 3 2 2" xfId="13486" xr:uid="{D503E0B8-34AD-430D-9C13-DE859834EA23}"/>
    <cellStyle name="60% - Énfasis4 7 3 2 2 2" xfId="28898" xr:uid="{7CED9BDD-1A27-4F28-A632-BB9F4BAE91AF}"/>
    <cellStyle name="60% - Énfasis4 7 3 2 2 2 2" xfId="55292" xr:uid="{385B6633-72DB-4822-9B5E-021EDFEC91A1}"/>
    <cellStyle name="60% - Énfasis4 7 3 2 2 3" xfId="55291" xr:uid="{15462101-4BA1-4530-A181-09E5306FFF64}"/>
    <cellStyle name="60% - Énfasis4 7 3 2 3" xfId="21193" xr:uid="{2A348621-2AA1-49B4-BCCD-4DD63E4A9F2B}"/>
    <cellStyle name="60% - Énfasis4 7 3 2 3 2" xfId="55293" xr:uid="{A38871CB-E102-4FF2-8BCC-C6AC834B1DFC}"/>
    <cellStyle name="60% - Énfasis4 7 3 2 4" xfId="55290" xr:uid="{D3AEF722-ACB4-457D-A7AB-9E877001880D}"/>
    <cellStyle name="60% - Énfasis4 7 3 3" xfId="9757" xr:uid="{EB2247D1-1102-41D4-BF96-A922392C5A83}"/>
    <cellStyle name="60% - Énfasis4 7 3 3 2" xfId="25170" xr:uid="{A0AA6530-89CF-4FCB-BC3B-737F19287977}"/>
    <cellStyle name="60% - Énfasis4 7 3 3 2 2" xfId="55295" xr:uid="{322831BE-87DB-494F-88E6-4F0509F59E8E}"/>
    <cellStyle name="60% - Énfasis4 7 3 3 3" xfId="55294" xr:uid="{A392C95C-BFD3-4DD4-8D00-795FFCCC1B5D}"/>
    <cellStyle name="60% - Énfasis4 7 3 4" xfId="17465" xr:uid="{894ECB72-4122-45FE-86C2-5DB969C94F13}"/>
    <cellStyle name="60% - Énfasis4 7 3 4 2" xfId="55296" xr:uid="{3E7FB731-CB7F-4755-8C49-AF6A8D37445B}"/>
    <cellStyle name="60% - Énfasis4 7 3 5" xfId="55289" xr:uid="{0B3B9FAA-D622-4020-8B9C-DE3A88C982D4}"/>
    <cellStyle name="60% - Énfasis4 7 4" xfId="4301" xr:uid="{6CA79F52-8C35-456C-8F6A-AA42F5036DDE}"/>
    <cellStyle name="60% - Énfasis4 7 4 2" xfId="12009" xr:uid="{9D707558-7576-402C-8A28-4C9A4E08F466}"/>
    <cellStyle name="60% - Énfasis4 7 4 2 2" xfId="27421" xr:uid="{86421A23-2C9B-4C46-AE8D-EAF61EC893C9}"/>
    <cellStyle name="60% - Énfasis4 7 4 2 2 2" xfId="55299" xr:uid="{9955E8C7-BAC3-43E9-959D-4EC1F6E63EED}"/>
    <cellStyle name="60% - Énfasis4 7 4 2 3" xfId="55298" xr:uid="{623A55F7-F646-46D8-8215-B8D47B534CA1}"/>
    <cellStyle name="60% - Énfasis4 7 4 3" xfId="19716" xr:uid="{E9EC0569-C08D-4F4F-B0AF-419186020E54}"/>
    <cellStyle name="60% - Énfasis4 7 4 3 2" xfId="55300" xr:uid="{E6BCA369-2BB5-4F0E-A725-BC2F34E94C87}"/>
    <cellStyle name="60% - Énfasis4 7 4 4" xfId="55297" xr:uid="{60A890C2-3C25-4BE6-9F69-11AE9EAC1D76}"/>
    <cellStyle name="60% - Énfasis4 7 5" xfId="8298" xr:uid="{66D9A5DE-6CAA-491B-80B5-FE0022C6666A}"/>
    <cellStyle name="60% - Énfasis4 7 5 2" xfId="23711" xr:uid="{14EADBD0-4FBD-47F4-B559-891ED67B7747}"/>
    <cellStyle name="60% - Énfasis4 7 5 2 2" xfId="55302" xr:uid="{ABC1ACD2-777B-45ED-B8E1-A0EBA684D6AB}"/>
    <cellStyle name="60% - Énfasis4 7 5 3" xfId="55301" xr:uid="{E5FF4403-CD4C-4F9A-9E82-72D0C03C7E5A}"/>
    <cellStyle name="60% - Énfasis4 7 6" xfId="16006" xr:uid="{FF54337A-11AB-4D2F-A932-751B009A0216}"/>
    <cellStyle name="60% - Énfasis4 7 6 2" xfId="55303" xr:uid="{1926A00E-13C1-44C7-928E-12F0EE48CFC4}"/>
    <cellStyle name="60% - Énfasis4 7 7" xfId="55272" xr:uid="{A8987D2A-FE7A-451B-A069-140D1FFB4FED}"/>
    <cellStyle name="60% - Énfasis4 8" xfId="575" xr:uid="{D3BE07C0-B436-4445-BBDF-5D1E9ACAA6F3}"/>
    <cellStyle name="60% - Énfasis4 8 2" xfId="1236" xr:uid="{180E4C61-1A99-4884-AC42-74B20B122A13}"/>
    <cellStyle name="60% - Énfasis4 8 2 2" xfId="2704" xr:uid="{DFDA560A-8C14-4EE0-895C-23A1CA2A811C}"/>
    <cellStyle name="60% - Énfasis4 8 2 2 2" xfId="6436" xr:uid="{5382A526-518A-4CB1-A72B-4B6CF785A25F}"/>
    <cellStyle name="60% - Énfasis4 8 2 2 2 2" xfId="14144" xr:uid="{DAF8A8EF-FADD-4AA0-AE88-44C8AE61C30F}"/>
    <cellStyle name="60% - Énfasis4 8 2 2 2 2 2" xfId="29556" xr:uid="{7929505F-D3A8-4A57-BCA3-ACD1FBA32F34}"/>
    <cellStyle name="60% - Énfasis4 8 2 2 2 2 2 2" xfId="55309" xr:uid="{A6523639-97F6-4536-B6D3-DA6F92AD7128}"/>
    <cellStyle name="60% - Énfasis4 8 2 2 2 2 3" xfId="55308" xr:uid="{B22F1ECD-AF56-416A-B9BC-D31EA18886F6}"/>
    <cellStyle name="60% - Énfasis4 8 2 2 2 3" xfId="21851" xr:uid="{F90D8931-DECF-48AD-8EF2-F97A34F8A747}"/>
    <cellStyle name="60% - Énfasis4 8 2 2 2 3 2" xfId="55310" xr:uid="{AD9A4361-32BC-4D86-9EC3-DD5034D0B9D2}"/>
    <cellStyle name="60% - Énfasis4 8 2 2 2 4" xfId="55307" xr:uid="{D4BEE489-65B1-47E6-AC58-8E3D785ECBBE}"/>
    <cellStyle name="60% - Énfasis4 8 2 2 3" xfId="10415" xr:uid="{85BBCD5D-82FC-4B97-8385-75BB3F9747AF}"/>
    <cellStyle name="60% - Énfasis4 8 2 2 3 2" xfId="25828" xr:uid="{EB54FAB4-E3A3-459E-BE4C-28F33FCDCA39}"/>
    <cellStyle name="60% - Énfasis4 8 2 2 3 2 2" xfId="55312" xr:uid="{CA6D41CC-2965-4686-988B-D80DD34AAE6B}"/>
    <cellStyle name="60% - Énfasis4 8 2 2 3 3" xfId="55311" xr:uid="{23E5B75F-FAA6-4345-BE0A-018C2D1049CA}"/>
    <cellStyle name="60% - Énfasis4 8 2 2 4" xfId="18123" xr:uid="{8480ACAD-053A-4761-A8B7-8A44F08DD423}"/>
    <cellStyle name="60% - Énfasis4 8 2 2 4 2" xfId="55313" xr:uid="{C813F1C2-21A3-4C9B-B22A-19AF49120143}"/>
    <cellStyle name="60% - Énfasis4 8 2 2 5" xfId="55306" xr:uid="{DC892939-FE0F-4D1C-987C-1B6C707BDCF8}"/>
    <cellStyle name="60% - Énfasis4 8 2 3" xfId="4973" xr:uid="{2FE3C621-3C4E-4BE7-A095-1FA8A87F7542}"/>
    <cellStyle name="60% - Énfasis4 8 2 3 2" xfId="12681" xr:uid="{4BD27841-8C25-41CD-8D84-6F19CB45E0FA}"/>
    <cellStyle name="60% - Énfasis4 8 2 3 2 2" xfId="28093" xr:uid="{EDAC8B95-0C80-448D-AB62-239A8F925EF5}"/>
    <cellStyle name="60% - Énfasis4 8 2 3 2 2 2" xfId="55316" xr:uid="{1C686C55-751F-4285-9449-9D3943A7CAEB}"/>
    <cellStyle name="60% - Énfasis4 8 2 3 2 3" xfId="55315" xr:uid="{1EBD8BBA-6CC7-46A7-9596-C6C660DF4F33}"/>
    <cellStyle name="60% - Énfasis4 8 2 3 3" xfId="20388" xr:uid="{D01ECA99-5B88-4DAC-981C-A1FF8D9EE85D}"/>
    <cellStyle name="60% - Énfasis4 8 2 3 3 2" xfId="55317" xr:uid="{5CBE78D4-EBAD-4FAE-B202-1FCBC45A19D4}"/>
    <cellStyle name="60% - Énfasis4 8 2 3 4" xfId="55314" xr:uid="{1D2B83C9-CF88-40BE-86C7-40F813406D96}"/>
    <cellStyle name="60% - Énfasis4 8 2 4" xfId="8956" xr:uid="{F8A40B77-D824-4456-A21B-4FF4C42ECF25}"/>
    <cellStyle name="60% - Énfasis4 8 2 4 2" xfId="24369" xr:uid="{68CD1E0F-1D80-49F1-AA12-EE9A54428EDC}"/>
    <cellStyle name="60% - Énfasis4 8 2 4 2 2" xfId="55319" xr:uid="{DB83B6F5-C4A4-4059-90FB-58C3936F9215}"/>
    <cellStyle name="60% - Énfasis4 8 2 4 3" xfId="55318" xr:uid="{1365EB72-0002-4591-836F-962A496CB918}"/>
    <cellStyle name="60% - Énfasis4 8 2 5" xfId="16664" xr:uid="{A3F48BAA-DE23-4088-985D-167B653DC2F8}"/>
    <cellStyle name="60% - Énfasis4 8 2 5 2" xfId="55320" xr:uid="{F4043CAC-A3DA-42E7-8214-6998EAAC3A11}"/>
    <cellStyle name="60% - Énfasis4 8 2 6" xfId="55305" xr:uid="{CEF37A28-1983-41AE-903F-2BA28779CD15}"/>
    <cellStyle name="60% - Énfasis4 8 3" xfId="2066" xr:uid="{C05FC610-925A-4A9B-8856-F21B4BE07D98}"/>
    <cellStyle name="60% - Énfasis4 8 3 2" xfId="5798" xr:uid="{1C0319DE-8D43-4F2A-9670-14BAF31F35B5}"/>
    <cellStyle name="60% - Énfasis4 8 3 2 2" xfId="13506" xr:uid="{D9F4D785-EE15-4F2A-9C0E-809EE2BDA37D}"/>
    <cellStyle name="60% - Énfasis4 8 3 2 2 2" xfId="28918" xr:uid="{E92ECBD7-5936-4575-9224-C33AEAE08AAF}"/>
    <cellStyle name="60% - Énfasis4 8 3 2 2 2 2" xfId="55324" xr:uid="{8129D38C-C650-4FD5-B2F6-4ADCDD055E52}"/>
    <cellStyle name="60% - Énfasis4 8 3 2 2 3" xfId="55323" xr:uid="{971B1134-6787-4455-81B1-C0C50AC71C91}"/>
    <cellStyle name="60% - Énfasis4 8 3 2 3" xfId="21213" xr:uid="{831D7521-D03E-4577-AFB3-95CE289A836D}"/>
    <cellStyle name="60% - Énfasis4 8 3 2 3 2" xfId="55325" xr:uid="{82756F2E-6FC3-487F-BACD-615EC6BFA570}"/>
    <cellStyle name="60% - Énfasis4 8 3 2 4" xfId="55322" xr:uid="{AD62816E-91ED-4C3B-820D-CDDD75723042}"/>
    <cellStyle name="60% - Énfasis4 8 3 3" xfId="9777" xr:uid="{C95DD7F6-A2B5-45C6-9382-98B09D2752C4}"/>
    <cellStyle name="60% - Énfasis4 8 3 3 2" xfId="25190" xr:uid="{35F4C8BA-FAEE-40CA-A587-4B2F0203FF0C}"/>
    <cellStyle name="60% - Énfasis4 8 3 3 2 2" xfId="55327" xr:uid="{85C34467-5406-40FC-99FD-60067159F778}"/>
    <cellStyle name="60% - Énfasis4 8 3 3 3" xfId="55326" xr:uid="{3C81324F-9467-4746-BC13-173AD26EC2BD}"/>
    <cellStyle name="60% - Énfasis4 8 3 4" xfId="17485" xr:uid="{FABEB18D-A7C6-45B2-89EB-913627CA9936}"/>
    <cellStyle name="60% - Énfasis4 8 3 4 2" xfId="55328" xr:uid="{31776A64-3124-4881-B240-E564B422B6FD}"/>
    <cellStyle name="60% - Énfasis4 8 3 5" xfId="55321" xr:uid="{E551A0DB-E4C4-4799-A61A-3776D5CDD457}"/>
    <cellStyle name="60% - Énfasis4 8 4" xfId="4321" xr:uid="{CA3C3F87-09C7-40A5-B5DD-DA70A5502129}"/>
    <cellStyle name="60% - Énfasis4 8 4 2" xfId="12029" xr:uid="{FC8C4C49-C15D-49D5-A657-AD3D762B6953}"/>
    <cellStyle name="60% - Énfasis4 8 4 2 2" xfId="27441" xr:uid="{9E0F4F36-9F70-4AD7-8243-3D42446744BA}"/>
    <cellStyle name="60% - Énfasis4 8 4 2 2 2" xfId="55331" xr:uid="{D0A49F6E-F5CB-4B78-9C79-1EC33407A485}"/>
    <cellStyle name="60% - Énfasis4 8 4 2 3" xfId="55330" xr:uid="{C79582D5-9E16-4985-986D-F53E5FF25ADD}"/>
    <cellStyle name="60% - Énfasis4 8 4 3" xfId="19736" xr:uid="{804E8F70-20D6-4EE5-BE77-E300FC14EE49}"/>
    <cellStyle name="60% - Énfasis4 8 4 3 2" xfId="55332" xr:uid="{3A8F1A4F-E8BB-40BA-A69D-39296A9D2867}"/>
    <cellStyle name="60% - Énfasis4 8 4 4" xfId="55329" xr:uid="{67E2830D-29CF-4835-A1FE-383A90E98E62}"/>
    <cellStyle name="60% - Énfasis4 8 5" xfId="8318" xr:uid="{F8D5E04F-55FD-4FCA-8B31-725B2A0B08D3}"/>
    <cellStyle name="60% - Énfasis4 8 5 2" xfId="23731" xr:uid="{062AAB7C-3C46-438C-8E19-2A12C993C56B}"/>
    <cellStyle name="60% - Énfasis4 8 5 2 2" xfId="55334" xr:uid="{C790371F-C177-4149-9B45-5B7DDD79E06C}"/>
    <cellStyle name="60% - Énfasis4 8 5 3" xfId="55333" xr:uid="{9BD29458-3DE1-4FF1-926A-A5E830D4FC27}"/>
    <cellStyle name="60% - Énfasis4 8 6" xfId="16026" xr:uid="{FBA4ED9B-7839-4050-A6E4-9F84BFAC3AB8}"/>
    <cellStyle name="60% - Énfasis4 8 6 2" xfId="55335" xr:uid="{97A785F1-E306-49E6-BDC1-A4A276CBF1A4}"/>
    <cellStyle name="60% - Énfasis4 8 7" xfId="55304" xr:uid="{AFB333DB-7252-4B39-98CF-976CC92CFB31}"/>
    <cellStyle name="60% - Énfasis4 9" xfId="595" xr:uid="{51487A2C-E311-4738-A924-A55D27B64F91}"/>
    <cellStyle name="60% - Énfasis4 9 2" xfId="1256" xr:uid="{7A5B8692-22BE-4D0F-8861-5EC1E95A9244}"/>
    <cellStyle name="60% - Énfasis4 9 2 2" xfId="2724" xr:uid="{F9BC707B-2C86-4F2E-84F0-35EB93EFCAD3}"/>
    <cellStyle name="60% - Énfasis4 9 2 2 2" xfId="6456" xr:uid="{2EE712C0-9BAE-42D4-9789-8F90C6994313}"/>
    <cellStyle name="60% - Énfasis4 9 2 2 2 2" xfId="14164" xr:uid="{D2A62053-2567-435B-8232-EDDBA66EFF3B}"/>
    <cellStyle name="60% - Énfasis4 9 2 2 2 2 2" xfId="29576" xr:uid="{C20339F5-FCCA-4DE4-A894-4A0A4A7E5420}"/>
    <cellStyle name="60% - Énfasis4 9 2 2 2 2 2 2" xfId="55341" xr:uid="{D48EBCE2-1C16-4225-B7AB-F7C59D378718}"/>
    <cellStyle name="60% - Énfasis4 9 2 2 2 2 3" xfId="55340" xr:uid="{AE26A341-C10C-467B-9503-0F235A78A09B}"/>
    <cellStyle name="60% - Énfasis4 9 2 2 2 3" xfId="21871" xr:uid="{5D7DE840-4AE7-47D4-8DA5-4EC2E8C2E0B5}"/>
    <cellStyle name="60% - Énfasis4 9 2 2 2 3 2" xfId="55342" xr:uid="{E00FBB1A-6C57-4BF3-B7A9-FA01747D45FE}"/>
    <cellStyle name="60% - Énfasis4 9 2 2 2 4" xfId="55339" xr:uid="{4AE965B0-480D-4361-8AD4-19FE927C0147}"/>
    <cellStyle name="60% - Énfasis4 9 2 2 3" xfId="10435" xr:uid="{1994A4FF-B1AE-4BE4-BDF2-6AAE0E534A1E}"/>
    <cellStyle name="60% - Énfasis4 9 2 2 3 2" xfId="25848" xr:uid="{840D6126-05D6-4470-AD52-CA0731865871}"/>
    <cellStyle name="60% - Énfasis4 9 2 2 3 2 2" xfId="55344" xr:uid="{F47FAD4F-8278-42E2-8B34-CA504C2E6BDC}"/>
    <cellStyle name="60% - Énfasis4 9 2 2 3 3" xfId="55343" xr:uid="{6801A86F-E4FE-47B3-8057-89355801DE7C}"/>
    <cellStyle name="60% - Énfasis4 9 2 2 4" xfId="18143" xr:uid="{20D988EA-38D2-4D2E-BABC-43D7C050250D}"/>
    <cellStyle name="60% - Énfasis4 9 2 2 4 2" xfId="55345" xr:uid="{F7EEDF60-7BA2-472B-B735-C24BE9BBF948}"/>
    <cellStyle name="60% - Énfasis4 9 2 2 5" xfId="55338" xr:uid="{F7107711-9D50-4E05-BB1A-8406939CDFC5}"/>
    <cellStyle name="60% - Énfasis4 9 2 3" xfId="4993" xr:uid="{A6BD171F-F2FE-44CD-9236-315F03829FE4}"/>
    <cellStyle name="60% - Énfasis4 9 2 3 2" xfId="12701" xr:uid="{4F4EF86B-5EC1-40A1-870D-4CA17B2EDDE4}"/>
    <cellStyle name="60% - Énfasis4 9 2 3 2 2" xfId="28113" xr:uid="{46E93B47-CDAC-4EC9-AE16-F4C349CE4698}"/>
    <cellStyle name="60% - Énfasis4 9 2 3 2 2 2" xfId="55348" xr:uid="{E38B8635-0693-4336-857F-1B41FF6C4DFE}"/>
    <cellStyle name="60% - Énfasis4 9 2 3 2 3" xfId="55347" xr:uid="{F3F808EB-DE83-44B9-9F26-109A6D0D8B2C}"/>
    <cellStyle name="60% - Énfasis4 9 2 3 3" xfId="20408" xr:uid="{5F6CAEE4-50FE-4C38-B8CB-613178B30128}"/>
    <cellStyle name="60% - Énfasis4 9 2 3 3 2" xfId="55349" xr:uid="{B288878A-EBEE-4EF8-A3CD-47EB9885209E}"/>
    <cellStyle name="60% - Énfasis4 9 2 3 4" xfId="55346" xr:uid="{3E93F9C6-6029-4BEF-8C9D-26DEE0DFC19E}"/>
    <cellStyle name="60% - Énfasis4 9 2 4" xfId="8976" xr:uid="{C807011C-E8FE-4013-B79F-92A7ED7CB3CF}"/>
    <cellStyle name="60% - Énfasis4 9 2 4 2" xfId="24389" xr:uid="{F941C335-03C0-472D-9AD8-9413D3933854}"/>
    <cellStyle name="60% - Énfasis4 9 2 4 2 2" xfId="55351" xr:uid="{23DFF1D5-DD7E-4080-A932-56FFEC796DEC}"/>
    <cellStyle name="60% - Énfasis4 9 2 4 3" xfId="55350" xr:uid="{E17285D6-BAC0-48EC-9FA5-E055D9A53705}"/>
    <cellStyle name="60% - Énfasis4 9 2 5" xfId="16684" xr:uid="{7F5D40B3-8762-47F0-9BC6-ADE8C26C9FC9}"/>
    <cellStyle name="60% - Énfasis4 9 2 5 2" xfId="55352" xr:uid="{106F4C48-E367-47F2-8E36-23E431399ADB}"/>
    <cellStyle name="60% - Énfasis4 9 2 6" xfId="55337" xr:uid="{4D64D1D3-BBC5-4CCE-B197-35BAE24C7BED}"/>
    <cellStyle name="60% - Énfasis4 9 3" xfId="2086" xr:uid="{C1E16563-7838-41B1-888E-B616269CD4F7}"/>
    <cellStyle name="60% - Énfasis4 9 3 2" xfId="5818" xr:uid="{5A5E19B2-CE0E-467C-B5CC-44EF175A7A39}"/>
    <cellStyle name="60% - Énfasis4 9 3 2 2" xfId="13526" xr:uid="{4B05A3C0-FDD6-4881-8F50-237BF69CE1B4}"/>
    <cellStyle name="60% - Énfasis4 9 3 2 2 2" xfId="28938" xr:uid="{81FE6F1D-25B9-463E-953C-86AAD714AA9C}"/>
    <cellStyle name="60% - Énfasis4 9 3 2 2 2 2" xfId="55356" xr:uid="{3D955883-3764-4574-848B-B84B47C7DC3B}"/>
    <cellStyle name="60% - Énfasis4 9 3 2 2 3" xfId="55355" xr:uid="{EAED3581-1494-4301-A788-C230D067B3D2}"/>
    <cellStyle name="60% - Énfasis4 9 3 2 3" xfId="21233" xr:uid="{02303F67-1184-4626-B72E-B538998EE737}"/>
    <cellStyle name="60% - Énfasis4 9 3 2 3 2" xfId="55357" xr:uid="{ED68CB6F-294A-4B6A-BA7C-CEEEED421978}"/>
    <cellStyle name="60% - Énfasis4 9 3 2 4" xfId="55354" xr:uid="{7B784D8E-BC62-47D8-9577-FAE4210BD393}"/>
    <cellStyle name="60% - Énfasis4 9 3 3" xfId="9797" xr:uid="{4BC93E3E-61D9-4722-B2D3-0763BD6EDDCC}"/>
    <cellStyle name="60% - Énfasis4 9 3 3 2" xfId="25210" xr:uid="{FA514B98-34B2-45F2-B805-5B492B86C7A3}"/>
    <cellStyle name="60% - Énfasis4 9 3 3 2 2" xfId="55359" xr:uid="{D2747CE1-65E3-415A-A9E0-742B7533233D}"/>
    <cellStyle name="60% - Énfasis4 9 3 3 3" xfId="55358" xr:uid="{DD3C5201-FF0F-4DC3-BE59-4166B7488CA7}"/>
    <cellStyle name="60% - Énfasis4 9 3 4" xfId="17505" xr:uid="{95225203-5650-4CB2-8DE9-3E14A7A624D7}"/>
    <cellStyle name="60% - Énfasis4 9 3 4 2" xfId="55360" xr:uid="{12A4AD21-D825-4E3C-843E-CEB5AB57B1C4}"/>
    <cellStyle name="60% - Énfasis4 9 3 5" xfId="55353" xr:uid="{C49F4FEA-9309-4592-B0F3-C46AB950AAF4}"/>
    <cellStyle name="60% - Énfasis4 9 4" xfId="4341" xr:uid="{D3B17A77-FCE6-47D1-8561-F54D6B68B1ED}"/>
    <cellStyle name="60% - Énfasis4 9 4 2" xfId="12049" xr:uid="{56E5DDB6-D474-4BE1-B67E-3D5C0DD65DB3}"/>
    <cellStyle name="60% - Énfasis4 9 4 2 2" xfId="27461" xr:uid="{161662D4-1FB3-4BDA-90EA-5469CBA4F768}"/>
    <cellStyle name="60% - Énfasis4 9 4 2 2 2" xfId="55363" xr:uid="{A6C0726B-1274-43E7-B7BB-28B0A1FF55E9}"/>
    <cellStyle name="60% - Énfasis4 9 4 2 3" xfId="55362" xr:uid="{E977ACF3-11B9-4699-B35C-FB0698635D27}"/>
    <cellStyle name="60% - Énfasis4 9 4 3" xfId="19756" xr:uid="{68B7CF62-B48C-441E-989E-B720FCBBE4BA}"/>
    <cellStyle name="60% - Énfasis4 9 4 3 2" xfId="55364" xr:uid="{25270B56-B934-4C58-A9F0-25C669427B3F}"/>
    <cellStyle name="60% - Énfasis4 9 4 4" xfId="55361" xr:uid="{860F7227-16B5-43DC-B1FE-596CA8864706}"/>
    <cellStyle name="60% - Énfasis4 9 5" xfId="8338" xr:uid="{8516A180-94E7-44DE-AE59-C062C77AD58E}"/>
    <cellStyle name="60% - Énfasis4 9 5 2" xfId="23751" xr:uid="{39436B6A-4FB2-4CAA-8285-2E8239A483B1}"/>
    <cellStyle name="60% - Énfasis4 9 5 2 2" xfId="55366" xr:uid="{AF04F768-8BB4-477C-BC28-1A6FD8751C17}"/>
    <cellStyle name="60% - Énfasis4 9 5 3" xfId="55365" xr:uid="{7386D588-137C-4467-B408-730284CD32BF}"/>
    <cellStyle name="60% - Énfasis4 9 6" xfId="16046" xr:uid="{EE6EB9C7-A8FC-4C3F-8506-8720D46D5E10}"/>
    <cellStyle name="60% - Énfasis4 9 6 2" xfId="55367" xr:uid="{EDB6D29C-D398-405A-9611-3FF0AB1CD2EA}"/>
    <cellStyle name="60% - Énfasis4 9 7" xfId="55336" xr:uid="{7E47C7E8-9118-4BB4-8787-459727D2A788}"/>
    <cellStyle name="60% - Énfasis5" xfId="52" builtinId="48" customBuiltin="1"/>
    <cellStyle name="60% - Énfasis5 10" xfId="619" xr:uid="{C4A1B694-996B-472A-B613-BACA8F153DBC}"/>
    <cellStyle name="60% - Énfasis5 10 2" xfId="1280" xr:uid="{DFE05BA9-3D15-442F-8F3A-2523FAD35235}"/>
    <cellStyle name="60% - Énfasis5 10 2 2" xfId="2747" xr:uid="{4B8E73D9-F6C6-4A7B-90BB-997221773670}"/>
    <cellStyle name="60% - Énfasis5 10 2 2 2" xfId="6479" xr:uid="{14FBF595-FEA2-47A8-98A3-23CA5B1E7D82}"/>
    <cellStyle name="60% - Énfasis5 10 2 2 2 2" xfId="14187" xr:uid="{A8193BE2-441E-4E6C-A4C8-66A2A3B202F8}"/>
    <cellStyle name="60% - Énfasis5 10 2 2 2 2 2" xfId="29599" xr:uid="{659543DB-D78D-41A4-9CA1-6854583096C2}"/>
    <cellStyle name="60% - Énfasis5 10 2 2 2 2 2 2" xfId="55373" xr:uid="{77FB9180-6828-4A57-81ED-166A2B14FFB2}"/>
    <cellStyle name="60% - Énfasis5 10 2 2 2 2 3" xfId="55372" xr:uid="{A276B096-8637-4A30-B850-753071E4F054}"/>
    <cellStyle name="60% - Énfasis5 10 2 2 2 3" xfId="21894" xr:uid="{B028079F-BCE3-482C-9397-7E3BA8D78C37}"/>
    <cellStyle name="60% - Énfasis5 10 2 2 2 3 2" xfId="55374" xr:uid="{C1EDFEDC-C6AE-4CE1-997B-78FA6CA4E0CB}"/>
    <cellStyle name="60% - Énfasis5 10 2 2 2 4" xfId="55371" xr:uid="{6409CD1B-3A49-4F84-A4EF-34E3FEEAD85B}"/>
    <cellStyle name="60% - Énfasis5 10 2 2 3" xfId="10458" xr:uid="{B9555ED5-CCCE-4C85-8193-99C03DAE914D}"/>
    <cellStyle name="60% - Énfasis5 10 2 2 3 2" xfId="25871" xr:uid="{160428B2-DCEC-459D-BDB4-FBB17E2E85A9}"/>
    <cellStyle name="60% - Énfasis5 10 2 2 3 2 2" xfId="55376" xr:uid="{0C2E09E7-9A73-495E-84B7-307FF942BB16}"/>
    <cellStyle name="60% - Énfasis5 10 2 2 3 3" xfId="55375" xr:uid="{3E5DBC7C-4E66-481D-BDAD-015ECC7D0EE8}"/>
    <cellStyle name="60% - Énfasis5 10 2 2 4" xfId="18166" xr:uid="{C28F1FBF-3D67-4E6F-8FC2-5A6AD595B342}"/>
    <cellStyle name="60% - Énfasis5 10 2 2 4 2" xfId="55377" xr:uid="{E540E2DA-4B2B-4D49-8F7A-ACD0EF7B815B}"/>
    <cellStyle name="60% - Énfasis5 10 2 2 5" xfId="55370" xr:uid="{A3176FC5-D6EE-4423-9B25-BFBD77F20988}"/>
    <cellStyle name="60% - Énfasis5 10 2 3" xfId="5016" xr:uid="{B495117F-2EF4-442C-B653-59B4B7C575A7}"/>
    <cellStyle name="60% - Énfasis5 10 2 3 2" xfId="12724" xr:uid="{9EE49F8E-E23A-4B36-BC5A-F3B572789E22}"/>
    <cellStyle name="60% - Énfasis5 10 2 3 2 2" xfId="28136" xr:uid="{6CA68839-1C06-4B50-996C-AC0C87183E5B}"/>
    <cellStyle name="60% - Énfasis5 10 2 3 2 2 2" xfId="55380" xr:uid="{DA046E48-A90E-481F-B078-B5C0C0E72370}"/>
    <cellStyle name="60% - Énfasis5 10 2 3 2 3" xfId="55379" xr:uid="{FB655179-AC00-4B24-8DCE-62C570898F5A}"/>
    <cellStyle name="60% - Énfasis5 10 2 3 3" xfId="20431" xr:uid="{BCD516D8-DDDE-4A3C-806D-C0F161D30C90}"/>
    <cellStyle name="60% - Énfasis5 10 2 3 3 2" xfId="55381" xr:uid="{A6422637-9A84-4D1D-AA92-E261B85FE821}"/>
    <cellStyle name="60% - Énfasis5 10 2 3 4" xfId="55378" xr:uid="{C1BF4331-B4D6-4140-943B-1C250161BF13}"/>
    <cellStyle name="60% - Énfasis5 10 2 4" xfId="8999" xr:uid="{4DA52897-DE80-4283-B56D-9738C4E0FA62}"/>
    <cellStyle name="60% - Énfasis5 10 2 4 2" xfId="24412" xr:uid="{79172D17-4F42-4EF5-84F6-44C7B0C93C88}"/>
    <cellStyle name="60% - Énfasis5 10 2 4 2 2" xfId="55383" xr:uid="{AA5582F5-FA14-49AB-91BA-C36E124E916D}"/>
    <cellStyle name="60% - Énfasis5 10 2 4 3" xfId="55382" xr:uid="{643381D8-4350-4181-9776-C7611884447B}"/>
    <cellStyle name="60% - Énfasis5 10 2 5" xfId="16707" xr:uid="{8CB0B616-E235-493E-AF35-6E08A01E75AD}"/>
    <cellStyle name="60% - Énfasis5 10 2 5 2" xfId="55384" xr:uid="{F3CF8E22-5086-4191-9787-01B580EFF076}"/>
    <cellStyle name="60% - Énfasis5 10 2 6" xfId="55369" xr:uid="{3B6D1214-0C28-4804-8F3D-B69D8C1FCBFB}"/>
    <cellStyle name="60% - Énfasis5 10 3" xfId="2109" xr:uid="{0600BA7D-9A69-4199-9932-ABBB8600A12F}"/>
    <cellStyle name="60% - Énfasis5 10 3 2" xfId="5841" xr:uid="{492DAF4D-7E0A-4EBC-A854-5B9BED9DB6D7}"/>
    <cellStyle name="60% - Énfasis5 10 3 2 2" xfId="13549" xr:uid="{4BFFC6BD-0C55-4681-9F1F-A2FA67A040FB}"/>
    <cellStyle name="60% - Énfasis5 10 3 2 2 2" xfId="28961" xr:uid="{DB611272-FC92-4BC5-A817-4DAFF4A4F7E5}"/>
    <cellStyle name="60% - Énfasis5 10 3 2 2 2 2" xfId="55388" xr:uid="{4B5D525C-B38C-409F-B0F7-FFD244428F8E}"/>
    <cellStyle name="60% - Énfasis5 10 3 2 2 3" xfId="55387" xr:uid="{95FC8618-DAF1-4A04-90FE-E7A47182313A}"/>
    <cellStyle name="60% - Énfasis5 10 3 2 3" xfId="21256" xr:uid="{94EC600B-F2AE-4332-8F0C-FA8E8DEACC38}"/>
    <cellStyle name="60% - Énfasis5 10 3 2 3 2" xfId="55389" xr:uid="{B32A6E0F-730F-48CA-9C47-96FFD926FDD8}"/>
    <cellStyle name="60% - Énfasis5 10 3 2 4" xfId="55386" xr:uid="{FA369189-B4A8-46CB-85E7-4D06A1D60C8C}"/>
    <cellStyle name="60% - Énfasis5 10 3 3" xfId="9820" xr:uid="{65109922-4A37-4EBB-8775-99D0EB31FD7C}"/>
    <cellStyle name="60% - Énfasis5 10 3 3 2" xfId="25233" xr:uid="{908265F2-DC31-4486-ACDD-56BAA9558DE9}"/>
    <cellStyle name="60% - Énfasis5 10 3 3 2 2" xfId="55391" xr:uid="{7F5F4160-D913-4CBB-A19A-CD7A346FFFBC}"/>
    <cellStyle name="60% - Énfasis5 10 3 3 3" xfId="55390" xr:uid="{CD069FE7-71E4-4E7F-B0CE-01CAAF6B39B5}"/>
    <cellStyle name="60% - Énfasis5 10 3 4" xfId="17528" xr:uid="{B2856A31-5E79-42BB-8853-071DB9B59273}"/>
    <cellStyle name="60% - Énfasis5 10 3 4 2" xfId="55392" xr:uid="{66464A76-70D6-4A29-B1B2-1EB59DBB6057}"/>
    <cellStyle name="60% - Énfasis5 10 3 5" xfId="55385" xr:uid="{DAA865C3-D2F4-4880-BC6A-7D2F89270BD1}"/>
    <cellStyle name="60% - Énfasis5 10 4" xfId="4364" xr:uid="{16CF5533-25DE-4E2C-87BA-EF803840D8D5}"/>
    <cellStyle name="60% - Énfasis5 10 4 2" xfId="12072" xr:uid="{05C6CFBB-DA68-4AE4-B383-209550A0350C}"/>
    <cellStyle name="60% - Énfasis5 10 4 2 2" xfId="27484" xr:uid="{8125D645-3710-45D8-AB4B-D3F883D6FB1C}"/>
    <cellStyle name="60% - Énfasis5 10 4 2 2 2" xfId="55395" xr:uid="{2C3B9D66-5C20-4C02-BD02-A7F3DAC1F4A4}"/>
    <cellStyle name="60% - Énfasis5 10 4 2 3" xfId="55394" xr:uid="{B58AC9BE-D2C5-4CB0-80E6-72AC9D8260A8}"/>
    <cellStyle name="60% - Énfasis5 10 4 3" xfId="19779" xr:uid="{92C8FE2D-F549-4832-9064-CBD4AAB47412}"/>
    <cellStyle name="60% - Énfasis5 10 4 3 2" xfId="55396" xr:uid="{164E9778-922C-4D04-AFF6-36BFD4516080}"/>
    <cellStyle name="60% - Énfasis5 10 4 4" xfId="55393" xr:uid="{5B4FBE33-441D-4AEE-BE1A-ABC2664332B6}"/>
    <cellStyle name="60% - Énfasis5 10 5" xfId="8361" xr:uid="{AF8C179D-79AF-44C3-A386-8F225312D13C}"/>
    <cellStyle name="60% - Énfasis5 10 5 2" xfId="23774" xr:uid="{30ACB282-0B66-4DDD-85D0-BB8F2B5D6C50}"/>
    <cellStyle name="60% - Énfasis5 10 5 2 2" xfId="55398" xr:uid="{5EAF481E-6444-47BF-8B66-3D644B133914}"/>
    <cellStyle name="60% - Énfasis5 10 5 3" xfId="55397" xr:uid="{CCF74826-DE83-4B08-A2A3-5142A2282EBB}"/>
    <cellStyle name="60% - Énfasis5 10 6" xfId="16069" xr:uid="{4C4E417E-1CA0-4665-A6F1-B17EA2D9F997}"/>
    <cellStyle name="60% - Énfasis5 10 6 2" xfId="55399" xr:uid="{12AF201B-31A6-4690-B161-451BCA246CDC}"/>
    <cellStyle name="60% - Énfasis5 10 7" xfId="55368" xr:uid="{77E23B9F-A433-4F39-B545-8649C545651B}"/>
    <cellStyle name="60% - Énfasis5 11" xfId="639" xr:uid="{88049087-2FAE-43CE-80E7-DE4FA8852743}"/>
    <cellStyle name="60% - Énfasis5 11 2" xfId="1300" xr:uid="{37C7A12A-AD98-4277-984D-88F894E19681}"/>
    <cellStyle name="60% - Énfasis5 11 2 2" xfId="2767" xr:uid="{75537997-8239-45B8-B3FB-100C941DF57B}"/>
    <cellStyle name="60% - Énfasis5 11 2 2 2" xfId="6499" xr:uid="{19A4C4AF-3FB9-4495-8B58-6C84AB3EC511}"/>
    <cellStyle name="60% - Énfasis5 11 2 2 2 2" xfId="14207" xr:uid="{BDACDB2E-4529-44FC-A3ED-597D618224B9}"/>
    <cellStyle name="60% - Énfasis5 11 2 2 2 2 2" xfId="29619" xr:uid="{5B8FBF60-C323-4A9E-874A-274894F11571}"/>
    <cellStyle name="60% - Énfasis5 11 2 2 2 2 2 2" xfId="55405" xr:uid="{C8471AD7-2495-4AC1-9CBF-D3316AD5BC9D}"/>
    <cellStyle name="60% - Énfasis5 11 2 2 2 2 3" xfId="55404" xr:uid="{109B3E54-EC19-49EC-B889-0B9F45D99269}"/>
    <cellStyle name="60% - Énfasis5 11 2 2 2 3" xfId="21914" xr:uid="{E580F428-A73B-42B2-9DA3-E27BDAC875AB}"/>
    <cellStyle name="60% - Énfasis5 11 2 2 2 3 2" xfId="55406" xr:uid="{4D5BE47D-FCE4-4437-B70A-F7F035C84696}"/>
    <cellStyle name="60% - Énfasis5 11 2 2 2 4" xfId="55403" xr:uid="{A8C07289-2D3F-4512-B6FF-D4A06EF985E0}"/>
    <cellStyle name="60% - Énfasis5 11 2 2 3" xfId="10478" xr:uid="{8391D4A9-E11E-45A3-8FA9-67B4566CAD74}"/>
    <cellStyle name="60% - Énfasis5 11 2 2 3 2" xfId="25891" xr:uid="{65050A6F-0330-426F-B11E-814BEFEB75BC}"/>
    <cellStyle name="60% - Énfasis5 11 2 2 3 2 2" xfId="55408" xr:uid="{E82BE767-65D8-46E6-A665-F368AC4ECACC}"/>
    <cellStyle name="60% - Énfasis5 11 2 2 3 3" xfId="55407" xr:uid="{06C3F855-9D55-412E-A71C-30BA2AA7FACE}"/>
    <cellStyle name="60% - Énfasis5 11 2 2 4" xfId="18186" xr:uid="{6CF118C3-B0BE-4E6E-AE57-C0583391649C}"/>
    <cellStyle name="60% - Énfasis5 11 2 2 4 2" xfId="55409" xr:uid="{93B76437-3447-41D1-A4AF-6C9991ED7657}"/>
    <cellStyle name="60% - Énfasis5 11 2 2 5" xfId="55402" xr:uid="{24106F6E-4713-4580-AEF8-0BC5D815F748}"/>
    <cellStyle name="60% - Énfasis5 11 2 3" xfId="5036" xr:uid="{8AD133DC-BC0B-4A3B-98D2-77467676AB69}"/>
    <cellStyle name="60% - Énfasis5 11 2 3 2" xfId="12744" xr:uid="{7B19EEAF-9483-494D-B67F-9F162ADEF519}"/>
    <cellStyle name="60% - Énfasis5 11 2 3 2 2" xfId="28156" xr:uid="{6E0A8D45-6C34-4456-BFDE-335C3169AACC}"/>
    <cellStyle name="60% - Énfasis5 11 2 3 2 2 2" xfId="55412" xr:uid="{1679E1DD-6713-4378-854C-E5C4E7C4BFD1}"/>
    <cellStyle name="60% - Énfasis5 11 2 3 2 3" xfId="55411" xr:uid="{449CD9DD-7A46-443C-9A06-85D4588BDF2B}"/>
    <cellStyle name="60% - Énfasis5 11 2 3 3" xfId="20451" xr:uid="{7B1D4C31-3D9E-4198-998B-CDEE13AB104B}"/>
    <cellStyle name="60% - Énfasis5 11 2 3 3 2" xfId="55413" xr:uid="{78D3B700-DD59-422A-BE23-86FFAF7BB752}"/>
    <cellStyle name="60% - Énfasis5 11 2 3 4" xfId="55410" xr:uid="{3C4175A3-718D-4CF9-81AA-7AC3EB9EDCCE}"/>
    <cellStyle name="60% - Énfasis5 11 2 4" xfId="9019" xr:uid="{10F59FFA-54BC-4B72-8C47-497C02C5C54D}"/>
    <cellStyle name="60% - Énfasis5 11 2 4 2" xfId="24432" xr:uid="{8FA7A96E-DC6C-44AE-BCFD-04227ACC2F35}"/>
    <cellStyle name="60% - Énfasis5 11 2 4 2 2" xfId="55415" xr:uid="{2622DB6B-B177-4850-8E11-A26B6D242263}"/>
    <cellStyle name="60% - Énfasis5 11 2 4 3" xfId="55414" xr:uid="{3EAAFBE6-CED5-409E-8B46-F1D9051BDCA3}"/>
    <cellStyle name="60% - Énfasis5 11 2 5" xfId="16727" xr:uid="{AD84B9E5-7A85-43B8-B4FD-58E4758C3BB6}"/>
    <cellStyle name="60% - Énfasis5 11 2 5 2" xfId="55416" xr:uid="{382D7D1D-04FE-4893-9833-43B7FAD09A94}"/>
    <cellStyle name="60% - Énfasis5 11 2 6" xfId="55401" xr:uid="{38305DE1-8E23-444E-93C1-E95AB019D98C}"/>
    <cellStyle name="60% - Énfasis5 11 3" xfId="2129" xr:uid="{2B93C93C-85D3-4F93-B425-21ACF648F1BB}"/>
    <cellStyle name="60% - Énfasis5 11 3 2" xfId="5861" xr:uid="{822D3B3A-4B4E-4243-BEF5-5E903C932F82}"/>
    <cellStyle name="60% - Énfasis5 11 3 2 2" xfId="13569" xr:uid="{79397BA2-DE1A-453F-8107-7FD213AF66C3}"/>
    <cellStyle name="60% - Énfasis5 11 3 2 2 2" xfId="28981" xr:uid="{6E8F1C76-66C9-4521-A8D4-20F227A86E81}"/>
    <cellStyle name="60% - Énfasis5 11 3 2 2 2 2" xfId="55420" xr:uid="{EDF0EBDF-14BD-49FA-A9E9-14E87366AE9D}"/>
    <cellStyle name="60% - Énfasis5 11 3 2 2 3" xfId="55419" xr:uid="{1154F76F-FE21-466F-AE51-85FFD63C9D9B}"/>
    <cellStyle name="60% - Énfasis5 11 3 2 3" xfId="21276" xr:uid="{9FA07870-7F16-4337-A644-D35AABEE0CD4}"/>
    <cellStyle name="60% - Énfasis5 11 3 2 3 2" xfId="55421" xr:uid="{02D60E43-3BA1-4BBD-8142-E1CF9766C380}"/>
    <cellStyle name="60% - Énfasis5 11 3 2 4" xfId="55418" xr:uid="{64A63E90-F79B-4824-A5EE-E1079EE42CF1}"/>
    <cellStyle name="60% - Énfasis5 11 3 3" xfId="9840" xr:uid="{1C7531F2-0868-4C00-962B-C742CA63BCCF}"/>
    <cellStyle name="60% - Énfasis5 11 3 3 2" xfId="25253" xr:uid="{18D4BF84-2F15-4441-AA3A-13CCDF6C8F2D}"/>
    <cellStyle name="60% - Énfasis5 11 3 3 2 2" xfId="55423" xr:uid="{456A2856-2F7F-4472-AA63-F9B88F33188D}"/>
    <cellStyle name="60% - Énfasis5 11 3 3 3" xfId="55422" xr:uid="{E7F98644-197A-493A-ABF2-8B2D8BC0A035}"/>
    <cellStyle name="60% - Énfasis5 11 3 4" xfId="17548" xr:uid="{F549CCCA-1240-4CBF-A380-6F00CEA7068C}"/>
    <cellStyle name="60% - Énfasis5 11 3 4 2" xfId="55424" xr:uid="{A9F51FE2-AFE5-41B4-9D45-D683F4C36435}"/>
    <cellStyle name="60% - Énfasis5 11 3 5" xfId="55417" xr:uid="{03E52394-916D-4601-A8BC-19E053EBF514}"/>
    <cellStyle name="60% - Énfasis5 11 4" xfId="4384" xr:uid="{EF44FB46-4E35-428A-B28A-A9512DA3F6BD}"/>
    <cellStyle name="60% - Énfasis5 11 4 2" xfId="12092" xr:uid="{C9BFD3B6-2A71-4505-BE9C-87FB5B7CC55E}"/>
    <cellStyle name="60% - Énfasis5 11 4 2 2" xfId="27504" xr:uid="{D3506743-4B1C-4CC5-A63D-4E3DDF42F873}"/>
    <cellStyle name="60% - Énfasis5 11 4 2 2 2" xfId="55427" xr:uid="{8D49C6CB-B9D4-4D1B-BAA5-6FE9CB20137C}"/>
    <cellStyle name="60% - Énfasis5 11 4 2 3" xfId="55426" xr:uid="{7C030F52-0277-4C8C-A385-69422BD36EB8}"/>
    <cellStyle name="60% - Énfasis5 11 4 3" xfId="19799" xr:uid="{37F8B43B-1B0C-493A-98EA-5253252C1145}"/>
    <cellStyle name="60% - Énfasis5 11 4 3 2" xfId="55428" xr:uid="{7B9D7115-7666-4059-AA88-7941FAA31FD6}"/>
    <cellStyle name="60% - Énfasis5 11 4 4" xfId="55425" xr:uid="{929B5AA3-1458-42EE-A8F6-0A312958D5D1}"/>
    <cellStyle name="60% - Énfasis5 11 5" xfId="8381" xr:uid="{B5E6689C-1EB7-458B-9B21-3F884908029C}"/>
    <cellStyle name="60% - Énfasis5 11 5 2" xfId="23794" xr:uid="{D86B3A2E-93AC-4C1D-BC7F-FE6381828B1F}"/>
    <cellStyle name="60% - Énfasis5 11 5 2 2" xfId="55430" xr:uid="{B436816C-0A54-4ACC-B50C-E4BBC243FFF1}"/>
    <cellStyle name="60% - Énfasis5 11 5 3" xfId="55429" xr:uid="{9F840046-DDEC-42EF-A33E-577514088769}"/>
    <cellStyle name="60% - Énfasis5 11 6" xfId="16089" xr:uid="{EAC4654A-AC95-4951-9910-85824E7508E9}"/>
    <cellStyle name="60% - Énfasis5 11 6 2" xfId="55431" xr:uid="{12886CA4-5371-4080-91C7-46DEFE285F61}"/>
    <cellStyle name="60% - Énfasis5 11 7" xfId="55400" xr:uid="{E034CD85-7FDA-47F2-A8A4-654145AEA15B}"/>
    <cellStyle name="60% - Énfasis5 12" xfId="660" xr:uid="{C2792CE2-E271-4C73-BA46-3D78953F3D7A}"/>
    <cellStyle name="60% - Énfasis5 12 2" xfId="1321" xr:uid="{2F83199E-AA5B-4EA8-A3AA-32A0F0C3A060}"/>
    <cellStyle name="60% - Énfasis5 12 2 2" xfId="2788" xr:uid="{61EB3892-1523-44AA-BBA7-95AEE6E38289}"/>
    <cellStyle name="60% - Énfasis5 12 2 2 2" xfId="6520" xr:uid="{CDAB9368-44F5-4592-999F-DEBF03ED40BC}"/>
    <cellStyle name="60% - Énfasis5 12 2 2 2 2" xfId="14228" xr:uid="{2FB1B355-A79E-427D-8ACF-9656D2654E25}"/>
    <cellStyle name="60% - Énfasis5 12 2 2 2 2 2" xfId="29640" xr:uid="{65AFB399-7F51-4F0A-BB18-992DE9374BD6}"/>
    <cellStyle name="60% - Énfasis5 12 2 2 2 2 2 2" xfId="55437" xr:uid="{5791F716-945A-4B6B-A8C3-EB111BFFE7B2}"/>
    <cellStyle name="60% - Énfasis5 12 2 2 2 2 3" xfId="55436" xr:uid="{AC537A5D-6F44-4297-8161-2470C1951244}"/>
    <cellStyle name="60% - Énfasis5 12 2 2 2 3" xfId="21935" xr:uid="{F6F1AA47-EEC8-4CD9-B318-AD5C28F716B9}"/>
    <cellStyle name="60% - Énfasis5 12 2 2 2 3 2" xfId="55438" xr:uid="{A0E8CCD8-14AA-4840-83F7-A19B8027D36A}"/>
    <cellStyle name="60% - Énfasis5 12 2 2 2 4" xfId="55435" xr:uid="{98B831EA-8BCC-4176-B0DF-CA9858D11787}"/>
    <cellStyle name="60% - Énfasis5 12 2 2 3" xfId="10499" xr:uid="{1ED36B4C-FEBB-4022-A06A-87837442F7B6}"/>
    <cellStyle name="60% - Énfasis5 12 2 2 3 2" xfId="25912" xr:uid="{2FB5D5EF-3CC5-4952-8AE6-FAF58174D635}"/>
    <cellStyle name="60% - Énfasis5 12 2 2 3 2 2" xfId="55440" xr:uid="{C38CAA75-D646-4991-942F-B9807D9249F4}"/>
    <cellStyle name="60% - Énfasis5 12 2 2 3 3" xfId="55439" xr:uid="{1DD07EC1-0668-4A15-90E4-FDE632D1A1C3}"/>
    <cellStyle name="60% - Énfasis5 12 2 2 4" xfId="18207" xr:uid="{6CD8B1BC-EE98-462E-B377-BC2BC5CAABB6}"/>
    <cellStyle name="60% - Énfasis5 12 2 2 4 2" xfId="55441" xr:uid="{FA35EB48-E968-4FBF-8854-685FEA007821}"/>
    <cellStyle name="60% - Énfasis5 12 2 2 5" xfId="55434" xr:uid="{02982DE1-B912-442B-98B0-9B78B69FE309}"/>
    <cellStyle name="60% - Énfasis5 12 2 3" xfId="5057" xr:uid="{DBBEE1AE-684A-408F-9D16-F868EE539834}"/>
    <cellStyle name="60% - Énfasis5 12 2 3 2" xfId="12765" xr:uid="{D432BD76-5D41-4A49-AAE9-C9CDD90CFF32}"/>
    <cellStyle name="60% - Énfasis5 12 2 3 2 2" xfId="28177" xr:uid="{944F805B-8E49-490C-B9E6-2A4D48712E17}"/>
    <cellStyle name="60% - Énfasis5 12 2 3 2 2 2" xfId="55444" xr:uid="{3FEF1596-536F-4DB4-B0DF-67FCDA1277C0}"/>
    <cellStyle name="60% - Énfasis5 12 2 3 2 3" xfId="55443" xr:uid="{ABF3450C-B07D-414A-AEBB-681D7F8311BC}"/>
    <cellStyle name="60% - Énfasis5 12 2 3 3" xfId="20472" xr:uid="{CE5CE6E9-B8D3-4A74-B624-2023828CBA08}"/>
    <cellStyle name="60% - Énfasis5 12 2 3 3 2" xfId="55445" xr:uid="{CFEA0494-5360-4945-AA1D-47B3490DFB85}"/>
    <cellStyle name="60% - Énfasis5 12 2 3 4" xfId="55442" xr:uid="{B6875EEF-2DD6-4996-9085-3BE05426F5F1}"/>
    <cellStyle name="60% - Énfasis5 12 2 4" xfId="9040" xr:uid="{A277D4BA-E88F-4B81-B163-B2B877FD2DC6}"/>
    <cellStyle name="60% - Énfasis5 12 2 4 2" xfId="24453" xr:uid="{15E2623B-BBFF-42AD-BD09-045BA128176E}"/>
    <cellStyle name="60% - Énfasis5 12 2 4 2 2" xfId="55447" xr:uid="{8BA76596-499A-4B14-9EE1-5D558055ECDE}"/>
    <cellStyle name="60% - Énfasis5 12 2 4 3" xfId="55446" xr:uid="{5AB47295-8D4D-4990-BB98-B32FC14ACA20}"/>
    <cellStyle name="60% - Énfasis5 12 2 5" xfId="16748" xr:uid="{2770066D-9139-4EF1-AFA9-A202A1E3DC5D}"/>
    <cellStyle name="60% - Énfasis5 12 2 5 2" xfId="55448" xr:uid="{B6E1DC7A-0F20-4388-9F8E-653B875A034B}"/>
    <cellStyle name="60% - Énfasis5 12 2 6" xfId="55433" xr:uid="{CC3C044D-FB96-4A06-8A82-3BEDE7CF4903}"/>
    <cellStyle name="60% - Énfasis5 12 3" xfId="2150" xr:uid="{1B0811AA-F8AD-4D5F-9266-B8A90FDC128F}"/>
    <cellStyle name="60% - Énfasis5 12 3 2" xfId="5882" xr:uid="{22F35EFA-4BE1-4208-9546-A035F9160AC9}"/>
    <cellStyle name="60% - Énfasis5 12 3 2 2" xfId="13590" xr:uid="{C89F91DC-81C5-4C45-B3E6-B69B41F8957A}"/>
    <cellStyle name="60% - Énfasis5 12 3 2 2 2" xfId="29002" xr:uid="{8C83E23F-3CF2-4041-B070-D872C9DD5F27}"/>
    <cellStyle name="60% - Énfasis5 12 3 2 2 2 2" xfId="55452" xr:uid="{4A567DF6-58A9-4845-8E11-9936D8EDC405}"/>
    <cellStyle name="60% - Énfasis5 12 3 2 2 3" xfId="55451" xr:uid="{3277AC13-EC04-421B-A981-137A518EA906}"/>
    <cellStyle name="60% - Énfasis5 12 3 2 3" xfId="21297" xr:uid="{4C283C5B-75B4-41E3-B666-0F2FED6E09E3}"/>
    <cellStyle name="60% - Énfasis5 12 3 2 3 2" xfId="55453" xr:uid="{E3865652-62E9-47AE-A051-36CE920DCF95}"/>
    <cellStyle name="60% - Énfasis5 12 3 2 4" xfId="55450" xr:uid="{B1A21266-70A1-4B06-8782-029C9830DB20}"/>
    <cellStyle name="60% - Énfasis5 12 3 3" xfId="9861" xr:uid="{ABD8927D-57AA-429B-9136-006B9EF36422}"/>
    <cellStyle name="60% - Énfasis5 12 3 3 2" xfId="25274" xr:uid="{7DBC2FCF-3196-4A40-91E7-B7B2A0309891}"/>
    <cellStyle name="60% - Énfasis5 12 3 3 2 2" xfId="55455" xr:uid="{D9CED9F7-03C0-44D8-9005-266315B20FD1}"/>
    <cellStyle name="60% - Énfasis5 12 3 3 3" xfId="55454" xr:uid="{AE969A21-9FF1-4A8C-89B2-E257E072B23E}"/>
    <cellStyle name="60% - Énfasis5 12 3 4" xfId="17569" xr:uid="{97F48DBE-1C99-490A-AE9F-130854A32DC5}"/>
    <cellStyle name="60% - Énfasis5 12 3 4 2" xfId="55456" xr:uid="{3A3A32A8-6CF2-444F-BD4B-9AB117C11222}"/>
    <cellStyle name="60% - Énfasis5 12 3 5" xfId="55449" xr:uid="{C0D8BC01-B8B6-46DC-A758-4CB6899EA662}"/>
    <cellStyle name="60% - Énfasis5 12 4" xfId="4405" xr:uid="{46D18B2A-3B4F-4D82-8AAC-F987B44AD2CF}"/>
    <cellStyle name="60% - Énfasis5 12 4 2" xfId="12113" xr:uid="{82CF2473-CD2F-4D65-85F4-6C294C06FB79}"/>
    <cellStyle name="60% - Énfasis5 12 4 2 2" xfId="27525" xr:uid="{5FC3414D-ADE4-4F64-82BB-A27CD92D465A}"/>
    <cellStyle name="60% - Énfasis5 12 4 2 2 2" xfId="55459" xr:uid="{529473E3-D21F-40AD-A3E3-9F3B6D41EA02}"/>
    <cellStyle name="60% - Énfasis5 12 4 2 3" xfId="55458" xr:uid="{147DFC70-93BE-488C-871E-22D711A835F0}"/>
    <cellStyle name="60% - Énfasis5 12 4 3" xfId="19820" xr:uid="{495A28C8-E801-4B23-9D64-3FAC1197F7C0}"/>
    <cellStyle name="60% - Énfasis5 12 4 3 2" xfId="55460" xr:uid="{7FE505BF-9687-4178-BD37-BADD7B563B3D}"/>
    <cellStyle name="60% - Énfasis5 12 4 4" xfId="55457" xr:uid="{517DB76F-994C-4FA8-BE4B-6EA876688E09}"/>
    <cellStyle name="60% - Énfasis5 12 5" xfId="8402" xr:uid="{9AC62D7D-8B85-489B-991D-6A5DD1431128}"/>
    <cellStyle name="60% - Énfasis5 12 5 2" xfId="23815" xr:uid="{7A13A1D7-A2BD-481A-9EFC-F3E290DF4B0C}"/>
    <cellStyle name="60% - Énfasis5 12 5 2 2" xfId="55462" xr:uid="{E9CC1C7D-A5D2-4B38-BD82-C1CE034B3F47}"/>
    <cellStyle name="60% - Énfasis5 12 5 3" xfId="55461" xr:uid="{EF456A3D-8EE5-4D71-9EFD-7670DB0E6FD8}"/>
    <cellStyle name="60% - Énfasis5 12 6" xfId="16110" xr:uid="{4CF10651-5863-4271-842D-3FD387CE8B10}"/>
    <cellStyle name="60% - Énfasis5 12 6 2" xfId="55463" xr:uid="{C7F84AF6-4516-4EFF-8150-D2A65A8053BE}"/>
    <cellStyle name="60% - Énfasis5 12 7" xfId="55432" xr:uid="{0F831BC2-2588-430B-99AD-E3A84301C006}"/>
    <cellStyle name="60% - Énfasis5 13" xfId="680" xr:uid="{5EF68978-7848-4B57-AC4A-F2F0EF59782A}"/>
    <cellStyle name="60% - Énfasis5 13 2" xfId="1341" xr:uid="{EAB0325A-B4A8-481F-87DF-98A5BF6E35EF}"/>
    <cellStyle name="60% - Énfasis5 13 2 2" xfId="2808" xr:uid="{4A48F201-01BF-4180-BA74-E50889542A45}"/>
    <cellStyle name="60% - Énfasis5 13 2 2 2" xfId="6540" xr:uid="{1DE84A64-B7C1-4E1A-A5FB-4271C28AED9D}"/>
    <cellStyle name="60% - Énfasis5 13 2 2 2 2" xfId="14248" xr:uid="{47E8EC9C-CD8E-4EB6-B5C6-0EC3242428C2}"/>
    <cellStyle name="60% - Énfasis5 13 2 2 2 2 2" xfId="29660" xr:uid="{646E1285-3AF9-4D35-AE51-9A49C2EF094A}"/>
    <cellStyle name="60% - Énfasis5 13 2 2 2 2 2 2" xfId="55469" xr:uid="{DBE6F07F-BDC7-4B21-8ED8-B11BF8172832}"/>
    <cellStyle name="60% - Énfasis5 13 2 2 2 2 3" xfId="55468" xr:uid="{077BB317-AEC6-489E-990D-9EA4AE643179}"/>
    <cellStyle name="60% - Énfasis5 13 2 2 2 3" xfId="21955" xr:uid="{7E74FCFD-5DF6-44DE-9F3E-CAF4875D2B4D}"/>
    <cellStyle name="60% - Énfasis5 13 2 2 2 3 2" xfId="55470" xr:uid="{4E55921C-E745-4067-8E2F-567F58081788}"/>
    <cellStyle name="60% - Énfasis5 13 2 2 2 4" xfId="55467" xr:uid="{EB74AC20-960F-4590-8BFB-B47B6D4E6227}"/>
    <cellStyle name="60% - Énfasis5 13 2 2 3" xfId="10519" xr:uid="{7F800A72-93BD-4996-8F51-434DBBC2A0B8}"/>
    <cellStyle name="60% - Énfasis5 13 2 2 3 2" xfId="25932" xr:uid="{0079B95E-6C1B-4B05-9971-A78A1727DFEE}"/>
    <cellStyle name="60% - Énfasis5 13 2 2 3 2 2" xfId="55472" xr:uid="{0AC09196-2C0A-41E0-9067-32548249A27C}"/>
    <cellStyle name="60% - Énfasis5 13 2 2 3 3" xfId="55471" xr:uid="{DA874FAD-F49C-43E5-A8D1-62B0698D72A3}"/>
    <cellStyle name="60% - Énfasis5 13 2 2 4" xfId="18227" xr:uid="{1EEFEA2C-D6E7-4D43-902D-3F6593B1EF90}"/>
    <cellStyle name="60% - Énfasis5 13 2 2 4 2" xfId="55473" xr:uid="{88822918-831D-4DF6-A3C5-94150E08A85A}"/>
    <cellStyle name="60% - Énfasis5 13 2 2 5" xfId="55466" xr:uid="{51D38FDD-7924-4A4F-A77C-C16E1921E6CF}"/>
    <cellStyle name="60% - Énfasis5 13 2 3" xfId="5077" xr:uid="{7A444C70-BAC9-4A19-B87D-BCBEA334865C}"/>
    <cellStyle name="60% - Énfasis5 13 2 3 2" xfId="12785" xr:uid="{7007BAA0-47AC-4962-B7D2-E0BA1956EFCB}"/>
    <cellStyle name="60% - Énfasis5 13 2 3 2 2" xfId="28197" xr:uid="{BFEAB03B-D26D-4AC9-8201-0E81ADBCB8DB}"/>
    <cellStyle name="60% - Énfasis5 13 2 3 2 2 2" xfId="55476" xr:uid="{1B832036-2C87-4515-804A-48AF192D27C4}"/>
    <cellStyle name="60% - Énfasis5 13 2 3 2 3" xfId="55475" xr:uid="{D3BF3CF2-5907-412B-B7E8-4B7E9E905DE1}"/>
    <cellStyle name="60% - Énfasis5 13 2 3 3" xfId="20492" xr:uid="{32D8E9E0-93FA-4F19-A12A-14DB4D328571}"/>
    <cellStyle name="60% - Énfasis5 13 2 3 3 2" xfId="55477" xr:uid="{26AA0D04-6C5B-4CD7-AB2F-9B4EA19D360B}"/>
    <cellStyle name="60% - Énfasis5 13 2 3 4" xfId="55474" xr:uid="{BCB8BB31-AD40-4B27-AB1E-0DE1F6F9D6B4}"/>
    <cellStyle name="60% - Énfasis5 13 2 4" xfId="9060" xr:uid="{FE3ADBDA-225F-4276-AE7E-6787A562EB00}"/>
    <cellStyle name="60% - Énfasis5 13 2 4 2" xfId="24473" xr:uid="{FDF7C01B-CAD9-4968-A5E6-88C708595A7A}"/>
    <cellStyle name="60% - Énfasis5 13 2 4 2 2" xfId="55479" xr:uid="{B4E5A418-2E90-44A2-A5BC-B84ADE90E747}"/>
    <cellStyle name="60% - Énfasis5 13 2 4 3" xfId="55478" xr:uid="{79B73756-30C3-4DB6-B565-B2B782A148EB}"/>
    <cellStyle name="60% - Énfasis5 13 2 5" xfId="16768" xr:uid="{468EB948-1839-4E63-A31F-49CB8226C454}"/>
    <cellStyle name="60% - Énfasis5 13 2 5 2" xfId="55480" xr:uid="{9E84C419-5886-41CD-B10D-EFDED400612C}"/>
    <cellStyle name="60% - Énfasis5 13 2 6" xfId="55465" xr:uid="{E302C324-83E9-438D-9C18-99025C2F6909}"/>
    <cellStyle name="60% - Énfasis5 13 3" xfId="2170" xr:uid="{7F9BCE33-DFC8-4EE2-8FBC-C18E56BF0F04}"/>
    <cellStyle name="60% - Énfasis5 13 3 2" xfId="5902" xr:uid="{96B3FF11-3FF7-41C4-9DB5-AC81EAA2D643}"/>
    <cellStyle name="60% - Énfasis5 13 3 2 2" xfId="13610" xr:uid="{EF853A3A-8F58-4BE5-BBD7-A287FE17396F}"/>
    <cellStyle name="60% - Énfasis5 13 3 2 2 2" xfId="29022" xr:uid="{14564B35-E809-4746-9305-B71315E1CE2D}"/>
    <cellStyle name="60% - Énfasis5 13 3 2 2 2 2" xfId="55484" xr:uid="{C9BFA020-0BB8-4FAF-AC69-C879A4E4CE32}"/>
    <cellStyle name="60% - Énfasis5 13 3 2 2 3" xfId="55483" xr:uid="{0DA36820-49AE-4FF3-9823-00BBDB166272}"/>
    <cellStyle name="60% - Énfasis5 13 3 2 3" xfId="21317" xr:uid="{1A569178-AE83-496F-B62C-3FF714B2D31A}"/>
    <cellStyle name="60% - Énfasis5 13 3 2 3 2" xfId="55485" xr:uid="{398DDF2F-72F2-4337-A141-E1F9FD1FD656}"/>
    <cellStyle name="60% - Énfasis5 13 3 2 4" xfId="55482" xr:uid="{4D8B9424-15C8-4636-8243-F8AB386B544A}"/>
    <cellStyle name="60% - Énfasis5 13 3 3" xfId="9881" xr:uid="{946DDA1B-B544-4297-8F2A-40FE8FCBCAF4}"/>
    <cellStyle name="60% - Énfasis5 13 3 3 2" xfId="25294" xr:uid="{D0765BF5-899F-4E3C-8B02-62B2FA2F6330}"/>
    <cellStyle name="60% - Énfasis5 13 3 3 2 2" xfId="55487" xr:uid="{6DD461B4-561A-4A93-99AE-FA9355A55294}"/>
    <cellStyle name="60% - Énfasis5 13 3 3 3" xfId="55486" xr:uid="{C9A8EB1A-7CBC-47BA-A8BE-E614E27597E4}"/>
    <cellStyle name="60% - Énfasis5 13 3 4" xfId="17589" xr:uid="{30294796-F70D-4184-8B04-D37C1358E178}"/>
    <cellStyle name="60% - Énfasis5 13 3 4 2" xfId="55488" xr:uid="{D31E367C-BBAB-4B56-8F3E-778EA23F38B4}"/>
    <cellStyle name="60% - Énfasis5 13 3 5" xfId="55481" xr:uid="{71F2E885-AD56-45AF-810F-1009B9685178}"/>
    <cellStyle name="60% - Énfasis5 13 4" xfId="4425" xr:uid="{47ACB28D-E06F-4619-9159-CB663CEB21B9}"/>
    <cellStyle name="60% - Énfasis5 13 4 2" xfId="12133" xr:uid="{7DF12861-C3B6-443B-BB8D-18B05A9FDF0D}"/>
    <cellStyle name="60% - Énfasis5 13 4 2 2" xfId="27545" xr:uid="{664E8829-1BFE-4486-8295-436D1BE0DD46}"/>
    <cellStyle name="60% - Énfasis5 13 4 2 2 2" xfId="55491" xr:uid="{C935C14A-6227-4DE0-A951-AA99C2F4E67F}"/>
    <cellStyle name="60% - Énfasis5 13 4 2 3" xfId="55490" xr:uid="{8EC1FF34-45AC-4317-9BC9-47DCD7DC3414}"/>
    <cellStyle name="60% - Énfasis5 13 4 3" xfId="19840" xr:uid="{483D9B7C-8AA5-40DC-9019-3B591646738F}"/>
    <cellStyle name="60% - Énfasis5 13 4 3 2" xfId="55492" xr:uid="{30BE45E3-2DAF-4947-AC82-ABAD7559055C}"/>
    <cellStyle name="60% - Énfasis5 13 4 4" xfId="55489" xr:uid="{3EE92C5F-C330-4934-A410-78067CB2B0DB}"/>
    <cellStyle name="60% - Énfasis5 13 5" xfId="8422" xr:uid="{14D78C1C-3D3F-40DF-832A-1D38474146F7}"/>
    <cellStyle name="60% - Énfasis5 13 5 2" xfId="23835" xr:uid="{EB205B8B-98DC-4145-9335-C7414649F472}"/>
    <cellStyle name="60% - Énfasis5 13 5 2 2" xfId="55494" xr:uid="{BF4971D2-FE73-4C41-BCAF-2334F5F68200}"/>
    <cellStyle name="60% - Énfasis5 13 5 3" xfId="55493" xr:uid="{478EC2FC-F81A-4437-BA7E-10D6BE292A68}"/>
    <cellStyle name="60% - Énfasis5 13 6" xfId="16130" xr:uid="{65A0A7C3-6C2B-4D51-B51A-038B1B109E71}"/>
    <cellStyle name="60% - Énfasis5 13 6 2" xfId="55495" xr:uid="{F87B50F1-27F2-44F2-B8DE-F11810883B5D}"/>
    <cellStyle name="60% - Énfasis5 13 7" xfId="55464" xr:uid="{1C2C68D1-F807-46C3-A94E-9F9FB96B476E}"/>
    <cellStyle name="60% - Énfasis5 14" xfId="700" xr:uid="{7BD28359-131F-4CA9-932B-05B6A8A10F49}"/>
    <cellStyle name="60% - Énfasis5 14 2" xfId="1361" xr:uid="{8D12CD16-16CF-4977-9C4B-EAB164E2B777}"/>
    <cellStyle name="60% - Énfasis5 14 2 2" xfId="2828" xr:uid="{B47C0D65-9B8C-492D-B51A-D0919BE79642}"/>
    <cellStyle name="60% - Énfasis5 14 2 2 2" xfId="6560" xr:uid="{0E514AAA-EC56-472A-8F11-1C7BECE7B5B4}"/>
    <cellStyle name="60% - Énfasis5 14 2 2 2 2" xfId="14268" xr:uid="{266315DD-6E15-4B8A-8D29-45ACB6723184}"/>
    <cellStyle name="60% - Énfasis5 14 2 2 2 2 2" xfId="29680" xr:uid="{D428976C-282F-4119-9C3F-7455F6D8A4C3}"/>
    <cellStyle name="60% - Énfasis5 14 2 2 2 2 2 2" xfId="55501" xr:uid="{BD2278B5-8F75-46C8-857B-033CA8AF359B}"/>
    <cellStyle name="60% - Énfasis5 14 2 2 2 2 3" xfId="55500" xr:uid="{336FC079-F10A-4D5D-9960-F79249908B8C}"/>
    <cellStyle name="60% - Énfasis5 14 2 2 2 3" xfId="21975" xr:uid="{1EE09713-9B48-4006-9C34-CC270F25E3FB}"/>
    <cellStyle name="60% - Énfasis5 14 2 2 2 3 2" xfId="55502" xr:uid="{759997E1-48CE-4BC7-AB10-4E2D4AA821FB}"/>
    <cellStyle name="60% - Énfasis5 14 2 2 2 4" xfId="55499" xr:uid="{AE41703E-031C-4F68-877B-B7D937898FF5}"/>
    <cellStyle name="60% - Énfasis5 14 2 2 3" xfId="10539" xr:uid="{E2C646D8-78A1-46A6-98B9-657E0C9EAED1}"/>
    <cellStyle name="60% - Énfasis5 14 2 2 3 2" xfId="25952" xr:uid="{3EE0DF9F-5B57-4D92-A83D-2DB56DB1CAA1}"/>
    <cellStyle name="60% - Énfasis5 14 2 2 3 2 2" xfId="55504" xr:uid="{6B0A3E27-EF3C-4B9E-9686-CB7EC4AF7C06}"/>
    <cellStyle name="60% - Énfasis5 14 2 2 3 3" xfId="55503" xr:uid="{5DBFAD77-CD7D-491C-A55A-B7449E90C721}"/>
    <cellStyle name="60% - Énfasis5 14 2 2 4" xfId="18247" xr:uid="{C7D03558-ACB0-42D8-BDF2-AA4AAAAF02B5}"/>
    <cellStyle name="60% - Énfasis5 14 2 2 4 2" xfId="55505" xr:uid="{9B8F44CB-B20F-404A-8CD1-ECD2566D4CAA}"/>
    <cellStyle name="60% - Énfasis5 14 2 2 5" xfId="55498" xr:uid="{717513F9-395A-4199-AF57-C1BE4F115CB2}"/>
    <cellStyle name="60% - Énfasis5 14 2 3" xfId="5097" xr:uid="{FAE49EF3-B52D-474E-AA33-01D5E82AC373}"/>
    <cellStyle name="60% - Énfasis5 14 2 3 2" xfId="12805" xr:uid="{590829B3-BC02-47A3-8F56-638EA22A0C07}"/>
    <cellStyle name="60% - Énfasis5 14 2 3 2 2" xfId="28217" xr:uid="{424E14E5-8A8A-4E97-A5B2-4A492626C7D4}"/>
    <cellStyle name="60% - Énfasis5 14 2 3 2 2 2" xfId="55508" xr:uid="{6ACAC940-6F5F-4E7C-A849-D498740FCBC7}"/>
    <cellStyle name="60% - Énfasis5 14 2 3 2 3" xfId="55507" xr:uid="{9A0D3D4C-4FD8-4806-B2AC-CE149077E3B2}"/>
    <cellStyle name="60% - Énfasis5 14 2 3 3" xfId="20512" xr:uid="{293DEE75-F3E3-458A-AB19-06900E102EC7}"/>
    <cellStyle name="60% - Énfasis5 14 2 3 3 2" xfId="55509" xr:uid="{09A3B524-0935-41A7-8BC7-C2617C18E3D7}"/>
    <cellStyle name="60% - Énfasis5 14 2 3 4" xfId="55506" xr:uid="{56506607-E656-44D2-8F6B-B8B3685CC019}"/>
    <cellStyle name="60% - Énfasis5 14 2 4" xfId="9080" xr:uid="{F512A2F2-0098-4A02-B5FC-80E27B5DD194}"/>
    <cellStyle name="60% - Énfasis5 14 2 4 2" xfId="24493" xr:uid="{38BBDDBE-06A4-439B-9CF2-798A99BAD09F}"/>
    <cellStyle name="60% - Énfasis5 14 2 4 2 2" xfId="55511" xr:uid="{4D82CEE4-50FC-41E5-9C9A-D7D4B14722AE}"/>
    <cellStyle name="60% - Énfasis5 14 2 4 3" xfId="55510" xr:uid="{8E6433B2-2449-4037-B1FF-F134B50C8D50}"/>
    <cellStyle name="60% - Énfasis5 14 2 5" xfId="16788" xr:uid="{7655E22E-77F9-4AA9-A964-B7E993A74763}"/>
    <cellStyle name="60% - Énfasis5 14 2 5 2" xfId="55512" xr:uid="{B9F140C8-32B8-4F0C-A2ED-2516FC400E06}"/>
    <cellStyle name="60% - Énfasis5 14 2 6" xfId="55497" xr:uid="{3717FCD0-6C63-4135-96C8-703C1F0ABC10}"/>
    <cellStyle name="60% - Énfasis5 14 3" xfId="2190" xr:uid="{23E41275-C419-4182-BF93-656562EDE6C5}"/>
    <cellStyle name="60% - Énfasis5 14 3 2" xfId="5922" xr:uid="{FC88DE3F-E487-432A-B61A-9A5DCC743731}"/>
    <cellStyle name="60% - Énfasis5 14 3 2 2" xfId="13630" xr:uid="{FF71E86E-DC25-40E9-962D-D7B42F954F32}"/>
    <cellStyle name="60% - Énfasis5 14 3 2 2 2" xfId="29042" xr:uid="{B12572DA-4568-470D-AB61-39B9E850EF1F}"/>
    <cellStyle name="60% - Énfasis5 14 3 2 2 2 2" xfId="55516" xr:uid="{F57634D9-4CBC-47BE-B595-F211DC42230D}"/>
    <cellStyle name="60% - Énfasis5 14 3 2 2 3" xfId="55515" xr:uid="{9B6D2FA7-1F32-4C13-AACC-82CDCA2E3428}"/>
    <cellStyle name="60% - Énfasis5 14 3 2 3" xfId="21337" xr:uid="{A88B8874-19D5-4CBD-86DA-7D2AA1E6986A}"/>
    <cellStyle name="60% - Énfasis5 14 3 2 3 2" xfId="55517" xr:uid="{0B5EA414-F7DB-419F-9080-DF88A35FEC78}"/>
    <cellStyle name="60% - Énfasis5 14 3 2 4" xfId="55514" xr:uid="{56AF245B-E2CA-47FE-9CAB-6FA72BF0BA15}"/>
    <cellStyle name="60% - Énfasis5 14 3 3" xfId="9901" xr:uid="{156E74AB-92B4-44B8-AE9E-09C86065119F}"/>
    <cellStyle name="60% - Énfasis5 14 3 3 2" xfId="25314" xr:uid="{A2BDC15E-3685-42BB-B1F4-AFBB5CEF7E45}"/>
    <cellStyle name="60% - Énfasis5 14 3 3 2 2" xfId="55519" xr:uid="{F66AD733-C0A3-43E9-9D4C-83DAB0989693}"/>
    <cellStyle name="60% - Énfasis5 14 3 3 3" xfId="55518" xr:uid="{5F68F4D9-8BB0-4EE0-A5F2-323B034E928E}"/>
    <cellStyle name="60% - Énfasis5 14 3 4" xfId="17609" xr:uid="{FF52B99A-F9ED-477D-9AE1-9F455223BEA9}"/>
    <cellStyle name="60% - Énfasis5 14 3 4 2" xfId="55520" xr:uid="{BBDC8466-B494-4648-961A-84DBB4EDCA1D}"/>
    <cellStyle name="60% - Énfasis5 14 3 5" xfId="55513" xr:uid="{1D2D5663-B0CE-46F2-ABE3-5A7BA099AE27}"/>
    <cellStyle name="60% - Énfasis5 14 4" xfId="4445" xr:uid="{1D4104E5-C80D-414D-A9E1-7F59C1225907}"/>
    <cellStyle name="60% - Énfasis5 14 4 2" xfId="12153" xr:uid="{93239314-9373-4132-8639-8F78EF62B080}"/>
    <cellStyle name="60% - Énfasis5 14 4 2 2" xfId="27565" xr:uid="{25005B55-7CCA-45CE-8C38-9569E30E6503}"/>
    <cellStyle name="60% - Énfasis5 14 4 2 2 2" xfId="55523" xr:uid="{38041D88-3466-4738-A530-341ECFC26E18}"/>
    <cellStyle name="60% - Énfasis5 14 4 2 3" xfId="55522" xr:uid="{4FC99CEE-3311-4825-8EC3-6E04D9B53522}"/>
    <cellStyle name="60% - Énfasis5 14 4 3" xfId="19860" xr:uid="{A440B824-941E-4975-A971-003A87E85C83}"/>
    <cellStyle name="60% - Énfasis5 14 4 3 2" xfId="55524" xr:uid="{F8757BBA-73A9-42CD-B324-49FA27602C10}"/>
    <cellStyle name="60% - Énfasis5 14 4 4" xfId="55521" xr:uid="{74E70D25-5CDB-4409-9698-9DCC5C9726CD}"/>
    <cellStyle name="60% - Énfasis5 14 5" xfId="8442" xr:uid="{5E246884-B478-4279-906A-3BCA998993AF}"/>
    <cellStyle name="60% - Énfasis5 14 5 2" xfId="23855" xr:uid="{A0A8D359-0448-436E-AE74-C243004C4B50}"/>
    <cellStyle name="60% - Énfasis5 14 5 2 2" xfId="55526" xr:uid="{63CEB74B-B5AF-4723-BD43-E363059F5B32}"/>
    <cellStyle name="60% - Énfasis5 14 5 3" xfId="55525" xr:uid="{03450441-BEB4-4A35-B19B-E5F4A2DFC9B8}"/>
    <cellStyle name="60% - Énfasis5 14 6" xfId="16150" xr:uid="{814B37EB-C517-4426-8835-E5D148B8406A}"/>
    <cellStyle name="60% - Énfasis5 14 6 2" xfId="55527" xr:uid="{93025ABD-ACD2-4E89-B708-148CE26B9F8B}"/>
    <cellStyle name="60% - Énfasis5 14 7" xfId="55496" xr:uid="{79C47C7C-1CA2-4D0F-9E28-3C133A09D724}"/>
    <cellStyle name="60% - Énfasis5 15" xfId="721" xr:uid="{F3277BC4-0FD3-437F-A232-D87FCFD6B276}"/>
    <cellStyle name="60% - Énfasis5 15 2" xfId="1382" xr:uid="{71B3CD65-2752-4150-A5DE-241F11DD9B17}"/>
    <cellStyle name="60% - Énfasis5 15 2 2" xfId="2849" xr:uid="{43D22707-71CC-404B-A111-5037EEE298D4}"/>
    <cellStyle name="60% - Énfasis5 15 2 2 2" xfId="6581" xr:uid="{4629655B-F7A0-4454-ACB1-DF752AB286FB}"/>
    <cellStyle name="60% - Énfasis5 15 2 2 2 2" xfId="14289" xr:uid="{ECA43DF9-E914-4BA9-9144-421BC28F3C57}"/>
    <cellStyle name="60% - Énfasis5 15 2 2 2 2 2" xfId="29701" xr:uid="{6B7BBA3E-7831-4FB1-92E0-02788D5B7976}"/>
    <cellStyle name="60% - Énfasis5 15 2 2 2 2 2 2" xfId="55533" xr:uid="{096A6AF9-9CD6-4EE9-958F-258019CBE4B4}"/>
    <cellStyle name="60% - Énfasis5 15 2 2 2 2 3" xfId="55532" xr:uid="{1BA57393-7B2D-4B9D-ADBF-22119F7727D8}"/>
    <cellStyle name="60% - Énfasis5 15 2 2 2 3" xfId="21996" xr:uid="{D5565C10-277A-4661-AA29-59B18E30B8EE}"/>
    <cellStyle name="60% - Énfasis5 15 2 2 2 3 2" xfId="55534" xr:uid="{BD61E033-09E3-4CC3-9709-CDB74276F94E}"/>
    <cellStyle name="60% - Énfasis5 15 2 2 2 4" xfId="55531" xr:uid="{50A5777B-CEC4-4C4B-AD17-2FCE3D4BCACA}"/>
    <cellStyle name="60% - Énfasis5 15 2 2 3" xfId="10560" xr:uid="{C61EA325-53AC-483E-B6C8-0695947A1EAC}"/>
    <cellStyle name="60% - Énfasis5 15 2 2 3 2" xfId="25973" xr:uid="{0189266B-2B11-4798-BADD-E88569CEB1BE}"/>
    <cellStyle name="60% - Énfasis5 15 2 2 3 2 2" xfId="55536" xr:uid="{4291C816-794E-44A1-A60C-4B13C3110D5D}"/>
    <cellStyle name="60% - Énfasis5 15 2 2 3 3" xfId="55535" xr:uid="{2F3ECA41-3F07-4C2D-919A-719460670152}"/>
    <cellStyle name="60% - Énfasis5 15 2 2 4" xfId="18268" xr:uid="{382ABE78-66DE-437C-A4C6-77F1ED44BB7D}"/>
    <cellStyle name="60% - Énfasis5 15 2 2 4 2" xfId="55537" xr:uid="{C5484EFD-7C82-40EA-95C6-3D6065970B86}"/>
    <cellStyle name="60% - Énfasis5 15 2 2 5" xfId="55530" xr:uid="{84A6E7ED-D3DE-461D-9445-6203BF8A888D}"/>
    <cellStyle name="60% - Énfasis5 15 2 3" xfId="5118" xr:uid="{EEE68BE3-6797-430E-91A1-143A28DB73F9}"/>
    <cellStyle name="60% - Énfasis5 15 2 3 2" xfId="12826" xr:uid="{5EEA9666-01B7-4D8D-8769-85A3ACEDC2E5}"/>
    <cellStyle name="60% - Énfasis5 15 2 3 2 2" xfId="28238" xr:uid="{F1DFE254-736B-4D35-AEC3-2E59AE4D7612}"/>
    <cellStyle name="60% - Énfasis5 15 2 3 2 2 2" xfId="55540" xr:uid="{137840F3-5512-412D-A288-BD6D036F699A}"/>
    <cellStyle name="60% - Énfasis5 15 2 3 2 3" xfId="55539" xr:uid="{23B69BF5-6CD4-4677-9ACC-F1068639DD7F}"/>
    <cellStyle name="60% - Énfasis5 15 2 3 3" xfId="20533" xr:uid="{06CC6C68-F65E-4108-B85F-305F4AA397FC}"/>
    <cellStyle name="60% - Énfasis5 15 2 3 3 2" xfId="55541" xr:uid="{8E182A26-5840-4C65-911A-14736B1F1890}"/>
    <cellStyle name="60% - Énfasis5 15 2 3 4" xfId="55538" xr:uid="{5BB35A55-5B50-4A75-B13E-7A414923E560}"/>
    <cellStyle name="60% - Énfasis5 15 2 4" xfId="9101" xr:uid="{BCBD57EA-43C6-45AE-91D0-6D8A4B39B56C}"/>
    <cellStyle name="60% - Énfasis5 15 2 4 2" xfId="24514" xr:uid="{FA364873-CF4E-4963-9BFA-10A35019D221}"/>
    <cellStyle name="60% - Énfasis5 15 2 4 2 2" xfId="55543" xr:uid="{F9A94546-1DF7-46BC-9C7A-27168F26E923}"/>
    <cellStyle name="60% - Énfasis5 15 2 4 3" xfId="55542" xr:uid="{DF76948B-2EB4-42E3-A9F5-46F5246A7A6B}"/>
    <cellStyle name="60% - Énfasis5 15 2 5" xfId="16809" xr:uid="{411567FD-10F3-4314-822E-3A642C64D80E}"/>
    <cellStyle name="60% - Énfasis5 15 2 5 2" xfId="55544" xr:uid="{2270D5F3-6C41-4283-B277-57128940289B}"/>
    <cellStyle name="60% - Énfasis5 15 2 6" xfId="55529" xr:uid="{0F00A5A5-629B-4262-AF08-67D60D4EF296}"/>
    <cellStyle name="60% - Énfasis5 15 3" xfId="2211" xr:uid="{7244C646-4391-4B1C-B614-17D9117031CD}"/>
    <cellStyle name="60% - Énfasis5 15 3 2" xfId="5943" xr:uid="{CC0523B9-482C-4B36-84C0-29AD74A88776}"/>
    <cellStyle name="60% - Énfasis5 15 3 2 2" xfId="13651" xr:uid="{439BD839-E636-4F91-A1D2-05D7851471C1}"/>
    <cellStyle name="60% - Énfasis5 15 3 2 2 2" xfId="29063" xr:uid="{E6996388-D1AF-4F1C-B1F3-0ABF91DEAFE6}"/>
    <cellStyle name="60% - Énfasis5 15 3 2 2 2 2" xfId="55548" xr:uid="{3BA732B8-5425-4A26-B293-C8E2D5F6F796}"/>
    <cellStyle name="60% - Énfasis5 15 3 2 2 3" xfId="55547" xr:uid="{92D85753-CB6F-4F2C-89D7-2ABAFDA36604}"/>
    <cellStyle name="60% - Énfasis5 15 3 2 3" xfId="21358" xr:uid="{9775006C-E30C-40FA-AB4C-DB2DE9C763CE}"/>
    <cellStyle name="60% - Énfasis5 15 3 2 3 2" xfId="55549" xr:uid="{C7283585-2B6B-4A85-9E09-13F50D375C53}"/>
    <cellStyle name="60% - Énfasis5 15 3 2 4" xfId="55546" xr:uid="{1AD092B2-505C-47B3-BBB1-DF407F161ECA}"/>
    <cellStyle name="60% - Énfasis5 15 3 3" xfId="9922" xr:uid="{0485EFB0-B346-437F-837E-894DBE7F3884}"/>
    <cellStyle name="60% - Énfasis5 15 3 3 2" xfId="25335" xr:uid="{0373D489-87B2-4943-BC91-626FD019297D}"/>
    <cellStyle name="60% - Énfasis5 15 3 3 2 2" xfId="55551" xr:uid="{ADD47A33-590F-4E49-9287-23F330E84DF9}"/>
    <cellStyle name="60% - Énfasis5 15 3 3 3" xfId="55550" xr:uid="{11619286-0D5B-4257-A7A7-971F5CD138AD}"/>
    <cellStyle name="60% - Énfasis5 15 3 4" xfId="17630" xr:uid="{9C3B8B3D-6C55-47E7-BD0E-6665413771D7}"/>
    <cellStyle name="60% - Énfasis5 15 3 4 2" xfId="55552" xr:uid="{A3C0F783-3527-4AC3-8039-A13AF785A844}"/>
    <cellStyle name="60% - Énfasis5 15 3 5" xfId="55545" xr:uid="{62247E23-7151-4038-AB66-26883D9F9E8A}"/>
    <cellStyle name="60% - Énfasis5 15 4" xfId="4466" xr:uid="{45C1574E-959C-4FB5-AB58-B8AF22FA5534}"/>
    <cellStyle name="60% - Énfasis5 15 4 2" xfId="12174" xr:uid="{3FDE6E11-AA60-4087-8983-9B3A41EEE6CA}"/>
    <cellStyle name="60% - Énfasis5 15 4 2 2" xfId="27586" xr:uid="{696EC891-D78D-4BEE-A934-1DC47FF1432C}"/>
    <cellStyle name="60% - Énfasis5 15 4 2 2 2" xfId="55555" xr:uid="{9FFD81DF-1199-4056-A951-5905BE1D3C4D}"/>
    <cellStyle name="60% - Énfasis5 15 4 2 3" xfId="55554" xr:uid="{AA3F9EDC-A073-49AC-B551-169DFBC1585A}"/>
    <cellStyle name="60% - Énfasis5 15 4 3" xfId="19881" xr:uid="{CE6CF851-DB77-4CEB-A775-EA156CE89B32}"/>
    <cellStyle name="60% - Énfasis5 15 4 3 2" xfId="55556" xr:uid="{7A2A412E-4A8F-4828-8415-5CBE1CEC1764}"/>
    <cellStyle name="60% - Énfasis5 15 4 4" xfId="55553" xr:uid="{A882585B-D6D1-43F5-BB40-62D82DDF5D5B}"/>
    <cellStyle name="60% - Énfasis5 15 5" xfId="8463" xr:uid="{C8B31635-79C9-4DFD-AA1C-5E81422358FD}"/>
    <cellStyle name="60% - Énfasis5 15 5 2" xfId="23876" xr:uid="{6A03C4E0-13F9-45FB-9183-3EEB94C05C62}"/>
    <cellStyle name="60% - Énfasis5 15 5 2 2" xfId="55558" xr:uid="{5EAD2EC0-4487-4CFD-B223-CE64C748550A}"/>
    <cellStyle name="60% - Énfasis5 15 5 3" xfId="55557" xr:uid="{502AC594-C079-4E96-A5C1-D4017192F852}"/>
    <cellStyle name="60% - Énfasis5 15 6" xfId="16171" xr:uid="{15DA11D8-8172-4B3F-9B30-4343BD1E2C65}"/>
    <cellStyle name="60% - Énfasis5 15 6 2" xfId="55559" xr:uid="{16DDD8D1-5937-4009-A26F-00BB29119392}"/>
    <cellStyle name="60% - Énfasis5 15 7" xfId="55528" xr:uid="{4FEFEAE3-FA7F-4C2A-855E-882126C47D2B}"/>
    <cellStyle name="60% - Énfasis5 16" xfId="741" xr:uid="{3DD6340D-E6F6-4F96-8BCD-398A1B4D0EBF}"/>
    <cellStyle name="60% - Énfasis5 16 2" xfId="1402" xr:uid="{D1D2D4F8-F02D-411E-A373-67D202F456A6}"/>
    <cellStyle name="60% - Énfasis5 16 2 2" xfId="2869" xr:uid="{25DD75BC-9CDE-4FB2-93B2-17EB54796C63}"/>
    <cellStyle name="60% - Énfasis5 16 2 2 2" xfId="6601" xr:uid="{1A15D60D-199B-44DB-93AD-65E6B20C422B}"/>
    <cellStyle name="60% - Énfasis5 16 2 2 2 2" xfId="14309" xr:uid="{F8223982-B021-45CB-85B0-7F6BD29AD678}"/>
    <cellStyle name="60% - Énfasis5 16 2 2 2 2 2" xfId="29721" xr:uid="{0C2D2851-8B97-459C-A7B8-681489AAFBA7}"/>
    <cellStyle name="60% - Énfasis5 16 2 2 2 2 2 2" xfId="55565" xr:uid="{B7B9DE86-4003-44CD-93EA-889DF707959B}"/>
    <cellStyle name="60% - Énfasis5 16 2 2 2 2 3" xfId="55564" xr:uid="{E31A9383-F259-40C0-B60A-B1710A54374D}"/>
    <cellStyle name="60% - Énfasis5 16 2 2 2 3" xfId="22016" xr:uid="{0AC95C13-E34E-45ED-B349-A91189BA8669}"/>
    <cellStyle name="60% - Énfasis5 16 2 2 2 3 2" xfId="55566" xr:uid="{8B9318E5-A1BC-4B0F-B07F-E97A6B920087}"/>
    <cellStyle name="60% - Énfasis5 16 2 2 2 4" xfId="55563" xr:uid="{F4C6DED7-4BA1-447C-AD01-51196422BF79}"/>
    <cellStyle name="60% - Énfasis5 16 2 2 3" xfId="10580" xr:uid="{7195710E-52B9-43DC-AC7F-5B0488989D20}"/>
    <cellStyle name="60% - Énfasis5 16 2 2 3 2" xfId="25993" xr:uid="{4B8A10C3-035A-4E9B-9CAE-7D74AB81B6A9}"/>
    <cellStyle name="60% - Énfasis5 16 2 2 3 2 2" xfId="55568" xr:uid="{9EC3B52F-E8B1-47D6-96DD-98B568B2C67E}"/>
    <cellStyle name="60% - Énfasis5 16 2 2 3 3" xfId="55567" xr:uid="{847BBB35-2BF6-4540-8FAE-644863163C91}"/>
    <cellStyle name="60% - Énfasis5 16 2 2 4" xfId="18288" xr:uid="{8D217796-1B24-413D-8594-585BF1D28B09}"/>
    <cellStyle name="60% - Énfasis5 16 2 2 4 2" xfId="55569" xr:uid="{BD56D671-B81B-4E14-9EC0-CEC4B3DF9DDE}"/>
    <cellStyle name="60% - Énfasis5 16 2 2 5" xfId="55562" xr:uid="{B6C78C23-64D5-4F58-A566-0378883CBC8D}"/>
    <cellStyle name="60% - Énfasis5 16 2 3" xfId="5138" xr:uid="{D00EDC78-52F0-4F40-A210-8381FDDB8135}"/>
    <cellStyle name="60% - Énfasis5 16 2 3 2" xfId="12846" xr:uid="{4B971EFD-9F03-4262-8BCC-852FCB4B4CA6}"/>
    <cellStyle name="60% - Énfasis5 16 2 3 2 2" xfId="28258" xr:uid="{63A76E65-7DB1-4AFC-8054-4A6BC72AED4C}"/>
    <cellStyle name="60% - Énfasis5 16 2 3 2 2 2" xfId="55572" xr:uid="{801F37E6-CC72-4303-BE07-CB3954B2B396}"/>
    <cellStyle name="60% - Énfasis5 16 2 3 2 3" xfId="55571" xr:uid="{3A0CA173-C680-4499-8FD1-F880FFD04655}"/>
    <cellStyle name="60% - Énfasis5 16 2 3 3" xfId="20553" xr:uid="{C4D9A3BF-4EA6-4F1E-B060-C3CEC98AE5F3}"/>
    <cellStyle name="60% - Énfasis5 16 2 3 3 2" xfId="55573" xr:uid="{03294335-A618-4E33-B15D-2F47B30629E4}"/>
    <cellStyle name="60% - Énfasis5 16 2 3 4" xfId="55570" xr:uid="{C8AA6C3D-D641-48BD-BA49-20739996ECC6}"/>
    <cellStyle name="60% - Énfasis5 16 2 4" xfId="9121" xr:uid="{195CCA4A-1C00-493A-B809-651632D75033}"/>
    <cellStyle name="60% - Énfasis5 16 2 4 2" xfId="24534" xr:uid="{3DAAC2AB-AF5F-4C6D-9D6C-9562D53FF2CD}"/>
    <cellStyle name="60% - Énfasis5 16 2 4 2 2" xfId="55575" xr:uid="{BC6E4434-1E91-4ED0-A443-AEA6AD5140B9}"/>
    <cellStyle name="60% - Énfasis5 16 2 4 3" xfId="55574" xr:uid="{6B243F10-511B-49A9-8D16-FFBE49B202C8}"/>
    <cellStyle name="60% - Énfasis5 16 2 5" xfId="16829" xr:uid="{AFAD6C24-8830-4375-9194-A6B5752D4F96}"/>
    <cellStyle name="60% - Énfasis5 16 2 5 2" xfId="55576" xr:uid="{CB58FBB1-B51F-462D-967E-631C76254057}"/>
    <cellStyle name="60% - Énfasis5 16 2 6" xfId="55561" xr:uid="{051958C1-00D9-420D-9061-FBC03D70B978}"/>
    <cellStyle name="60% - Énfasis5 16 3" xfId="2231" xr:uid="{9660C50D-7702-429F-942C-CB09427AE743}"/>
    <cellStyle name="60% - Énfasis5 16 3 2" xfId="5963" xr:uid="{27DC4892-5258-4EF7-B831-CA2DA07AB2DE}"/>
    <cellStyle name="60% - Énfasis5 16 3 2 2" xfId="13671" xr:uid="{E9526957-F087-431E-9AD9-7CEEE42DF89C}"/>
    <cellStyle name="60% - Énfasis5 16 3 2 2 2" xfId="29083" xr:uid="{165FAFAC-F68D-4E48-AFE4-45846ABA1239}"/>
    <cellStyle name="60% - Énfasis5 16 3 2 2 2 2" xfId="55580" xr:uid="{AF85F216-AD13-492E-A066-633B8DE5BFA1}"/>
    <cellStyle name="60% - Énfasis5 16 3 2 2 3" xfId="55579" xr:uid="{D95C3512-65F2-48C2-843A-BC2951934455}"/>
    <cellStyle name="60% - Énfasis5 16 3 2 3" xfId="21378" xr:uid="{39675985-5893-4FDD-9216-C6E45DCD62D4}"/>
    <cellStyle name="60% - Énfasis5 16 3 2 3 2" xfId="55581" xr:uid="{EFBE1795-84A3-4E84-9470-781A757EC782}"/>
    <cellStyle name="60% - Énfasis5 16 3 2 4" xfId="55578" xr:uid="{C238519A-F314-4261-866F-3342F4A5AD39}"/>
    <cellStyle name="60% - Énfasis5 16 3 3" xfId="9942" xr:uid="{1ED5C540-52BA-457B-9A65-ABBD97CC1C0A}"/>
    <cellStyle name="60% - Énfasis5 16 3 3 2" xfId="25355" xr:uid="{44DBBA63-1D59-456C-8B0D-BF9DA6441B60}"/>
    <cellStyle name="60% - Énfasis5 16 3 3 2 2" xfId="55583" xr:uid="{8292D092-A3A7-4933-8AC6-35F6E139F424}"/>
    <cellStyle name="60% - Énfasis5 16 3 3 3" xfId="55582" xr:uid="{A9F3F596-0D7B-467D-85D5-14FD630B8BAD}"/>
    <cellStyle name="60% - Énfasis5 16 3 4" xfId="17650" xr:uid="{15A63AFB-4A93-44D0-B5F8-51BFAFE347BA}"/>
    <cellStyle name="60% - Énfasis5 16 3 4 2" xfId="55584" xr:uid="{44234D49-58DB-4726-86F9-09AF1B90D411}"/>
    <cellStyle name="60% - Énfasis5 16 3 5" xfId="55577" xr:uid="{5B0CED5B-CEE1-407B-ACB2-0EA9428FD80C}"/>
    <cellStyle name="60% - Énfasis5 16 4" xfId="4486" xr:uid="{EDCDCBFD-A12F-4320-B0AC-BA01B712C976}"/>
    <cellStyle name="60% - Énfasis5 16 4 2" xfId="12194" xr:uid="{214FF67B-3C7E-476F-BE73-1FD50A12C702}"/>
    <cellStyle name="60% - Énfasis5 16 4 2 2" xfId="27606" xr:uid="{07D83BF2-7FA0-49C3-A672-6D74BA6B32C9}"/>
    <cellStyle name="60% - Énfasis5 16 4 2 2 2" xfId="55587" xr:uid="{42DAECF1-E636-4621-85FC-E4A6B4882753}"/>
    <cellStyle name="60% - Énfasis5 16 4 2 3" xfId="55586" xr:uid="{AF60B3B0-C193-4D27-8185-8F2FECEC3D23}"/>
    <cellStyle name="60% - Énfasis5 16 4 3" xfId="19901" xr:uid="{3B0B5178-D03D-4497-91FB-FDCE830C5949}"/>
    <cellStyle name="60% - Énfasis5 16 4 3 2" xfId="55588" xr:uid="{7969CD3D-354A-4B38-ABE6-A6287425E887}"/>
    <cellStyle name="60% - Énfasis5 16 4 4" xfId="55585" xr:uid="{FDF5681C-6430-4E94-ADC4-A0D9056B6CCE}"/>
    <cellStyle name="60% - Énfasis5 16 5" xfId="8483" xr:uid="{11140995-7DCA-4295-ABE2-534EA1A81ECA}"/>
    <cellStyle name="60% - Énfasis5 16 5 2" xfId="23896" xr:uid="{9C031E9E-AD89-4B52-B36E-3A204F8D9C49}"/>
    <cellStyle name="60% - Énfasis5 16 5 2 2" xfId="55590" xr:uid="{6B04A483-BA55-42CA-9297-D767862E7BE2}"/>
    <cellStyle name="60% - Énfasis5 16 5 3" xfId="55589" xr:uid="{2AD5CB40-9F15-4F77-A6A3-07E47F7E4043}"/>
    <cellStyle name="60% - Énfasis5 16 6" xfId="16191" xr:uid="{B81DF120-312C-4B13-B7C4-A91BBE305D33}"/>
    <cellStyle name="60% - Énfasis5 16 6 2" xfId="55591" xr:uid="{851AB11F-D3E1-4632-9207-6BDFFDD47499}"/>
    <cellStyle name="60% - Énfasis5 16 7" xfId="55560" xr:uid="{9776D452-36F1-4FF1-B053-5DF823A2D137}"/>
    <cellStyle name="60% - Énfasis5 17" xfId="761" xr:uid="{ECB7F194-E64A-4017-9989-AFF21C08441B}"/>
    <cellStyle name="60% - Énfasis5 17 2" xfId="1422" xr:uid="{F1EB7E3E-03A9-40F5-A460-932F9A6193BC}"/>
    <cellStyle name="60% - Énfasis5 17 2 2" xfId="2889" xr:uid="{E1459995-CAC0-410A-985B-E67DC14126AF}"/>
    <cellStyle name="60% - Énfasis5 17 2 2 2" xfId="6621" xr:uid="{8DF795C0-0523-47BE-A401-FC82EE338246}"/>
    <cellStyle name="60% - Énfasis5 17 2 2 2 2" xfId="14329" xr:uid="{575AFE2D-F4A8-4669-8E1E-7482FDF03378}"/>
    <cellStyle name="60% - Énfasis5 17 2 2 2 2 2" xfId="29741" xr:uid="{34A77418-7D54-4182-ADB0-0B6E99BF17D5}"/>
    <cellStyle name="60% - Énfasis5 17 2 2 2 2 2 2" xfId="55597" xr:uid="{9CB44A2E-7F24-4109-BBC3-22E9E505E843}"/>
    <cellStyle name="60% - Énfasis5 17 2 2 2 2 3" xfId="55596" xr:uid="{024E51BD-D02A-4B7E-95EC-24D248A59B88}"/>
    <cellStyle name="60% - Énfasis5 17 2 2 2 3" xfId="22036" xr:uid="{6451E812-C384-45D4-9BF1-A210FE5C6533}"/>
    <cellStyle name="60% - Énfasis5 17 2 2 2 3 2" xfId="55598" xr:uid="{25FBC3B3-E166-4F39-A482-F104F58516A1}"/>
    <cellStyle name="60% - Énfasis5 17 2 2 2 4" xfId="55595" xr:uid="{060D32AD-24AC-431C-BF27-9D3CDB9E8356}"/>
    <cellStyle name="60% - Énfasis5 17 2 2 3" xfId="10600" xr:uid="{595BB9A2-C0D9-4584-B675-4D3F98EEB545}"/>
    <cellStyle name="60% - Énfasis5 17 2 2 3 2" xfId="26013" xr:uid="{A8E79036-F992-4222-9AC3-737C2EACAD46}"/>
    <cellStyle name="60% - Énfasis5 17 2 2 3 2 2" xfId="55600" xr:uid="{2E5DD7B9-C7C6-43C9-A0EA-1FE5A3460C48}"/>
    <cellStyle name="60% - Énfasis5 17 2 2 3 3" xfId="55599" xr:uid="{BCFB228C-70B9-4C6E-A5B2-7162B315736A}"/>
    <cellStyle name="60% - Énfasis5 17 2 2 4" xfId="18308" xr:uid="{AA35CACB-8E4E-4DBD-980D-322B3AD01DFE}"/>
    <cellStyle name="60% - Énfasis5 17 2 2 4 2" xfId="55601" xr:uid="{1F36304C-1F35-4B70-900E-A47487589E44}"/>
    <cellStyle name="60% - Énfasis5 17 2 2 5" xfId="55594" xr:uid="{162A6893-4297-4CBC-8453-9A49C99EB8D4}"/>
    <cellStyle name="60% - Énfasis5 17 2 3" xfId="5158" xr:uid="{E2CB6142-BB09-42CC-9045-B1A85B2D20FC}"/>
    <cellStyle name="60% - Énfasis5 17 2 3 2" xfId="12866" xr:uid="{80927513-7BE6-4D7E-B77F-8DDCEDF0EC79}"/>
    <cellStyle name="60% - Énfasis5 17 2 3 2 2" xfId="28278" xr:uid="{5A2F9C0B-F77C-47EB-9BBE-61A67B8A6EA3}"/>
    <cellStyle name="60% - Énfasis5 17 2 3 2 2 2" xfId="55604" xr:uid="{7902B002-26F6-453B-9801-662E57FAD41A}"/>
    <cellStyle name="60% - Énfasis5 17 2 3 2 3" xfId="55603" xr:uid="{64EEB3EF-6750-4CFA-B81E-92587DC73064}"/>
    <cellStyle name="60% - Énfasis5 17 2 3 3" xfId="20573" xr:uid="{E9DF20DB-F378-4B2B-B7A6-EB35416DE0E6}"/>
    <cellStyle name="60% - Énfasis5 17 2 3 3 2" xfId="55605" xr:uid="{0EAE434F-8297-4E99-A8E9-050F2D4DEE38}"/>
    <cellStyle name="60% - Énfasis5 17 2 3 4" xfId="55602" xr:uid="{2EBB6EAC-E556-4464-BAB2-D40829CA4C0E}"/>
    <cellStyle name="60% - Énfasis5 17 2 4" xfId="9141" xr:uid="{B61CC67B-A299-41FB-A471-48309AE2208A}"/>
    <cellStyle name="60% - Énfasis5 17 2 4 2" xfId="24554" xr:uid="{C5E7B803-888C-4AB4-8931-BFC1B6F7D32A}"/>
    <cellStyle name="60% - Énfasis5 17 2 4 2 2" xfId="55607" xr:uid="{EB0773A4-C3E3-4BE2-A2AC-83FDDFAC0AC0}"/>
    <cellStyle name="60% - Énfasis5 17 2 4 3" xfId="55606" xr:uid="{0156BA31-8D4F-447E-8667-A990BE80BA87}"/>
    <cellStyle name="60% - Énfasis5 17 2 5" xfId="16849" xr:uid="{11B2BBA7-DC64-45C5-9BB6-C476B79C7E70}"/>
    <cellStyle name="60% - Énfasis5 17 2 5 2" xfId="55608" xr:uid="{B2FAB561-0E66-426C-B145-509055E99313}"/>
    <cellStyle name="60% - Énfasis5 17 2 6" xfId="55593" xr:uid="{15C4F93C-125C-4103-8426-B47F51D4DC59}"/>
    <cellStyle name="60% - Énfasis5 17 3" xfId="2251" xr:uid="{CADB1C2C-13C5-4E61-BF5C-E2B1D7DF2961}"/>
    <cellStyle name="60% - Énfasis5 17 3 2" xfId="5983" xr:uid="{0C5AD6AA-1D1E-44B6-AD43-04239A6CA49C}"/>
    <cellStyle name="60% - Énfasis5 17 3 2 2" xfId="13691" xr:uid="{F59C502F-C69B-487C-8B71-97672832C18D}"/>
    <cellStyle name="60% - Énfasis5 17 3 2 2 2" xfId="29103" xr:uid="{885973F7-9BFE-4434-9EBF-94784965727A}"/>
    <cellStyle name="60% - Énfasis5 17 3 2 2 2 2" xfId="55612" xr:uid="{5C51E95D-A048-4C43-B187-82606464D0D3}"/>
    <cellStyle name="60% - Énfasis5 17 3 2 2 3" xfId="55611" xr:uid="{94BC7989-6B86-4ED9-95ED-0E7F5947891E}"/>
    <cellStyle name="60% - Énfasis5 17 3 2 3" xfId="21398" xr:uid="{D8F4288F-7583-442D-9412-0840CA486055}"/>
    <cellStyle name="60% - Énfasis5 17 3 2 3 2" xfId="55613" xr:uid="{286010BE-8D9A-4D81-AFE6-12A3F37D2228}"/>
    <cellStyle name="60% - Énfasis5 17 3 2 4" xfId="55610" xr:uid="{CDCA7EF8-C3AE-4928-87F4-97E5F939715C}"/>
    <cellStyle name="60% - Énfasis5 17 3 3" xfId="9962" xr:uid="{611FF090-CCAF-40D6-B6BC-17D34B61C2D2}"/>
    <cellStyle name="60% - Énfasis5 17 3 3 2" xfId="25375" xr:uid="{6E003EC5-D053-4AAF-B797-A579BB99411E}"/>
    <cellStyle name="60% - Énfasis5 17 3 3 2 2" xfId="55615" xr:uid="{2B9D4571-06A5-4EEA-B42C-847D6C4C500A}"/>
    <cellStyle name="60% - Énfasis5 17 3 3 3" xfId="55614" xr:uid="{3C9E99F2-9BF9-439A-BCCE-098601A55BE0}"/>
    <cellStyle name="60% - Énfasis5 17 3 4" xfId="17670" xr:uid="{FE5B4B16-D96F-4421-B086-0934849C0BD7}"/>
    <cellStyle name="60% - Énfasis5 17 3 4 2" xfId="55616" xr:uid="{2FF4493D-6875-4DEA-A704-7BF71513E61F}"/>
    <cellStyle name="60% - Énfasis5 17 3 5" xfId="55609" xr:uid="{D1DADCF4-4054-456A-8531-10B6F326F270}"/>
    <cellStyle name="60% - Énfasis5 17 4" xfId="4506" xr:uid="{D9B98086-BC0F-4EB8-A95A-C57965191E88}"/>
    <cellStyle name="60% - Énfasis5 17 4 2" xfId="12214" xr:uid="{A0838616-9CA9-445B-9B0D-27F5DC303EB3}"/>
    <cellStyle name="60% - Énfasis5 17 4 2 2" xfId="27626" xr:uid="{EBCFECE3-8D35-406F-A673-44793DEF3A2D}"/>
    <cellStyle name="60% - Énfasis5 17 4 2 2 2" xfId="55619" xr:uid="{2E18ABA4-CDA8-4DB6-AEF6-05D02480C955}"/>
    <cellStyle name="60% - Énfasis5 17 4 2 3" xfId="55618" xr:uid="{296A02F0-6D1D-4037-BBC8-1ABCCC323EEE}"/>
    <cellStyle name="60% - Énfasis5 17 4 3" xfId="19921" xr:uid="{393458AD-04AD-4348-8C38-9F00FFEE62BB}"/>
    <cellStyle name="60% - Énfasis5 17 4 3 2" xfId="55620" xr:uid="{024F8B35-4E04-4B49-A2C4-AF5DDEFF6867}"/>
    <cellStyle name="60% - Énfasis5 17 4 4" xfId="55617" xr:uid="{E924BDC1-CFFE-4920-AD2C-1BFCED2D8C55}"/>
    <cellStyle name="60% - Énfasis5 17 5" xfId="8503" xr:uid="{14A2AF22-1DED-492E-9044-532BE7DFDBEC}"/>
    <cellStyle name="60% - Énfasis5 17 5 2" xfId="23916" xr:uid="{B5AB3EA3-CBA5-49AE-A7A7-A7D1B3C5220E}"/>
    <cellStyle name="60% - Énfasis5 17 5 2 2" xfId="55622" xr:uid="{992F6621-5AC1-4387-8032-49411E1B0D7B}"/>
    <cellStyle name="60% - Énfasis5 17 5 3" xfId="55621" xr:uid="{E48BE8D0-C9BB-42A9-B56F-95454E607DF6}"/>
    <cellStyle name="60% - Énfasis5 17 6" xfId="16211" xr:uid="{3059F2F2-8086-4F8F-956C-F7A7056629E8}"/>
    <cellStyle name="60% - Énfasis5 17 6 2" xfId="55623" xr:uid="{46C386F7-DFCF-4B91-8953-7686619F39FB}"/>
    <cellStyle name="60% - Énfasis5 17 7" xfId="55592" xr:uid="{ECC4A1F8-AD01-4161-AE37-EB489CCE568E}"/>
    <cellStyle name="60% - Énfasis5 18" xfId="780" xr:uid="{87317285-4108-4F4B-B945-B4EA2E43C3D7}"/>
    <cellStyle name="60% - Énfasis5 18 2" xfId="2270" xr:uid="{ABC83FFD-24FE-45C6-8954-63F72C725FF6}"/>
    <cellStyle name="60% - Énfasis5 18 2 2" xfId="6002" xr:uid="{F68AEE49-665C-417C-BA90-DA9B10C04E03}"/>
    <cellStyle name="60% - Énfasis5 18 2 2 2" xfId="13710" xr:uid="{C7F53A86-DD8E-4021-8187-BD7D9C23041A}"/>
    <cellStyle name="60% - Énfasis5 18 2 2 2 2" xfId="29122" xr:uid="{07740B9D-293A-4615-97C9-43F56622F76F}"/>
    <cellStyle name="60% - Énfasis5 18 2 2 2 2 2" xfId="55628" xr:uid="{4D4BE316-268B-431F-8E5D-ACAE472D4AF2}"/>
    <cellStyle name="60% - Énfasis5 18 2 2 2 3" xfId="55627" xr:uid="{D4D5D1DB-8DFC-48DC-B2BC-2A8347BF6B29}"/>
    <cellStyle name="60% - Énfasis5 18 2 2 3" xfId="21417" xr:uid="{DF88D307-072D-4E0C-BDFE-B11DED46204F}"/>
    <cellStyle name="60% - Énfasis5 18 2 2 3 2" xfId="55629" xr:uid="{D863CF8F-9027-4A31-872A-5F04855F5DA5}"/>
    <cellStyle name="60% - Énfasis5 18 2 2 4" xfId="55626" xr:uid="{41F61DB6-579F-4C32-ADDE-5331D6283931}"/>
    <cellStyle name="60% - Énfasis5 18 2 3" xfId="9981" xr:uid="{AA1FAF5F-BD87-4BA3-AD13-6DFE9C0F0883}"/>
    <cellStyle name="60% - Énfasis5 18 2 3 2" xfId="25394" xr:uid="{AD27A4E5-CAB0-42C5-9CF8-28D0D3BBD02E}"/>
    <cellStyle name="60% - Énfasis5 18 2 3 2 2" xfId="55631" xr:uid="{87D8DCF1-1E6D-48ED-9A98-3861D0E70D44}"/>
    <cellStyle name="60% - Énfasis5 18 2 3 3" xfId="55630" xr:uid="{59AE589B-F4A2-42BC-8AB0-31A0ADC826AC}"/>
    <cellStyle name="60% - Énfasis5 18 2 4" xfId="17689" xr:uid="{28B70381-8616-45EC-852B-4CE14AEDD5E9}"/>
    <cellStyle name="60% - Énfasis5 18 2 4 2" xfId="55632" xr:uid="{1F0E753A-C60B-43F3-BF1C-7432DF653048}"/>
    <cellStyle name="60% - Énfasis5 18 2 5" xfId="55625" xr:uid="{E21F9CBF-8055-471F-87DD-65EE6DE11C9B}"/>
    <cellStyle name="60% - Énfasis5 18 3" xfId="4525" xr:uid="{3A644709-532B-48D2-8255-267A1287B1D5}"/>
    <cellStyle name="60% - Énfasis5 18 3 2" xfId="12233" xr:uid="{2FDE5620-9ED7-4CF1-B1F1-E378589306FC}"/>
    <cellStyle name="60% - Énfasis5 18 3 2 2" xfId="27645" xr:uid="{AA76E9EF-A4A0-45F8-B95E-ED3973E95D1A}"/>
    <cellStyle name="60% - Énfasis5 18 3 2 2 2" xfId="55635" xr:uid="{08D520B6-2EF3-4BEF-9786-0029003C8D67}"/>
    <cellStyle name="60% - Énfasis5 18 3 2 3" xfId="55634" xr:uid="{76C3617E-AEE7-49D1-A820-0C589434B3A9}"/>
    <cellStyle name="60% - Énfasis5 18 3 3" xfId="19940" xr:uid="{CB44043E-7A79-4CC8-8CB1-AAA7C1CB2961}"/>
    <cellStyle name="60% - Énfasis5 18 3 3 2" xfId="55636" xr:uid="{E5DBAAC8-6FA3-4485-AA1C-A69BD9F4DEFD}"/>
    <cellStyle name="60% - Énfasis5 18 3 4" xfId="55633" xr:uid="{FCE58F73-2847-48CC-94CB-8D8DDD2613A6}"/>
    <cellStyle name="60% - Énfasis5 18 4" xfId="8522" xr:uid="{D1158ED8-CDE4-475F-9ED1-91D17C986072}"/>
    <cellStyle name="60% - Énfasis5 18 4 2" xfId="23935" xr:uid="{C8041FDC-CF7D-43AF-BD5F-6D8F4AC88698}"/>
    <cellStyle name="60% - Énfasis5 18 4 2 2" xfId="55638" xr:uid="{B4A4F9C8-B7BF-4A2F-BBE1-3E655ACF1438}"/>
    <cellStyle name="60% - Énfasis5 18 4 3" xfId="55637" xr:uid="{960851CD-DC2E-4C72-9F02-DD8F575B0465}"/>
    <cellStyle name="60% - Énfasis5 18 5" xfId="16230" xr:uid="{7FBEB119-E529-40E9-82ED-B70DB0D1CBFA}"/>
    <cellStyle name="60% - Énfasis5 18 5 2" xfId="55639" xr:uid="{AD7982D5-BEBD-40C5-82DD-F78C2DE58926}"/>
    <cellStyle name="60% - Énfasis5 18 6" xfId="55624" xr:uid="{0BD1EFE1-D1CE-447C-A7E7-14E431A3FFBC}"/>
    <cellStyle name="60% - Énfasis5 19" xfId="1444" xr:uid="{36B35DF0-FF30-490E-99FA-B67C1C8BE167}"/>
    <cellStyle name="60% - Énfasis5 19 2" xfId="2909" xr:uid="{4481E172-4F29-4567-A3C1-AC3070AF2F0D}"/>
    <cellStyle name="60% - Énfasis5 19 2 2" xfId="6641" xr:uid="{ACEC37D2-5922-4EE9-9FA5-0B0D05515AC3}"/>
    <cellStyle name="60% - Énfasis5 19 2 2 2" xfId="14349" xr:uid="{92FE1B35-D4B3-4E04-8CDE-10811C7C42E0}"/>
    <cellStyle name="60% - Énfasis5 19 2 2 2 2" xfId="29761" xr:uid="{E078E1D2-60D6-41C0-BDA8-8CEB0156B8D6}"/>
    <cellStyle name="60% - Énfasis5 19 2 2 2 2 2" xfId="55644" xr:uid="{9EFFDC98-C6B7-48FE-84D4-FDE18588700D}"/>
    <cellStyle name="60% - Énfasis5 19 2 2 2 3" xfId="55643" xr:uid="{65736ECA-593B-4813-8387-BFF8746C3E9E}"/>
    <cellStyle name="60% - Énfasis5 19 2 2 3" xfId="22056" xr:uid="{5686C92B-1582-46BC-855C-4950F894F0D5}"/>
    <cellStyle name="60% - Énfasis5 19 2 2 3 2" xfId="55645" xr:uid="{7DF86064-02F6-48D5-9973-80D508F58266}"/>
    <cellStyle name="60% - Énfasis5 19 2 2 4" xfId="55642" xr:uid="{82712645-DC24-4A2E-8B21-6E8AB42598FC}"/>
    <cellStyle name="60% - Énfasis5 19 2 3" xfId="10620" xr:uid="{066753F7-0CA0-490C-9328-C4FE86D8664D}"/>
    <cellStyle name="60% - Énfasis5 19 2 3 2" xfId="26033" xr:uid="{279101FA-34CC-4899-A2D1-07A4DA905ACB}"/>
    <cellStyle name="60% - Énfasis5 19 2 3 2 2" xfId="55647" xr:uid="{3CAE8485-D761-4C2F-8F30-C9396F0BB6B3}"/>
    <cellStyle name="60% - Énfasis5 19 2 3 3" xfId="55646" xr:uid="{B32515A1-8BB9-4761-9252-B9D8335D94A3}"/>
    <cellStyle name="60% - Énfasis5 19 2 4" xfId="18328" xr:uid="{FCD0EC19-0F87-4A36-8DFE-4FAA502824C3}"/>
    <cellStyle name="60% - Énfasis5 19 2 4 2" xfId="55648" xr:uid="{4D4DBDC0-CD62-49D0-901E-82558ED721FD}"/>
    <cellStyle name="60% - Énfasis5 19 2 5" xfId="55641" xr:uid="{3A580E94-C2D7-4CA2-8A64-71AD7DF19B90}"/>
    <cellStyle name="60% - Énfasis5 19 3" xfId="5180" xr:uid="{C1C3457E-7EBC-4BE5-9B4E-90EC6BD931A8}"/>
    <cellStyle name="60% - Énfasis5 19 3 2" xfId="12888" xr:uid="{FC3B934F-2860-4ED4-A303-C4AF2367D25C}"/>
    <cellStyle name="60% - Énfasis5 19 3 2 2" xfId="28300" xr:uid="{D5715272-5C6A-4E26-97F9-A584C5C334E3}"/>
    <cellStyle name="60% - Énfasis5 19 3 2 2 2" xfId="55651" xr:uid="{D8CE53FE-B319-423B-9BA0-DC293EDD8E02}"/>
    <cellStyle name="60% - Énfasis5 19 3 2 3" xfId="55650" xr:uid="{7EC57D17-BBD9-4BA6-A5EA-644E5EB91BAA}"/>
    <cellStyle name="60% - Énfasis5 19 3 3" xfId="20595" xr:uid="{B6C28FB2-1FAC-44D3-BC50-D62206EBE10B}"/>
    <cellStyle name="60% - Énfasis5 19 3 3 2" xfId="55652" xr:uid="{420A3CD5-7919-42AD-9B7A-9A93F65EE70C}"/>
    <cellStyle name="60% - Énfasis5 19 3 4" xfId="55649" xr:uid="{C443DAF6-FA5C-47BF-BAFC-BFED7B587583}"/>
    <cellStyle name="60% - Énfasis5 19 4" xfId="9161" xr:uid="{16FEE128-25D3-461B-ADD0-10401EDAB24B}"/>
    <cellStyle name="60% - Énfasis5 19 4 2" xfId="24574" xr:uid="{C426EFC2-918B-4857-A7B7-00438C75ED32}"/>
    <cellStyle name="60% - Énfasis5 19 4 2 2" xfId="55654" xr:uid="{E6C39ADE-9A0A-440F-B002-08724811D882}"/>
    <cellStyle name="60% - Énfasis5 19 4 3" xfId="55653" xr:uid="{AC9C348A-F842-490D-81A9-67C9C5709BAD}"/>
    <cellStyle name="60% - Énfasis5 19 5" xfId="16869" xr:uid="{B050665F-85B9-400E-987C-C374B01C7BAD}"/>
    <cellStyle name="60% - Énfasis5 19 5 2" xfId="55655" xr:uid="{78404D85-962E-481D-8F80-9742C69ABF27}"/>
    <cellStyle name="60% - Énfasis5 19 6" xfId="55640" xr:uid="{38C6AA65-820F-4028-97E5-C02F05DAFE0F}"/>
    <cellStyle name="60% - Énfasis5 2" xfId="42" xr:uid="{C099831D-EB9D-452E-B2EB-9A6CBBB9827E}"/>
    <cellStyle name="60% - Énfasis5 2 2" xfId="454" xr:uid="{6033D44E-37F9-4454-8AC1-E66BE7018295}"/>
    <cellStyle name="60% - Énfasis5 2 2 2" xfId="1115" xr:uid="{9CB6483B-50CA-4925-8D85-674A409A0A7F}"/>
    <cellStyle name="60% - Énfasis5 2 2 2 2" xfId="2583" xr:uid="{B8FF9F01-C179-4953-BFDB-141E2B006D3A}"/>
    <cellStyle name="60% - Énfasis5 2 2 2 2 2" xfId="6315" xr:uid="{13A063F7-C3D9-43F7-9CBE-004C86CAF3C8}"/>
    <cellStyle name="60% - Énfasis5 2 2 2 2 2 2" xfId="14023" xr:uid="{5C958F48-1CF8-4470-A85E-643A78C532F2}"/>
    <cellStyle name="60% - Énfasis5 2 2 2 2 2 2 2" xfId="29435" xr:uid="{9ACDE4EA-24D4-44F5-9426-A57A0F2555B4}"/>
    <cellStyle name="60% - Énfasis5 2 2 2 2 2 2 2 2" xfId="55662" xr:uid="{C4D2FE66-881F-45C6-8B6F-9E25F6820B12}"/>
    <cellStyle name="60% - Énfasis5 2 2 2 2 2 2 3" xfId="55661" xr:uid="{79C92F41-4740-4DD6-B27E-DB5D020C37A2}"/>
    <cellStyle name="60% - Énfasis5 2 2 2 2 2 3" xfId="21730" xr:uid="{1B433E71-E28B-4234-AD32-E50C2CAF31C7}"/>
    <cellStyle name="60% - Énfasis5 2 2 2 2 2 3 2" xfId="55663" xr:uid="{582D3CCA-5091-454E-8C71-A02E23F6119F}"/>
    <cellStyle name="60% - Énfasis5 2 2 2 2 2 4" xfId="55660" xr:uid="{07BE3E59-6823-4FE9-93EF-4094A6FD2E9A}"/>
    <cellStyle name="60% - Énfasis5 2 2 2 2 3" xfId="10294" xr:uid="{B7F022AE-521E-4B10-A748-8FF5705FE952}"/>
    <cellStyle name="60% - Énfasis5 2 2 2 2 3 2" xfId="25707" xr:uid="{C6931909-AF42-4E62-B3A8-203804132ABC}"/>
    <cellStyle name="60% - Énfasis5 2 2 2 2 3 2 2" xfId="55665" xr:uid="{6B05B2BF-C647-4368-906C-797BFBE54632}"/>
    <cellStyle name="60% - Énfasis5 2 2 2 2 3 3" xfId="55664" xr:uid="{03A7EF05-CAD0-4286-A0B8-24CC7B7A0496}"/>
    <cellStyle name="60% - Énfasis5 2 2 2 2 4" xfId="18002" xr:uid="{6604EE77-8E6C-45FB-A0B9-EB7AC773CE27}"/>
    <cellStyle name="60% - Énfasis5 2 2 2 2 4 2" xfId="55666" xr:uid="{4F8A3A24-FE48-418C-A8ED-398F6B411A47}"/>
    <cellStyle name="60% - Énfasis5 2 2 2 2 5" xfId="55659" xr:uid="{17A083EC-5946-431D-B85C-25534D7B030E}"/>
    <cellStyle name="60% - Énfasis5 2 2 2 3" xfId="4852" xr:uid="{1C199690-074C-4D85-8C2C-A25FB804E1A2}"/>
    <cellStyle name="60% - Énfasis5 2 2 2 3 2" xfId="12560" xr:uid="{43BA8D29-0403-4E23-B050-48A2EA74D1B1}"/>
    <cellStyle name="60% - Énfasis5 2 2 2 3 2 2" xfId="27972" xr:uid="{23D75930-A5F4-4FC1-95E2-7425C8595F94}"/>
    <cellStyle name="60% - Énfasis5 2 2 2 3 2 2 2" xfId="55669" xr:uid="{D91F353A-1F73-4E84-92C5-B89ABA8ECBAD}"/>
    <cellStyle name="60% - Énfasis5 2 2 2 3 2 3" xfId="55668" xr:uid="{8A303B96-0378-471F-AF9F-04503593AA1B}"/>
    <cellStyle name="60% - Énfasis5 2 2 2 3 3" xfId="20267" xr:uid="{E1483C74-0F91-45E2-815F-FE7106BE5B3F}"/>
    <cellStyle name="60% - Énfasis5 2 2 2 3 3 2" xfId="55670" xr:uid="{87B48071-C8D6-4B0A-9E0D-242DD149BAD0}"/>
    <cellStyle name="60% - Énfasis5 2 2 2 3 4" xfId="55667" xr:uid="{BAE5024D-1D7F-4576-B3A3-C55D7C0CF047}"/>
    <cellStyle name="60% - Énfasis5 2 2 2 4" xfId="8835" xr:uid="{1FC12629-7AB4-49A3-8770-091FBC28BB35}"/>
    <cellStyle name="60% - Énfasis5 2 2 2 4 2" xfId="24248" xr:uid="{5A8BC55B-FCE6-4010-8096-7F9B2565D0DD}"/>
    <cellStyle name="60% - Énfasis5 2 2 2 4 2 2" xfId="55672" xr:uid="{493D9564-72F5-4052-B679-5A03D3422D34}"/>
    <cellStyle name="60% - Énfasis5 2 2 2 4 3" xfId="55671" xr:uid="{E260AA82-4D0A-4F50-8C16-FB890FA49CC1}"/>
    <cellStyle name="60% - Énfasis5 2 2 2 5" xfId="16543" xr:uid="{CAE6D063-CD13-4459-A032-B831731FF2D1}"/>
    <cellStyle name="60% - Énfasis5 2 2 2 5 2" xfId="55673" xr:uid="{53A0109C-B95C-46E1-80BF-45C561C781C5}"/>
    <cellStyle name="60% - Énfasis5 2 2 2 6" xfId="55658" xr:uid="{67A1CE2D-C4A2-4712-A8D4-4F3C645D56F4}"/>
    <cellStyle name="60% - Énfasis5 2 2 3" xfId="1945" xr:uid="{772D6B93-0D9B-49EA-A450-A5505E8AD2FC}"/>
    <cellStyle name="60% - Énfasis5 2 2 3 2" xfId="5677" xr:uid="{DEF1A3A9-5134-4288-B832-E569056EB324}"/>
    <cellStyle name="60% - Énfasis5 2 2 3 2 2" xfId="13385" xr:uid="{4E1EFE59-A7DA-42CA-8D4B-1DF2E9C1BC8C}"/>
    <cellStyle name="60% - Énfasis5 2 2 3 2 2 2" xfId="28797" xr:uid="{F6D89F16-2156-479D-B94F-1EA8D02130BD}"/>
    <cellStyle name="60% - Énfasis5 2 2 3 2 2 2 2" xfId="55677" xr:uid="{B8ADB419-79DC-4B45-A122-748E9B00BCE4}"/>
    <cellStyle name="60% - Énfasis5 2 2 3 2 2 3" xfId="55676" xr:uid="{6F822E86-5369-4BB5-B43B-B67873185C50}"/>
    <cellStyle name="60% - Énfasis5 2 2 3 2 3" xfId="21092" xr:uid="{367742E6-16A7-4AE7-84C2-5D170B03BE80}"/>
    <cellStyle name="60% - Énfasis5 2 2 3 2 3 2" xfId="55678" xr:uid="{0705EBF8-C20A-445D-8E82-72C4C086BF42}"/>
    <cellStyle name="60% - Énfasis5 2 2 3 2 4" xfId="55675" xr:uid="{CCE1041D-AFD4-40E2-8284-8780AFCDA56D}"/>
    <cellStyle name="60% - Énfasis5 2 2 3 3" xfId="9656" xr:uid="{42737F54-2B9D-41E7-8500-32732B83A858}"/>
    <cellStyle name="60% - Énfasis5 2 2 3 3 2" xfId="25069" xr:uid="{F33BEFBD-ECD1-44EA-B2BA-4933A2BD7325}"/>
    <cellStyle name="60% - Énfasis5 2 2 3 3 2 2" xfId="55680" xr:uid="{0338D6C1-F10C-42EC-92F4-47F97450DCE6}"/>
    <cellStyle name="60% - Énfasis5 2 2 3 3 3" xfId="55679" xr:uid="{720D8283-D2E9-42EF-8D43-BBD4FF2324C7}"/>
    <cellStyle name="60% - Énfasis5 2 2 3 4" xfId="17364" xr:uid="{EEE47CD3-C92A-4ADB-A777-1F2C8F84055F}"/>
    <cellStyle name="60% - Énfasis5 2 2 3 4 2" xfId="55681" xr:uid="{6674B818-B033-4536-ABAF-673512A34019}"/>
    <cellStyle name="60% - Énfasis5 2 2 3 5" xfId="55674" xr:uid="{1324212C-0FE7-4ED8-9938-B95527783F10}"/>
    <cellStyle name="60% - Énfasis5 2 2 4" xfId="4200" xr:uid="{90294B0F-ED00-4705-92D8-6B3A1D413595}"/>
    <cellStyle name="60% - Énfasis5 2 2 4 2" xfId="11908" xr:uid="{B3D04248-6980-4CEF-8C55-9EDFA2E3A33E}"/>
    <cellStyle name="60% - Énfasis5 2 2 4 2 2" xfId="27320" xr:uid="{E3BCBCA4-A341-48DD-B65F-CF68B94620EB}"/>
    <cellStyle name="60% - Énfasis5 2 2 4 2 2 2" xfId="55684" xr:uid="{9197F8EF-751A-47CD-A008-C1ED920993E7}"/>
    <cellStyle name="60% - Énfasis5 2 2 4 2 3" xfId="55683" xr:uid="{20E95097-39A9-44C8-BCF7-E33BEF40EA7F}"/>
    <cellStyle name="60% - Énfasis5 2 2 4 3" xfId="19615" xr:uid="{5D3CE5F9-4250-4FFF-845C-71F8D4DE4CC8}"/>
    <cellStyle name="60% - Énfasis5 2 2 4 3 2" xfId="55685" xr:uid="{C4D3CC86-B2BC-4866-BCBD-04253E199C68}"/>
    <cellStyle name="60% - Énfasis5 2 2 4 4" xfId="55682" xr:uid="{3292D659-1BEC-4BD7-A880-E6B71ABC3322}"/>
    <cellStyle name="60% - Énfasis5 2 2 5" xfId="8197" xr:uid="{AAAEC6DF-4C46-418A-874D-898E588CD111}"/>
    <cellStyle name="60% - Énfasis5 2 2 5 2" xfId="23610" xr:uid="{C0DA5878-C566-4EB9-A938-D50A79C13A04}"/>
    <cellStyle name="60% - Énfasis5 2 2 5 2 2" xfId="55687" xr:uid="{C813D10C-9FC9-4C2C-A98A-9B94121C7C85}"/>
    <cellStyle name="60% - Énfasis5 2 2 5 3" xfId="55686" xr:uid="{73930B53-F6BD-4114-9BA6-6FAD16C0884A}"/>
    <cellStyle name="60% - Énfasis5 2 2 6" xfId="15905" xr:uid="{7478C4DD-82E1-4347-8B93-C2132294C481}"/>
    <cellStyle name="60% - Énfasis5 2 2 6 2" xfId="55688" xr:uid="{CE1E6054-39D9-4066-A02E-EEF6E7378E14}"/>
    <cellStyle name="60% - Énfasis5 2 2 7" xfId="55657" xr:uid="{BA2F6F71-6AEF-40B2-B848-128D58FAB9D9}"/>
    <cellStyle name="60% - Énfasis5 2 3" xfId="915" xr:uid="{F2CDB98E-1359-4401-9D72-08B223B4D2EC}"/>
    <cellStyle name="60% - Énfasis5 2 3 2" xfId="2385" xr:uid="{261E7201-E7B4-4E41-91E4-C285DDC001C5}"/>
    <cellStyle name="60% - Énfasis5 2 3 2 2" xfId="6117" xr:uid="{9A527E03-07F9-42A5-AAB8-5EAECE2666FF}"/>
    <cellStyle name="60% - Énfasis5 2 3 2 2 2" xfId="13825" xr:uid="{197B6DD7-C889-4D90-9F87-EDF6814F9276}"/>
    <cellStyle name="60% - Énfasis5 2 3 2 2 2 2" xfId="29237" xr:uid="{32D3737D-363C-441D-BA53-162E2524486B}"/>
    <cellStyle name="60% - Énfasis5 2 3 2 2 2 2 2" xfId="55693" xr:uid="{F8BCAAB6-AADC-4195-8264-342DA3A14296}"/>
    <cellStyle name="60% - Énfasis5 2 3 2 2 2 3" xfId="55692" xr:uid="{FE9F5D1C-2378-4794-A180-0092AF535A02}"/>
    <cellStyle name="60% - Énfasis5 2 3 2 2 3" xfId="21532" xr:uid="{F8C995E9-2C66-4992-B6F0-FA12F3CCAD77}"/>
    <cellStyle name="60% - Énfasis5 2 3 2 2 3 2" xfId="55694" xr:uid="{DF3583F5-4C2B-4441-9BD4-413C1026B976}"/>
    <cellStyle name="60% - Énfasis5 2 3 2 2 4" xfId="55691" xr:uid="{2CA79435-6AA0-4586-8AC9-9B036D3C17DD}"/>
    <cellStyle name="60% - Énfasis5 2 3 2 3" xfId="10096" xr:uid="{B8808214-D0CB-4135-B31C-AA3E21F00E4F}"/>
    <cellStyle name="60% - Énfasis5 2 3 2 3 2" xfId="25509" xr:uid="{6F7CD172-851C-47A8-8FA3-9C3FD8166DA9}"/>
    <cellStyle name="60% - Énfasis5 2 3 2 3 2 2" xfId="55696" xr:uid="{92F6EB87-9F0C-4D5D-8C85-6DCA3C134A65}"/>
    <cellStyle name="60% - Énfasis5 2 3 2 3 3" xfId="55695" xr:uid="{579EAB11-ACF4-40FA-A8A5-5873CF7015D2}"/>
    <cellStyle name="60% - Énfasis5 2 3 2 4" xfId="17804" xr:uid="{D2E639BF-598F-4887-B452-805313B5A16B}"/>
    <cellStyle name="60% - Énfasis5 2 3 2 4 2" xfId="55697" xr:uid="{AD4D5223-1F2A-4771-9254-0E87F36230EA}"/>
    <cellStyle name="60% - Énfasis5 2 3 2 5" xfId="55690" xr:uid="{32BDC17F-74C9-43C4-BFCC-D34A05F7E764}"/>
    <cellStyle name="60% - Énfasis5 2 3 3" xfId="4652" xr:uid="{7F6023E5-8B72-433A-9872-1772E4970A69}"/>
    <cellStyle name="60% - Énfasis5 2 3 3 2" xfId="12360" xr:uid="{692F1123-00D5-4062-8986-717737A130D3}"/>
    <cellStyle name="60% - Énfasis5 2 3 3 2 2" xfId="27772" xr:uid="{8CEC7355-44D3-4E0E-B82A-D732C1011970}"/>
    <cellStyle name="60% - Énfasis5 2 3 3 2 2 2" xfId="55700" xr:uid="{454E3E70-9649-424F-B2ED-504123ACA81C}"/>
    <cellStyle name="60% - Énfasis5 2 3 3 2 3" xfId="55699" xr:uid="{65A5151F-74FF-4716-B5C1-AF0FF897342F}"/>
    <cellStyle name="60% - Énfasis5 2 3 3 3" xfId="20067" xr:uid="{B19E86B7-62D4-408E-962F-078C2F199809}"/>
    <cellStyle name="60% - Énfasis5 2 3 3 3 2" xfId="55701" xr:uid="{E4676B54-8E31-4D90-8125-B2B876FCEB93}"/>
    <cellStyle name="60% - Énfasis5 2 3 3 4" xfId="55698" xr:uid="{4452DB7C-7033-44E3-B848-959AAE5D2F68}"/>
    <cellStyle name="60% - Énfasis5 2 3 4" xfId="8637" xr:uid="{79717983-6119-4382-9DB8-2A1A4D0037C5}"/>
    <cellStyle name="60% - Énfasis5 2 3 4 2" xfId="24050" xr:uid="{E21455FA-B548-43A5-867C-6A31BF188E69}"/>
    <cellStyle name="60% - Énfasis5 2 3 4 2 2" xfId="55703" xr:uid="{F7CBCFF8-6B0C-4382-A769-D927846B33D5}"/>
    <cellStyle name="60% - Énfasis5 2 3 4 3" xfId="55702" xr:uid="{CE1180B4-FE26-4366-9817-5DA32D35D01C}"/>
    <cellStyle name="60% - Énfasis5 2 3 5" xfId="16345" xr:uid="{616992DD-6F1D-425B-B5DE-229A1738CDED}"/>
    <cellStyle name="60% - Énfasis5 2 3 5 2" xfId="55704" xr:uid="{B8851046-6C97-4DD6-B797-BC4E5E656705}"/>
    <cellStyle name="60% - Énfasis5 2 3 6" xfId="55689" xr:uid="{C257A7A9-A618-46B6-9795-100574C2B6BB}"/>
    <cellStyle name="60% - Énfasis5 2 4" xfId="1747" xr:uid="{D8935EB6-4F57-491D-A461-7E404C87902A}"/>
    <cellStyle name="60% - Énfasis5 2 4 2" xfId="5479" xr:uid="{6692DFD9-EF12-4C68-9C5F-EFBAD759F74E}"/>
    <cellStyle name="60% - Énfasis5 2 4 2 2" xfId="13187" xr:uid="{9F6A1C76-9449-4A38-BF32-80A332559EDE}"/>
    <cellStyle name="60% - Énfasis5 2 4 2 2 2" xfId="28599" xr:uid="{321BA425-D87E-4F19-B95C-6B993685D2F0}"/>
    <cellStyle name="60% - Énfasis5 2 4 2 2 2 2" xfId="55708" xr:uid="{D64EC2F2-4995-465D-A8F3-CFDBAFDD5C55}"/>
    <cellStyle name="60% - Énfasis5 2 4 2 2 3" xfId="55707" xr:uid="{29B5AED6-A058-4315-957A-E80520D653AA}"/>
    <cellStyle name="60% - Énfasis5 2 4 2 3" xfId="20894" xr:uid="{0F975F53-5F19-4C1E-B74F-1BD13B542F17}"/>
    <cellStyle name="60% - Énfasis5 2 4 2 3 2" xfId="55709" xr:uid="{C85743B9-3DEB-4EC5-82C5-8420C64FA6E3}"/>
    <cellStyle name="60% - Énfasis5 2 4 2 4" xfId="55706" xr:uid="{289AD05B-6444-4CCF-9678-D0A159D4B4C7}"/>
    <cellStyle name="60% - Énfasis5 2 4 3" xfId="9458" xr:uid="{68420797-771F-4A97-A2BF-E62868279098}"/>
    <cellStyle name="60% - Énfasis5 2 4 3 2" xfId="24871" xr:uid="{CD0A0994-F0C3-4244-A53F-E2FD8586D92D}"/>
    <cellStyle name="60% - Énfasis5 2 4 3 2 2" xfId="55711" xr:uid="{F6E771A8-F0CA-47B9-8BF2-91714D7052AD}"/>
    <cellStyle name="60% - Énfasis5 2 4 3 3" xfId="55710" xr:uid="{48BAC2BF-8828-4128-820E-1AE11961F86F}"/>
    <cellStyle name="60% - Énfasis5 2 4 4" xfId="17166" xr:uid="{023AC5A1-42A2-4652-8433-08F2037F670D}"/>
    <cellStyle name="60% - Énfasis5 2 4 4 2" xfId="55712" xr:uid="{1035C70E-33A1-47A1-8378-1EE8C12197BB}"/>
    <cellStyle name="60% - Énfasis5 2 4 5" xfId="55705" xr:uid="{8E2782BA-0110-4B72-9B5F-C6313F89AC67}"/>
    <cellStyle name="60% - Énfasis5 2 5" xfId="4000" xr:uid="{9CEF8FC7-C789-4E4E-8DDC-CD833FBC13B3}"/>
    <cellStyle name="60% - Énfasis5 2 5 2" xfId="11708" xr:uid="{BEF0AC4A-9246-4CA2-AD2B-8A845E3C791D}"/>
    <cellStyle name="60% - Énfasis5 2 5 2 2" xfId="27120" xr:uid="{B4D6CDAC-9084-45D2-B7F6-A9DD1DC1893C}"/>
    <cellStyle name="60% - Énfasis5 2 5 2 2 2" xfId="55715" xr:uid="{44795C12-078D-4F47-8642-20AA6737B9C5}"/>
    <cellStyle name="60% - Énfasis5 2 5 2 3" xfId="55714" xr:uid="{2C8E2BD0-3375-40F9-B4ED-726B77B8CCBB}"/>
    <cellStyle name="60% - Énfasis5 2 5 3" xfId="19415" xr:uid="{C0E4273D-FAD5-472B-9425-25CDE55563EE}"/>
    <cellStyle name="60% - Énfasis5 2 5 3 2" xfId="55716" xr:uid="{87009D93-C350-4840-95B5-CC6BBA1A883B}"/>
    <cellStyle name="60% - Énfasis5 2 5 4" xfId="55713" xr:uid="{8BCBE367-FEAC-4158-B99D-68CDB0945E9C}"/>
    <cellStyle name="60% - Énfasis5 2 6" xfId="7999" xr:uid="{91BBBD8F-BBC3-4F14-B6CE-156917C4EBAF}"/>
    <cellStyle name="60% - Énfasis5 2 6 2" xfId="23412" xr:uid="{6F8DD318-3060-4F85-BD29-5E8695244BB7}"/>
    <cellStyle name="60% - Énfasis5 2 6 2 2" xfId="55718" xr:uid="{1AA73669-01CD-4D28-A22F-662B007DF25D}"/>
    <cellStyle name="60% - Énfasis5 2 6 3" xfId="55717" xr:uid="{1F6297CA-7ACB-477E-966F-402FA1D507D6}"/>
    <cellStyle name="60% - Énfasis5 2 7" xfId="15707" xr:uid="{21AE1257-AB92-45AB-A29F-3AE444C87B7C}"/>
    <cellStyle name="60% - Énfasis5 2 7 2" xfId="55719" xr:uid="{42B93BB1-E5B4-40C4-8986-29B5ADEA7374}"/>
    <cellStyle name="60% - Énfasis5 2 8" xfId="55656" xr:uid="{E673BE0B-B856-45A8-B8FE-A8A3739D95C3}"/>
    <cellStyle name="60% - Énfasis5 2 9" xfId="252" xr:uid="{8B9262B0-7A24-46EB-A495-9A96D8726A27}"/>
    <cellStyle name="60% - Énfasis5 20" xfId="1464" xr:uid="{63BC927B-148F-4844-BAA6-F553D8BB80F6}"/>
    <cellStyle name="60% - Énfasis5 20 2" xfId="2929" xr:uid="{AFA64393-28CF-493E-8204-91BC7368E793}"/>
    <cellStyle name="60% - Énfasis5 20 2 2" xfId="6661" xr:uid="{2C08D4F4-E686-482F-BE6A-8FA23CAD567C}"/>
    <cellStyle name="60% - Énfasis5 20 2 2 2" xfId="14369" xr:uid="{591EF223-322E-4865-A048-899B7D3FE62D}"/>
    <cellStyle name="60% - Énfasis5 20 2 2 2 2" xfId="29781" xr:uid="{66C82AF3-B9FC-4638-ACC4-778D765771B6}"/>
    <cellStyle name="60% - Énfasis5 20 2 2 2 2 2" xfId="55724" xr:uid="{41AC45B7-7210-4AA6-8894-1D6F688B1C86}"/>
    <cellStyle name="60% - Énfasis5 20 2 2 2 3" xfId="55723" xr:uid="{06FE9EC6-BC56-4F3B-88EA-4EF27A8720DD}"/>
    <cellStyle name="60% - Énfasis5 20 2 2 3" xfId="22076" xr:uid="{F0783BFF-CF32-41A7-863A-17B75AE469B9}"/>
    <cellStyle name="60% - Énfasis5 20 2 2 3 2" xfId="55725" xr:uid="{505EA234-CF96-4BF4-96FB-4FEAF3C26151}"/>
    <cellStyle name="60% - Énfasis5 20 2 2 4" xfId="55722" xr:uid="{91E474F9-E900-4F8A-B5EF-B881294673DC}"/>
    <cellStyle name="60% - Énfasis5 20 2 3" xfId="10640" xr:uid="{68328C56-693A-4927-99BE-B9D570ED0E4C}"/>
    <cellStyle name="60% - Énfasis5 20 2 3 2" xfId="26053" xr:uid="{8439D4EF-4426-498B-9A1F-B903E14753BB}"/>
    <cellStyle name="60% - Énfasis5 20 2 3 2 2" xfId="55727" xr:uid="{547165AF-5BB8-4597-B008-C2DF3095FD26}"/>
    <cellStyle name="60% - Énfasis5 20 2 3 3" xfId="55726" xr:uid="{93495277-495D-4AB8-B0D3-EF22137C3E89}"/>
    <cellStyle name="60% - Énfasis5 20 2 4" xfId="18348" xr:uid="{FCC00B02-D4E4-4F4E-8D2A-C7BA6E94DA49}"/>
    <cellStyle name="60% - Énfasis5 20 2 4 2" xfId="55728" xr:uid="{DEA44F37-FD6D-454A-A69E-291CF9ED7F65}"/>
    <cellStyle name="60% - Énfasis5 20 2 5" xfId="55721" xr:uid="{F008EC71-DCDB-419C-A33A-62C3FD8738AC}"/>
    <cellStyle name="60% - Énfasis5 20 3" xfId="5200" xr:uid="{5A036DFF-FA97-46F0-A281-3DD930D9B816}"/>
    <cellStyle name="60% - Énfasis5 20 3 2" xfId="12908" xr:uid="{DC989B17-1466-4A14-B154-C3847F682610}"/>
    <cellStyle name="60% - Énfasis5 20 3 2 2" xfId="28320" xr:uid="{DF4C2E17-984E-472C-BBFF-2487986E34F8}"/>
    <cellStyle name="60% - Énfasis5 20 3 2 2 2" xfId="55731" xr:uid="{D0CE7F3D-90AD-4719-B4F2-060B4F5EAC09}"/>
    <cellStyle name="60% - Énfasis5 20 3 2 3" xfId="55730" xr:uid="{4C2AF455-AA95-4716-8F57-F965E06430AD}"/>
    <cellStyle name="60% - Énfasis5 20 3 3" xfId="20615" xr:uid="{8A61C65C-A1FE-4E44-BFB5-2BCC500E7B47}"/>
    <cellStyle name="60% - Énfasis5 20 3 3 2" xfId="55732" xr:uid="{93998511-4827-4C69-85A9-CEB8560853F3}"/>
    <cellStyle name="60% - Énfasis5 20 3 4" xfId="55729" xr:uid="{CC983AEC-EB72-4724-A1EC-D344EA067CF8}"/>
    <cellStyle name="60% - Énfasis5 20 4" xfId="9181" xr:uid="{A1AC2694-0CA7-4E9A-AF64-A03E2602F89C}"/>
    <cellStyle name="60% - Énfasis5 20 4 2" xfId="24594" xr:uid="{1BC3A550-18C4-48B7-B9CF-1F519CFD8D3B}"/>
    <cellStyle name="60% - Énfasis5 20 4 2 2" xfId="55734" xr:uid="{5742B24F-D5DC-45BE-8C3F-B97B2DDAA8DE}"/>
    <cellStyle name="60% - Énfasis5 20 4 3" xfId="55733" xr:uid="{BB1B9FC9-C584-4015-900C-EC24CF97AF77}"/>
    <cellStyle name="60% - Énfasis5 20 5" xfId="16889" xr:uid="{61DDC38F-373E-4F98-8101-CD12CE2D3D30}"/>
    <cellStyle name="60% - Énfasis5 20 5 2" xfId="55735" xr:uid="{175E4CE6-C3DD-43C8-9118-47F0A2E5D4A5}"/>
    <cellStyle name="60% - Énfasis5 20 6" xfId="55720" xr:uid="{2295F071-B0D6-49C0-8254-0407C724F10F}"/>
    <cellStyle name="60% - Énfasis5 21" xfId="1484" xr:uid="{91A645E3-C017-4AEA-B2C1-94AD3465F55D}"/>
    <cellStyle name="60% - Énfasis5 21 2" xfId="2949" xr:uid="{31AB42E8-F7D5-4501-A3D2-B776A34D2165}"/>
    <cellStyle name="60% - Énfasis5 21 2 2" xfId="6681" xr:uid="{F62774A7-7FBA-46FA-A55C-C3E98D3DECFC}"/>
    <cellStyle name="60% - Énfasis5 21 2 2 2" xfId="14389" xr:uid="{864A4B90-FBFB-486A-99BC-5CE15D608E5E}"/>
    <cellStyle name="60% - Énfasis5 21 2 2 2 2" xfId="29801" xr:uid="{BD6AFBF0-B75E-4C0C-AF04-304091A65C3B}"/>
    <cellStyle name="60% - Énfasis5 21 2 2 2 2 2" xfId="55740" xr:uid="{920ACEAC-6E2B-480C-8A19-39F9B7FEA124}"/>
    <cellStyle name="60% - Énfasis5 21 2 2 2 3" xfId="55739" xr:uid="{DEBB7A70-C5AC-4F7D-B7B5-3D625B177A86}"/>
    <cellStyle name="60% - Énfasis5 21 2 2 3" xfId="22096" xr:uid="{6BEA605B-4FE7-4212-8940-C9261AF923E6}"/>
    <cellStyle name="60% - Énfasis5 21 2 2 3 2" xfId="55741" xr:uid="{C23E97BF-0D6D-49E9-9488-A0D87C457902}"/>
    <cellStyle name="60% - Énfasis5 21 2 2 4" xfId="55738" xr:uid="{6062C78E-4846-4676-BF93-8308944E8F90}"/>
    <cellStyle name="60% - Énfasis5 21 2 3" xfId="10660" xr:uid="{C3FF645D-0143-4D6A-8D71-C63DAF2C11FC}"/>
    <cellStyle name="60% - Énfasis5 21 2 3 2" xfId="26073" xr:uid="{37C289D2-4CE0-49CF-BE0E-4B77C9CB272A}"/>
    <cellStyle name="60% - Énfasis5 21 2 3 2 2" xfId="55743" xr:uid="{EB0DC813-E1A1-4A95-B95B-24E66A3F936E}"/>
    <cellStyle name="60% - Énfasis5 21 2 3 3" xfId="55742" xr:uid="{C000178B-A5D5-486A-BB47-EC10D5CDA308}"/>
    <cellStyle name="60% - Énfasis5 21 2 4" xfId="18368" xr:uid="{AE6EBBF9-45ED-4DD3-B800-299D0E7D47F5}"/>
    <cellStyle name="60% - Énfasis5 21 2 4 2" xfId="55744" xr:uid="{D6E2BCBC-676F-4B15-BDAB-BBE99023E4C7}"/>
    <cellStyle name="60% - Énfasis5 21 2 5" xfId="55737" xr:uid="{37D14943-D093-4139-9DEF-4A004ADBAF02}"/>
    <cellStyle name="60% - Énfasis5 21 3" xfId="5220" xr:uid="{9689D278-0C89-485B-BA54-E961ED0FB302}"/>
    <cellStyle name="60% - Énfasis5 21 3 2" xfId="12928" xr:uid="{694F0368-8649-4290-A227-017BCAE4FB03}"/>
    <cellStyle name="60% - Énfasis5 21 3 2 2" xfId="28340" xr:uid="{CA651107-56E1-40D9-9AE4-4E42AFDBB73E}"/>
    <cellStyle name="60% - Énfasis5 21 3 2 2 2" xfId="55747" xr:uid="{57639762-B615-44C7-A0AC-FCE67BC2F815}"/>
    <cellStyle name="60% - Énfasis5 21 3 2 3" xfId="55746" xr:uid="{6CBD5132-5EAA-4666-B299-063FF04BAFD6}"/>
    <cellStyle name="60% - Énfasis5 21 3 3" xfId="20635" xr:uid="{702880F4-A6E1-4F41-9B91-EB55BC27ADC5}"/>
    <cellStyle name="60% - Énfasis5 21 3 3 2" xfId="55748" xr:uid="{3289BA03-1117-484E-A1FF-7CB0DF2C68B4}"/>
    <cellStyle name="60% - Énfasis5 21 3 4" xfId="55745" xr:uid="{D8121F27-2AEC-456F-B159-7352BB6630F9}"/>
    <cellStyle name="60% - Énfasis5 21 4" xfId="9201" xr:uid="{40367B56-89F4-4EF5-BC42-484CF921990F}"/>
    <cellStyle name="60% - Énfasis5 21 4 2" xfId="24614" xr:uid="{4CE78086-BD72-4A0A-8ACC-0F7F84DE4BCB}"/>
    <cellStyle name="60% - Énfasis5 21 4 2 2" xfId="55750" xr:uid="{CB034E99-1373-4F1F-A7B8-6FA40FFE91CB}"/>
    <cellStyle name="60% - Énfasis5 21 4 3" xfId="55749" xr:uid="{718A3EF1-E3A3-4D43-BD18-331516AEB759}"/>
    <cellStyle name="60% - Énfasis5 21 5" xfId="16909" xr:uid="{93B866DC-0708-48E4-AA23-C654721945EC}"/>
    <cellStyle name="60% - Énfasis5 21 5 2" xfId="55751" xr:uid="{69E5C76B-A5F4-4094-97F1-F45CD274C995}"/>
    <cellStyle name="60% - Énfasis5 21 6" xfId="55736" xr:uid="{B9929C4F-C9A9-4D40-856E-F207319BC5A9}"/>
    <cellStyle name="60% - Énfasis5 22" xfId="1504" xr:uid="{6629F516-E6ED-450A-BC2C-5E29C558C2F2}"/>
    <cellStyle name="60% - Énfasis5 22 2" xfId="2969" xr:uid="{0A2B4174-438C-4BEA-BAFC-85FB9D4EE75F}"/>
    <cellStyle name="60% - Énfasis5 22 2 2" xfId="6701" xr:uid="{69391487-7A23-411D-B705-6350F84D508A}"/>
    <cellStyle name="60% - Énfasis5 22 2 2 2" xfId="14409" xr:uid="{069B4003-528C-43FC-A5E1-B38D1E89632E}"/>
    <cellStyle name="60% - Énfasis5 22 2 2 2 2" xfId="29821" xr:uid="{F3E4256A-6897-4233-A40B-2B5505BCD431}"/>
    <cellStyle name="60% - Énfasis5 22 2 2 2 2 2" xfId="55756" xr:uid="{31413C6B-4523-4FB5-94A4-5C7476CB546F}"/>
    <cellStyle name="60% - Énfasis5 22 2 2 2 3" xfId="55755" xr:uid="{A179C5CB-996B-4690-B0B7-361FEDA61E5D}"/>
    <cellStyle name="60% - Énfasis5 22 2 2 3" xfId="22116" xr:uid="{FBA8EA74-3A78-4E00-AF96-2A24FCEBCB0D}"/>
    <cellStyle name="60% - Énfasis5 22 2 2 3 2" xfId="55757" xr:uid="{346AEB75-E43C-4933-8DDB-CC2304D446F2}"/>
    <cellStyle name="60% - Énfasis5 22 2 2 4" xfId="55754" xr:uid="{4372446D-6FBD-4E55-9814-3D19F9633489}"/>
    <cellStyle name="60% - Énfasis5 22 2 3" xfId="10680" xr:uid="{8449E514-F4CE-4188-A4D3-046F3809EE92}"/>
    <cellStyle name="60% - Énfasis5 22 2 3 2" xfId="26093" xr:uid="{A9B57EF9-AF2E-41E7-A2C9-040A6C3FE293}"/>
    <cellStyle name="60% - Énfasis5 22 2 3 2 2" xfId="55759" xr:uid="{BB4CECAD-EB16-4193-8D0E-2D77519B804F}"/>
    <cellStyle name="60% - Énfasis5 22 2 3 3" xfId="55758" xr:uid="{28738A20-B437-46BD-BB84-FFB98BC757AA}"/>
    <cellStyle name="60% - Énfasis5 22 2 4" xfId="18388" xr:uid="{F2A6C629-2D38-40F0-A4CE-DE9576A8847B}"/>
    <cellStyle name="60% - Énfasis5 22 2 4 2" xfId="55760" xr:uid="{14C4B436-CF1F-4080-B136-8D44BED34359}"/>
    <cellStyle name="60% - Énfasis5 22 2 5" xfId="55753" xr:uid="{7A96A50B-AC6F-4973-900D-0585A3D3CA40}"/>
    <cellStyle name="60% - Énfasis5 22 3" xfId="5240" xr:uid="{C4800F01-E19B-42FB-8167-272815003D55}"/>
    <cellStyle name="60% - Énfasis5 22 3 2" xfId="12948" xr:uid="{E0E933EB-8FF9-4AC5-8047-4577D8228A8A}"/>
    <cellStyle name="60% - Énfasis5 22 3 2 2" xfId="28360" xr:uid="{81C9C81B-EDA0-4681-AF31-47D5AF2858C4}"/>
    <cellStyle name="60% - Énfasis5 22 3 2 2 2" xfId="55763" xr:uid="{E2E3797F-C823-4A2F-9727-6D8D4EBC1BF3}"/>
    <cellStyle name="60% - Énfasis5 22 3 2 3" xfId="55762" xr:uid="{7333FE7D-D331-4908-A174-0F6B6AD866CC}"/>
    <cellStyle name="60% - Énfasis5 22 3 3" xfId="20655" xr:uid="{CA09506D-7FA6-4EC5-9903-2BC5AA6F014B}"/>
    <cellStyle name="60% - Énfasis5 22 3 3 2" xfId="55764" xr:uid="{E8C02845-4DD8-4BCD-85DE-0D5779ABC20F}"/>
    <cellStyle name="60% - Énfasis5 22 3 4" xfId="55761" xr:uid="{F359508F-1FA2-42DC-8678-5DA1C5C53952}"/>
    <cellStyle name="60% - Énfasis5 22 4" xfId="9221" xr:uid="{C444AB75-57A8-43C8-8A7F-31A2EC99857F}"/>
    <cellStyle name="60% - Énfasis5 22 4 2" xfId="24634" xr:uid="{64015830-2FB3-4040-933B-AED3D8EA0576}"/>
    <cellStyle name="60% - Énfasis5 22 4 2 2" xfId="55766" xr:uid="{0FE2D882-9694-4818-9CBD-DA068DE3A37A}"/>
    <cellStyle name="60% - Énfasis5 22 4 3" xfId="55765" xr:uid="{BFD62970-05FA-44D3-80F9-D4FEA51B7BEC}"/>
    <cellStyle name="60% - Énfasis5 22 5" xfId="16929" xr:uid="{FB947E57-EADF-481C-8F5D-E50B933FD3E4}"/>
    <cellStyle name="60% - Énfasis5 22 5 2" xfId="55767" xr:uid="{3BC4DA04-4C14-4408-8792-850D71192A6F}"/>
    <cellStyle name="60% - Énfasis5 22 6" xfId="55752" xr:uid="{C97000B6-2BC5-457D-9462-503B341FDCD1}"/>
    <cellStyle name="60% - Énfasis5 23" xfId="1524" xr:uid="{3272EEA0-1872-4566-8679-4E6109AA01CD}"/>
    <cellStyle name="60% - Énfasis5 23 2" xfId="2989" xr:uid="{077EA935-9F57-4C8E-BAF4-AAA8E9EC2FE2}"/>
    <cellStyle name="60% - Énfasis5 23 2 2" xfId="6721" xr:uid="{F8918FD8-5586-4BB6-9451-E7E448ADFA4C}"/>
    <cellStyle name="60% - Énfasis5 23 2 2 2" xfId="14429" xr:uid="{5C6BBFB3-4BFE-4104-AD20-AB719D1BB27D}"/>
    <cellStyle name="60% - Énfasis5 23 2 2 2 2" xfId="29841" xr:uid="{D0A7D840-8355-4E8A-A7D1-38740BC2F6BC}"/>
    <cellStyle name="60% - Énfasis5 23 2 2 2 2 2" xfId="55772" xr:uid="{E0540943-6C7C-4039-8BA1-6B395F83943B}"/>
    <cellStyle name="60% - Énfasis5 23 2 2 2 3" xfId="55771" xr:uid="{ACE599C3-AB1A-4D2B-8A53-ED2FBE89098F}"/>
    <cellStyle name="60% - Énfasis5 23 2 2 3" xfId="22136" xr:uid="{D66356FD-7C8A-4244-8DD2-6F2D282CC768}"/>
    <cellStyle name="60% - Énfasis5 23 2 2 3 2" xfId="55773" xr:uid="{0540A313-7D34-4248-BBF0-CF27C61BB19B}"/>
    <cellStyle name="60% - Énfasis5 23 2 2 4" xfId="55770" xr:uid="{615866BC-7F96-4B09-BB7C-BCB27E226956}"/>
    <cellStyle name="60% - Énfasis5 23 2 3" xfId="10700" xr:uid="{A0776551-D65B-4B84-9261-10A2B0690440}"/>
    <cellStyle name="60% - Énfasis5 23 2 3 2" xfId="26113" xr:uid="{E0D45AC5-583A-4884-B301-F9BC389CAABD}"/>
    <cellStyle name="60% - Énfasis5 23 2 3 2 2" xfId="55775" xr:uid="{34ED8452-B907-4F64-A5FD-28982E15D51F}"/>
    <cellStyle name="60% - Énfasis5 23 2 3 3" xfId="55774" xr:uid="{11D8CAE6-1E1E-4E3D-AAC3-3E39AF7FE023}"/>
    <cellStyle name="60% - Énfasis5 23 2 4" xfId="18408" xr:uid="{7460EB3E-0564-4B01-AFB4-B5F47F5C6965}"/>
    <cellStyle name="60% - Énfasis5 23 2 4 2" xfId="55776" xr:uid="{F8A23248-ACA3-4FEF-B82D-AB90447DDA9D}"/>
    <cellStyle name="60% - Énfasis5 23 2 5" xfId="55769" xr:uid="{A1CC407C-37AB-4951-91F8-BD85953F1CD7}"/>
    <cellStyle name="60% - Énfasis5 23 3" xfId="5260" xr:uid="{EC37D94F-8ED6-45EE-8D08-BB5A04F48E89}"/>
    <cellStyle name="60% - Énfasis5 23 3 2" xfId="12968" xr:uid="{B38D26DF-1E6C-4B02-BDDF-F508276C38F3}"/>
    <cellStyle name="60% - Énfasis5 23 3 2 2" xfId="28380" xr:uid="{D1BC5308-379D-4EA7-929C-10D4D9C608F3}"/>
    <cellStyle name="60% - Énfasis5 23 3 2 2 2" xfId="55779" xr:uid="{B3E07A27-CDE7-469F-B67B-B1E42C69BD2D}"/>
    <cellStyle name="60% - Énfasis5 23 3 2 3" xfId="55778" xr:uid="{21988852-A3C3-4339-BC9A-E03363021276}"/>
    <cellStyle name="60% - Énfasis5 23 3 3" xfId="20675" xr:uid="{00DFD3ED-3CD0-4F87-8D56-3424D5293619}"/>
    <cellStyle name="60% - Énfasis5 23 3 3 2" xfId="55780" xr:uid="{A3BCA410-A39E-4A8B-A0B7-DBF5976A4612}"/>
    <cellStyle name="60% - Énfasis5 23 3 4" xfId="55777" xr:uid="{675B76F2-D1A0-4194-9748-54E092A3FD01}"/>
    <cellStyle name="60% - Énfasis5 23 4" xfId="9241" xr:uid="{028329D4-A08C-4AB2-BEC7-E9CEE0B6AA6B}"/>
    <cellStyle name="60% - Énfasis5 23 4 2" xfId="24654" xr:uid="{3F75A67A-DD62-457E-8C87-CDE7906D1556}"/>
    <cellStyle name="60% - Énfasis5 23 4 2 2" xfId="55782" xr:uid="{4441F5A0-4E68-412C-B2D3-EC332F9E06C9}"/>
    <cellStyle name="60% - Énfasis5 23 4 3" xfId="55781" xr:uid="{CD91E4B9-3559-4922-9531-1413FF10AB25}"/>
    <cellStyle name="60% - Énfasis5 23 5" xfId="16949" xr:uid="{7FB3F455-5341-40B5-B57B-4128160544FD}"/>
    <cellStyle name="60% - Énfasis5 23 5 2" xfId="55783" xr:uid="{936DC7D7-598A-4AF9-9C6F-D1600C4F6FCD}"/>
    <cellStyle name="60% - Énfasis5 23 6" xfId="55768" xr:uid="{0B758ACA-9588-4837-A114-C726348D6F8E}"/>
    <cellStyle name="60% - Énfasis5 24" xfId="1544" xr:uid="{F2758147-5B3F-403B-A22C-288ADA65814F}"/>
    <cellStyle name="60% - Énfasis5 24 2" xfId="3009" xr:uid="{665E5330-72CA-4A81-A8AB-170B49FAAE63}"/>
    <cellStyle name="60% - Énfasis5 24 2 2" xfId="6741" xr:uid="{914F2666-4F7C-42D4-BA99-459F13102EE2}"/>
    <cellStyle name="60% - Énfasis5 24 2 2 2" xfId="14449" xr:uid="{D25DE67D-36D7-4BD5-AAA2-A34CE750227A}"/>
    <cellStyle name="60% - Énfasis5 24 2 2 2 2" xfId="29861" xr:uid="{C7AD58EC-B604-41E4-8814-AC58F5D184B5}"/>
    <cellStyle name="60% - Énfasis5 24 2 2 2 2 2" xfId="55788" xr:uid="{E843A1E2-90D4-4055-961A-5C24BDEB480E}"/>
    <cellStyle name="60% - Énfasis5 24 2 2 2 3" xfId="55787" xr:uid="{E2335285-AD42-474C-8FA1-EA7C46DD87C3}"/>
    <cellStyle name="60% - Énfasis5 24 2 2 3" xfId="22156" xr:uid="{FFFE2B13-EE4F-4775-92CF-1BB94D1E6034}"/>
    <cellStyle name="60% - Énfasis5 24 2 2 3 2" xfId="55789" xr:uid="{304A40D4-1788-4F61-B833-C9A2056AF463}"/>
    <cellStyle name="60% - Énfasis5 24 2 2 4" xfId="55786" xr:uid="{113BF360-0AB8-4EB4-B998-ED8B5F465A29}"/>
    <cellStyle name="60% - Énfasis5 24 2 3" xfId="10720" xr:uid="{87B952E8-676C-4AFD-8821-E5EFD220B431}"/>
    <cellStyle name="60% - Énfasis5 24 2 3 2" xfId="26133" xr:uid="{30675FE2-10B3-4836-A704-2287A6F4E3E4}"/>
    <cellStyle name="60% - Énfasis5 24 2 3 2 2" xfId="55791" xr:uid="{7868D280-0445-4E92-A99E-DB77F68665E7}"/>
    <cellStyle name="60% - Énfasis5 24 2 3 3" xfId="55790" xr:uid="{522F974C-6C54-4981-9507-E06BD2B8C934}"/>
    <cellStyle name="60% - Énfasis5 24 2 4" xfId="18428" xr:uid="{301B8CF2-DB7E-4039-B8D7-4D2056F32ADB}"/>
    <cellStyle name="60% - Énfasis5 24 2 4 2" xfId="55792" xr:uid="{AA40F0DF-CA8C-4B3A-A4E8-DBD2D2D7C2EA}"/>
    <cellStyle name="60% - Énfasis5 24 2 5" xfId="55785" xr:uid="{33FE62C5-F9CB-4388-8309-8530A01F69C9}"/>
    <cellStyle name="60% - Énfasis5 24 3" xfId="5280" xr:uid="{5042F28E-E345-4492-BF55-13EC26C1B40F}"/>
    <cellStyle name="60% - Énfasis5 24 3 2" xfId="12988" xr:uid="{1A712E6D-C3EB-4C89-ABF7-B8CBF615F103}"/>
    <cellStyle name="60% - Énfasis5 24 3 2 2" xfId="28400" xr:uid="{5646BC3D-F027-4149-80D3-0F286C9690A2}"/>
    <cellStyle name="60% - Énfasis5 24 3 2 2 2" xfId="55795" xr:uid="{394139CF-C484-4970-A167-83BACE2B1223}"/>
    <cellStyle name="60% - Énfasis5 24 3 2 3" xfId="55794" xr:uid="{8D282D42-E2F7-48B0-B2FD-1B2B387F64C0}"/>
    <cellStyle name="60% - Énfasis5 24 3 3" xfId="20695" xr:uid="{5ACA3F07-F83D-4131-9EB5-11FEABDF0C75}"/>
    <cellStyle name="60% - Énfasis5 24 3 3 2" xfId="55796" xr:uid="{9DDE1C3D-DB72-47D4-B3D2-1D26E62EE115}"/>
    <cellStyle name="60% - Énfasis5 24 3 4" xfId="55793" xr:uid="{0CA8F5A9-08BD-4568-8DA8-2575C7F9574F}"/>
    <cellStyle name="60% - Énfasis5 24 4" xfId="9261" xr:uid="{EEC86518-B63E-4C3E-8A32-66285924E72F}"/>
    <cellStyle name="60% - Énfasis5 24 4 2" xfId="24674" xr:uid="{1F5D8BF0-7D58-4518-912E-508F514AC32F}"/>
    <cellStyle name="60% - Énfasis5 24 4 2 2" xfId="55798" xr:uid="{C19B02A6-1382-42D1-AE69-DA924CC1F297}"/>
    <cellStyle name="60% - Énfasis5 24 4 3" xfId="55797" xr:uid="{4350A7F6-EFFA-40CF-BE28-001612BDC974}"/>
    <cellStyle name="60% - Énfasis5 24 5" xfId="16969" xr:uid="{5D57948C-0F8A-4569-8DE8-61B5E6582156}"/>
    <cellStyle name="60% - Énfasis5 24 5 2" xfId="55799" xr:uid="{E5C0398A-D748-489E-BD68-1EAEEE07155A}"/>
    <cellStyle name="60% - Énfasis5 24 6" xfId="55784" xr:uid="{DA48CE70-BD30-4879-85BA-07F9A1BFAC5F}"/>
    <cellStyle name="60% - Énfasis5 25" xfId="1564" xr:uid="{3560D7FD-45B6-420D-8036-61568F456037}"/>
    <cellStyle name="60% - Énfasis5 25 2" xfId="3029" xr:uid="{731E3646-D60C-4164-AFD7-C092F9E85054}"/>
    <cellStyle name="60% - Énfasis5 25 2 2" xfId="6761" xr:uid="{D2CD3263-98D5-4CE9-A6DF-1698F033B655}"/>
    <cellStyle name="60% - Énfasis5 25 2 2 2" xfId="14469" xr:uid="{7DD7A6B7-5BD6-467B-B064-5739B6D53A2C}"/>
    <cellStyle name="60% - Énfasis5 25 2 2 2 2" xfId="29881" xr:uid="{1CEEECF9-2A84-4CC8-8388-19FF01B3DAD8}"/>
    <cellStyle name="60% - Énfasis5 25 2 2 2 2 2" xfId="55804" xr:uid="{7CDF2F2C-76E3-4DA8-A71B-BDF7BB73F3FA}"/>
    <cellStyle name="60% - Énfasis5 25 2 2 2 3" xfId="55803" xr:uid="{DB64B34F-2E60-417E-A806-CFCE2054D0D6}"/>
    <cellStyle name="60% - Énfasis5 25 2 2 3" xfId="22176" xr:uid="{A59C243D-2D54-4420-BBE0-46AD40C5B2B4}"/>
    <cellStyle name="60% - Énfasis5 25 2 2 3 2" xfId="55805" xr:uid="{31AA064B-450F-48FE-9D31-1C7255352631}"/>
    <cellStyle name="60% - Énfasis5 25 2 2 4" xfId="55802" xr:uid="{541FF0A2-A87A-4DA5-B8C1-E25128064FED}"/>
    <cellStyle name="60% - Énfasis5 25 2 3" xfId="10740" xr:uid="{F9E396A3-441A-43FB-9BF7-94E2DB0D38F5}"/>
    <cellStyle name="60% - Énfasis5 25 2 3 2" xfId="26153" xr:uid="{DC7BDF60-8E57-455D-A98D-D1B68CE2853A}"/>
    <cellStyle name="60% - Énfasis5 25 2 3 2 2" xfId="55807" xr:uid="{4D469048-48A4-44DD-B95F-202176D12784}"/>
    <cellStyle name="60% - Énfasis5 25 2 3 3" xfId="55806" xr:uid="{DF10724A-E4E7-4916-ABF7-0116FED88E47}"/>
    <cellStyle name="60% - Énfasis5 25 2 4" xfId="18448" xr:uid="{41E8A61C-A4FF-4CAF-B98E-20FAA510407A}"/>
    <cellStyle name="60% - Énfasis5 25 2 4 2" xfId="55808" xr:uid="{2FD151DE-EE0B-4CC6-8B66-1E0AA90DB735}"/>
    <cellStyle name="60% - Énfasis5 25 2 5" xfId="55801" xr:uid="{3EA6013C-BD20-4375-9CB3-1E58133C9BF6}"/>
    <cellStyle name="60% - Énfasis5 25 3" xfId="5300" xr:uid="{D854949A-B788-44F8-883B-D121B32F3413}"/>
    <cellStyle name="60% - Énfasis5 25 3 2" xfId="13008" xr:uid="{3391BEFE-EA1D-41FC-97A9-69E39B73AC37}"/>
    <cellStyle name="60% - Énfasis5 25 3 2 2" xfId="28420" xr:uid="{19BFBE4D-DB84-44B4-A536-D47B73C229DF}"/>
    <cellStyle name="60% - Énfasis5 25 3 2 2 2" xfId="55811" xr:uid="{16BA8CE8-FF70-4458-8C0F-1AB996179236}"/>
    <cellStyle name="60% - Énfasis5 25 3 2 3" xfId="55810" xr:uid="{DC66F480-2642-42AE-8B89-420A9D908070}"/>
    <cellStyle name="60% - Énfasis5 25 3 3" xfId="20715" xr:uid="{6653DD94-D370-406A-B3FF-9A4C2C59DF27}"/>
    <cellStyle name="60% - Énfasis5 25 3 3 2" xfId="55812" xr:uid="{3E5E6192-F435-4B44-B917-B2CDA4F69DB7}"/>
    <cellStyle name="60% - Énfasis5 25 3 4" xfId="55809" xr:uid="{0E03241F-3CD4-4951-806A-0E96DE2C3477}"/>
    <cellStyle name="60% - Énfasis5 25 4" xfId="9281" xr:uid="{572680D7-F8F2-4093-A183-866AEECA5260}"/>
    <cellStyle name="60% - Énfasis5 25 4 2" xfId="24694" xr:uid="{522120E2-F520-4359-95E1-DE34D346150A}"/>
    <cellStyle name="60% - Énfasis5 25 4 2 2" xfId="55814" xr:uid="{71D470AF-511B-4353-9F49-7F0615A81E17}"/>
    <cellStyle name="60% - Énfasis5 25 4 3" xfId="55813" xr:uid="{BDE02830-8895-4BC7-8C1C-FCA69E76D7A2}"/>
    <cellStyle name="60% - Énfasis5 25 5" xfId="16989" xr:uid="{8DB04D64-DCD6-4130-A843-656ED67D4065}"/>
    <cellStyle name="60% - Énfasis5 25 5 2" xfId="55815" xr:uid="{692E734E-696F-4A92-8EEE-E8543EF494D7}"/>
    <cellStyle name="60% - Énfasis5 25 6" xfId="55800" xr:uid="{15ADCDA5-C0E8-49D5-9E3A-D8854011D6C8}"/>
    <cellStyle name="60% - Énfasis5 26" xfId="1584" xr:uid="{2A2C892B-038F-4FEF-BA05-61F42B21DC02}"/>
    <cellStyle name="60% - Énfasis5 26 2" xfId="3049" xr:uid="{AF73E1F5-7CAA-48D1-A293-A7ED5988D784}"/>
    <cellStyle name="60% - Énfasis5 26 2 2" xfId="6781" xr:uid="{001EAB2C-D870-40D1-AE10-3BBBD9F402F8}"/>
    <cellStyle name="60% - Énfasis5 26 2 2 2" xfId="14489" xr:uid="{8631F4A0-E04D-4027-BC03-D0AB2FD7C929}"/>
    <cellStyle name="60% - Énfasis5 26 2 2 2 2" xfId="29901" xr:uid="{0A06A22F-5E2E-4444-9B75-5D707CA7D351}"/>
    <cellStyle name="60% - Énfasis5 26 2 2 2 2 2" xfId="55820" xr:uid="{33927057-8370-4A4E-B0E5-6967A369301A}"/>
    <cellStyle name="60% - Énfasis5 26 2 2 2 3" xfId="55819" xr:uid="{232134BF-CB8C-4E95-9E19-D528D14068F4}"/>
    <cellStyle name="60% - Énfasis5 26 2 2 3" xfId="22196" xr:uid="{0702F853-4457-4979-89BE-4FCE2305579C}"/>
    <cellStyle name="60% - Énfasis5 26 2 2 3 2" xfId="55821" xr:uid="{627011FD-48F4-48BE-ADEE-3E3CF26B6541}"/>
    <cellStyle name="60% - Énfasis5 26 2 2 4" xfId="55818" xr:uid="{257D7407-1991-4509-B374-38B0B9A2E8C4}"/>
    <cellStyle name="60% - Énfasis5 26 2 3" xfId="10760" xr:uid="{7699289F-9D1E-4DD9-919B-0336282B3F70}"/>
    <cellStyle name="60% - Énfasis5 26 2 3 2" xfId="26173" xr:uid="{21C18AA5-D031-46A9-A8A4-F978FE4FF618}"/>
    <cellStyle name="60% - Énfasis5 26 2 3 2 2" xfId="55823" xr:uid="{07D682FD-115B-401A-A528-765EC2AC1A2B}"/>
    <cellStyle name="60% - Énfasis5 26 2 3 3" xfId="55822" xr:uid="{16D6AF92-5A14-4CD0-BFA6-7609E38F22EE}"/>
    <cellStyle name="60% - Énfasis5 26 2 4" xfId="18468" xr:uid="{B6CEE960-2473-442D-8204-E6E259B358D4}"/>
    <cellStyle name="60% - Énfasis5 26 2 4 2" xfId="55824" xr:uid="{17D85373-8C63-47BA-8342-DFA8CE6CFD29}"/>
    <cellStyle name="60% - Énfasis5 26 2 5" xfId="55817" xr:uid="{A0CBD34E-44CD-4375-954E-2E51FA7899BC}"/>
    <cellStyle name="60% - Énfasis5 26 3" xfId="5320" xr:uid="{B2B762C2-C24E-4A60-ADCF-7BAA195D16A8}"/>
    <cellStyle name="60% - Énfasis5 26 3 2" xfId="13028" xr:uid="{528A63F9-F58E-490D-9EDC-F92E0ED853DB}"/>
    <cellStyle name="60% - Énfasis5 26 3 2 2" xfId="28440" xr:uid="{09D63B9D-6E04-4044-8356-3A696E5E000D}"/>
    <cellStyle name="60% - Énfasis5 26 3 2 2 2" xfId="55827" xr:uid="{B34E59A0-8A01-4830-83F5-D45D96E494BC}"/>
    <cellStyle name="60% - Énfasis5 26 3 2 3" xfId="55826" xr:uid="{DAED918C-CCAC-49AA-B6D6-F0E39AE6B907}"/>
    <cellStyle name="60% - Énfasis5 26 3 3" xfId="20735" xr:uid="{490EDE4D-D19A-4978-8DB9-843F7F3540D5}"/>
    <cellStyle name="60% - Énfasis5 26 3 3 2" xfId="55828" xr:uid="{DCDF227A-8E66-4F4A-BF15-756DD0B832A8}"/>
    <cellStyle name="60% - Énfasis5 26 3 4" xfId="55825" xr:uid="{43279910-6DF8-4383-A026-7E63BDBA9D4A}"/>
    <cellStyle name="60% - Énfasis5 26 4" xfId="9301" xr:uid="{0C3779BD-FE0C-4E38-A54D-02215D105477}"/>
    <cellStyle name="60% - Énfasis5 26 4 2" xfId="24714" xr:uid="{595F779E-0281-403A-8171-4228B4A62BFF}"/>
    <cellStyle name="60% - Énfasis5 26 4 2 2" xfId="55830" xr:uid="{2EDA6DCA-31A4-4B34-B43A-D1CF1F0A7551}"/>
    <cellStyle name="60% - Énfasis5 26 4 3" xfId="55829" xr:uid="{730D3940-20E4-479A-8B1F-6999A0141392}"/>
    <cellStyle name="60% - Énfasis5 26 5" xfId="17009" xr:uid="{45F35979-3BB5-4213-8370-E399937BE94D}"/>
    <cellStyle name="60% - Énfasis5 26 5 2" xfId="55831" xr:uid="{BB2D6737-D6DA-41AA-8284-B2C53C16F94D}"/>
    <cellStyle name="60% - Énfasis5 26 6" xfId="55816" xr:uid="{E760BD16-61D7-4909-AD15-3DE34678B000}"/>
    <cellStyle name="60% - Énfasis5 27" xfId="1605" xr:uid="{30E12A9D-1E01-4DEC-B91A-E5077003240C}"/>
    <cellStyle name="60% - Énfasis5 27 2" xfId="3070" xr:uid="{B34AFC8A-D592-47E2-8AF5-92ACF8D496A9}"/>
    <cellStyle name="60% - Énfasis5 27 2 2" xfId="6802" xr:uid="{4E3B875F-F9D8-4995-9BEF-45032C5B4D5E}"/>
    <cellStyle name="60% - Énfasis5 27 2 2 2" xfId="14510" xr:uid="{51DB8F36-DE3F-4595-93F2-74E0CBBC012E}"/>
    <cellStyle name="60% - Énfasis5 27 2 2 2 2" xfId="29922" xr:uid="{7479194D-45DD-46B9-9C50-6FF031B28BC9}"/>
    <cellStyle name="60% - Énfasis5 27 2 2 2 2 2" xfId="55836" xr:uid="{C7399278-F5A5-484D-ACA0-E53AC6258151}"/>
    <cellStyle name="60% - Énfasis5 27 2 2 2 3" xfId="55835" xr:uid="{DA2D239D-372B-4242-A14C-F544D9777282}"/>
    <cellStyle name="60% - Énfasis5 27 2 2 3" xfId="22217" xr:uid="{A69E67CF-E45E-4605-8FF2-C147664CE9D0}"/>
    <cellStyle name="60% - Énfasis5 27 2 2 3 2" xfId="55837" xr:uid="{4BE0450D-527F-4C90-8EC2-852730BC4EE1}"/>
    <cellStyle name="60% - Énfasis5 27 2 2 4" xfId="55834" xr:uid="{CE6584B0-2C9C-4866-8A31-DE3816D5C5AD}"/>
    <cellStyle name="60% - Énfasis5 27 2 3" xfId="10781" xr:uid="{27FFA849-DC19-4CF5-910B-8CD2FF327269}"/>
    <cellStyle name="60% - Énfasis5 27 2 3 2" xfId="26194" xr:uid="{6047AD80-ECB4-4FE2-81DF-1D2CB45D48B0}"/>
    <cellStyle name="60% - Énfasis5 27 2 3 2 2" xfId="55839" xr:uid="{93DCAA29-F062-46B5-8A9A-63ED6B06DD72}"/>
    <cellStyle name="60% - Énfasis5 27 2 3 3" xfId="55838" xr:uid="{CCE4FD3F-DF21-4981-8108-46BAED52717E}"/>
    <cellStyle name="60% - Énfasis5 27 2 4" xfId="18489" xr:uid="{CC73EF47-37E6-4780-A9C5-204A73663310}"/>
    <cellStyle name="60% - Énfasis5 27 2 4 2" xfId="55840" xr:uid="{8DCBAA9A-EBBB-4C1F-858C-C5790C8B36CA}"/>
    <cellStyle name="60% - Énfasis5 27 2 5" xfId="55833" xr:uid="{3038700B-A036-4F23-A9D1-527F83FFB163}"/>
    <cellStyle name="60% - Énfasis5 27 3" xfId="5341" xr:uid="{727BC41E-257C-4E72-94FE-11F0CCBF4D61}"/>
    <cellStyle name="60% - Énfasis5 27 3 2" xfId="13049" xr:uid="{B8CE2FEC-D322-4740-AB2E-4E41B2D0281F}"/>
    <cellStyle name="60% - Énfasis5 27 3 2 2" xfId="28461" xr:uid="{979DE9D3-D9D7-4E07-80E9-F8C23048024D}"/>
    <cellStyle name="60% - Énfasis5 27 3 2 2 2" xfId="55843" xr:uid="{27DCB637-C16D-4B8A-84E8-DA70076F4F38}"/>
    <cellStyle name="60% - Énfasis5 27 3 2 3" xfId="55842" xr:uid="{5C5EDAA1-4796-4F0A-8EC0-E74719D58E4D}"/>
    <cellStyle name="60% - Énfasis5 27 3 3" xfId="20756" xr:uid="{7937432E-11A3-4EDF-9A3D-F218C658B4F4}"/>
    <cellStyle name="60% - Énfasis5 27 3 3 2" xfId="55844" xr:uid="{D4C6A72F-0A35-4E28-9B4F-3E3AA0E1047A}"/>
    <cellStyle name="60% - Énfasis5 27 3 4" xfId="55841" xr:uid="{8B048BE9-6C6D-4895-A299-64333175D2E3}"/>
    <cellStyle name="60% - Énfasis5 27 4" xfId="9322" xr:uid="{62D35079-40DA-4CEE-AF36-C2697392E89B}"/>
    <cellStyle name="60% - Énfasis5 27 4 2" xfId="24735" xr:uid="{B8F28D41-06DB-468D-B90A-ADA7B90E6CB2}"/>
    <cellStyle name="60% - Énfasis5 27 4 2 2" xfId="55846" xr:uid="{F8DD7938-CFEB-49C9-9E31-AD5A1A863910}"/>
    <cellStyle name="60% - Énfasis5 27 4 3" xfId="55845" xr:uid="{F8C86A38-C0A5-4431-B5AB-E9E0683F9093}"/>
    <cellStyle name="60% - Énfasis5 27 5" xfId="17030" xr:uid="{3C22CAE2-B15D-49C1-8D36-62039F5C9F51}"/>
    <cellStyle name="60% - Énfasis5 27 5 2" xfId="55847" xr:uid="{DEADCF8F-52AE-4104-9842-726B68DCCF58}"/>
    <cellStyle name="60% - Énfasis5 27 6" xfId="55832" xr:uid="{82D9803C-3728-4109-BDE6-22E51BD0CD6F}"/>
    <cellStyle name="60% - Énfasis5 28" xfId="3090" xr:uid="{7B54109F-A771-446A-95A8-DEADE9943C35}"/>
    <cellStyle name="60% - Énfasis5 28 2" xfId="6822" xr:uid="{2E037D9F-8AF9-43D2-BB34-CE57DEA428B6}"/>
    <cellStyle name="60% - Énfasis5 28 2 2" xfId="14530" xr:uid="{9F74FC76-E8C3-4F0D-ADD1-CDBC621A87B0}"/>
    <cellStyle name="60% - Énfasis5 28 2 2 2" xfId="29942" xr:uid="{226DF15E-2C43-4F97-9119-B47F9EA87469}"/>
    <cellStyle name="60% - Énfasis5 28 2 2 2 2" xfId="55851" xr:uid="{80D42555-B0B0-4E61-96EB-379241244C29}"/>
    <cellStyle name="60% - Énfasis5 28 2 2 3" xfId="55850" xr:uid="{20CFCC8C-8BF1-41FA-BE9B-E9FEA690DD85}"/>
    <cellStyle name="60% - Énfasis5 28 2 3" xfId="22237" xr:uid="{622BE2E8-8E20-4B5F-B7C1-1AF8E33DDCAB}"/>
    <cellStyle name="60% - Énfasis5 28 2 3 2" xfId="55852" xr:uid="{BB8FEDFE-6982-4A0F-A665-0D2A73668455}"/>
    <cellStyle name="60% - Énfasis5 28 2 4" xfId="55849" xr:uid="{AA1AD36D-2BA1-4A4E-BC82-CA8B10CF82AE}"/>
    <cellStyle name="60% - Énfasis5 28 3" xfId="10801" xr:uid="{09D46B38-867C-4CDA-A5FB-82B7D4393B2A}"/>
    <cellStyle name="60% - Énfasis5 28 3 2" xfId="26214" xr:uid="{09D22F6D-11CE-41DC-9F6A-D686E3A8D2F2}"/>
    <cellStyle name="60% - Énfasis5 28 3 2 2" xfId="55854" xr:uid="{FD32125B-63DC-4703-BBB6-CE8E7F886352}"/>
    <cellStyle name="60% - Énfasis5 28 3 3" xfId="55853" xr:uid="{1A2D8557-8602-47B9-9B2C-5C480683E0F7}"/>
    <cellStyle name="60% - Énfasis5 28 4" xfId="18509" xr:uid="{68211E2D-498C-4C1F-B800-3E65A57C15AA}"/>
    <cellStyle name="60% - Énfasis5 28 4 2" xfId="55855" xr:uid="{A83F8BEF-4574-4B3C-AC89-2A8022A96A7C}"/>
    <cellStyle name="60% - Énfasis5 28 5" xfId="55848" xr:uid="{5D4F0723-74A4-4F0B-9BEE-9DD6046AE0EB}"/>
    <cellStyle name="60% - Énfasis5 29" xfId="3110" xr:uid="{E1B05361-90CE-4899-980F-2CCEFF20E0A0}"/>
    <cellStyle name="60% - Énfasis5 29 2" xfId="6842" xr:uid="{DE89A0D2-2F5C-4646-9E9C-9867365C7E2E}"/>
    <cellStyle name="60% - Énfasis5 29 2 2" xfId="14550" xr:uid="{EFDE36EA-F755-47CE-856E-7B6FA2A1B49F}"/>
    <cellStyle name="60% - Énfasis5 29 2 2 2" xfId="29962" xr:uid="{3723F3F0-6845-4217-A180-E4DCBA3596C2}"/>
    <cellStyle name="60% - Énfasis5 29 2 2 2 2" xfId="55859" xr:uid="{E1416BAC-BDE8-4DFB-B392-742BD6CA5829}"/>
    <cellStyle name="60% - Énfasis5 29 2 2 3" xfId="55858" xr:uid="{6EB327F9-F650-4CA2-946B-EFFC9771C756}"/>
    <cellStyle name="60% - Énfasis5 29 2 3" xfId="22257" xr:uid="{27C51C62-9FE4-42DE-9591-BD793A723FE1}"/>
    <cellStyle name="60% - Énfasis5 29 2 3 2" xfId="55860" xr:uid="{48CDA687-2B40-4E42-B240-73877CF2DF73}"/>
    <cellStyle name="60% - Énfasis5 29 2 4" xfId="55857" xr:uid="{9427CC69-EA9A-4F6E-AFA0-C3B757305D29}"/>
    <cellStyle name="60% - Énfasis5 29 3" xfId="10821" xr:uid="{7ECBA17E-CDEE-48E8-92AE-61325BD9BAE3}"/>
    <cellStyle name="60% - Énfasis5 29 3 2" xfId="26234" xr:uid="{28AAE126-482D-41AA-A785-C89C7F6BEA9E}"/>
    <cellStyle name="60% - Énfasis5 29 3 2 2" xfId="55862" xr:uid="{3BFFE8C4-AE45-49BB-A1EA-3CF64D77E6FD}"/>
    <cellStyle name="60% - Énfasis5 29 3 3" xfId="55861" xr:uid="{1C2D553F-AE9D-4FCD-9A24-DCE12552ED8C}"/>
    <cellStyle name="60% - Énfasis5 29 4" xfId="18529" xr:uid="{1DEFA43A-0A70-4371-9715-FE9E5765675C}"/>
    <cellStyle name="60% - Énfasis5 29 4 2" xfId="55863" xr:uid="{6237BB20-5EA4-4123-9F70-7EFD250FC86F}"/>
    <cellStyle name="60% - Énfasis5 29 5" xfId="55856" xr:uid="{B4BD873B-63F7-4522-B54B-2A5D25785018}"/>
    <cellStyle name="60% - Énfasis5 3" xfId="275" xr:uid="{D44BC28F-4AF6-4F89-AD62-781C361148C0}"/>
    <cellStyle name="60% - Énfasis5 3 2" xfId="478" xr:uid="{3E5EF275-8542-4F25-AAD7-4506F6A9BD49}"/>
    <cellStyle name="60% - Énfasis5 3 2 2" xfId="1139" xr:uid="{7D730E5A-4054-45D6-913B-7AF61395FFE7}"/>
    <cellStyle name="60% - Énfasis5 3 2 2 2" xfId="2607" xr:uid="{66D237A5-33BA-40F7-BCD3-2691E818A458}"/>
    <cellStyle name="60% - Énfasis5 3 2 2 2 2" xfId="6339" xr:uid="{883EF30C-1AE7-46BA-AFF4-DE28FC23A05E}"/>
    <cellStyle name="60% - Énfasis5 3 2 2 2 2 2" xfId="14047" xr:uid="{70EEE662-3C10-409B-85AA-E46E310416BF}"/>
    <cellStyle name="60% - Énfasis5 3 2 2 2 2 2 2" xfId="29459" xr:uid="{EDE47135-9795-416C-A0B5-79DB852FEA20}"/>
    <cellStyle name="60% - Énfasis5 3 2 2 2 2 2 2 2" xfId="55870" xr:uid="{A9680245-1193-43D2-8099-363712716118}"/>
    <cellStyle name="60% - Énfasis5 3 2 2 2 2 2 3" xfId="55869" xr:uid="{0B50EFEF-87AF-42E4-B11A-3F1CC8EA9058}"/>
    <cellStyle name="60% - Énfasis5 3 2 2 2 2 3" xfId="21754" xr:uid="{1A99B497-4059-49F0-9786-5754D29EC279}"/>
    <cellStyle name="60% - Énfasis5 3 2 2 2 2 3 2" xfId="55871" xr:uid="{BF8EDF26-152B-45AC-9148-02C36DA1EE08}"/>
    <cellStyle name="60% - Énfasis5 3 2 2 2 2 4" xfId="55868" xr:uid="{F30E4C44-4D91-4FC6-874C-9429FC3667FA}"/>
    <cellStyle name="60% - Énfasis5 3 2 2 2 3" xfId="10318" xr:uid="{55C87A16-80CC-46C4-8A20-269120E311C8}"/>
    <cellStyle name="60% - Énfasis5 3 2 2 2 3 2" xfId="25731" xr:uid="{A20267C6-870E-4F63-9CB2-BAD4D0B53486}"/>
    <cellStyle name="60% - Énfasis5 3 2 2 2 3 2 2" xfId="55873" xr:uid="{EA49B202-3220-4EE0-8589-F6924CEA55B8}"/>
    <cellStyle name="60% - Énfasis5 3 2 2 2 3 3" xfId="55872" xr:uid="{B25650FD-4B45-4E28-B658-A66DECEBEFEA}"/>
    <cellStyle name="60% - Énfasis5 3 2 2 2 4" xfId="18026" xr:uid="{14266C46-234C-48B9-B823-E12CCACD5467}"/>
    <cellStyle name="60% - Énfasis5 3 2 2 2 4 2" xfId="55874" xr:uid="{D504BBAA-EEE6-46EE-9F59-5989144BD94F}"/>
    <cellStyle name="60% - Énfasis5 3 2 2 2 5" xfId="55867" xr:uid="{50264F08-B983-4CC1-8C9F-96F616776848}"/>
    <cellStyle name="60% - Énfasis5 3 2 2 3" xfId="4876" xr:uid="{15A0968F-9083-4EEA-88E8-7FB590255FFC}"/>
    <cellStyle name="60% - Énfasis5 3 2 2 3 2" xfId="12584" xr:uid="{179175DC-8DEF-4CA5-AD9C-7C87DB28D596}"/>
    <cellStyle name="60% - Énfasis5 3 2 2 3 2 2" xfId="27996" xr:uid="{7E128077-C215-427C-BC53-0D6733A8B0D7}"/>
    <cellStyle name="60% - Énfasis5 3 2 2 3 2 2 2" xfId="55877" xr:uid="{575A9DD8-D999-48E5-96E6-06983E5D879A}"/>
    <cellStyle name="60% - Énfasis5 3 2 2 3 2 3" xfId="55876" xr:uid="{9E1FECDB-AEBE-4124-9CF0-0630711D8ADA}"/>
    <cellStyle name="60% - Énfasis5 3 2 2 3 3" xfId="20291" xr:uid="{4C3FDEFF-5056-4F8D-BE38-5E23823662F4}"/>
    <cellStyle name="60% - Énfasis5 3 2 2 3 3 2" xfId="55878" xr:uid="{3EEF5729-65EC-4B40-BCF5-1991E9E5328A}"/>
    <cellStyle name="60% - Énfasis5 3 2 2 3 4" xfId="55875" xr:uid="{0D02E932-C480-469B-BE0D-F240AA0F833F}"/>
    <cellStyle name="60% - Énfasis5 3 2 2 4" xfId="8859" xr:uid="{91A61370-B2FD-44D5-9790-DCD85548D922}"/>
    <cellStyle name="60% - Énfasis5 3 2 2 4 2" xfId="24272" xr:uid="{FA53886E-9AD7-4D8B-8731-5B8E760172D1}"/>
    <cellStyle name="60% - Énfasis5 3 2 2 4 2 2" xfId="55880" xr:uid="{E962B7DA-1FE2-49CB-ADEA-E42EA34F0169}"/>
    <cellStyle name="60% - Énfasis5 3 2 2 4 3" xfId="55879" xr:uid="{BD9D62A2-619B-49C5-A127-69C40A05C8D8}"/>
    <cellStyle name="60% - Énfasis5 3 2 2 5" xfId="16567" xr:uid="{A28C88F1-C141-4614-A27B-B6CDD2286E0F}"/>
    <cellStyle name="60% - Énfasis5 3 2 2 5 2" xfId="55881" xr:uid="{C68EAE29-B590-4C48-814F-74F5D88A2466}"/>
    <cellStyle name="60% - Énfasis5 3 2 2 6" xfId="55866" xr:uid="{1AAFBF60-091C-43FD-A46E-A8561BA302D9}"/>
    <cellStyle name="60% - Énfasis5 3 2 3" xfId="1969" xr:uid="{CA630673-0F6C-4E13-BF82-16B5E84D03D3}"/>
    <cellStyle name="60% - Énfasis5 3 2 3 2" xfId="5701" xr:uid="{68BCC5D4-A919-4CA0-9B9D-DAD1CEA23BC6}"/>
    <cellStyle name="60% - Énfasis5 3 2 3 2 2" xfId="13409" xr:uid="{5F5D22EE-D4B2-4E54-A109-1DBBFF049CD7}"/>
    <cellStyle name="60% - Énfasis5 3 2 3 2 2 2" xfId="28821" xr:uid="{93BF73C7-A5F0-4A36-A0F6-F8A1A4799631}"/>
    <cellStyle name="60% - Énfasis5 3 2 3 2 2 2 2" xfId="55885" xr:uid="{7DF6FA39-921A-48A5-8FDB-A51AE1C9F246}"/>
    <cellStyle name="60% - Énfasis5 3 2 3 2 2 3" xfId="55884" xr:uid="{06A9C359-EFD0-4B0D-9930-55AFBFC8F0FD}"/>
    <cellStyle name="60% - Énfasis5 3 2 3 2 3" xfId="21116" xr:uid="{4C80CC03-3451-4B33-BA8C-B75A10745454}"/>
    <cellStyle name="60% - Énfasis5 3 2 3 2 3 2" xfId="55886" xr:uid="{38246D9F-0D8E-4564-89AB-2D55ADFA8759}"/>
    <cellStyle name="60% - Énfasis5 3 2 3 2 4" xfId="55883" xr:uid="{FD04350D-AB20-421C-8E0E-C8AD479603B4}"/>
    <cellStyle name="60% - Énfasis5 3 2 3 3" xfId="9680" xr:uid="{053A4A39-C766-468D-876C-23D47B6ED1B6}"/>
    <cellStyle name="60% - Énfasis5 3 2 3 3 2" xfId="25093" xr:uid="{60059CCC-67D2-475B-B274-E4D7CFE8FB4D}"/>
    <cellStyle name="60% - Énfasis5 3 2 3 3 2 2" xfId="55888" xr:uid="{4613D6E4-06C0-473F-BE25-11F93FFBD4BD}"/>
    <cellStyle name="60% - Énfasis5 3 2 3 3 3" xfId="55887" xr:uid="{9C074C4A-95AA-4853-8241-4260035B9908}"/>
    <cellStyle name="60% - Énfasis5 3 2 3 4" xfId="17388" xr:uid="{D15399E8-9C76-4494-8AD3-B1E3C61091AF}"/>
    <cellStyle name="60% - Énfasis5 3 2 3 4 2" xfId="55889" xr:uid="{94165236-08C5-442D-8174-6E4335A38C9E}"/>
    <cellStyle name="60% - Énfasis5 3 2 3 5" xfId="55882" xr:uid="{E4F817EA-C624-49B4-B97C-D9F62EB3C396}"/>
    <cellStyle name="60% - Énfasis5 3 2 4" xfId="4224" xr:uid="{93021D90-67A6-43C3-8170-003ADE82DAA6}"/>
    <cellStyle name="60% - Énfasis5 3 2 4 2" xfId="11932" xr:uid="{8964C9AD-5A39-4A3E-9B5B-4A395E7B9F29}"/>
    <cellStyle name="60% - Énfasis5 3 2 4 2 2" xfId="27344" xr:uid="{E17A341E-8C72-47D5-AB3B-88865E4218FB}"/>
    <cellStyle name="60% - Énfasis5 3 2 4 2 2 2" xfId="55892" xr:uid="{289A492E-1E43-4AA0-8E80-760E2C57D9BE}"/>
    <cellStyle name="60% - Énfasis5 3 2 4 2 3" xfId="55891" xr:uid="{DC6A5AE5-BA7F-4A0E-8C26-19E3BBCC7AE4}"/>
    <cellStyle name="60% - Énfasis5 3 2 4 3" xfId="19639" xr:uid="{065A785A-115D-480A-A4B3-5352A6A93692}"/>
    <cellStyle name="60% - Énfasis5 3 2 4 3 2" xfId="55893" xr:uid="{2C36885C-BE8E-4F3D-80F0-B9B84CF8F984}"/>
    <cellStyle name="60% - Énfasis5 3 2 4 4" xfId="55890" xr:uid="{87DA1FB4-BE30-4724-B3C6-7A1803DFACC1}"/>
    <cellStyle name="60% - Énfasis5 3 2 5" xfId="8221" xr:uid="{4C513AB5-BE8F-479C-87FD-FE61063DE814}"/>
    <cellStyle name="60% - Énfasis5 3 2 5 2" xfId="23634" xr:uid="{BEC16A9E-661D-441C-8222-589646A636A0}"/>
    <cellStyle name="60% - Énfasis5 3 2 5 2 2" xfId="55895" xr:uid="{B69C73E6-5F59-4123-AA77-3C3041B60496}"/>
    <cellStyle name="60% - Énfasis5 3 2 5 3" xfId="55894" xr:uid="{4453C7D8-7685-4626-A0C8-DC5C353B2CF9}"/>
    <cellStyle name="60% - Énfasis5 3 2 6" xfId="15929" xr:uid="{03540F2E-CDE2-4EEE-8F4B-3CD93E719E37}"/>
    <cellStyle name="60% - Énfasis5 3 2 6 2" xfId="55896" xr:uid="{555D8E84-42E8-4F10-97A7-4CD22593947F}"/>
    <cellStyle name="60% - Énfasis5 3 2 7" xfId="55865" xr:uid="{3BD3EDBD-A9CC-4BEE-8B4A-4ECBF46EC483}"/>
    <cellStyle name="60% - Énfasis5 3 3" xfId="939" xr:uid="{4E141DBE-1D62-430F-B60E-5E38030DCF6B}"/>
    <cellStyle name="60% - Énfasis5 3 3 2" xfId="2409" xr:uid="{986D17F9-8CDE-49EB-BDF1-3E68BD5C48F0}"/>
    <cellStyle name="60% - Énfasis5 3 3 2 2" xfId="6141" xr:uid="{C7EF7DBE-166C-4A1C-B615-CDDAAE91232D}"/>
    <cellStyle name="60% - Énfasis5 3 3 2 2 2" xfId="13849" xr:uid="{17B05841-35C2-4B87-94F8-7A600B57189F}"/>
    <cellStyle name="60% - Énfasis5 3 3 2 2 2 2" xfId="29261" xr:uid="{0E21F403-14AF-4DAF-8D8E-9F0B9ECB1D9D}"/>
    <cellStyle name="60% - Énfasis5 3 3 2 2 2 2 2" xfId="55901" xr:uid="{BE7F72ED-6AC5-47FA-A42A-784F84FA8A52}"/>
    <cellStyle name="60% - Énfasis5 3 3 2 2 2 3" xfId="55900" xr:uid="{BA9D2914-4F96-45D9-903C-43CC5C404C61}"/>
    <cellStyle name="60% - Énfasis5 3 3 2 2 3" xfId="21556" xr:uid="{471E2779-B7E4-4AD6-BBF2-41113C0105A3}"/>
    <cellStyle name="60% - Énfasis5 3 3 2 2 3 2" xfId="55902" xr:uid="{7AE1E30D-9513-464F-B0B8-424D3E39E1C0}"/>
    <cellStyle name="60% - Énfasis5 3 3 2 2 4" xfId="55899" xr:uid="{51912800-EA3B-41B1-A97F-36A5C6AC0A4D}"/>
    <cellStyle name="60% - Énfasis5 3 3 2 3" xfId="10120" xr:uid="{E4439F9B-692F-455F-9403-224C6B473304}"/>
    <cellStyle name="60% - Énfasis5 3 3 2 3 2" xfId="25533" xr:uid="{DD4A9D6D-047C-49D3-93F4-D390C4EDD62C}"/>
    <cellStyle name="60% - Énfasis5 3 3 2 3 2 2" xfId="55904" xr:uid="{AADE6BC7-616E-4BA1-945F-EC4020756235}"/>
    <cellStyle name="60% - Énfasis5 3 3 2 3 3" xfId="55903" xr:uid="{34C230C8-9E65-4BD3-BED4-9BDCF1C2D188}"/>
    <cellStyle name="60% - Énfasis5 3 3 2 4" xfId="17828" xr:uid="{02BA72F1-2D45-46F7-86FB-7351A8807646}"/>
    <cellStyle name="60% - Énfasis5 3 3 2 4 2" xfId="55905" xr:uid="{6FC5EEFB-D1E5-4EB6-A207-16271E817613}"/>
    <cellStyle name="60% - Énfasis5 3 3 2 5" xfId="55898" xr:uid="{0792659A-35E6-4440-B505-B6ECDEF8CE6C}"/>
    <cellStyle name="60% - Énfasis5 3 3 3" xfId="4676" xr:uid="{3CF2B16E-F384-4DCD-A52C-08A7DBD04B2B}"/>
    <cellStyle name="60% - Énfasis5 3 3 3 2" xfId="12384" xr:uid="{95B7DFEB-604B-454E-8B84-1F1843D926C5}"/>
    <cellStyle name="60% - Énfasis5 3 3 3 2 2" xfId="27796" xr:uid="{12BA6458-619C-46BC-A8BB-CFCC2639B24A}"/>
    <cellStyle name="60% - Énfasis5 3 3 3 2 2 2" xfId="55908" xr:uid="{303243AD-0AF6-4A3E-BD85-9E5ABA306E38}"/>
    <cellStyle name="60% - Énfasis5 3 3 3 2 3" xfId="55907" xr:uid="{1DF9AAF5-543C-4935-B2EE-83EC36F983EA}"/>
    <cellStyle name="60% - Énfasis5 3 3 3 3" xfId="20091" xr:uid="{62527515-EC05-400D-99A4-C86F6BD565B7}"/>
    <cellStyle name="60% - Énfasis5 3 3 3 3 2" xfId="55909" xr:uid="{D120E28F-2288-4E96-A0E7-DD6C160ECBC9}"/>
    <cellStyle name="60% - Énfasis5 3 3 3 4" xfId="55906" xr:uid="{D5ADE57E-FAC0-4FF0-A775-D14B34276DC5}"/>
    <cellStyle name="60% - Énfasis5 3 3 4" xfId="8661" xr:uid="{4E82B337-4B53-4A0D-9293-6D478CCB9CD1}"/>
    <cellStyle name="60% - Énfasis5 3 3 4 2" xfId="24074" xr:uid="{C83C585D-229C-4A05-A03D-3FEF72941E4A}"/>
    <cellStyle name="60% - Énfasis5 3 3 4 2 2" xfId="55911" xr:uid="{AA95A872-5AD8-48AB-940A-86FAF94E0AB2}"/>
    <cellStyle name="60% - Énfasis5 3 3 4 3" xfId="55910" xr:uid="{93619E25-CE82-416C-96BD-BAB394E268DE}"/>
    <cellStyle name="60% - Énfasis5 3 3 5" xfId="16369" xr:uid="{7901F553-F4AD-43FA-AC36-A7B0E07F8F09}"/>
    <cellStyle name="60% - Énfasis5 3 3 5 2" xfId="55912" xr:uid="{21DC0DAD-A725-43D5-8C49-187F898089F2}"/>
    <cellStyle name="60% - Énfasis5 3 3 6" xfId="55897" xr:uid="{239ECD35-8982-4A92-BCA3-420ABC887474}"/>
    <cellStyle name="60% - Énfasis5 3 4" xfId="1771" xr:uid="{DE3C70EE-06CB-4E1C-9F8F-2CB8279C6193}"/>
    <cellStyle name="60% - Énfasis5 3 4 2" xfId="5503" xr:uid="{E5EB9006-14BA-4606-AA2A-9DBFA01157CF}"/>
    <cellStyle name="60% - Énfasis5 3 4 2 2" xfId="13211" xr:uid="{0CF144F6-9E94-4465-94A2-DFCB3A0D90E4}"/>
    <cellStyle name="60% - Énfasis5 3 4 2 2 2" xfId="28623" xr:uid="{5DF7E0B0-5952-4FB6-AF52-59D4C35A831E}"/>
    <cellStyle name="60% - Énfasis5 3 4 2 2 2 2" xfId="55916" xr:uid="{1B7A10E8-2B1E-4EEF-B55F-30EEDF73F9D9}"/>
    <cellStyle name="60% - Énfasis5 3 4 2 2 3" xfId="55915" xr:uid="{4083D478-D317-4BF6-BDDE-D86F3AB5D9CA}"/>
    <cellStyle name="60% - Énfasis5 3 4 2 3" xfId="20918" xr:uid="{4E2B12E8-9059-4108-BB51-5379B63CDAAF}"/>
    <cellStyle name="60% - Énfasis5 3 4 2 3 2" xfId="55917" xr:uid="{E98ED8CD-0A66-4BA1-9BBA-870A0FE846FB}"/>
    <cellStyle name="60% - Énfasis5 3 4 2 4" xfId="55914" xr:uid="{A3455BB6-90C1-4907-AB3B-C762CB9B7A42}"/>
    <cellStyle name="60% - Énfasis5 3 4 3" xfId="9482" xr:uid="{5885899A-F62B-4417-8599-27BEF8CD6804}"/>
    <cellStyle name="60% - Énfasis5 3 4 3 2" xfId="24895" xr:uid="{7E3C5BB0-C444-4431-A5EC-4A8BD69E9817}"/>
    <cellStyle name="60% - Énfasis5 3 4 3 2 2" xfId="55919" xr:uid="{BE643E59-CD3B-4CDA-9CF6-3BF9F6BD12C9}"/>
    <cellStyle name="60% - Énfasis5 3 4 3 3" xfId="55918" xr:uid="{285521D5-F1FF-4D8A-AA7E-421865C0CBFC}"/>
    <cellStyle name="60% - Énfasis5 3 4 4" xfId="17190" xr:uid="{525BA318-35B9-4559-B2D7-ECD45E4CA9DD}"/>
    <cellStyle name="60% - Énfasis5 3 4 4 2" xfId="55920" xr:uid="{A8737237-430B-42AA-8EF4-4C2FBFE4785A}"/>
    <cellStyle name="60% - Énfasis5 3 4 5" xfId="55913" xr:uid="{8984CF39-C9AC-43AD-995B-B087200C1A99}"/>
    <cellStyle name="60% - Énfasis5 3 5" xfId="4024" xr:uid="{D1F9586D-49AB-427B-8CAE-EEFA5126AEDF}"/>
    <cellStyle name="60% - Énfasis5 3 5 2" xfId="11732" xr:uid="{230A0DC2-1D5C-41A2-BC8F-49A3A5A4CB9A}"/>
    <cellStyle name="60% - Énfasis5 3 5 2 2" xfId="27144" xr:uid="{37FF2497-2386-486B-B54C-51EEAB422812}"/>
    <cellStyle name="60% - Énfasis5 3 5 2 2 2" xfId="55923" xr:uid="{79442F46-F69E-474E-99A2-20B98AF06EA2}"/>
    <cellStyle name="60% - Énfasis5 3 5 2 3" xfId="55922" xr:uid="{8AC64FE6-8F00-4315-86B2-B9FB40BE4E5C}"/>
    <cellStyle name="60% - Énfasis5 3 5 3" xfId="19439" xr:uid="{02518503-9623-4340-9CD0-9DD77BB1E37C}"/>
    <cellStyle name="60% - Énfasis5 3 5 3 2" xfId="55924" xr:uid="{B93E96B6-5EB5-4824-ACCA-E58639D750AB}"/>
    <cellStyle name="60% - Énfasis5 3 5 4" xfId="55921" xr:uid="{1F7D38E9-FF76-4C5B-92AE-BE9AA66A91DD}"/>
    <cellStyle name="60% - Énfasis5 3 6" xfId="8023" xr:uid="{AE148290-BC48-4BBB-9640-C799F0A74955}"/>
    <cellStyle name="60% - Énfasis5 3 6 2" xfId="23436" xr:uid="{BFAB1A0D-50DF-4D8A-895F-982B456236AB}"/>
    <cellStyle name="60% - Énfasis5 3 6 2 2" xfId="55926" xr:uid="{6653E41E-BB84-4EF3-947E-105FD1C566C6}"/>
    <cellStyle name="60% - Énfasis5 3 6 3" xfId="55925" xr:uid="{B1844B8C-CEDB-4BFC-B2E5-DE999838D01D}"/>
    <cellStyle name="60% - Énfasis5 3 7" xfId="15731" xr:uid="{97649537-6CC5-42F4-998F-219D789EB7F6}"/>
    <cellStyle name="60% - Énfasis5 3 7 2" xfId="55927" xr:uid="{7558EF57-3148-478C-A51F-91DBCD03FB3E}"/>
    <cellStyle name="60% - Énfasis5 3 8" xfId="55864" xr:uid="{768607D9-2804-432D-864F-58EF41367A2D}"/>
    <cellStyle name="60% - Énfasis5 30" xfId="3130" xr:uid="{6586D7A9-E25B-4E7E-8048-1407F6EFF65D}"/>
    <cellStyle name="60% - Énfasis5 30 2" xfId="6862" xr:uid="{1E978A21-F840-48FE-B0DA-A5E1909D3675}"/>
    <cellStyle name="60% - Énfasis5 30 2 2" xfId="14570" xr:uid="{05520FA6-245E-4509-BC14-874A50082ED7}"/>
    <cellStyle name="60% - Énfasis5 30 2 2 2" xfId="29982" xr:uid="{2219ADDF-43D7-4FE3-A7B4-9DA19E8E4126}"/>
    <cellStyle name="60% - Énfasis5 30 2 2 2 2" xfId="55931" xr:uid="{820D42EE-4EBB-41C8-98AB-12F596AE3F8E}"/>
    <cellStyle name="60% - Énfasis5 30 2 2 3" xfId="55930" xr:uid="{E0581B42-648A-4561-8649-C33CA032122E}"/>
    <cellStyle name="60% - Énfasis5 30 2 3" xfId="22277" xr:uid="{9844D211-81AD-4F26-885F-4E62844EBD26}"/>
    <cellStyle name="60% - Énfasis5 30 2 3 2" xfId="55932" xr:uid="{EB507306-BEC0-4863-BF47-056E734CE0B6}"/>
    <cellStyle name="60% - Énfasis5 30 2 4" xfId="55929" xr:uid="{3C15AF21-95F8-4DB9-BE4A-3DCBAAB0BE3C}"/>
    <cellStyle name="60% - Énfasis5 30 3" xfId="10841" xr:uid="{A1066A4E-A5AF-4E41-B366-84F5CC086748}"/>
    <cellStyle name="60% - Énfasis5 30 3 2" xfId="26254" xr:uid="{2EB5F370-EA32-4C06-9D49-32B92F3C0117}"/>
    <cellStyle name="60% - Énfasis5 30 3 2 2" xfId="55934" xr:uid="{D621F480-7D87-4435-978C-873320B1568F}"/>
    <cellStyle name="60% - Énfasis5 30 3 3" xfId="55933" xr:uid="{765EBD58-104B-443C-8D19-37EEC7D816FA}"/>
    <cellStyle name="60% - Énfasis5 30 4" xfId="18549" xr:uid="{92A2483B-7612-4B05-AD2C-3ED127235CD0}"/>
    <cellStyle name="60% - Énfasis5 30 4 2" xfId="55935" xr:uid="{1BFF5100-92F8-4B24-895B-0250104D7F72}"/>
    <cellStyle name="60% - Énfasis5 30 5" xfId="55928" xr:uid="{CBC9D1CB-9F73-4067-B613-2355F75302C9}"/>
    <cellStyle name="60% - Énfasis5 31" xfId="3150" xr:uid="{D24468E7-981C-4853-9E36-33E4318270E7}"/>
    <cellStyle name="60% - Énfasis5 31 2" xfId="6882" xr:uid="{AA3A10F2-8CB3-43D6-A7B1-E7E658424476}"/>
    <cellStyle name="60% - Énfasis5 31 2 2" xfId="14590" xr:uid="{59180454-2496-4309-BD8A-A0076D6AC454}"/>
    <cellStyle name="60% - Énfasis5 31 2 2 2" xfId="30002" xr:uid="{F6253845-8864-4302-82C5-1538F47DE54C}"/>
    <cellStyle name="60% - Énfasis5 31 2 2 2 2" xfId="55939" xr:uid="{BB0C9954-E985-463F-A521-7A8010E59D97}"/>
    <cellStyle name="60% - Énfasis5 31 2 2 3" xfId="55938" xr:uid="{DA0096CE-DD25-42B7-B29E-5ABCB65A2EFB}"/>
    <cellStyle name="60% - Énfasis5 31 2 3" xfId="22297" xr:uid="{7C313A66-EC97-4024-83AF-8B1DECFE5EF7}"/>
    <cellStyle name="60% - Énfasis5 31 2 3 2" xfId="55940" xr:uid="{EAFC1379-DB9F-4FDE-A9C0-BF9F29C12DA4}"/>
    <cellStyle name="60% - Énfasis5 31 2 4" xfId="55937" xr:uid="{E7BC2F8F-B88E-48A5-97F7-DDBD77150FD8}"/>
    <cellStyle name="60% - Énfasis5 31 3" xfId="10861" xr:uid="{F5C15EA9-3771-444F-8627-249D97B249F1}"/>
    <cellStyle name="60% - Énfasis5 31 3 2" xfId="26274" xr:uid="{A1188AC5-1A63-42D8-A006-D0F6052B0659}"/>
    <cellStyle name="60% - Énfasis5 31 3 2 2" xfId="55942" xr:uid="{C1410052-865B-4986-B79F-0E1E88784287}"/>
    <cellStyle name="60% - Énfasis5 31 3 3" xfId="55941" xr:uid="{1FE4D114-D8CD-4FFE-BCE7-215672DBEA97}"/>
    <cellStyle name="60% - Énfasis5 31 4" xfId="18569" xr:uid="{82107B2B-7353-40FE-A624-EA1F80630901}"/>
    <cellStyle name="60% - Énfasis5 31 4 2" xfId="55943" xr:uid="{6A8728B8-6284-4889-A5BF-7ABDF93E70FC}"/>
    <cellStyle name="60% - Énfasis5 31 5" xfId="55936" xr:uid="{6DDEE239-06E2-40D8-8E46-D0B3DF29899F}"/>
    <cellStyle name="60% - Énfasis5 32" xfId="3170" xr:uid="{968F19A1-045D-4E01-966F-27B99C3B36E4}"/>
    <cellStyle name="60% - Énfasis5 32 2" xfId="6902" xr:uid="{CB592565-068D-4E8A-BF7B-C60BE6B1CAD6}"/>
    <cellStyle name="60% - Énfasis5 32 2 2" xfId="14610" xr:uid="{E577A0B3-4CB6-4137-8658-8DFCD445EB63}"/>
    <cellStyle name="60% - Énfasis5 32 2 2 2" xfId="30022" xr:uid="{54A55254-2FC4-4464-8D84-160587B73209}"/>
    <cellStyle name="60% - Énfasis5 32 2 2 2 2" xfId="55947" xr:uid="{AAEFB2EC-05EB-4BBD-B6DC-4ADF442AD89C}"/>
    <cellStyle name="60% - Énfasis5 32 2 2 3" xfId="55946" xr:uid="{431E95D5-A452-404B-88B6-748A7E473189}"/>
    <cellStyle name="60% - Énfasis5 32 2 3" xfId="22317" xr:uid="{C64DF52A-9BD7-488E-9917-4BBA5D1C30DE}"/>
    <cellStyle name="60% - Énfasis5 32 2 3 2" xfId="55948" xr:uid="{87FD3EFB-660C-4071-A6BD-B92BA795C455}"/>
    <cellStyle name="60% - Énfasis5 32 2 4" xfId="55945" xr:uid="{1C2AE866-C24B-48CE-A0EC-A85E20B2B445}"/>
    <cellStyle name="60% - Énfasis5 32 3" xfId="10881" xr:uid="{7CCD0970-C1B0-40BE-8CDB-9F7552710094}"/>
    <cellStyle name="60% - Énfasis5 32 3 2" xfId="26294" xr:uid="{DC771270-5FF3-458D-97B7-FEE2317F3A90}"/>
    <cellStyle name="60% - Énfasis5 32 3 2 2" xfId="55950" xr:uid="{FB531839-690C-4A62-B65A-9A72D545E0FF}"/>
    <cellStyle name="60% - Énfasis5 32 3 3" xfId="55949" xr:uid="{DD054B13-3A0F-4D34-BCA6-174AB8CD3BDA}"/>
    <cellStyle name="60% - Énfasis5 32 4" xfId="18589" xr:uid="{C26434C5-3716-4C35-A7EA-9BFA1D4D2634}"/>
    <cellStyle name="60% - Énfasis5 32 4 2" xfId="55951" xr:uid="{CA4BE3DA-FEB0-4F77-8433-6F0016B394CF}"/>
    <cellStyle name="60% - Énfasis5 32 5" xfId="55944" xr:uid="{9247D6AD-5CF8-4D6B-A13C-15CB11F79B97}"/>
    <cellStyle name="60% - Énfasis5 33" xfId="3190" xr:uid="{B7AC62F6-1BE2-40E3-9111-C15158843835}"/>
    <cellStyle name="60% - Énfasis5 33 2" xfId="6922" xr:uid="{E891A09F-797F-4211-B82B-B4E6521668C2}"/>
    <cellStyle name="60% - Énfasis5 33 2 2" xfId="14630" xr:uid="{F41D81E5-B3C3-4530-8600-18A01B5C556D}"/>
    <cellStyle name="60% - Énfasis5 33 2 2 2" xfId="30042" xr:uid="{58565099-864A-49A9-92A5-47A736DBE27E}"/>
    <cellStyle name="60% - Énfasis5 33 2 2 2 2" xfId="55955" xr:uid="{7C80CE19-98A9-4DCC-9213-EE8A4B4D0D08}"/>
    <cellStyle name="60% - Énfasis5 33 2 2 3" xfId="55954" xr:uid="{944FE64C-7744-4630-8320-4AD71B4F201C}"/>
    <cellStyle name="60% - Énfasis5 33 2 3" xfId="22337" xr:uid="{7DE952A2-9988-467A-B0D7-FDAA98B4898E}"/>
    <cellStyle name="60% - Énfasis5 33 2 3 2" xfId="55956" xr:uid="{1D980736-F702-4567-87FF-EC4405C0DD42}"/>
    <cellStyle name="60% - Énfasis5 33 2 4" xfId="55953" xr:uid="{067F7B8E-79BA-4DEB-977A-5BD8F10EB117}"/>
    <cellStyle name="60% - Énfasis5 33 3" xfId="10901" xr:uid="{599A0148-1A2E-426A-89B6-D348ED1F7B7B}"/>
    <cellStyle name="60% - Énfasis5 33 3 2" xfId="26314" xr:uid="{360E6FB0-A7A5-40DD-B705-DDE5924FB71F}"/>
    <cellStyle name="60% - Énfasis5 33 3 2 2" xfId="55958" xr:uid="{25596D0E-03BF-4215-8064-670FECD6A986}"/>
    <cellStyle name="60% - Énfasis5 33 3 3" xfId="55957" xr:uid="{1C94BFDC-AB7D-4CBF-9396-EF9054FBBB9C}"/>
    <cellStyle name="60% - Énfasis5 33 4" xfId="18609" xr:uid="{E491B0E9-272E-47EA-9D0C-D403A3E4E8FB}"/>
    <cellStyle name="60% - Énfasis5 33 4 2" xfId="55959" xr:uid="{B4A693D9-D4B7-496B-8198-94B4174FCA27}"/>
    <cellStyle name="60% - Énfasis5 33 5" xfId="55952" xr:uid="{B6DB8400-BE57-4EBD-9A0B-6F548805B117}"/>
    <cellStyle name="60% - Énfasis5 34" xfId="3210" xr:uid="{DD9B61CF-7B7C-4C69-A9FA-5B33068E54CB}"/>
    <cellStyle name="60% - Énfasis5 34 2" xfId="6942" xr:uid="{352A3C2E-FDEC-4366-9A46-72FCEE31D907}"/>
    <cellStyle name="60% - Énfasis5 34 2 2" xfId="14650" xr:uid="{356910FA-99F8-455A-8F90-9456C884802D}"/>
    <cellStyle name="60% - Énfasis5 34 2 2 2" xfId="30062" xr:uid="{BC461A8E-A34E-4FBE-A603-D645CD798ECD}"/>
    <cellStyle name="60% - Énfasis5 34 2 2 2 2" xfId="55963" xr:uid="{744BA2E0-C60A-4532-B35B-1602771742C6}"/>
    <cellStyle name="60% - Énfasis5 34 2 2 3" xfId="55962" xr:uid="{0FDDC37E-4C68-43BD-818B-C07E8CA14BCF}"/>
    <cellStyle name="60% - Énfasis5 34 2 3" xfId="22357" xr:uid="{714914F5-B56E-4D0D-913B-8E42AD3981D9}"/>
    <cellStyle name="60% - Énfasis5 34 2 3 2" xfId="55964" xr:uid="{42831356-FD80-4A24-9AFF-24EA1C4268CC}"/>
    <cellStyle name="60% - Énfasis5 34 2 4" xfId="55961" xr:uid="{869642F5-40BA-4C24-BA1F-B3632FF0D0AF}"/>
    <cellStyle name="60% - Énfasis5 34 3" xfId="10921" xr:uid="{87DD7F14-B455-4678-A386-0B00747772B2}"/>
    <cellStyle name="60% - Énfasis5 34 3 2" xfId="26334" xr:uid="{F5CF3FAA-6508-4BC6-96A1-5E0A26BD491E}"/>
    <cellStyle name="60% - Énfasis5 34 3 2 2" xfId="55966" xr:uid="{F796262D-4340-42A9-974F-2965A374C127}"/>
    <cellStyle name="60% - Énfasis5 34 3 3" xfId="55965" xr:uid="{F38DC042-23D5-4A17-8689-E9518E7444E8}"/>
    <cellStyle name="60% - Énfasis5 34 4" xfId="18629" xr:uid="{CF4101E2-CFFA-41C8-BC20-5C56392EBB1C}"/>
    <cellStyle name="60% - Énfasis5 34 4 2" xfId="55967" xr:uid="{79C7A132-7590-4376-823F-B95474F202C0}"/>
    <cellStyle name="60% - Énfasis5 34 5" xfId="55960" xr:uid="{7A41986F-A9C8-436B-8D51-7C24FB5FA064}"/>
    <cellStyle name="60% - Énfasis5 35" xfId="3230" xr:uid="{A97D6F0B-E24D-4495-A40A-0041104CC10F}"/>
    <cellStyle name="60% - Énfasis5 35 2" xfId="6962" xr:uid="{737CD907-7CE1-41F6-9678-4A2A70857B90}"/>
    <cellStyle name="60% - Énfasis5 35 2 2" xfId="14670" xr:uid="{743FA5D7-8B76-4701-973A-3853C0177753}"/>
    <cellStyle name="60% - Énfasis5 35 2 2 2" xfId="30082" xr:uid="{81D68CFE-E4D4-4142-BFA6-D0375D0085C3}"/>
    <cellStyle name="60% - Énfasis5 35 2 2 2 2" xfId="55971" xr:uid="{AEAC8F71-909C-4415-8A93-E9BE804C0F06}"/>
    <cellStyle name="60% - Énfasis5 35 2 2 3" xfId="55970" xr:uid="{5A2FDFCF-864A-4324-AAE2-97E8E35BFA8B}"/>
    <cellStyle name="60% - Énfasis5 35 2 3" xfId="22377" xr:uid="{3BCBACBB-FA7A-47F2-984A-BC26195EDC62}"/>
    <cellStyle name="60% - Énfasis5 35 2 3 2" xfId="55972" xr:uid="{BEB85952-5005-4CC6-BDC2-6605FC86E468}"/>
    <cellStyle name="60% - Énfasis5 35 2 4" xfId="55969" xr:uid="{2373AA34-6D0B-4352-826C-F887D1AA424F}"/>
    <cellStyle name="60% - Énfasis5 35 3" xfId="10941" xr:uid="{8A4C0DAC-D3A0-43ED-8765-8F4A6CE2FC6B}"/>
    <cellStyle name="60% - Énfasis5 35 3 2" xfId="26354" xr:uid="{F7FB9D37-1483-4065-A926-54BC192B73C0}"/>
    <cellStyle name="60% - Énfasis5 35 3 2 2" xfId="55974" xr:uid="{5650EFB8-BD8C-40B0-902C-BC445845B217}"/>
    <cellStyle name="60% - Énfasis5 35 3 3" xfId="55973" xr:uid="{40F68DC1-E027-4309-AA63-447AFC01BA35}"/>
    <cellStyle name="60% - Énfasis5 35 4" xfId="18649" xr:uid="{610C1AE5-7F77-4361-8431-FB5659D00D98}"/>
    <cellStyle name="60% - Énfasis5 35 4 2" xfId="55975" xr:uid="{C7DC6D0A-4ECB-47D7-A0C2-BD7B4E6E966C}"/>
    <cellStyle name="60% - Énfasis5 35 5" xfId="55968" xr:uid="{114288A3-3F9F-4B14-9B66-67D231B0E0AB}"/>
    <cellStyle name="60% - Énfasis5 36" xfId="3250" xr:uid="{207D19D7-7E0A-4BE5-9E24-4616EA907938}"/>
    <cellStyle name="60% - Énfasis5 36 2" xfId="6982" xr:uid="{5F975228-C207-41F3-AC12-DFCFD7BBF44A}"/>
    <cellStyle name="60% - Énfasis5 36 2 2" xfId="14690" xr:uid="{08339245-5385-411A-88C6-67E8F92562EB}"/>
    <cellStyle name="60% - Énfasis5 36 2 2 2" xfId="30102" xr:uid="{2E9C4173-727E-497C-95AB-D757AAA23D82}"/>
    <cellStyle name="60% - Énfasis5 36 2 2 2 2" xfId="55979" xr:uid="{21DE2518-AAB3-42D1-91CE-FA0FF09C2959}"/>
    <cellStyle name="60% - Énfasis5 36 2 2 3" xfId="55978" xr:uid="{095114B5-EEB9-4E3F-96A6-65D7291CC39E}"/>
    <cellStyle name="60% - Énfasis5 36 2 3" xfId="22397" xr:uid="{3D9FBFDD-C3B1-499E-9186-5F0DBACCE13B}"/>
    <cellStyle name="60% - Énfasis5 36 2 3 2" xfId="55980" xr:uid="{AA6F901E-8675-4A7C-837C-9523E5F34E22}"/>
    <cellStyle name="60% - Énfasis5 36 2 4" xfId="55977" xr:uid="{B514D4A9-5300-40C0-ADDE-90D61D150953}"/>
    <cellStyle name="60% - Énfasis5 36 3" xfId="10961" xr:uid="{D14CF541-96EF-4BC2-9986-977F6A301E97}"/>
    <cellStyle name="60% - Énfasis5 36 3 2" xfId="26374" xr:uid="{8C044E6F-2592-4956-ADE8-E6B904FF61D9}"/>
    <cellStyle name="60% - Énfasis5 36 3 2 2" xfId="55982" xr:uid="{9F4DF5A2-6212-4F63-9781-E4DF3FCEA869}"/>
    <cellStyle name="60% - Énfasis5 36 3 3" xfId="55981" xr:uid="{FED5ADC2-B92E-46AE-A094-5C6C02B74FA1}"/>
    <cellStyle name="60% - Énfasis5 36 4" xfId="18669" xr:uid="{D2ECBC8E-3C70-48AD-BF8C-889DA63CE43B}"/>
    <cellStyle name="60% - Énfasis5 36 4 2" xfId="55983" xr:uid="{13ED619E-32CE-4142-8BF8-A5FC4EC04937}"/>
    <cellStyle name="60% - Énfasis5 36 5" xfId="55976" xr:uid="{C281A57C-0C1D-4FD3-9758-614E3484B97D}"/>
    <cellStyle name="60% - Énfasis5 37" xfId="3270" xr:uid="{E47EB903-5D1B-4E4D-8A39-F1236A9745DD}"/>
    <cellStyle name="60% - Énfasis5 37 2" xfId="7002" xr:uid="{8C95FD97-ED38-43A3-8E62-549842BCCC67}"/>
    <cellStyle name="60% - Énfasis5 37 2 2" xfId="14710" xr:uid="{93AAA2F3-AB08-4496-8FE7-0EFC67E53891}"/>
    <cellStyle name="60% - Énfasis5 37 2 2 2" xfId="30122" xr:uid="{BCD84D54-50BE-4887-8884-C9D7DB563459}"/>
    <cellStyle name="60% - Énfasis5 37 2 2 2 2" xfId="55987" xr:uid="{FB422C3B-1113-40BD-B517-11F879C46113}"/>
    <cellStyle name="60% - Énfasis5 37 2 2 3" xfId="55986" xr:uid="{81E0140F-2799-4FFC-A424-0B79E50C3712}"/>
    <cellStyle name="60% - Énfasis5 37 2 3" xfId="22417" xr:uid="{0AD01B1D-7789-4A50-9623-F9AF822D1DB6}"/>
    <cellStyle name="60% - Énfasis5 37 2 3 2" xfId="55988" xr:uid="{FABAC393-03AA-4F9D-87E4-C7F9FC1A7E75}"/>
    <cellStyle name="60% - Énfasis5 37 2 4" xfId="55985" xr:uid="{D89F603F-DFDF-4655-9766-93FB0F1D44BD}"/>
    <cellStyle name="60% - Énfasis5 37 3" xfId="10981" xr:uid="{3335F52C-6C2F-4ADA-BFAE-CA11CA749855}"/>
    <cellStyle name="60% - Énfasis5 37 3 2" xfId="26394" xr:uid="{C35E771C-D575-4FA6-A30F-1B5A32813E6E}"/>
    <cellStyle name="60% - Énfasis5 37 3 2 2" xfId="55990" xr:uid="{1AA96E02-6D5D-4DD9-83EC-ADEA5A23C01F}"/>
    <cellStyle name="60% - Énfasis5 37 3 3" xfId="55989" xr:uid="{BECB1DE5-444F-4CC9-8F7F-6CFB490607BB}"/>
    <cellStyle name="60% - Énfasis5 37 4" xfId="18689" xr:uid="{D6E9E248-683F-4B76-BADD-433272F5A807}"/>
    <cellStyle name="60% - Énfasis5 37 4 2" xfId="55991" xr:uid="{23BEC193-141E-41ED-8C00-34B17DE1024D}"/>
    <cellStyle name="60% - Énfasis5 37 5" xfId="55984" xr:uid="{FD76AF23-AA2F-4AD1-9CB1-37B2A626429E}"/>
    <cellStyle name="60% - Énfasis5 38" xfId="3290" xr:uid="{26E15129-E3FE-4C7C-9FCC-9C73F0DCC3C5}"/>
    <cellStyle name="60% - Énfasis5 38 2" xfId="7022" xr:uid="{64B13C41-7F84-40FF-8F4B-335F65E7E92F}"/>
    <cellStyle name="60% - Énfasis5 38 2 2" xfId="14730" xr:uid="{743AF2D6-8F68-4DD8-AE41-4CC6F29945F6}"/>
    <cellStyle name="60% - Énfasis5 38 2 2 2" xfId="30142" xr:uid="{598B35BE-14F7-44E7-BA14-06093D8B67B6}"/>
    <cellStyle name="60% - Énfasis5 38 2 2 2 2" xfId="55995" xr:uid="{9069675F-E989-4523-8413-71C3DBD86AD5}"/>
    <cellStyle name="60% - Énfasis5 38 2 2 3" xfId="55994" xr:uid="{F4874AF3-6DA3-4094-AFCB-DA69EC3AEB58}"/>
    <cellStyle name="60% - Énfasis5 38 2 3" xfId="22437" xr:uid="{0AF888AE-EA10-4F41-8AC9-85B1508A4691}"/>
    <cellStyle name="60% - Énfasis5 38 2 3 2" xfId="55996" xr:uid="{5BA5CDED-20FF-423F-8AAA-A28D9E8DD5E0}"/>
    <cellStyle name="60% - Énfasis5 38 2 4" xfId="55993" xr:uid="{16D94BE4-91BA-4712-8F98-91D77C68A842}"/>
    <cellStyle name="60% - Énfasis5 38 3" xfId="11001" xr:uid="{1118A15A-D46C-400D-8864-BEB34BA1D10F}"/>
    <cellStyle name="60% - Énfasis5 38 3 2" xfId="26414" xr:uid="{CD4A691C-7933-435C-8CF6-9129AED52E91}"/>
    <cellStyle name="60% - Énfasis5 38 3 2 2" xfId="55998" xr:uid="{36D0E011-8C2C-4544-910B-700531B3D810}"/>
    <cellStyle name="60% - Énfasis5 38 3 3" xfId="55997" xr:uid="{5B72C262-B859-47F0-8336-AAE78DFEF711}"/>
    <cellStyle name="60% - Énfasis5 38 4" xfId="18709" xr:uid="{818D9823-E9E2-4CD0-944F-997DBD51A060}"/>
    <cellStyle name="60% - Énfasis5 38 4 2" xfId="55999" xr:uid="{173DBE48-98A3-42EB-B218-BFCE6E776C8F}"/>
    <cellStyle name="60% - Énfasis5 38 5" xfId="55992" xr:uid="{7B825B11-1049-417C-8A7D-B1BE508849F5}"/>
    <cellStyle name="60% - Énfasis5 4" xfId="295" xr:uid="{E41769C8-014A-4054-BCF7-65C18F1E59C8}"/>
    <cellStyle name="60% - Énfasis5 4 2" xfId="498" xr:uid="{FBD4DB47-F1CB-4998-B95D-9EEABED24451}"/>
    <cellStyle name="60% - Énfasis5 4 2 2" xfId="1159" xr:uid="{55C76B9B-124F-49F9-8B61-6DD52BE416E3}"/>
    <cellStyle name="60% - Énfasis5 4 2 2 2" xfId="2627" xr:uid="{F705A961-ED15-4E5D-8617-1E44405048AE}"/>
    <cellStyle name="60% - Énfasis5 4 2 2 2 2" xfId="6359" xr:uid="{E21AF746-D5B1-4A2C-AED8-28BC885A31A0}"/>
    <cellStyle name="60% - Énfasis5 4 2 2 2 2 2" xfId="14067" xr:uid="{F00BBE83-FD0B-433D-92E8-E29226ED70EE}"/>
    <cellStyle name="60% - Énfasis5 4 2 2 2 2 2 2" xfId="29479" xr:uid="{AAC115A1-CA0B-44BA-B8FD-725E8E300E8A}"/>
    <cellStyle name="60% - Énfasis5 4 2 2 2 2 2 2 2" xfId="56006" xr:uid="{62DD9CBD-8041-465F-AB39-368308648DC6}"/>
    <cellStyle name="60% - Énfasis5 4 2 2 2 2 2 3" xfId="56005" xr:uid="{801EDF4A-E48B-46C1-8C78-B00E8C4D3B9C}"/>
    <cellStyle name="60% - Énfasis5 4 2 2 2 2 3" xfId="21774" xr:uid="{BDD37CDA-EBB1-46C9-BF64-834BE84B06C9}"/>
    <cellStyle name="60% - Énfasis5 4 2 2 2 2 3 2" xfId="56007" xr:uid="{5082FC98-5DC7-4C08-AEBB-2557828393D6}"/>
    <cellStyle name="60% - Énfasis5 4 2 2 2 2 4" xfId="56004" xr:uid="{2B82B2E0-2641-41A4-BBBB-03A29C995F12}"/>
    <cellStyle name="60% - Énfasis5 4 2 2 2 3" xfId="10338" xr:uid="{8736BE64-1DBB-444F-B85F-AF115F1CD508}"/>
    <cellStyle name="60% - Énfasis5 4 2 2 2 3 2" xfId="25751" xr:uid="{B9836FBE-F269-4D22-959D-C24342FBDA00}"/>
    <cellStyle name="60% - Énfasis5 4 2 2 2 3 2 2" xfId="56009" xr:uid="{A57A5B6F-710F-411C-B7C7-D568001EFDAD}"/>
    <cellStyle name="60% - Énfasis5 4 2 2 2 3 3" xfId="56008" xr:uid="{1A17921A-2D3A-43C0-8748-32578D8869BA}"/>
    <cellStyle name="60% - Énfasis5 4 2 2 2 4" xfId="18046" xr:uid="{CC9DE792-2D95-42DA-BCE6-4BA73BEC840B}"/>
    <cellStyle name="60% - Énfasis5 4 2 2 2 4 2" xfId="56010" xr:uid="{1039D569-D8DD-4931-8482-1CBF01D9CAF2}"/>
    <cellStyle name="60% - Énfasis5 4 2 2 2 5" xfId="56003" xr:uid="{B33ECC9C-0BE4-4F30-8C7B-9CD5CF27C057}"/>
    <cellStyle name="60% - Énfasis5 4 2 2 3" xfId="4896" xr:uid="{88D4F5EF-7B84-4CC6-808B-81750E0B0AE8}"/>
    <cellStyle name="60% - Énfasis5 4 2 2 3 2" xfId="12604" xr:uid="{55DD3846-1E50-4FB4-9BED-F1C40E5FC837}"/>
    <cellStyle name="60% - Énfasis5 4 2 2 3 2 2" xfId="28016" xr:uid="{C2CC5413-FDD7-4A04-B5A4-050564A68794}"/>
    <cellStyle name="60% - Énfasis5 4 2 2 3 2 2 2" xfId="56013" xr:uid="{AC1B2548-8455-4E28-A84D-719EA2AA985F}"/>
    <cellStyle name="60% - Énfasis5 4 2 2 3 2 3" xfId="56012" xr:uid="{99181835-E79A-45CC-A995-0A76E1D778BA}"/>
    <cellStyle name="60% - Énfasis5 4 2 2 3 3" xfId="20311" xr:uid="{0384FDFA-170C-4C17-91FD-554EB9F3E133}"/>
    <cellStyle name="60% - Énfasis5 4 2 2 3 3 2" xfId="56014" xr:uid="{763078C4-7AC8-4B5A-9AC6-DB234095C699}"/>
    <cellStyle name="60% - Énfasis5 4 2 2 3 4" xfId="56011" xr:uid="{DB1643B7-2532-413E-9E9E-1828C77A521C}"/>
    <cellStyle name="60% - Énfasis5 4 2 2 4" xfId="8879" xr:uid="{7844B291-8121-48FB-A73E-378BE954DC54}"/>
    <cellStyle name="60% - Énfasis5 4 2 2 4 2" xfId="24292" xr:uid="{05931DEA-2043-4F6A-8E4B-86AA14453CBD}"/>
    <cellStyle name="60% - Énfasis5 4 2 2 4 2 2" xfId="56016" xr:uid="{D9A49D9B-1745-4158-A718-10BEFB03C986}"/>
    <cellStyle name="60% - Énfasis5 4 2 2 4 3" xfId="56015" xr:uid="{C8A1649C-36E6-48E5-8165-AA7BBCB387C8}"/>
    <cellStyle name="60% - Énfasis5 4 2 2 5" xfId="16587" xr:uid="{F37F6688-9E2C-4792-96CC-FC4EB29E926E}"/>
    <cellStyle name="60% - Énfasis5 4 2 2 5 2" xfId="56017" xr:uid="{57339B9E-EF02-4E9E-A221-9DE53B2CE2AA}"/>
    <cellStyle name="60% - Énfasis5 4 2 2 6" xfId="56002" xr:uid="{C3ECC314-9DC8-43B4-A412-114D4D5448F5}"/>
    <cellStyle name="60% - Énfasis5 4 2 3" xfId="1989" xr:uid="{DB416C91-F49D-4283-8EB8-69270CA77EF8}"/>
    <cellStyle name="60% - Énfasis5 4 2 3 2" xfId="5721" xr:uid="{8C4A628C-B7E9-47E5-A32E-4CA7B8D46DE3}"/>
    <cellStyle name="60% - Énfasis5 4 2 3 2 2" xfId="13429" xr:uid="{4E3FB356-CE79-4A4F-8052-D6D35D527BA7}"/>
    <cellStyle name="60% - Énfasis5 4 2 3 2 2 2" xfId="28841" xr:uid="{2DA24AC0-9E5C-4D31-8F3C-3BBE1019D968}"/>
    <cellStyle name="60% - Énfasis5 4 2 3 2 2 2 2" xfId="56021" xr:uid="{9CD52CBF-9A4A-4102-B4E7-F9F45EBD3332}"/>
    <cellStyle name="60% - Énfasis5 4 2 3 2 2 3" xfId="56020" xr:uid="{4D19B4FB-87CF-40D9-8E64-841EC63E1FED}"/>
    <cellStyle name="60% - Énfasis5 4 2 3 2 3" xfId="21136" xr:uid="{32F2D87E-F0BD-422C-93F1-2E82A771ED24}"/>
    <cellStyle name="60% - Énfasis5 4 2 3 2 3 2" xfId="56022" xr:uid="{3FF1FBA1-83AD-4AE3-92C6-55270841EA18}"/>
    <cellStyle name="60% - Énfasis5 4 2 3 2 4" xfId="56019" xr:uid="{4F138CB6-B479-44C5-A263-B8E05DE6178D}"/>
    <cellStyle name="60% - Énfasis5 4 2 3 3" xfId="9700" xr:uid="{19B9034D-3651-4863-A049-09063C0A0B76}"/>
    <cellStyle name="60% - Énfasis5 4 2 3 3 2" xfId="25113" xr:uid="{CFD09464-28D5-46BD-9270-5908A9B8611E}"/>
    <cellStyle name="60% - Énfasis5 4 2 3 3 2 2" xfId="56024" xr:uid="{F7019E32-B4B8-42B7-8382-B998858E9AF1}"/>
    <cellStyle name="60% - Énfasis5 4 2 3 3 3" xfId="56023" xr:uid="{310787E9-316B-482B-A773-8E20155DDBB4}"/>
    <cellStyle name="60% - Énfasis5 4 2 3 4" xfId="17408" xr:uid="{A39D1447-0433-4AB7-B482-0DEAA458ECE2}"/>
    <cellStyle name="60% - Énfasis5 4 2 3 4 2" xfId="56025" xr:uid="{7D98B91E-48AC-4964-AA04-1A78DB4FDFBD}"/>
    <cellStyle name="60% - Énfasis5 4 2 3 5" xfId="56018" xr:uid="{EB462DDC-D5BE-43FD-B364-662D0447F4D2}"/>
    <cellStyle name="60% - Énfasis5 4 2 4" xfId="4244" xr:uid="{72378CE6-89A5-4E18-9EC5-A2F44BD6405D}"/>
    <cellStyle name="60% - Énfasis5 4 2 4 2" xfId="11952" xr:uid="{8A2988C3-8C01-4866-B4D3-816822E10573}"/>
    <cellStyle name="60% - Énfasis5 4 2 4 2 2" xfId="27364" xr:uid="{DAF49A67-F09C-4361-A4CC-97E7ACCC6A83}"/>
    <cellStyle name="60% - Énfasis5 4 2 4 2 2 2" xfId="56028" xr:uid="{DF9AC138-1F04-4452-81DF-8F03B22DAA49}"/>
    <cellStyle name="60% - Énfasis5 4 2 4 2 3" xfId="56027" xr:uid="{8F3C0E8B-608E-4CBA-AD22-F862FC38EC0A}"/>
    <cellStyle name="60% - Énfasis5 4 2 4 3" xfId="19659" xr:uid="{3639AE3B-6AD6-46F1-8495-0632C6A127D7}"/>
    <cellStyle name="60% - Énfasis5 4 2 4 3 2" xfId="56029" xr:uid="{3F09F44C-69BB-425A-822B-695971937D51}"/>
    <cellStyle name="60% - Énfasis5 4 2 4 4" xfId="56026" xr:uid="{89F8A992-82B7-48D3-B36A-52954C50AF42}"/>
    <cellStyle name="60% - Énfasis5 4 2 5" xfId="8241" xr:uid="{7796453B-3741-4B49-999E-5CFC1DA4C6F9}"/>
    <cellStyle name="60% - Énfasis5 4 2 5 2" xfId="23654" xr:uid="{ACAB9518-CB91-4E80-ACB3-4C80818EA403}"/>
    <cellStyle name="60% - Énfasis5 4 2 5 2 2" xfId="56031" xr:uid="{BCD73E7D-E99E-4752-8359-257EFDB4FE87}"/>
    <cellStyle name="60% - Énfasis5 4 2 5 3" xfId="56030" xr:uid="{9FECA3A3-2D30-448D-ADBC-4807966A88C6}"/>
    <cellStyle name="60% - Énfasis5 4 2 6" xfId="15949" xr:uid="{82A2517A-4175-4217-AE5E-FE4F45354B06}"/>
    <cellStyle name="60% - Énfasis5 4 2 6 2" xfId="56032" xr:uid="{771FCA7E-CB54-418F-8212-677AB6569CA9}"/>
    <cellStyle name="60% - Énfasis5 4 2 7" xfId="56001" xr:uid="{83AEEE9E-2EB7-4232-9F0E-10BB4D315B21}"/>
    <cellStyle name="60% - Énfasis5 4 3" xfId="959" xr:uid="{E5E9E37C-4B45-4102-AE5A-3D06C2ED9E0A}"/>
    <cellStyle name="60% - Énfasis5 4 3 2" xfId="2429" xr:uid="{2785B849-4157-4225-B586-0E50D3A6AEE2}"/>
    <cellStyle name="60% - Énfasis5 4 3 2 2" xfId="6161" xr:uid="{1BE6D8EE-F657-4633-A0CF-EAFFD5A43D8E}"/>
    <cellStyle name="60% - Énfasis5 4 3 2 2 2" xfId="13869" xr:uid="{C99EA53A-B16E-47FC-B1D9-3776BD0FD612}"/>
    <cellStyle name="60% - Énfasis5 4 3 2 2 2 2" xfId="29281" xr:uid="{580DCA39-7913-4DD8-A2BE-B2D3BC5BE35B}"/>
    <cellStyle name="60% - Énfasis5 4 3 2 2 2 2 2" xfId="56037" xr:uid="{CFDB60CD-6E50-4C03-939A-C792AD8E73A9}"/>
    <cellStyle name="60% - Énfasis5 4 3 2 2 2 3" xfId="56036" xr:uid="{783CC59D-AA6C-4B73-B5B3-4D2E51F15CAD}"/>
    <cellStyle name="60% - Énfasis5 4 3 2 2 3" xfId="21576" xr:uid="{544E09DD-7F2F-429C-B068-2A55A72E80BD}"/>
    <cellStyle name="60% - Énfasis5 4 3 2 2 3 2" xfId="56038" xr:uid="{5CC9C2C2-DAC4-4A30-AF87-609F9EAD94C7}"/>
    <cellStyle name="60% - Énfasis5 4 3 2 2 4" xfId="56035" xr:uid="{A45EDCF9-3F19-46C1-9E70-73FE41691FAC}"/>
    <cellStyle name="60% - Énfasis5 4 3 2 3" xfId="10140" xr:uid="{618860C8-0350-4C06-8AAB-D22AE1018A50}"/>
    <cellStyle name="60% - Énfasis5 4 3 2 3 2" xfId="25553" xr:uid="{85E81B06-49BD-4412-977D-BCADDD4266D0}"/>
    <cellStyle name="60% - Énfasis5 4 3 2 3 2 2" xfId="56040" xr:uid="{840A5AE1-2B87-4DFF-9D28-52C42F3A5D66}"/>
    <cellStyle name="60% - Énfasis5 4 3 2 3 3" xfId="56039" xr:uid="{0DEAC42B-0B07-4F6B-8A85-B0F86B4828F9}"/>
    <cellStyle name="60% - Énfasis5 4 3 2 4" xfId="17848" xr:uid="{684B9C8F-4AD9-4852-9793-945E0463981B}"/>
    <cellStyle name="60% - Énfasis5 4 3 2 4 2" xfId="56041" xr:uid="{0E5F0323-13DE-45F7-AD0D-3434F6600BED}"/>
    <cellStyle name="60% - Énfasis5 4 3 2 5" xfId="56034" xr:uid="{C20D463B-6578-4EDD-B0B0-E13576773110}"/>
    <cellStyle name="60% - Énfasis5 4 3 3" xfId="4696" xr:uid="{AC5E189A-DE79-4D87-BCF7-41F4FBFCE73E}"/>
    <cellStyle name="60% - Énfasis5 4 3 3 2" xfId="12404" xr:uid="{D6FA2A1D-0680-461A-B0F2-6E00A071D0BF}"/>
    <cellStyle name="60% - Énfasis5 4 3 3 2 2" xfId="27816" xr:uid="{C5B4E28F-5CAF-4954-BBB8-D84B3904D875}"/>
    <cellStyle name="60% - Énfasis5 4 3 3 2 2 2" xfId="56044" xr:uid="{53D8B33B-04FD-4044-A6E8-C6F62535D590}"/>
    <cellStyle name="60% - Énfasis5 4 3 3 2 3" xfId="56043" xr:uid="{932BC153-F52B-43A9-AA18-49C2EC697C99}"/>
    <cellStyle name="60% - Énfasis5 4 3 3 3" xfId="20111" xr:uid="{F464AF97-5044-4DA8-B208-F73CD6BEF894}"/>
    <cellStyle name="60% - Énfasis5 4 3 3 3 2" xfId="56045" xr:uid="{B696C9BC-1152-4F9C-93BB-D1B19C1DC21B}"/>
    <cellStyle name="60% - Énfasis5 4 3 3 4" xfId="56042" xr:uid="{9D175EC4-25E7-47C5-A90A-C91F1047280E}"/>
    <cellStyle name="60% - Énfasis5 4 3 4" xfId="8681" xr:uid="{E71841DF-C8F8-4FB9-A5C5-FB42B849C7C4}"/>
    <cellStyle name="60% - Énfasis5 4 3 4 2" xfId="24094" xr:uid="{7482D275-B27F-4A5B-993E-332C15E39F0E}"/>
    <cellStyle name="60% - Énfasis5 4 3 4 2 2" xfId="56047" xr:uid="{47D2FA4B-2E00-498B-823D-0F6685108002}"/>
    <cellStyle name="60% - Énfasis5 4 3 4 3" xfId="56046" xr:uid="{3C5B0A57-A315-4877-939D-38BC066655F7}"/>
    <cellStyle name="60% - Énfasis5 4 3 5" xfId="16389" xr:uid="{326E8EBB-5A90-4794-A0D8-E9605F17AAC4}"/>
    <cellStyle name="60% - Énfasis5 4 3 5 2" xfId="56048" xr:uid="{F0A4F361-6E6C-4C49-B597-4CC04939574D}"/>
    <cellStyle name="60% - Énfasis5 4 3 6" xfId="56033" xr:uid="{2C26EDD6-91CE-4AD0-9799-9C94246574ED}"/>
    <cellStyle name="60% - Énfasis5 4 4" xfId="1791" xr:uid="{96536DA6-BDBA-495D-9080-61D379BD51AA}"/>
    <cellStyle name="60% - Énfasis5 4 4 2" xfId="5523" xr:uid="{C70483F8-9DBE-4394-8701-4BFF71A44223}"/>
    <cellStyle name="60% - Énfasis5 4 4 2 2" xfId="13231" xr:uid="{0C2682F5-F576-45FD-8C25-AA6A56A403F2}"/>
    <cellStyle name="60% - Énfasis5 4 4 2 2 2" xfId="28643" xr:uid="{E2C68DB6-EE46-48C2-B2D5-3F179AC518D8}"/>
    <cellStyle name="60% - Énfasis5 4 4 2 2 2 2" xfId="56052" xr:uid="{76518F0B-EC34-440E-95BD-C34481982700}"/>
    <cellStyle name="60% - Énfasis5 4 4 2 2 3" xfId="56051" xr:uid="{2091F037-13B5-4F1F-A3B5-96E629F1C4CE}"/>
    <cellStyle name="60% - Énfasis5 4 4 2 3" xfId="20938" xr:uid="{E1354057-00AC-414F-B37B-11AACDF401BA}"/>
    <cellStyle name="60% - Énfasis5 4 4 2 3 2" xfId="56053" xr:uid="{D81E4712-AD97-4A69-BD26-865340CB5ADD}"/>
    <cellStyle name="60% - Énfasis5 4 4 2 4" xfId="56050" xr:uid="{A94F2DCE-83C0-42FF-86A3-8C4FD23D49AF}"/>
    <cellStyle name="60% - Énfasis5 4 4 3" xfId="9502" xr:uid="{815EED8F-EAEA-4C94-9060-A2B6133AB2FA}"/>
    <cellStyle name="60% - Énfasis5 4 4 3 2" xfId="24915" xr:uid="{883735C0-292F-4FCC-94BB-FF958898A1EC}"/>
    <cellStyle name="60% - Énfasis5 4 4 3 2 2" xfId="56055" xr:uid="{CBC9C714-E395-445E-AF55-12DF06F83682}"/>
    <cellStyle name="60% - Énfasis5 4 4 3 3" xfId="56054" xr:uid="{29248BF2-E8DD-4B53-A228-A77DAC4DCF13}"/>
    <cellStyle name="60% - Énfasis5 4 4 4" xfId="17210" xr:uid="{9E864C3D-73DD-4E47-9469-A112EAA8AB8C}"/>
    <cellStyle name="60% - Énfasis5 4 4 4 2" xfId="56056" xr:uid="{6E640EA8-5096-4724-A9E4-2C97A0EEADF2}"/>
    <cellStyle name="60% - Énfasis5 4 4 5" xfId="56049" xr:uid="{02ED492E-25ED-4D73-852C-3BA9EF01ACA9}"/>
    <cellStyle name="60% - Énfasis5 4 5" xfId="4044" xr:uid="{0B171C97-DCA8-4EBA-AAD7-8316B5826A59}"/>
    <cellStyle name="60% - Énfasis5 4 5 2" xfId="11752" xr:uid="{DE0CE3FE-0E2A-4435-82E4-2FDA76D27F4E}"/>
    <cellStyle name="60% - Énfasis5 4 5 2 2" xfId="27164" xr:uid="{12A80A24-E6E5-4B19-A4BA-7321F1F388A9}"/>
    <cellStyle name="60% - Énfasis5 4 5 2 2 2" xfId="56059" xr:uid="{DD44A07D-03BF-4E85-82FE-CAE6E84295FD}"/>
    <cellStyle name="60% - Énfasis5 4 5 2 3" xfId="56058" xr:uid="{1359B1BE-C541-4A65-9C27-219BA107E417}"/>
    <cellStyle name="60% - Énfasis5 4 5 3" xfId="19459" xr:uid="{AB665071-9251-4DA0-AB45-D3ECA3F710F1}"/>
    <cellStyle name="60% - Énfasis5 4 5 3 2" xfId="56060" xr:uid="{897E5A24-3B00-442E-9932-C6A43F118C38}"/>
    <cellStyle name="60% - Énfasis5 4 5 4" xfId="56057" xr:uid="{6C056D04-B86B-4C31-83B3-69F04D0768D5}"/>
    <cellStyle name="60% - Énfasis5 4 6" xfId="8043" xr:uid="{24150704-8678-48C5-9A3F-5700B6553DA3}"/>
    <cellStyle name="60% - Énfasis5 4 6 2" xfId="23456" xr:uid="{ED3C0CC8-C920-4C4B-A2FA-08317B45A65F}"/>
    <cellStyle name="60% - Énfasis5 4 6 2 2" xfId="56062" xr:uid="{595884B5-7441-4B58-ABE4-DEFC7944992A}"/>
    <cellStyle name="60% - Énfasis5 4 6 3" xfId="56061" xr:uid="{983B6D6A-974B-43BF-AFC2-728141A07890}"/>
    <cellStyle name="60% - Énfasis5 4 7" xfId="15751" xr:uid="{D5C42585-2390-419B-9CEB-A61A4BC55A68}"/>
    <cellStyle name="60% - Énfasis5 4 7 2" xfId="56063" xr:uid="{EEEAE9C4-96EB-4748-A06E-D7B10CD940C4}"/>
    <cellStyle name="60% - Énfasis5 4 8" xfId="56000" xr:uid="{C84CD801-1AA1-46F5-B05E-DF0FADF5290F}"/>
    <cellStyle name="60% - Énfasis5 5" xfId="315" xr:uid="{956A4732-B6B8-450D-8DAA-EA5FCFF49B50}"/>
    <cellStyle name="60% - Énfasis5 5 2" xfId="518" xr:uid="{34D46C57-C29D-40DB-84B1-13ABA7F40CFE}"/>
    <cellStyle name="60% - Énfasis5 5 2 2" xfId="1179" xr:uid="{1E7AF360-4299-4794-8F43-23363A956F1C}"/>
    <cellStyle name="60% - Énfasis5 5 2 2 2" xfId="2647" xr:uid="{5FEB0496-AF27-481B-8AF6-C9342F6C309C}"/>
    <cellStyle name="60% - Énfasis5 5 2 2 2 2" xfId="6379" xr:uid="{FA634D4D-5029-4C30-AF94-4004CEB952EA}"/>
    <cellStyle name="60% - Énfasis5 5 2 2 2 2 2" xfId="14087" xr:uid="{5A410093-C86B-4ACC-BB46-E0983D3C7A86}"/>
    <cellStyle name="60% - Énfasis5 5 2 2 2 2 2 2" xfId="29499" xr:uid="{7451E624-F43E-47C9-B28C-F92E3286B93F}"/>
    <cellStyle name="60% - Énfasis5 5 2 2 2 2 2 2 2" xfId="56070" xr:uid="{9B657088-FC34-47F6-80BD-945D595DD8FC}"/>
    <cellStyle name="60% - Énfasis5 5 2 2 2 2 2 3" xfId="56069" xr:uid="{50C64754-B7B5-449B-90A1-5D3961B43F1B}"/>
    <cellStyle name="60% - Énfasis5 5 2 2 2 2 3" xfId="21794" xr:uid="{061C0881-2185-46AF-AE53-A875502A8F4E}"/>
    <cellStyle name="60% - Énfasis5 5 2 2 2 2 3 2" xfId="56071" xr:uid="{D0AB746E-480C-4DCF-B890-CCE88DD2A022}"/>
    <cellStyle name="60% - Énfasis5 5 2 2 2 2 4" xfId="56068" xr:uid="{E2018A84-A771-4F00-AF89-282122FC8FBD}"/>
    <cellStyle name="60% - Énfasis5 5 2 2 2 3" xfId="10358" xr:uid="{7B7CFC3A-B72C-44C6-884F-716109E2908E}"/>
    <cellStyle name="60% - Énfasis5 5 2 2 2 3 2" xfId="25771" xr:uid="{C945EDB6-B7B9-4C42-8512-6A54664FD406}"/>
    <cellStyle name="60% - Énfasis5 5 2 2 2 3 2 2" xfId="56073" xr:uid="{D9C0C6DC-0CAD-4792-9DA4-A0EB88024337}"/>
    <cellStyle name="60% - Énfasis5 5 2 2 2 3 3" xfId="56072" xr:uid="{3EE03373-06BA-4009-B0D9-2F4E5651BF05}"/>
    <cellStyle name="60% - Énfasis5 5 2 2 2 4" xfId="18066" xr:uid="{BF5E4F3A-ABA2-4E25-84A5-607F97FD1F31}"/>
    <cellStyle name="60% - Énfasis5 5 2 2 2 4 2" xfId="56074" xr:uid="{12B433A0-C683-42B5-8BFD-E3933045532E}"/>
    <cellStyle name="60% - Énfasis5 5 2 2 2 5" xfId="56067" xr:uid="{3BB321AD-4494-4EE1-BD39-3604AF57B2ED}"/>
    <cellStyle name="60% - Énfasis5 5 2 2 3" xfId="4916" xr:uid="{18CEDB70-AF82-430D-B60C-28DDE745F69E}"/>
    <cellStyle name="60% - Énfasis5 5 2 2 3 2" xfId="12624" xr:uid="{44D887B4-436C-46A4-A776-47C0F24C1472}"/>
    <cellStyle name="60% - Énfasis5 5 2 2 3 2 2" xfId="28036" xr:uid="{9BBDA716-6CF4-4BDD-81C6-25F2D42E27ED}"/>
    <cellStyle name="60% - Énfasis5 5 2 2 3 2 2 2" xfId="56077" xr:uid="{815D026E-C45D-46AD-8A2A-3D4414B2E447}"/>
    <cellStyle name="60% - Énfasis5 5 2 2 3 2 3" xfId="56076" xr:uid="{AD4F1E55-3878-41AB-BD96-55D7A6472D1E}"/>
    <cellStyle name="60% - Énfasis5 5 2 2 3 3" xfId="20331" xr:uid="{3F06CD0E-4375-48B0-A9DB-7C9650176262}"/>
    <cellStyle name="60% - Énfasis5 5 2 2 3 3 2" xfId="56078" xr:uid="{359AB8CB-61BA-4D17-B65A-C08244DD90BF}"/>
    <cellStyle name="60% - Énfasis5 5 2 2 3 4" xfId="56075" xr:uid="{DAEEADB0-77C3-4327-8B29-A04E66115487}"/>
    <cellStyle name="60% - Énfasis5 5 2 2 4" xfId="8899" xr:uid="{B92280D2-E3BF-4D75-A067-ADF1C4E2F73C}"/>
    <cellStyle name="60% - Énfasis5 5 2 2 4 2" xfId="24312" xr:uid="{BD231E57-338C-4A54-A09E-BCE645FEF4C5}"/>
    <cellStyle name="60% - Énfasis5 5 2 2 4 2 2" xfId="56080" xr:uid="{6662BEA7-E506-4382-AEED-AD6993E5E4B1}"/>
    <cellStyle name="60% - Énfasis5 5 2 2 4 3" xfId="56079" xr:uid="{D29A3340-4F91-4AE6-8D69-23EE6391F654}"/>
    <cellStyle name="60% - Énfasis5 5 2 2 5" xfId="16607" xr:uid="{E2490B5B-2E88-48C2-9A8A-364CA26F6807}"/>
    <cellStyle name="60% - Énfasis5 5 2 2 5 2" xfId="56081" xr:uid="{9397D5C6-C51B-4DCE-AE07-96831344E39E}"/>
    <cellStyle name="60% - Énfasis5 5 2 2 6" xfId="56066" xr:uid="{C9855AF9-7064-4704-A5AB-FADBCD650363}"/>
    <cellStyle name="60% - Énfasis5 5 2 3" xfId="2009" xr:uid="{037ADBFE-D2B9-4F01-A640-69DC3B3869A3}"/>
    <cellStyle name="60% - Énfasis5 5 2 3 2" xfId="5741" xr:uid="{B232C3A9-D467-4476-B859-F0FFA3F26A7C}"/>
    <cellStyle name="60% - Énfasis5 5 2 3 2 2" xfId="13449" xr:uid="{A433B20E-C0C8-4641-A2FC-7ED9696CE171}"/>
    <cellStyle name="60% - Énfasis5 5 2 3 2 2 2" xfId="28861" xr:uid="{D1CD69B7-9865-4F86-811A-28924102F035}"/>
    <cellStyle name="60% - Énfasis5 5 2 3 2 2 2 2" xfId="56085" xr:uid="{F13666D4-8F52-4754-8153-778114314742}"/>
    <cellStyle name="60% - Énfasis5 5 2 3 2 2 3" xfId="56084" xr:uid="{2A1B3EA5-CF77-40DF-A0AE-8212679F718B}"/>
    <cellStyle name="60% - Énfasis5 5 2 3 2 3" xfId="21156" xr:uid="{7D95B69E-1BE6-4559-ABB9-6B902AD410F4}"/>
    <cellStyle name="60% - Énfasis5 5 2 3 2 3 2" xfId="56086" xr:uid="{AE272561-7E08-419F-AE2E-B00E1ED937BE}"/>
    <cellStyle name="60% - Énfasis5 5 2 3 2 4" xfId="56083" xr:uid="{98B6F89F-3CF0-4A48-8519-B1CD1BFD274F}"/>
    <cellStyle name="60% - Énfasis5 5 2 3 3" xfId="9720" xr:uid="{23FE8BC4-5ECC-4866-B00D-A9421DB68E36}"/>
    <cellStyle name="60% - Énfasis5 5 2 3 3 2" xfId="25133" xr:uid="{00B8E6E2-B5B7-40F3-9FD2-334326B6D0DA}"/>
    <cellStyle name="60% - Énfasis5 5 2 3 3 2 2" xfId="56088" xr:uid="{6C4A9B6B-8619-4A7D-9325-807031F4516E}"/>
    <cellStyle name="60% - Énfasis5 5 2 3 3 3" xfId="56087" xr:uid="{A2D1C61E-9C2A-4E69-9950-6D728EECDBD2}"/>
    <cellStyle name="60% - Énfasis5 5 2 3 4" xfId="17428" xr:uid="{000871BC-19DD-455E-8A43-CB8680A11977}"/>
    <cellStyle name="60% - Énfasis5 5 2 3 4 2" xfId="56089" xr:uid="{60429D9E-15A4-4D06-B60D-C3F2FE77DC40}"/>
    <cellStyle name="60% - Énfasis5 5 2 3 5" xfId="56082" xr:uid="{0BBE6757-5F2A-448F-ADA8-61C995DDB41E}"/>
    <cellStyle name="60% - Énfasis5 5 2 4" xfId="4264" xr:uid="{D0D44FE0-067D-4F7F-A954-0C21AA3521F7}"/>
    <cellStyle name="60% - Énfasis5 5 2 4 2" xfId="11972" xr:uid="{FB089C89-1A15-41CB-8F9B-36B5400BA990}"/>
    <cellStyle name="60% - Énfasis5 5 2 4 2 2" xfId="27384" xr:uid="{E5D399C8-B8C2-4F4A-9874-CD58046B4CD5}"/>
    <cellStyle name="60% - Énfasis5 5 2 4 2 2 2" xfId="56092" xr:uid="{D9AE1AB7-55A0-4858-92EB-1DFED828AC27}"/>
    <cellStyle name="60% - Énfasis5 5 2 4 2 3" xfId="56091" xr:uid="{55571E1D-D11F-454F-846C-E18D66072708}"/>
    <cellStyle name="60% - Énfasis5 5 2 4 3" xfId="19679" xr:uid="{993990C0-14B7-4BC0-8B6E-C1AE709F1A1E}"/>
    <cellStyle name="60% - Énfasis5 5 2 4 3 2" xfId="56093" xr:uid="{C888A3C6-F88C-4CE3-995E-E90E24DE4073}"/>
    <cellStyle name="60% - Énfasis5 5 2 4 4" xfId="56090" xr:uid="{24DAD27E-2F88-4BDE-AFA4-5FED99F448A8}"/>
    <cellStyle name="60% - Énfasis5 5 2 5" xfId="8261" xr:uid="{15D4E11F-C437-4510-92E1-B02C5B3DC218}"/>
    <cellStyle name="60% - Énfasis5 5 2 5 2" xfId="23674" xr:uid="{D6CE0039-A624-415D-94CC-60099A364AD9}"/>
    <cellStyle name="60% - Énfasis5 5 2 5 2 2" xfId="56095" xr:uid="{1312A18A-C6D8-49AE-8AA9-F4BAE37B41B0}"/>
    <cellStyle name="60% - Énfasis5 5 2 5 3" xfId="56094" xr:uid="{7E7CF516-76AC-4C94-9E91-C256304498BD}"/>
    <cellStyle name="60% - Énfasis5 5 2 6" xfId="15969" xr:uid="{CEA74030-F9BB-46C7-B27C-5214A89836D7}"/>
    <cellStyle name="60% - Énfasis5 5 2 6 2" xfId="56096" xr:uid="{115A9BDB-4CE5-4F04-975C-0790743906D0}"/>
    <cellStyle name="60% - Énfasis5 5 2 7" xfId="56065" xr:uid="{96F05CA8-5149-4D1B-8C39-F6418A32DE3E}"/>
    <cellStyle name="60% - Énfasis5 5 3" xfId="979" xr:uid="{A7656DD9-E531-4642-BD39-25D4F8761F05}"/>
    <cellStyle name="60% - Énfasis5 5 3 2" xfId="2449" xr:uid="{729AE622-DB12-4E2B-B1DF-C1F89BB56BBA}"/>
    <cellStyle name="60% - Énfasis5 5 3 2 2" xfId="6181" xr:uid="{C14AB926-A72C-485E-BC96-9F1674BCE50E}"/>
    <cellStyle name="60% - Énfasis5 5 3 2 2 2" xfId="13889" xr:uid="{B8909872-C7C2-4BE5-84D4-030BB8875DFC}"/>
    <cellStyle name="60% - Énfasis5 5 3 2 2 2 2" xfId="29301" xr:uid="{BA37338C-F3C9-4D67-A4BC-E8F3ABFB8662}"/>
    <cellStyle name="60% - Énfasis5 5 3 2 2 2 2 2" xfId="56101" xr:uid="{F7ECA734-2D44-4A6F-B8B2-0D620A887077}"/>
    <cellStyle name="60% - Énfasis5 5 3 2 2 2 3" xfId="56100" xr:uid="{973B1A0A-9207-41DA-90A2-87318DFD4CED}"/>
    <cellStyle name="60% - Énfasis5 5 3 2 2 3" xfId="21596" xr:uid="{00BF04BA-F46E-4432-96BB-6038A217B573}"/>
    <cellStyle name="60% - Énfasis5 5 3 2 2 3 2" xfId="56102" xr:uid="{264B5DFE-F165-41AA-910F-3A1530619021}"/>
    <cellStyle name="60% - Énfasis5 5 3 2 2 4" xfId="56099" xr:uid="{B54F46B1-224F-4635-B06A-EDA8089F7E72}"/>
    <cellStyle name="60% - Énfasis5 5 3 2 3" xfId="10160" xr:uid="{D1D56CDB-DBC2-4548-B051-9DD0CB1A0354}"/>
    <cellStyle name="60% - Énfasis5 5 3 2 3 2" xfId="25573" xr:uid="{90AB40B2-8807-4B0A-A928-21DD36E4F4EF}"/>
    <cellStyle name="60% - Énfasis5 5 3 2 3 2 2" xfId="56104" xr:uid="{48E77D95-F7B7-4B5A-8671-05734C34E63B}"/>
    <cellStyle name="60% - Énfasis5 5 3 2 3 3" xfId="56103" xr:uid="{EEDEC583-7E38-4D1E-9B5A-0F07F3A7E395}"/>
    <cellStyle name="60% - Énfasis5 5 3 2 4" xfId="17868" xr:uid="{9F83787B-BB25-4A17-9E11-8EFE6F19750F}"/>
    <cellStyle name="60% - Énfasis5 5 3 2 4 2" xfId="56105" xr:uid="{5130AD04-31AA-4F1D-9D4C-93D8623985E0}"/>
    <cellStyle name="60% - Énfasis5 5 3 2 5" xfId="56098" xr:uid="{6F77ADDE-8ECE-4F66-A6ED-2E8BCBA15898}"/>
    <cellStyle name="60% - Énfasis5 5 3 3" xfId="4716" xr:uid="{6D392CA4-8020-4AB4-A0DA-9B82611AD139}"/>
    <cellStyle name="60% - Énfasis5 5 3 3 2" xfId="12424" xr:uid="{849E753C-CC78-46B8-92A4-DE65E6DB566B}"/>
    <cellStyle name="60% - Énfasis5 5 3 3 2 2" xfId="27836" xr:uid="{B026C3ED-E88B-4B1C-BEB2-C2754E445BD4}"/>
    <cellStyle name="60% - Énfasis5 5 3 3 2 2 2" xfId="56108" xr:uid="{871ECDDF-8417-49D6-B6C1-DC371610472C}"/>
    <cellStyle name="60% - Énfasis5 5 3 3 2 3" xfId="56107" xr:uid="{A9438604-E6EC-496B-A9C5-55865BFA9841}"/>
    <cellStyle name="60% - Énfasis5 5 3 3 3" xfId="20131" xr:uid="{E5DE9EE1-A611-4878-A9BC-5983B1C8DEE7}"/>
    <cellStyle name="60% - Énfasis5 5 3 3 3 2" xfId="56109" xr:uid="{DC3F5549-6FAD-42BE-93AC-D0596E3F3678}"/>
    <cellStyle name="60% - Énfasis5 5 3 3 4" xfId="56106" xr:uid="{C3A2C204-25C4-4669-B057-9BAFA7CED014}"/>
    <cellStyle name="60% - Énfasis5 5 3 4" xfId="8701" xr:uid="{D149890C-E2E3-423B-A9ED-AC9A411A481A}"/>
    <cellStyle name="60% - Énfasis5 5 3 4 2" xfId="24114" xr:uid="{2E82A376-AD7A-4BEF-9592-B5C713E3D384}"/>
    <cellStyle name="60% - Énfasis5 5 3 4 2 2" xfId="56111" xr:uid="{0B184E71-5E0E-485D-B553-127AC7B3A573}"/>
    <cellStyle name="60% - Énfasis5 5 3 4 3" xfId="56110" xr:uid="{637E6ED3-A1E1-41F9-886A-6A97DD718BDB}"/>
    <cellStyle name="60% - Énfasis5 5 3 5" xfId="16409" xr:uid="{2D1F01D1-F8A7-4A4D-A067-ACB42A519E81}"/>
    <cellStyle name="60% - Énfasis5 5 3 5 2" xfId="56112" xr:uid="{EFFCF3B8-0A95-4F77-956D-3CA5CF9EE07A}"/>
    <cellStyle name="60% - Énfasis5 5 3 6" xfId="56097" xr:uid="{356D3A07-B509-4838-95C5-C0AFB5C1AA3B}"/>
    <cellStyle name="60% - Énfasis5 5 4" xfId="1811" xr:uid="{40579FC4-55E0-4E24-8FE1-780BD9170F8A}"/>
    <cellStyle name="60% - Énfasis5 5 4 2" xfId="5543" xr:uid="{1AB64D5C-6172-47C1-B7C3-9F2388E884F9}"/>
    <cellStyle name="60% - Énfasis5 5 4 2 2" xfId="13251" xr:uid="{9D3AC3EF-5B59-4943-9887-598E5CEA2AF1}"/>
    <cellStyle name="60% - Énfasis5 5 4 2 2 2" xfId="28663" xr:uid="{CA95AB81-7465-4804-A853-B287060BE2B3}"/>
    <cellStyle name="60% - Énfasis5 5 4 2 2 2 2" xfId="56116" xr:uid="{28C5B240-4663-46ED-A0D8-A976794F8096}"/>
    <cellStyle name="60% - Énfasis5 5 4 2 2 3" xfId="56115" xr:uid="{08FA8450-5D6C-4F8A-9C38-F22851752514}"/>
    <cellStyle name="60% - Énfasis5 5 4 2 3" xfId="20958" xr:uid="{3C3051E8-5824-46D4-9095-7644ED2CF398}"/>
    <cellStyle name="60% - Énfasis5 5 4 2 3 2" xfId="56117" xr:uid="{10E17998-EF48-4C51-9A4C-DC34B597261F}"/>
    <cellStyle name="60% - Énfasis5 5 4 2 4" xfId="56114" xr:uid="{0BCF6D5E-B1AF-465B-8922-694E1CBD897E}"/>
    <cellStyle name="60% - Énfasis5 5 4 3" xfId="9522" xr:uid="{BD2035E6-9F8A-4935-9C48-09D4EF15EE5C}"/>
    <cellStyle name="60% - Énfasis5 5 4 3 2" xfId="24935" xr:uid="{DD375C9B-5D6D-4C55-8F7F-5944C61FD6BF}"/>
    <cellStyle name="60% - Énfasis5 5 4 3 2 2" xfId="56119" xr:uid="{7A0B5A53-C594-4B03-B268-FF347F8FFF04}"/>
    <cellStyle name="60% - Énfasis5 5 4 3 3" xfId="56118" xr:uid="{534DB712-B424-4C93-A5C3-DE65EAFD50FA}"/>
    <cellStyle name="60% - Énfasis5 5 4 4" xfId="17230" xr:uid="{7C49689D-D183-4F86-BC38-A179AAB4B819}"/>
    <cellStyle name="60% - Énfasis5 5 4 4 2" xfId="56120" xr:uid="{B8853193-BC92-4CB8-81CC-73668A54D68A}"/>
    <cellStyle name="60% - Énfasis5 5 4 5" xfId="56113" xr:uid="{C63A09ED-98ED-42CC-A085-0EBCFCC1F2BC}"/>
    <cellStyle name="60% - Énfasis5 5 5" xfId="4064" xr:uid="{7C27523B-ABBC-4EA6-B7E0-C590DEFFE525}"/>
    <cellStyle name="60% - Énfasis5 5 5 2" xfId="11772" xr:uid="{B3720650-0F1B-404D-B5E0-D8BED50633F5}"/>
    <cellStyle name="60% - Énfasis5 5 5 2 2" xfId="27184" xr:uid="{874BF17E-966A-4D6B-8F73-243E5C8D3732}"/>
    <cellStyle name="60% - Énfasis5 5 5 2 2 2" xfId="56123" xr:uid="{B7FFBC06-B215-4644-AB3A-A61DBEFC7A8D}"/>
    <cellStyle name="60% - Énfasis5 5 5 2 3" xfId="56122" xr:uid="{7AA66380-98EC-42FF-841D-FDAE83B44123}"/>
    <cellStyle name="60% - Énfasis5 5 5 3" xfId="19479" xr:uid="{2B396964-E459-4A66-BB28-14642617B20B}"/>
    <cellStyle name="60% - Énfasis5 5 5 3 2" xfId="56124" xr:uid="{52369B65-A5E2-4BA1-9851-AF6262172F70}"/>
    <cellStyle name="60% - Énfasis5 5 5 4" xfId="56121" xr:uid="{1CDBAD98-3AE3-4AFC-8230-FE6E1A03CF54}"/>
    <cellStyle name="60% - Énfasis5 5 6" xfId="8063" xr:uid="{4B113C94-A152-49A3-9DEC-D52FAAD2FC7A}"/>
    <cellStyle name="60% - Énfasis5 5 6 2" xfId="23476" xr:uid="{A76A3458-6545-42EA-BF97-AA7C3BB1F9ED}"/>
    <cellStyle name="60% - Énfasis5 5 6 2 2" xfId="56126" xr:uid="{CB793467-4E11-4824-8890-DC33099FFDC4}"/>
    <cellStyle name="60% - Énfasis5 5 6 3" xfId="56125" xr:uid="{CF7B71AA-C9E3-4B0B-8AC6-5BCB2B54A1E4}"/>
    <cellStyle name="60% - Énfasis5 5 7" xfId="15771" xr:uid="{BDF2788F-DE15-4DEA-8604-D8E00DCD1E0D}"/>
    <cellStyle name="60% - Énfasis5 5 7 2" xfId="56127" xr:uid="{81442083-99A9-4C63-AF5A-A6D387EA2E19}"/>
    <cellStyle name="60% - Énfasis5 5 8" xfId="56064" xr:uid="{44E5DDEE-0729-44B8-9A97-DC9ED7753FCD}"/>
    <cellStyle name="60% - Énfasis5 6" xfId="538" xr:uid="{7C9A58CE-7440-46CA-AA90-39EE74473D08}"/>
    <cellStyle name="60% - Énfasis5 6 2" xfId="1199" xr:uid="{0A3818A8-D15F-4F30-991B-EAB53DCECD46}"/>
    <cellStyle name="60% - Énfasis5 6 2 2" xfId="2667" xr:uid="{77A2DFE5-B32A-4522-BC84-EC01B4C91FEC}"/>
    <cellStyle name="60% - Énfasis5 6 2 2 2" xfId="6399" xr:uid="{495AA6AA-2B17-45C2-AD44-21281EA90084}"/>
    <cellStyle name="60% - Énfasis5 6 2 2 2 2" xfId="14107" xr:uid="{34F9A638-FE17-4E01-9C49-16B75707E3E4}"/>
    <cellStyle name="60% - Énfasis5 6 2 2 2 2 2" xfId="29519" xr:uid="{9CF4DC8D-AF89-4E34-BE5A-2C82A1071CE9}"/>
    <cellStyle name="60% - Énfasis5 6 2 2 2 2 2 2" xfId="56133" xr:uid="{9C6046F1-6118-4049-A7A0-4BCCC3E30385}"/>
    <cellStyle name="60% - Énfasis5 6 2 2 2 2 3" xfId="56132" xr:uid="{9C32AD73-61A6-4FD5-918E-40BAED302AEC}"/>
    <cellStyle name="60% - Énfasis5 6 2 2 2 3" xfId="21814" xr:uid="{AFDA186C-D7FC-45BB-BECD-E0B4605BD6D2}"/>
    <cellStyle name="60% - Énfasis5 6 2 2 2 3 2" xfId="56134" xr:uid="{D932DBA1-E3AB-429B-ABD5-E29C410A6AB0}"/>
    <cellStyle name="60% - Énfasis5 6 2 2 2 4" xfId="56131" xr:uid="{CC0BBC74-9F94-4D7B-927C-6C51302FA23D}"/>
    <cellStyle name="60% - Énfasis5 6 2 2 3" xfId="10378" xr:uid="{E0BC0032-866E-49D3-8538-86E97F5C12FF}"/>
    <cellStyle name="60% - Énfasis5 6 2 2 3 2" xfId="25791" xr:uid="{C5306041-8102-49A3-BE7D-5DA04B534F22}"/>
    <cellStyle name="60% - Énfasis5 6 2 2 3 2 2" xfId="56136" xr:uid="{41D4C2A1-3547-4789-A186-70A6D049C3C9}"/>
    <cellStyle name="60% - Énfasis5 6 2 2 3 3" xfId="56135" xr:uid="{2EBC562D-BC03-40A3-AED4-6053540E2A39}"/>
    <cellStyle name="60% - Énfasis5 6 2 2 4" xfId="18086" xr:uid="{C18B1EE8-4936-4A65-A72A-11997F7E2283}"/>
    <cellStyle name="60% - Énfasis5 6 2 2 4 2" xfId="56137" xr:uid="{0D0A388D-FE59-4408-924B-DECCA46C8553}"/>
    <cellStyle name="60% - Énfasis5 6 2 2 5" xfId="56130" xr:uid="{C4A93168-8833-4B45-95BB-BD172EF146F8}"/>
    <cellStyle name="60% - Énfasis5 6 2 3" xfId="4936" xr:uid="{E5B95254-D4B7-442D-A0C1-1AFA3BB6E575}"/>
    <cellStyle name="60% - Énfasis5 6 2 3 2" xfId="12644" xr:uid="{51AB93B4-7415-4E92-8139-113C66678AF5}"/>
    <cellStyle name="60% - Énfasis5 6 2 3 2 2" xfId="28056" xr:uid="{FD49C748-C751-40EE-8FB8-29D7BAF50DE4}"/>
    <cellStyle name="60% - Énfasis5 6 2 3 2 2 2" xfId="56140" xr:uid="{71EAFE72-C0C8-433D-9F42-415624C7F89B}"/>
    <cellStyle name="60% - Énfasis5 6 2 3 2 3" xfId="56139" xr:uid="{277DA66E-5892-4B75-878C-0E7153AD1D05}"/>
    <cellStyle name="60% - Énfasis5 6 2 3 3" xfId="20351" xr:uid="{46EDE6E5-E4C5-4C53-9A47-8869FCE4C7FD}"/>
    <cellStyle name="60% - Énfasis5 6 2 3 3 2" xfId="56141" xr:uid="{0D226F15-188D-45FF-AD5F-CEEC17B0B084}"/>
    <cellStyle name="60% - Énfasis5 6 2 3 4" xfId="56138" xr:uid="{F11442A4-688A-4F51-B96C-AB675EF843E8}"/>
    <cellStyle name="60% - Énfasis5 6 2 4" xfId="8919" xr:uid="{A45E5712-48F6-43C4-BB94-C039EBD09128}"/>
    <cellStyle name="60% - Énfasis5 6 2 4 2" xfId="24332" xr:uid="{92542944-4A9C-4264-929B-5580CE339B39}"/>
    <cellStyle name="60% - Énfasis5 6 2 4 2 2" xfId="56143" xr:uid="{2A57519E-E1FA-4F90-93B6-595E569A90B3}"/>
    <cellStyle name="60% - Énfasis5 6 2 4 3" xfId="56142" xr:uid="{6517F4B9-6D90-4846-A479-2844450DF85D}"/>
    <cellStyle name="60% - Énfasis5 6 2 5" xfId="16627" xr:uid="{E9628FDB-0B2D-4124-A199-406EAD6190C7}"/>
    <cellStyle name="60% - Énfasis5 6 2 5 2" xfId="56144" xr:uid="{BC3549DC-9922-41B9-B6CD-1320D71F0F99}"/>
    <cellStyle name="60% - Énfasis5 6 2 6" xfId="56129" xr:uid="{0C025B39-B110-4343-AAA7-B44F224C5690}"/>
    <cellStyle name="60% - Énfasis5 6 3" xfId="2029" xr:uid="{2878E055-1D99-4276-8F7A-A0D42B51EF72}"/>
    <cellStyle name="60% - Énfasis5 6 3 2" xfId="5761" xr:uid="{9D39984E-B513-4DD7-97AB-4C67DCE35458}"/>
    <cellStyle name="60% - Énfasis5 6 3 2 2" xfId="13469" xr:uid="{B737C369-32C2-400D-AC03-C31FF3F33DA3}"/>
    <cellStyle name="60% - Énfasis5 6 3 2 2 2" xfId="28881" xr:uid="{9575E5A5-9DF5-4153-92FC-5A26A1FC5422}"/>
    <cellStyle name="60% - Énfasis5 6 3 2 2 2 2" xfId="56148" xr:uid="{181A526E-4570-4023-8A00-D93B33A82D2A}"/>
    <cellStyle name="60% - Énfasis5 6 3 2 2 3" xfId="56147" xr:uid="{E0F205EA-C75C-4D4C-B53D-596A87ECCE12}"/>
    <cellStyle name="60% - Énfasis5 6 3 2 3" xfId="21176" xr:uid="{C02D7139-E678-48E6-A15E-131DD70BF58E}"/>
    <cellStyle name="60% - Énfasis5 6 3 2 3 2" xfId="56149" xr:uid="{48D36585-5386-45C5-B1E5-12CFFD6F8184}"/>
    <cellStyle name="60% - Énfasis5 6 3 2 4" xfId="56146" xr:uid="{388CC8FF-959F-4F30-A5C8-6246500A05BA}"/>
    <cellStyle name="60% - Énfasis5 6 3 3" xfId="9740" xr:uid="{82BAE2FD-A154-41E0-A16E-2D8F35940E84}"/>
    <cellStyle name="60% - Énfasis5 6 3 3 2" xfId="25153" xr:uid="{09310E4C-062D-406E-9885-3E99BD3E302F}"/>
    <cellStyle name="60% - Énfasis5 6 3 3 2 2" xfId="56151" xr:uid="{DF39E89E-4F39-4C67-B0F5-FE1B7A785AB1}"/>
    <cellStyle name="60% - Énfasis5 6 3 3 3" xfId="56150" xr:uid="{418C2E10-5A23-4ABD-8B6A-E473A5EA425B}"/>
    <cellStyle name="60% - Énfasis5 6 3 4" xfId="17448" xr:uid="{22759CFA-6A99-427E-9F50-E50D74273B66}"/>
    <cellStyle name="60% - Énfasis5 6 3 4 2" xfId="56152" xr:uid="{0DAFCF3B-B2BE-43D1-803E-766025D715BC}"/>
    <cellStyle name="60% - Énfasis5 6 3 5" xfId="56145" xr:uid="{7B1C17AE-B2FA-49D5-BF3B-B687AE49DAD4}"/>
    <cellStyle name="60% - Énfasis5 6 4" xfId="4284" xr:uid="{43ABEA7E-CD37-42DF-B3D1-EFE1A34A673A}"/>
    <cellStyle name="60% - Énfasis5 6 4 2" xfId="11992" xr:uid="{D779B0BB-68A4-48B7-8024-61F65BDDCCC0}"/>
    <cellStyle name="60% - Énfasis5 6 4 2 2" xfId="27404" xr:uid="{DB9BC0A9-AF35-4B55-B44F-00746C24D3C2}"/>
    <cellStyle name="60% - Énfasis5 6 4 2 2 2" xfId="56155" xr:uid="{EE55397C-A113-43F1-980B-7AC1CAEC9FB9}"/>
    <cellStyle name="60% - Énfasis5 6 4 2 3" xfId="56154" xr:uid="{E48AA060-DAC0-47AA-AA03-D62D02A6C052}"/>
    <cellStyle name="60% - Énfasis5 6 4 3" xfId="19699" xr:uid="{83462810-C1F9-4296-B9FF-9F5EA6BBE2DE}"/>
    <cellStyle name="60% - Énfasis5 6 4 3 2" xfId="56156" xr:uid="{4D0C514A-9134-4EE7-82FF-48ED9AE68E4E}"/>
    <cellStyle name="60% - Énfasis5 6 4 4" xfId="56153" xr:uid="{2F8F4111-35D7-4E47-80CE-9E1365092D60}"/>
    <cellStyle name="60% - Énfasis5 6 5" xfId="8281" xr:uid="{6B4810E7-F988-40CF-8C1F-49A7E1CD288D}"/>
    <cellStyle name="60% - Énfasis5 6 5 2" xfId="23694" xr:uid="{E3276E79-FDFA-491D-B1B4-426658512588}"/>
    <cellStyle name="60% - Énfasis5 6 5 2 2" xfId="56158" xr:uid="{099123B1-D6C7-4AD8-B827-26AADA5C79E1}"/>
    <cellStyle name="60% - Énfasis5 6 5 3" xfId="56157" xr:uid="{7AB9B5B0-C274-48D6-AD69-C12A886A60B5}"/>
    <cellStyle name="60% - Énfasis5 6 6" xfId="15989" xr:uid="{973A3AFB-3D14-46C6-84B5-C34201ED3945}"/>
    <cellStyle name="60% - Énfasis5 6 6 2" xfId="56159" xr:uid="{0A409584-BB75-44B0-B570-42487F5A6CB9}"/>
    <cellStyle name="60% - Énfasis5 6 7" xfId="56128" xr:uid="{4AB8470C-CF93-402E-9E82-F474CD465712}"/>
    <cellStyle name="60% - Énfasis5 7" xfId="558" xr:uid="{484397A6-60AA-499F-BB24-BB3E3E19597E}"/>
    <cellStyle name="60% - Énfasis5 7 2" xfId="1219" xr:uid="{6EAFCD42-96E7-443F-82D4-41E4FE904FC4}"/>
    <cellStyle name="60% - Énfasis5 7 2 2" xfId="2687" xr:uid="{180E60D7-601F-40D1-9DEC-71A808ECF311}"/>
    <cellStyle name="60% - Énfasis5 7 2 2 2" xfId="6419" xr:uid="{6568EE30-B154-41A7-BA8F-68EA4E8429C1}"/>
    <cellStyle name="60% - Énfasis5 7 2 2 2 2" xfId="14127" xr:uid="{39972BF2-BF2F-43C0-9DB2-1DA9B92EA07D}"/>
    <cellStyle name="60% - Énfasis5 7 2 2 2 2 2" xfId="29539" xr:uid="{76791406-91CA-49A2-82DD-100CE03648D1}"/>
    <cellStyle name="60% - Énfasis5 7 2 2 2 2 2 2" xfId="56165" xr:uid="{65717B12-8363-473E-9B98-3A42D9EC1456}"/>
    <cellStyle name="60% - Énfasis5 7 2 2 2 2 3" xfId="56164" xr:uid="{3D479F24-739B-4F13-A0AE-9B12AC0E0CB3}"/>
    <cellStyle name="60% - Énfasis5 7 2 2 2 3" xfId="21834" xr:uid="{BC669D31-9FA8-4E24-8F09-44F3A6AB1A10}"/>
    <cellStyle name="60% - Énfasis5 7 2 2 2 3 2" xfId="56166" xr:uid="{783D9D21-AE71-4CDF-AC00-13926E548BAE}"/>
    <cellStyle name="60% - Énfasis5 7 2 2 2 4" xfId="56163" xr:uid="{82352A76-AEB9-4C24-B08F-357F7095B010}"/>
    <cellStyle name="60% - Énfasis5 7 2 2 3" xfId="10398" xr:uid="{335869B5-2B4D-4CC5-A0BD-F6226DCBAF85}"/>
    <cellStyle name="60% - Énfasis5 7 2 2 3 2" xfId="25811" xr:uid="{B967BA5D-F787-4695-A54B-F4A64EC3E174}"/>
    <cellStyle name="60% - Énfasis5 7 2 2 3 2 2" xfId="56168" xr:uid="{1371EEBF-2CF3-4BE8-9204-812EDAD61382}"/>
    <cellStyle name="60% - Énfasis5 7 2 2 3 3" xfId="56167" xr:uid="{D42E53F8-98B0-4DC3-901A-0DA232934FBE}"/>
    <cellStyle name="60% - Énfasis5 7 2 2 4" xfId="18106" xr:uid="{ECED540B-1607-48E3-99CF-FB177D26A81C}"/>
    <cellStyle name="60% - Énfasis5 7 2 2 4 2" xfId="56169" xr:uid="{A25D5A20-5F17-4CC5-AB77-FA32B0F4BF5A}"/>
    <cellStyle name="60% - Énfasis5 7 2 2 5" xfId="56162" xr:uid="{83B0C5E5-D366-43F3-92E4-A7ED5A0CCDE7}"/>
    <cellStyle name="60% - Énfasis5 7 2 3" xfId="4956" xr:uid="{03FAFEAC-793E-441D-B3F6-4F730A354AAC}"/>
    <cellStyle name="60% - Énfasis5 7 2 3 2" xfId="12664" xr:uid="{3D46F01B-B8A6-4B5D-A61A-4322215EC5FA}"/>
    <cellStyle name="60% - Énfasis5 7 2 3 2 2" xfId="28076" xr:uid="{FF11CEF0-D296-4C59-A212-17F77C336C43}"/>
    <cellStyle name="60% - Énfasis5 7 2 3 2 2 2" xfId="56172" xr:uid="{E5A654B3-96F6-4CA7-B543-A82AF57FD19C}"/>
    <cellStyle name="60% - Énfasis5 7 2 3 2 3" xfId="56171" xr:uid="{7BD9EDCE-E4B9-497B-AEC0-B7966625A1BE}"/>
    <cellStyle name="60% - Énfasis5 7 2 3 3" xfId="20371" xr:uid="{2A760AF2-F4EA-452C-B0FB-6ED58069EC0F}"/>
    <cellStyle name="60% - Énfasis5 7 2 3 3 2" xfId="56173" xr:uid="{1F255EDF-221C-4F4F-817F-ED1337B0ECE6}"/>
    <cellStyle name="60% - Énfasis5 7 2 3 4" xfId="56170" xr:uid="{056C999F-DB19-438A-B8AF-36A48278F031}"/>
    <cellStyle name="60% - Énfasis5 7 2 4" xfId="8939" xr:uid="{B83F31F5-2838-451C-8D18-1E916723C6CF}"/>
    <cellStyle name="60% - Énfasis5 7 2 4 2" xfId="24352" xr:uid="{AAE0F5B1-4081-400E-A9BD-798DF783743D}"/>
    <cellStyle name="60% - Énfasis5 7 2 4 2 2" xfId="56175" xr:uid="{39709ACF-6D54-4B5B-B13A-5FF0E829AE4F}"/>
    <cellStyle name="60% - Énfasis5 7 2 4 3" xfId="56174" xr:uid="{B607F14E-D186-447A-8DED-C026D89CA681}"/>
    <cellStyle name="60% - Énfasis5 7 2 5" xfId="16647" xr:uid="{9D223F75-79B0-4E50-B88D-2B4322F3A9EC}"/>
    <cellStyle name="60% - Énfasis5 7 2 5 2" xfId="56176" xr:uid="{B6DC9497-E09C-43DB-9E17-1E1F4B047F46}"/>
    <cellStyle name="60% - Énfasis5 7 2 6" xfId="56161" xr:uid="{69592D9A-5967-4769-B7D5-B2D6336342EC}"/>
    <cellStyle name="60% - Énfasis5 7 3" xfId="2049" xr:uid="{93FF0977-98D6-439A-AB39-CE7ECAD8097D}"/>
    <cellStyle name="60% - Énfasis5 7 3 2" xfId="5781" xr:uid="{75596FBB-439C-4FEA-BDE3-DDE975277440}"/>
    <cellStyle name="60% - Énfasis5 7 3 2 2" xfId="13489" xr:uid="{CBF7FD90-7B62-456C-AF80-90BD7799FDE8}"/>
    <cellStyle name="60% - Énfasis5 7 3 2 2 2" xfId="28901" xr:uid="{24009758-7D39-4A20-800D-0020C73472E0}"/>
    <cellStyle name="60% - Énfasis5 7 3 2 2 2 2" xfId="56180" xr:uid="{8B50BFBF-82DF-4E15-9848-73A1FE3F65D5}"/>
    <cellStyle name="60% - Énfasis5 7 3 2 2 3" xfId="56179" xr:uid="{04FEC456-5904-4F8E-B953-E7F62DD466BF}"/>
    <cellStyle name="60% - Énfasis5 7 3 2 3" xfId="21196" xr:uid="{31E9AA56-F814-4819-8B4E-6E413448487E}"/>
    <cellStyle name="60% - Énfasis5 7 3 2 3 2" xfId="56181" xr:uid="{AF5D675E-E5FD-44C4-A7AE-77F47C3B093D}"/>
    <cellStyle name="60% - Énfasis5 7 3 2 4" xfId="56178" xr:uid="{F00AAC7F-BB62-44DD-AB25-25944F849B01}"/>
    <cellStyle name="60% - Énfasis5 7 3 3" xfId="9760" xr:uid="{BB59A626-A3AA-4891-AFFF-F167EFBA3050}"/>
    <cellStyle name="60% - Énfasis5 7 3 3 2" xfId="25173" xr:uid="{1E28583D-B1BE-4120-AD2B-201BFC127F80}"/>
    <cellStyle name="60% - Énfasis5 7 3 3 2 2" xfId="56183" xr:uid="{AEFCD559-8913-479A-944B-3ADA55CE3C9D}"/>
    <cellStyle name="60% - Énfasis5 7 3 3 3" xfId="56182" xr:uid="{BEEE7EC2-42F3-452E-B8B4-765363F3222C}"/>
    <cellStyle name="60% - Énfasis5 7 3 4" xfId="17468" xr:uid="{AF4D79BB-3B23-456F-AAF5-60E29373DBDC}"/>
    <cellStyle name="60% - Énfasis5 7 3 4 2" xfId="56184" xr:uid="{34451819-FD08-4FDD-86C1-6C986CC786B4}"/>
    <cellStyle name="60% - Énfasis5 7 3 5" xfId="56177" xr:uid="{027D011B-2746-45A0-9106-89C48B8CFD78}"/>
    <cellStyle name="60% - Énfasis5 7 4" xfId="4304" xr:uid="{B5D07B54-F68B-4D22-9BD7-8014DA89EA0F}"/>
    <cellStyle name="60% - Énfasis5 7 4 2" xfId="12012" xr:uid="{48BFC015-5138-4A18-937C-1C0E6AAC5FA3}"/>
    <cellStyle name="60% - Énfasis5 7 4 2 2" xfId="27424" xr:uid="{94BD030D-4AC1-40B2-9F3D-6B43C852FA3A}"/>
    <cellStyle name="60% - Énfasis5 7 4 2 2 2" xfId="56187" xr:uid="{9C375FED-8BAF-411E-9590-70E7054D0D71}"/>
    <cellStyle name="60% - Énfasis5 7 4 2 3" xfId="56186" xr:uid="{9B63F243-011F-4E91-BE1B-F9C779911828}"/>
    <cellStyle name="60% - Énfasis5 7 4 3" xfId="19719" xr:uid="{3FB351DA-1946-4867-950D-6EFAA2F5127A}"/>
    <cellStyle name="60% - Énfasis5 7 4 3 2" xfId="56188" xr:uid="{C474081C-7F0F-4BC8-B671-833E478A2CD1}"/>
    <cellStyle name="60% - Énfasis5 7 4 4" xfId="56185" xr:uid="{F3D3D31E-75FA-483A-A367-0BD7BE0B505E}"/>
    <cellStyle name="60% - Énfasis5 7 5" xfId="8301" xr:uid="{BC6616D9-2600-4208-A77F-B72958EB8905}"/>
    <cellStyle name="60% - Énfasis5 7 5 2" xfId="23714" xr:uid="{97A00ED8-74B6-43F9-A4D8-0B9A36EB5C34}"/>
    <cellStyle name="60% - Énfasis5 7 5 2 2" xfId="56190" xr:uid="{B9D41265-FEC9-4FC4-844F-986DC8FC2542}"/>
    <cellStyle name="60% - Énfasis5 7 5 3" xfId="56189" xr:uid="{5BFDC7F7-3D90-4419-A2F0-28594DBA1B1C}"/>
    <cellStyle name="60% - Énfasis5 7 6" xfId="16009" xr:uid="{56DD67FA-103C-490E-AF0F-DB503F983859}"/>
    <cellStyle name="60% - Énfasis5 7 6 2" xfId="56191" xr:uid="{697A1DE3-8381-40BF-84C2-63B907E84BC7}"/>
    <cellStyle name="60% - Énfasis5 7 7" xfId="56160" xr:uid="{E0391206-6829-4767-8B23-4D01D54E678A}"/>
    <cellStyle name="60% - Énfasis5 8" xfId="578" xr:uid="{A235E0CB-0699-48FF-A1EB-B6FE86A772FB}"/>
    <cellStyle name="60% - Énfasis5 8 2" xfId="1239" xr:uid="{28F8D046-F989-4B02-B557-F0A87C93BF19}"/>
    <cellStyle name="60% - Énfasis5 8 2 2" xfId="2707" xr:uid="{8BB04D1B-7EE7-455F-B890-054473462BB4}"/>
    <cellStyle name="60% - Énfasis5 8 2 2 2" xfId="6439" xr:uid="{3EFCE0A7-51A0-492B-97F5-5C9D3F273688}"/>
    <cellStyle name="60% - Énfasis5 8 2 2 2 2" xfId="14147" xr:uid="{06EEA22C-E9FA-45DE-99B6-7B4310DBAA76}"/>
    <cellStyle name="60% - Énfasis5 8 2 2 2 2 2" xfId="29559" xr:uid="{058F3BC4-1E15-4907-BE05-43674FC91821}"/>
    <cellStyle name="60% - Énfasis5 8 2 2 2 2 2 2" xfId="56197" xr:uid="{3A69711D-867B-4E8C-90D6-9C011AEDB1B1}"/>
    <cellStyle name="60% - Énfasis5 8 2 2 2 2 3" xfId="56196" xr:uid="{845191C1-56CF-4BE3-B47D-4A30C4696D4A}"/>
    <cellStyle name="60% - Énfasis5 8 2 2 2 3" xfId="21854" xr:uid="{8590A74A-A0ED-4F27-A643-B0D7F2E0942B}"/>
    <cellStyle name="60% - Énfasis5 8 2 2 2 3 2" xfId="56198" xr:uid="{CBD9A4CE-0973-4100-8B62-5ABE6EBFB0EE}"/>
    <cellStyle name="60% - Énfasis5 8 2 2 2 4" xfId="56195" xr:uid="{340E984B-B609-437E-9B69-6299FA423784}"/>
    <cellStyle name="60% - Énfasis5 8 2 2 3" xfId="10418" xr:uid="{90FB81AF-5F55-4CF5-A503-60AAC92D0364}"/>
    <cellStyle name="60% - Énfasis5 8 2 2 3 2" xfId="25831" xr:uid="{20A34496-4123-432F-AC20-8C8B2893EED5}"/>
    <cellStyle name="60% - Énfasis5 8 2 2 3 2 2" xfId="56200" xr:uid="{D6C893D2-A2AE-4CED-85DB-C3938721E8D0}"/>
    <cellStyle name="60% - Énfasis5 8 2 2 3 3" xfId="56199" xr:uid="{2D45EB12-5FCA-4459-9835-4D328D0E05FC}"/>
    <cellStyle name="60% - Énfasis5 8 2 2 4" xfId="18126" xr:uid="{E342B233-D455-463D-B6E6-B5B8110F31F4}"/>
    <cellStyle name="60% - Énfasis5 8 2 2 4 2" xfId="56201" xr:uid="{AB6C8DAE-8503-461D-BF81-33B6D2CCCC95}"/>
    <cellStyle name="60% - Énfasis5 8 2 2 5" xfId="56194" xr:uid="{1984AB96-39D3-4F03-8B9C-8E3BCF3F6B29}"/>
    <cellStyle name="60% - Énfasis5 8 2 3" xfId="4976" xr:uid="{CF36C564-A537-4C72-9958-D8AF33A12319}"/>
    <cellStyle name="60% - Énfasis5 8 2 3 2" xfId="12684" xr:uid="{BEED0A6A-091D-42E0-BD66-6CC3C44F04B7}"/>
    <cellStyle name="60% - Énfasis5 8 2 3 2 2" xfId="28096" xr:uid="{C30A096F-A52D-4301-8AFF-66C0EDCA6064}"/>
    <cellStyle name="60% - Énfasis5 8 2 3 2 2 2" xfId="56204" xr:uid="{62EEEC97-CFF3-40B5-87E3-C042E67A3F6A}"/>
    <cellStyle name="60% - Énfasis5 8 2 3 2 3" xfId="56203" xr:uid="{A78708D1-8811-4AE9-AAD8-8A3B3E9465D9}"/>
    <cellStyle name="60% - Énfasis5 8 2 3 3" xfId="20391" xr:uid="{E330CBA8-CB35-49CA-B51B-B376C8ECE6CF}"/>
    <cellStyle name="60% - Énfasis5 8 2 3 3 2" xfId="56205" xr:uid="{FFCB9EB3-875D-4503-87B7-52C0319FBAE6}"/>
    <cellStyle name="60% - Énfasis5 8 2 3 4" xfId="56202" xr:uid="{4C32EA5C-476D-4BE7-A1B6-3353085B2FC5}"/>
    <cellStyle name="60% - Énfasis5 8 2 4" xfId="8959" xr:uid="{191CE2FA-9F52-45EF-B73B-67683F1673E2}"/>
    <cellStyle name="60% - Énfasis5 8 2 4 2" xfId="24372" xr:uid="{72ACEB08-1DB0-433E-8A24-EE795D97922F}"/>
    <cellStyle name="60% - Énfasis5 8 2 4 2 2" xfId="56207" xr:uid="{83E3833E-B98A-40E8-AF97-061801D8D67F}"/>
    <cellStyle name="60% - Énfasis5 8 2 4 3" xfId="56206" xr:uid="{1A99E7E1-1DB8-4122-AE51-FBC75627647C}"/>
    <cellStyle name="60% - Énfasis5 8 2 5" xfId="16667" xr:uid="{92C10775-95A8-409D-8647-7F5D85558281}"/>
    <cellStyle name="60% - Énfasis5 8 2 5 2" xfId="56208" xr:uid="{42B1F87D-7D4C-4345-89CB-F94A1D344841}"/>
    <cellStyle name="60% - Énfasis5 8 2 6" xfId="56193" xr:uid="{B74EC0D7-2470-41D7-AA64-C82CFE14E111}"/>
    <cellStyle name="60% - Énfasis5 8 3" xfId="2069" xr:uid="{DB960239-C694-4A2A-8A89-CCBC6526FAD1}"/>
    <cellStyle name="60% - Énfasis5 8 3 2" xfId="5801" xr:uid="{577D78AB-DEC6-46D9-94F1-92A14D272312}"/>
    <cellStyle name="60% - Énfasis5 8 3 2 2" xfId="13509" xr:uid="{E834FED0-63CA-4D7F-9B8B-A09AF4A0E070}"/>
    <cellStyle name="60% - Énfasis5 8 3 2 2 2" xfId="28921" xr:uid="{27044523-2ED9-4F53-9F41-50445D580475}"/>
    <cellStyle name="60% - Énfasis5 8 3 2 2 2 2" xfId="56212" xr:uid="{0DFFB857-2913-42F4-AD48-CAE02D96CC5F}"/>
    <cellStyle name="60% - Énfasis5 8 3 2 2 3" xfId="56211" xr:uid="{A73A4DAD-25A3-475E-8D7B-4F6ADCF204BF}"/>
    <cellStyle name="60% - Énfasis5 8 3 2 3" xfId="21216" xr:uid="{98CFDAD4-3C05-4E84-8B76-52273CBBF9F6}"/>
    <cellStyle name="60% - Énfasis5 8 3 2 3 2" xfId="56213" xr:uid="{A67F6587-B0C8-48C8-BF21-7F3397C023A8}"/>
    <cellStyle name="60% - Énfasis5 8 3 2 4" xfId="56210" xr:uid="{0371DFAD-70C3-4CE1-9074-81E2D080C3EC}"/>
    <cellStyle name="60% - Énfasis5 8 3 3" xfId="9780" xr:uid="{158F7780-14F7-42C8-AAF0-FE9D1A199661}"/>
    <cellStyle name="60% - Énfasis5 8 3 3 2" xfId="25193" xr:uid="{0F7C2BF2-CB51-43B4-9BF9-8B0DE5C57724}"/>
    <cellStyle name="60% - Énfasis5 8 3 3 2 2" xfId="56215" xr:uid="{C8BF4C58-E246-497E-8599-C0558CA5A065}"/>
    <cellStyle name="60% - Énfasis5 8 3 3 3" xfId="56214" xr:uid="{B99FDC2E-EB7A-4744-88F7-332F69BAA9D4}"/>
    <cellStyle name="60% - Énfasis5 8 3 4" xfId="17488" xr:uid="{F9C81BF1-79F4-4F89-A0FA-08AB4EF11CC1}"/>
    <cellStyle name="60% - Énfasis5 8 3 4 2" xfId="56216" xr:uid="{2F41A5B9-2B43-43B3-9D12-C0CDFE12686E}"/>
    <cellStyle name="60% - Énfasis5 8 3 5" xfId="56209" xr:uid="{7363DC1B-FC0C-4885-9487-4C1170473AF6}"/>
    <cellStyle name="60% - Énfasis5 8 4" xfId="4324" xr:uid="{35A1D565-29F8-42D0-864F-67C284F8A12B}"/>
    <cellStyle name="60% - Énfasis5 8 4 2" xfId="12032" xr:uid="{7843C391-4872-4E52-801E-D5F881449F7D}"/>
    <cellStyle name="60% - Énfasis5 8 4 2 2" xfId="27444" xr:uid="{58DFE52E-6302-4373-A7A8-7E560ED17A15}"/>
    <cellStyle name="60% - Énfasis5 8 4 2 2 2" xfId="56219" xr:uid="{7FFC3E7E-2582-46E2-8601-E2F531F9E114}"/>
    <cellStyle name="60% - Énfasis5 8 4 2 3" xfId="56218" xr:uid="{7FBF6A22-BB05-4458-B2FC-80E7661E403A}"/>
    <cellStyle name="60% - Énfasis5 8 4 3" xfId="19739" xr:uid="{7C934167-39BB-4941-909C-416D12383E17}"/>
    <cellStyle name="60% - Énfasis5 8 4 3 2" xfId="56220" xr:uid="{D3A14FA2-1C81-416C-921D-39679D7688FE}"/>
    <cellStyle name="60% - Énfasis5 8 4 4" xfId="56217" xr:uid="{BBFE7CDA-19F6-43D6-9E4E-E23C002E6E44}"/>
    <cellStyle name="60% - Énfasis5 8 5" xfId="8321" xr:uid="{D9C3FCD4-03EE-45BA-BF44-970B359385C1}"/>
    <cellStyle name="60% - Énfasis5 8 5 2" xfId="23734" xr:uid="{A1992999-17DD-41B4-BBAF-5A5788340B68}"/>
    <cellStyle name="60% - Énfasis5 8 5 2 2" xfId="56222" xr:uid="{18AF5F85-25E2-43B3-BEC8-F978BCC6553A}"/>
    <cellStyle name="60% - Énfasis5 8 5 3" xfId="56221" xr:uid="{0B11CE6F-1610-4E73-A4E9-5ED5F749E0CD}"/>
    <cellStyle name="60% - Énfasis5 8 6" xfId="16029" xr:uid="{E58C8252-0DF6-4AC4-9A30-4EF7BD5F551F}"/>
    <cellStyle name="60% - Énfasis5 8 6 2" xfId="56223" xr:uid="{9A9F1FA5-B921-4118-84FA-BB72DE2FB0C8}"/>
    <cellStyle name="60% - Énfasis5 8 7" xfId="56192" xr:uid="{BDE66022-CA58-424F-B733-F6E74D45F0C4}"/>
    <cellStyle name="60% - Énfasis5 9" xfId="598" xr:uid="{EC877D33-920D-4A82-9A94-58195C945E24}"/>
    <cellStyle name="60% - Énfasis5 9 2" xfId="1259" xr:uid="{68F4128B-90B8-4890-85DB-1BD6B9B90CDC}"/>
    <cellStyle name="60% - Énfasis5 9 2 2" xfId="2727" xr:uid="{7D07EBB5-B1A7-494C-83DF-1F3DE428B811}"/>
    <cellStyle name="60% - Énfasis5 9 2 2 2" xfId="6459" xr:uid="{9EA202DD-55B8-4883-8EEE-6BFEC254C05F}"/>
    <cellStyle name="60% - Énfasis5 9 2 2 2 2" xfId="14167" xr:uid="{800E027F-44A6-4C24-9289-CCD6D0E5FB51}"/>
    <cellStyle name="60% - Énfasis5 9 2 2 2 2 2" xfId="29579" xr:uid="{5FCA0730-7FF6-487D-B193-613F51C3EAFB}"/>
    <cellStyle name="60% - Énfasis5 9 2 2 2 2 2 2" xfId="56229" xr:uid="{349C31EE-FF57-436D-A695-180BA7FBFC36}"/>
    <cellStyle name="60% - Énfasis5 9 2 2 2 2 3" xfId="56228" xr:uid="{A482A721-CF8A-45CD-BB49-58D9389C6E5C}"/>
    <cellStyle name="60% - Énfasis5 9 2 2 2 3" xfId="21874" xr:uid="{2A632624-7693-4F8F-B980-882964DDD0C2}"/>
    <cellStyle name="60% - Énfasis5 9 2 2 2 3 2" xfId="56230" xr:uid="{931F0690-7838-4505-8B51-431FFBC3EC22}"/>
    <cellStyle name="60% - Énfasis5 9 2 2 2 4" xfId="56227" xr:uid="{4D457B64-7A97-40F5-AC3E-A850B0565AE3}"/>
    <cellStyle name="60% - Énfasis5 9 2 2 3" xfId="10438" xr:uid="{C7433AD3-AB5D-4040-B60C-35E7A920654D}"/>
    <cellStyle name="60% - Énfasis5 9 2 2 3 2" xfId="25851" xr:uid="{39300AA3-FF8F-4E64-AF55-CE657BACCE48}"/>
    <cellStyle name="60% - Énfasis5 9 2 2 3 2 2" xfId="56232" xr:uid="{FC8A787F-D81A-4E13-A7B6-A52D368D849E}"/>
    <cellStyle name="60% - Énfasis5 9 2 2 3 3" xfId="56231" xr:uid="{65C380A6-12D2-4492-9428-7D25444FCAF6}"/>
    <cellStyle name="60% - Énfasis5 9 2 2 4" xfId="18146" xr:uid="{31436DF6-DA9A-4D21-9C95-BECDB0A731EC}"/>
    <cellStyle name="60% - Énfasis5 9 2 2 4 2" xfId="56233" xr:uid="{5CA94797-815C-48D3-8682-B930BFC83D8C}"/>
    <cellStyle name="60% - Énfasis5 9 2 2 5" xfId="56226" xr:uid="{5B2E15A8-91B8-4947-BFD1-AC7A75A73F2B}"/>
    <cellStyle name="60% - Énfasis5 9 2 3" xfId="4996" xr:uid="{9A4B075C-C84D-47F0-99FF-B345A877E913}"/>
    <cellStyle name="60% - Énfasis5 9 2 3 2" xfId="12704" xr:uid="{66753379-460C-4B5E-8361-925BCDE7A1CB}"/>
    <cellStyle name="60% - Énfasis5 9 2 3 2 2" xfId="28116" xr:uid="{B758A0E9-1B29-4CC7-A978-3E5CBC5E0707}"/>
    <cellStyle name="60% - Énfasis5 9 2 3 2 2 2" xfId="56236" xr:uid="{1C1127D5-05A3-46A4-B15F-D2BA757601E5}"/>
    <cellStyle name="60% - Énfasis5 9 2 3 2 3" xfId="56235" xr:uid="{19590D57-8180-4546-97F1-191AB14D7B85}"/>
    <cellStyle name="60% - Énfasis5 9 2 3 3" xfId="20411" xr:uid="{7D78F223-A632-4629-A89C-EC4A220AB455}"/>
    <cellStyle name="60% - Énfasis5 9 2 3 3 2" xfId="56237" xr:uid="{CB6040A4-C1F8-48F1-B214-4BB11FDB9460}"/>
    <cellStyle name="60% - Énfasis5 9 2 3 4" xfId="56234" xr:uid="{8C5877A7-54E4-4411-846F-6520C337024D}"/>
    <cellStyle name="60% - Énfasis5 9 2 4" xfId="8979" xr:uid="{77DD7CB2-99BB-41C4-8F2D-C1E866043B55}"/>
    <cellStyle name="60% - Énfasis5 9 2 4 2" xfId="24392" xr:uid="{CA2330F9-05C4-4BE1-958C-C34A5AD0A021}"/>
    <cellStyle name="60% - Énfasis5 9 2 4 2 2" xfId="56239" xr:uid="{918987B5-2AE1-4671-8F77-E941688CADEE}"/>
    <cellStyle name="60% - Énfasis5 9 2 4 3" xfId="56238" xr:uid="{ABCC44CF-31AD-4CE2-9679-2B963DD37AC2}"/>
    <cellStyle name="60% - Énfasis5 9 2 5" xfId="16687" xr:uid="{267FAC1C-8ED4-45C3-8295-C06250149853}"/>
    <cellStyle name="60% - Énfasis5 9 2 5 2" xfId="56240" xr:uid="{7F88A7A7-0B83-49E0-9F00-13EBB0D11B65}"/>
    <cellStyle name="60% - Énfasis5 9 2 6" xfId="56225" xr:uid="{52521930-F4CD-49D6-8679-2587318FF3E7}"/>
    <cellStyle name="60% - Énfasis5 9 3" xfId="2089" xr:uid="{063F2DF7-0D98-4E66-82AE-418E123B8873}"/>
    <cellStyle name="60% - Énfasis5 9 3 2" xfId="5821" xr:uid="{6029EC68-9936-4299-A542-564FB665DAB0}"/>
    <cellStyle name="60% - Énfasis5 9 3 2 2" xfId="13529" xr:uid="{25AE49F3-BAAC-479D-83BF-4588E21E9A35}"/>
    <cellStyle name="60% - Énfasis5 9 3 2 2 2" xfId="28941" xr:uid="{625A2829-EB98-464D-B2D1-10598778B424}"/>
    <cellStyle name="60% - Énfasis5 9 3 2 2 2 2" xfId="56244" xr:uid="{844B3EFD-C270-4C89-AA73-5299B154AE78}"/>
    <cellStyle name="60% - Énfasis5 9 3 2 2 3" xfId="56243" xr:uid="{F68B7F40-9E62-43C8-BABC-52724A8BAAD5}"/>
    <cellStyle name="60% - Énfasis5 9 3 2 3" xfId="21236" xr:uid="{3C4ED409-021D-4E22-A12E-30504061E00D}"/>
    <cellStyle name="60% - Énfasis5 9 3 2 3 2" xfId="56245" xr:uid="{EBA0DE65-DD8C-4767-9CB3-6A3AA7CD1890}"/>
    <cellStyle name="60% - Énfasis5 9 3 2 4" xfId="56242" xr:uid="{371F7A03-FFE2-453B-9A20-84126320F5E5}"/>
    <cellStyle name="60% - Énfasis5 9 3 3" xfId="9800" xr:uid="{03FC0063-762A-4B24-8216-007A72A94D5B}"/>
    <cellStyle name="60% - Énfasis5 9 3 3 2" xfId="25213" xr:uid="{ACA7F0B9-2656-4536-BD4F-6668DDDCA641}"/>
    <cellStyle name="60% - Énfasis5 9 3 3 2 2" xfId="56247" xr:uid="{A45F1852-4F26-4DA4-B045-F285F01467B8}"/>
    <cellStyle name="60% - Énfasis5 9 3 3 3" xfId="56246" xr:uid="{D8DF6413-3C2E-4820-ADCD-28A65F63C623}"/>
    <cellStyle name="60% - Énfasis5 9 3 4" xfId="17508" xr:uid="{ECB60F0B-6BBB-4AE8-AFB9-06236A4D2967}"/>
    <cellStyle name="60% - Énfasis5 9 3 4 2" xfId="56248" xr:uid="{33DD8184-AF6B-48B0-8A30-3242D5934E25}"/>
    <cellStyle name="60% - Énfasis5 9 3 5" xfId="56241" xr:uid="{239EA650-360F-4A11-A517-69A843EAEEC0}"/>
    <cellStyle name="60% - Énfasis5 9 4" xfId="4344" xr:uid="{508322CB-602D-4D59-AAF1-4A6A8D2A2A11}"/>
    <cellStyle name="60% - Énfasis5 9 4 2" xfId="12052" xr:uid="{E4514F0B-58CB-4F8C-8BB2-DF2C674C5F8E}"/>
    <cellStyle name="60% - Énfasis5 9 4 2 2" xfId="27464" xr:uid="{F1A6C315-31EB-4DDF-BA1D-4809AFF085F3}"/>
    <cellStyle name="60% - Énfasis5 9 4 2 2 2" xfId="56251" xr:uid="{C3F78A86-63E5-465D-A2DE-8A033BC07605}"/>
    <cellStyle name="60% - Énfasis5 9 4 2 3" xfId="56250" xr:uid="{A2B8D75F-9A6F-4BB4-BB2E-832E0F8B2970}"/>
    <cellStyle name="60% - Énfasis5 9 4 3" xfId="19759" xr:uid="{2A5BF629-16DE-4C98-8BE6-4A3871966A99}"/>
    <cellStyle name="60% - Énfasis5 9 4 3 2" xfId="56252" xr:uid="{93AF8990-C2C5-4512-8135-CC35CEB4603A}"/>
    <cellStyle name="60% - Énfasis5 9 4 4" xfId="56249" xr:uid="{3EAC3646-8C1C-4643-9E56-84FE6B166474}"/>
    <cellStyle name="60% - Énfasis5 9 5" xfId="8341" xr:uid="{71E17336-FF5C-4F61-BE61-6F52CC2807A1}"/>
    <cellStyle name="60% - Énfasis5 9 5 2" xfId="23754" xr:uid="{FBDB7ABA-CE45-422C-814F-E98D80A81966}"/>
    <cellStyle name="60% - Énfasis5 9 5 2 2" xfId="56254" xr:uid="{AC00EB17-79DE-4F84-84A4-F01A1CD6D58D}"/>
    <cellStyle name="60% - Énfasis5 9 5 3" xfId="56253" xr:uid="{F82F159A-FBB3-4484-8C20-507D8FFF8AE2}"/>
    <cellStyle name="60% - Énfasis5 9 6" xfId="16049" xr:uid="{CE9FBA79-F793-4625-9477-FBAE8826CFF4}"/>
    <cellStyle name="60% - Énfasis5 9 6 2" xfId="56255" xr:uid="{36718BBA-18C1-4B7F-AF7D-6C8DE1A62B6E}"/>
    <cellStyle name="60% - Énfasis5 9 7" xfId="56224" xr:uid="{41CD75AF-90FD-499E-98C8-A170F5C12F9E}"/>
    <cellStyle name="60% - Énfasis6" xfId="53" builtinId="52" customBuiltin="1"/>
    <cellStyle name="60% - Énfasis6 10" xfId="622" xr:uid="{7E36E020-CF7E-4CF7-9D53-E6540AEC21B1}"/>
    <cellStyle name="60% - Énfasis6 10 2" xfId="1283" xr:uid="{373FC64D-0B7C-4CAC-B2F0-BE8129624EF8}"/>
    <cellStyle name="60% - Énfasis6 10 2 2" xfId="2750" xr:uid="{F4BFFCD1-C0B7-47A3-8F0A-66EA2891E4C4}"/>
    <cellStyle name="60% - Énfasis6 10 2 2 2" xfId="6482" xr:uid="{0C765935-EF02-4749-9B3B-ECF5FFFD2B34}"/>
    <cellStyle name="60% - Énfasis6 10 2 2 2 2" xfId="14190" xr:uid="{1284DCD2-1413-4735-8A62-38BFF326953F}"/>
    <cellStyle name="60% - Énfasis6 10 2 2 2 2 2" xfId="29602" xr:uid="{5A464D14-429B-4A2A-A433-B8C8D32AE91B}"/>
    <cellStyle name="60% - Énfasis6 10 2 2 2 2 2 2" xfId="56261" xr:uid="{82A6B2AF-78C4-4DA5-8C1C-9BA18CE272F2}"/>
    <cellStyle name="60% - Énfasis6 10 2 2 2 2 3" xfId="56260" xr:uid="{71D555B5-CA9B-4A1D-A361-CD46B29795BA}"/>
    <cellStyle name="60% - Énfasis6 10 2 2 2 3" xfId="21897" xr:uid="{6CAFE9AB-D5F5-4719-9C6D-522D21CDF08D}"/>
    <cellStyle name="60% - Énfasis6 10 2 2 2 3 2" xfId="56262" xr:uid="{24C5DDC5-093C-4DDF-BC08-01D2DDC43C91}"/>
    <cellStyle name="60% - Énfasis6 10 2 2 2 4" xfId="56259" xr:uid="{995C3D09-463D-41AC-A830-DDE23ADB7AB9}"/>
    <cellStyle name="60% - Énfasis6 10 2 2 3" xfId="10461" xr:uid="{7C12D629-061A-46C0-9804-6DC590F4400D}"/>
    <cellStyle name="60% - Énfasis6 10 2 2 3 2" xfId="25874" xr:uid="{BB401C7B-3727-48C2-8BD4-994B14640D06}"/>
    <cellStyle name="60% - Énfasis6 10 2 2 3 2 2" xfId="56264" xr:uid="{DC46E8E8-8482-4DF9-98BF-4C367ABF60E7}"/>
    <cellStyle name="60% - Énfasis6 10 2 2 3 3" xfId="56263" xr:uid="{C38EFBA7-F843-4118-AD94-5DA33D3D3B4B}"/>
    <cellStyle name="60% - Énfasis6 10 2 2 4" xfId="18169" xr:uid="{D5F22CCE-79BE-4729-809C-8421F4B4DA02}"/>
    <cellStyle name="60% - Énfasis6 10 2 2 4 2" xfId="56265" xr:uid="{15D0AB67-862D-4AF9-9092-B7462EE2F973}"/>
    <cellStyle name="60% - Énfasis6 10 2 2 5" xfId="56258" xr:uid="{DF1B62A1-6EB0-4B7A-952E-9217EF08D017}"/>
    <cellStyle name="60% - Énfasis6 10 2 3" xfId="5019" xr:uid="{C8895BD2-EA49-4977-BFAE-DD54B1214029}"/>
    <cellStyle name="60% - Énfasis6 10 2 3 2" xfId="12727" xr:uid="{35A9B1CA-FD68-42F9-922D-EAD43AB1DC59}"/>
    <cellStyle name="60% - Énfasis6 10 2 3 2 2" xfId="28139" xr:uid="{1FA07D86-9879-4EF1-9800-CF9B76599B20}"/>
    <cellStyle name="60% - Énfasis6 10 2 3 2 2 2" xfId="56268" xr:uid="{8C687B0C-8CF1-4F4D-A9F1-A4AEEEECA0B6}"/>
    <cellStyle name="60% - Énfasis6 10 2 3 2 3" xfId="56267" xr:uid="{616E96E2-2190-470A-8545-F8B4F86EDD46}"/>
    <cellStyle name="60% - Énfasis6 10 2 3 3" xfId="20434" xr:uid="{F1AF38BD-1745-4345-A832-DAE45C05F2D1}"/>
    <cellStyle name="60% - Énfasis6 10 2 3 3 2" xfId="56269" xr:uid="{ABA3BAC4-2C89-4704-8F95-31FE4AD3F7A2}"/>
    <cellStyle name="60% - Énfasis6 10 2 3 4" xfId="56266" xr:uid="{2A4A2CD3-EA6B-49A9-93F2-9DDB99E17423}"/>
    <cellStyle name="60% - Énfasis6 10 2 4" xfId="9002" xr:uid="{28FEB293-4635-4515-9962-5FDD8EA3DFE1}"/>
    <cellStyle name="60% - Énfasis6 10 2 4 2" xfId="24415" xr:uid="{8BA29839-3D6C-407C-B749-9E32B41286B7}"/>
    <cellStyle name="60% - Énfasis6 10 2 4 2 2" xfId="56271" xr:uid="{C50260E2-04BC-490F-8AD2-A4D1B55592FC}"/>
    <cellStyle name="60% - Énfasis6 10 2 4 3" xfId="56270" xr:uid="{ED6A4F41-E04F-4AE6-BDD2-C718A9EFF2B7}"/>
    <cellStyle name="60% - Énfasis6 10 2 5" xfId="16710" xr:uid="{A5BE83EF-7C32-4B82-A8C5-EA0C1C055AA9}"/>
    <cellStyle name="60% - Énfasis6 10 2 5 2" xfId="56272" xr:uid="{13337AFD-28C5-48F8-AA02-A0EEE894ECDA}"/>
    <cellStyle name="60% - Énfasis6 10 2 6" xfId="56257" xr:uid="{BE720BEB-8A2B-4A4A-987F-14453BA1D5CA}"/>
    <cellStyle name="60% - Énfasis6 10 3" xfId="2112" xr:uid="{6F0AA7FA-E315-4AFA-A868-DE5F032FB5AD}"/>
    <cellStyle name="60% - Énfasis6 10 3 2" xfId="5844" xr:uid="{C04D69A7-A1E5-4F90-A31C-0E249B8D2797}"/>
    <cellStyle name="60% - Énfasis6 10 3 2 2" xfId="13552" xr:uid="{A41ABE49-B848-408A-B7F4-EB3F13C9D80A}"/>
    <cellStyle name="60% - Énfasis6 10 3 2 2 2" xfId="28964" xr:uid="{C443125F-0404-4647-890B-3CD83CBCE552}"/>
    <cellStyle name="60% - Énfasis6 10 3 2 2 2 2" xfId="56276" xr:uid="{6AACA7BB-CDBF-403A-9A46-E767F1089324}"/>
    <cellStyle name="60% - Énfasis6 10 3 2 2 3" xfId="56275" xr:uid="{8848D4F5-705A-4BA0-817F-EE43C0C59390}"/>
    <cellStyle name="60% - Énfasis6 10 3 2 3" xfId="21259" xr:uid="{7B61EF34-2842-46D8-98C4-891E66DB9BB2}"/>
    <cellStyle name="60% - Énfasis6 10 3 2 3 2" xfId="56277" xr:uid="{F750BE6C-8D2C-4C75-AD42-9F790860A3B5}"/>
    <cellStyle name="60% - Énfasis6 10 3 2 4" xfId="56274" xr:uid="{4B32D433-48E0-42B0-A34D-7E151425DE87}"/>
    <cellStyle name="60% - Énfasis6 10 3 3" xfId="9823" xr:uid="{35232769-0755-4D93-887D-73F3DFD7EBC1}"/>
    <cellStyle name="60% - Énfasis6 10 3 3 2" xfId="25236" xr:uid="{7CAAC84C-561A-4F75-9626-93D3BE4A9A91}"/>
    <cellStyle name="60% - Énfasis6 10 3 3 2 2" xfId="56279" xr:uid="{0EF7EB9E-8A9D-4AA7-8F0D-1C9527B18F69}"/>
    <cellStyle name="60% - Énfasis6 10 3 3 3" xfId="56278" xr:uid="{C814E180-55CA-4B96-84EE-EFCC8E10237C}"/>
    <cellStyle name="60% - Énfasis6 10 3 4" xfId="17531" xr:uid="{8E7797BE-7704-42EA-A869-952F67F553F2}"/>
    <cellStyle name="60% - Énfasis6 10 3 4 2" xfId="56280" xr:uid="{6E4BD6A2-68A7-4F42-9065-E1D1E0248051}"/>
    <cellStyle name="60% - Énfasis6 10 3 5" xfId="56273" xr:uid="{D8F8BF90-D6D0-4ABC-BD0B-ACEAC75BD2BA}"/>
    <cellStyle name="60% - Énfasis6 10 4" xfId="4367" xr:uid="{9567D61E-B3DA-4339-8A41-F20F3B5A8E7B}"/>
    <cellStyle name="60% - Énfasis6 10 4 2" xfId="12075" xr:uid="{40F8EA9D-4EE5-494F-A44B-99D0CAA3CC4A}"/>
    <cellStyle name="60% - Énfasis6 10 4 2 2" xfId="27487" xr:uid="{C786A7AB-CEAE-4F26-8DAB-7319E0B88D0C}"/>
    <cellStyle name="60% - Énfasis6 10 4 2 2 2" xfId="56283" xr:uid="{F107C671-7B87-4749-8D06-F9AFC302544C}"/>
    <cellStyle name="60% - Énfasis6 10 4 2 3" xfId="56282" xr:uid="{2114014B-3E01-4B9D-8CAD-16C626C1030A}"/>
    <cellStyle name="60% - Énfasis6 10 4 3" xfId="19782" xr:uid="{BD78A59D-8F86-4C6C-BADA-A6D1997CE8A4}"/>
    <cellStyle name="60% - Énfasis6 10 4 3 2" xfId="56284" xr:uid="{A3444B1F-A6D6-47F1-A739-8D6D9CF69B9D}"/>
    <cellStyle name="60% - Énfasis6 10 4 4" xfId="56281" xr:uid="{B1A5ED7D-F216-4B60-8D8D-92778B75961C}"/>
    <cellStyle name="60% - Énfasis6 10 5" xfId="8364" xr:uid="{1B8CEA71-030D-4D13-8D06-BFE1FD97D6F3}"/>
    <cellStyle name="60% - Énfasis6 10 5 2" xfId="23777" xr:uid="{1CAFC16C-D2BE-4436-9A51-400EFE32251F}"/>
    <cellStyle name="60% - Énfasis6 10 5 2 2" xfId="56286" xr:uid="{0F045D65-55FD-4685-836F-A6D5725B5614}"/>
    <cellStyle name="60% - Énfasis6 10 5 3" xfId="56285" xr:uid="{CDF950D4-B69E-4002-984C-A0E1365458D2}"/>
    <cellStyle name="60% - Énfasis6 10 6" xfId="16072" xr:uid="{C0B620C7-FB88-479D-8F2C-2AFEECB76E26}"/>
    <cellStyle name="60% - Énfasis6 10 6 2" xfId="56287" xr:uid="{846EC854-F902-4290-969A-10DE486E36D4}"/>
    <cellStyle name="60% - Énfasis6 10 7" xfId="56256" xr:uid="{F98B6FD9-28FC-49EF-AE05-26916BB09641}"/>
    <cellStyle name="60% - Énfasis6 11" xfId="642" xr:uid="{F7AAEC36-F8AD-49EA-8CB3-8E88EAC68932}"/>
    <cellStyle name="60% - Énfasis6 11 2" xfId="1303" xr:uid="{FE53B2BB-6B34-43F2-9E68-D1D5C1061A13}"/>
    <cellStyle name="60% - Énfasis6 11 2 2" xfId="2770" xr:uid="{BB419B25-C4CF-42BE-B56A-6DAE6BBAAC2D}"/>
    <cellStyle name="60% - Énfasis6 11 2 2 2" xfId="6502" xr:uid="{0E74805B-B951-4AF7-B39C-D3AE527FD73C}"/>
    <cellStyle name="60% - Énfasis6 11 2 2 2 2" xfId="14210" xr:uid="{924FA978-136D-4AA4-940F-F7EBB5123316}"/>
    <cellStyle name="60% - Énfasis6 11 2 2 2 2 2" xfId="29622" xr:uid="{9CE4A142-F47F-4F55-AAF6-D7182EAD0027}"/>
    <cellStyle name="60% - Énfasis6 11 2 2 2 2 2 2" xfId="56293" xr:uid="{6860B8F9-3134-473E-8814-FE6963EBF04A}"/>
    <cellStyle name="60% - Énfasis6 11 2 2 2 2 3" xfId="56292" xr:uid="{567E9538-8730-43D6-BC61-0AC20F8972D4}"/>
    <cellStyle name="60% - Énfasis6 11 2 2 2 3" xfId="21917" xr:uid="{F20810E0-212A-443C-97DB-A1958D32359E}"/>
    <cellStyle name="60% - Énfasis6 11 2 2 2 3 2" xfId="56294" xr:uid="{FECC4A92-D0BB-4D70-A9F7-A406C5B428F1}"/>
    <cellStyle name="60% - Énfasis6 11 2 2 2 4" xfId="56291" xr:uid="{746F95A2-1203-424B-B643-3C3410F2143B}"/>
    <cellStyle name="60% - Énfasis6 11 2 2 3" xfId="10481" xr:uid="{090455B7-D9EF-4D1D-8464-D569D3DFC294}"/>
    <cellStyle name="60% - Énfasis6 11 2 2 3 2" xfId="25894" xr:uid="{0BA34FA5-7B3D-4505-9B07-A68F3892B378}"/>
    <cellStyle name="60% - Énfasis6 11 2 2 3 2 2" xfId="56296" xr:uid="{D3598444-AC1C-4827-B8DB-C6C9514AEE97}"/>
    <cellStyle name="60% - Énfasis6 11 2 2 3 3" xfId="56295" xr:uid="{C911E599-4414-4A53-8BA9-5280D99C1984}"/>
    <cellStyle name="60% - Énfasis6 11 2 2 4" xfId="18189" xr:uid="{9849A038-3816-4D7E-960C-E595EBBA0B22}"/>
    <cellStyle name="60% - Énfasis6 11 2 2 4 2" xfId="56297" xr:uid="{7C335D37-B80D-4A98-B77A-0A7B85D62BA7}"/>
    <cellStyle name="60% - Énfasis6 11 2 2 5" xfId="56290" xr:uid="{19508761-835E-49F7-BD5C-21ADE376DC8F}"/>
    <cellStyle name="60% - Énfasis6 11 2 3" xfId="5039" xr:uid="{A9FFF705-9016-477E-90ED-5B1C1D0A901C}"/>
    <cellStyle name="60% - Énfasis6 11 2 3 2" xfId="12747" xr:uid="{A82997E4-92B0-4BB6-AB98-D309318C981A}"/>
    <cellStyle name="60% - Énfasis6 11 2 3 2 2" xfId="28159" xr:uid="{6289AA69-7C9A-4A2F-8DB4-841A4B74A994}"/>
    <cellStyle name="60% - Énfasis6 11 2 3 2 2 2" xfId="56300" xr:uid="{46117AD9-CB46-4DC8-A56C-2AF9B604B14E}"/>
    <cellStyle name="60% - Énfasis6 11 2 3 2 3" xfId="56299" xr:uid="{86C829E9-E27A-4650-858E-AC1EBABAFFD1}"/>
    <cellStyle name="60% - Énfasis6 11 2 3 3" xfId="20454" xr:uid="{80125140-807E-4617-97C9-E59FCB0CDC1F}"/>
    <cellStyle name="60% - Énfasis6 11 2 3 3 2" xfId="56301" xr:uid="{BB27833D-D512-48EF-B6A8-B919C31CD0E7}"/>
    <cellStyle name="60% - Énfasis6 11 2 3 4" xfId="56298" xr:uid="{DC894148-0AA7-4897-8697-E8A517C78F8A}"/>
    <cellStyle name="60% - Énfasis6 11 2 4" xfId="9022" xr:uid="{D46E2592-D995-4F64-8DA4-C211F5ABFE14}"/>
    <cellStyle name="60% - Énfasis6 11 2 4 2" xfId="24435" xr:uid="{EC008455-4157-40CA-90FA-A1A7C5195979}"/>
    <cellStyle name="60% - Énfasis6 11 2 4 2 2" xfId="56303" xr:uid="{35A7C8C9-9A6A-4991-8F72-8C3DA7852EE2}"/>
    <cellStyle name="60% - Énfasis6 11 2 4 3" xfId="56302" xr:uid="{2B976614-2892-470A-A994-85AA5F13DA7A}"/>
    <cellStyle name="60% - Énfasis6 11 2 5" xfId="16730" xr:uid="{CE0A97AF-9C90-4DB9-88AF-7649AE2450C6}"/>
    <cellStyle name="60% - Énfasis6 11 2 5 2" xfId="56304" xr:uid="{43EBC355-58DD-42E4-AFF5-A6A96812F1B2}"/>
    <cellStyle name="60% - Énfasis6 11 2 6" xfId="56289" xr:uid="{D7A09160-E594-433C-AF1A-C0918E51E2D7}"/>
    <cellStyle name="60% - Énfasis6 11 3" xfId="2132" xr:uid="{3AA42831-0B7A-4009-9F40-D5F4A980CF72}"/>
    <cellStyle name="60% - Énfasis6 11 3 2" xfId="5864" xr:uid="{B308A711-7DE5-42E6-A5BC-4CB6F2A94851}"/>
    <cellStyle name="60% - Énfasis6 11 3 2 2" xfId="13572" xr:uid="{775A2BC9-3E21-4486-A650-63A9D62DF3CC}"/>
    <cellStyle name="60% - Énfasis6 11 3 2 2 2" xfId="28984" xr:uid="{31F1B513-7217-49C8-8074-8964168A09F1}"/>
    <cellStyle name="60% - Énfasis6 11 3 2 2 2 2" xfId="56308" xr:uid="{E378D8F1-3C98-49FF-A433-824E6BDEAC6F}"/>
    <cellStyle name="60% - Énfasis6 11 3 2 2 3" xfId="56307" xr:uid="{E447D109-C2F1-48E0-AD83-6E0E7B5ED7F2}"/>
    <cellStyle name="60% - Énfasis6 11 3 2 3" xfId="21279" xr:uid="{709CE8EE-F41D-4A3B-89E6-CD05269CE0E0}"/>
    <cellStyle name="60% - Énfasis6 11 3 2 3 2" xfId="56309" xr:uid="{C6AA5D4C-858A-4B3B-9703-D5C4E22EC70A}"/>
    <cellStyle name="60% - Énfasis6 11 3 2 4" xfId="56306" xr:uid="{A7A25DC6-7E18-45FA-BC84-B40AF2F61715}"/>
    <cellStyle name="60% - Énfasis6 11 3 3" xfId="9843" xr:uid="{5A9EBA70-676F-4708-8F74-42E9D965461E}"/>
    <cellStyle name="60% - Énfasis6 11 3 3 2" xfId="25256" xr:uid="{E3318830-AEF5-47A0-B736-B72411430BB6}"/>
    <cellStyle name="60% - Énfasis6 11 3 3 2 2" xfId="56311" xr:uid="{50F003F3-D7B8-4578-A935-0D3BA560FC68}"/>
    <cellStyle name="60% - Énfasis6 11 3 3 3" xfId="56310" xr:uid="{A2C54C77-BD0B-4AF9-AD85-D71ED603DBDE}"/>
    <cellStyle name="60% - Énfasis6 11 3 4" xfId="17551" xr:uid="{CB9EA24B-7C9B-416A-8DEE-C2643B388948}"/>
    <cellStyle name="60% - Énfasis6 11 3 4 2" xfId="56312" xr:uid="{FE08456F-1870-4344-A35D-9D1B3A122D3B}"/>
    <cellStyle name="60% - Énfasis6 11 3 5" xfId="56305" xr:uid="{2140593E-CE69-476C-884F-5B148E95E4E5}"/>
    <cellStyle name="60% - Énfasis6 11 4" xfId="4387" xr:uid="{CE426A9B-7C4E-4002-BCE4-B858A4679C60}"/>
    <cellStyle name="60% - Énfasis6 11 4 2" xfId="12095" xr:uid="{4864A3B3-172E-4072-8C5B-4FD518E2399F}"/>
    <cellStyle name="60% - Énfasis6 11 4 2 2" xfId="27507" xr:uid="{52DEB9E7-FBC1-4B2D-B172-4BE03986CB2D}"/>
    <cellStyle name="60% - Énfasis6 11 4 2 2 2" xfId="56315" xr:uid="{08955DBE-ABC2-45E7-82CC-5DBED875232C}"/>
    <cellStyle name="60% - Énfasis6 11 4 2 3" xfId="56314" xr:uid="{1D3BDE86-3FB3-4AEB-AE82-EEBC9E81F5EC}"/>
    <cellStyle name="60% - Énfasis6 11 4 3" xfId="19802" xr:uid="{48669C18-4862-4865-85C3-98712276DC32}"/>
    <cellStyle name="60% - Énfasis6 11 4 3 2" xfId="56316" xr:uid="{A595ABA4-2DC9-43C6-8FDF-1320C46D267E}"/>
    <cellStyle name="60% - Énfasis6 11 4 4" xfId="56313" xr:uid="{E0306600-523A-4D69-B7B7-46192C320617}"/>
    <cellStyle name="60% - Énfasis6 11 5" xfId="8384" xr:uid="{8B937D2D-744D-4D94-9893-30B6247B974F}"/>
    <cellStyle name="60% - Énfasis6 11 5 2" xfId="23797" xr:uid="{8D84D576-DDB0-49C0-BBB8-C7B445F5BC80}"/>
    <cellStyle name="60% - Énfasis6 11 5 2 2" xfId="56318" xr:uid="{E03177C9-B7DC-40F6-91D2-C87A3BA2EE21}"/>
    <cellStyle name="60% - Énfasis6 11 5 3" xfId="56317" xr:uid="{DC4A9FAF-567A-4166-B3AB-0BFBE1B2DE9D}"/>
    <cellStyle name="60% - Énfasis6 11 6" xfId="16092" xr:uid="{972508D0-9EFD-4F32-AFD5-451FF6691716}"/>
    <cellStyle name="60% - Énfasis6 11 6 2" xfId="56319" xr:uid="{A5B8D99D-AD50-4D1A-8E12-5C3795AA250A}"/>
    <cellStyle name="60% - Énfasis6 11 7" xfId="56288" xr:uid="{C54D68D8-106B-492E-B997-3244C3A4E6AB}"/>
    <cellStyle name="60% - Énfasis6 12" xfId="663" xr:uid="{D1EB5977-1C8B-4E42-828D-2EFFE6946AD3}"/>
    <cellStyle name="60% - Énfasis6 12 2" xfId="1324" xr:uid="{0ADC4069-1868-4B54-9472-435173CD6ACE}"/>
    <cellStyle name="60% - Énfasis6 12 2 2" xfId="2791" xr:uid="{3EEB7C48-4889-425E-8B3B-3DFE5ABDCCF4}"/>
    <cellStyle name="60% - Énfasis6 12 2 2 2" xfId="6523" xr:uid="{4422AA5B-A91E-49D6-9275-EBCCC7B4B613}"/>
    <cellStyle name="60% - Énfasis6 12 2 2 2 2" xfId="14231" xr:uid="{837DC280-21FB-4FC6-A1C1-F01F39119D0D}"/>
    <cellStyle name="60% - Énfasis6 12 2 2 2 2 2" xfId="29643" xr:uid="{9C55307F-C82A-4BC4-A74B-8B7D05B8575E}"/>
    <cellStyle name="60% - Énfasis6 12 2 2 2 2 2 2" xfId="56325" xr:uid="{CCE12C61-AC2B-41CA-9041-0AF6A70993F1}"/>
    <cellStyle name="60% - Énfasis6 12 2 2 2 2 3" xfId="56324" xr:uid="{D3601B5B-8AD3-471D-BC79-14DAEBBC0AA7}"/>
    <cellStyle name="60% - Énfasis6 12 2 2 2 3" xfId="21938" xr:uid="{533CFDDC-0719-4C49-BA01-ADB94F18D4CD}"/>
    <cellStyle name="60% - Énfasis6 12 2 2 2 3 2" xfId="56326" xr:uid="{BE20E33A-0D95-4D1A-8977-1438894BE3F7}"/>
    <cellStyle name="60% - Énfasis6 12 2 2 2 4" xfId="56323" xr:uid="{8416CC38-6D1A-4F05-BD67-858C8F449EF0}"/>
    <cellStyle name="60% - Énfasis6 12 2 2 3" xfId="10502" xr:uid="{3E53CD4A-4C21-48BD-9C87-3D92B2FA004A}"/>
    <cellStyle name="60% - Énfasis6 12 2 2 3 2" xfId="25915" xr:uid="{2C564C22-75ED-4E74-83A2-20F79701CB06}"/>
    <cellStyle name="60% - Énfasis6 12 2 2 3 2 2" xfId="56328" xr:uid="{9650FF87-3D2B-4D3B-AB52-CBF131C8F6A5}"/>
    <cellStyle name="60% - Énfasis6 12 2 2 3 3" xfId="56327" xr:uid="{C626B084-FE3D-49CA-A08E-781181C520D0}"/>
    <cellStyle name="60% - Énfasis6 12 2 2 4" xfId="18210" xr:uid="{3A8A505D-DD51-43DE-B8D3-23EEE807E815}"/>
    <cellStyle name="60% - Énfasis6 12 2 2 4 2" xfId="56329" xr:uid="{D1B24314-A013-4240-803E-51639798E9DB}"/>
    <cellStyle name="60% - Énfasis6 12 2 2 5" xfId="56322" xr:uid="{F6D7BB30-4EF8-4EB4-B513-81E93E3276F6}"/>
    <cellStyle name="60% - Énfasis6 12 2 3" xfId="5060" xr:uid="{78ADCBE7-C66A-40DF-8793-7EE74D1E7E7F}"/>
    <cellStyle name="60% - Énfasis6 12 2 3 2" xfId="12768" xr:uid="{AD21305C-91E2-48FA-A88A-D54C62A738B7}"/>
    <cellStyle name="60% - Énfasis6 12 2 3 2 2" xfId="28180" xr:uid="{30BA11D8-7889-4A26-B8E3-06B4B73146FA}"/>
    <cellStyle name="60% - Énfasis6 12 2 3 2 2 2" xfId="56332" xr:uid="{1775D9A8-01EB-4AE5-9E0B-E0EF1326AD66}"/>
    <cellStyle name="60% - Énfasis6 12 2 3 2 3" xfId="56331" xr:uid="{8BFC3CB2-6349-425D-9D04-1D8EE637432D}"/>
    <cellStyle name="60% - Énfasis6 12 2 3 3" xfId="20475" xr:uid="{D531602B-EEB0-4E1C-A141-1149922B1764}"/>
    <cellStyle name="60% - Énfasis6 12 2 3 3 2" xfId="56333" xr:uid="{198EA983-8DCB-4CD7-93FF-911089967507}"/>
    <cellStyle name="60% - Énfasis6 12 2 3 4" xfId="56330" xr:uid="{9D0C74E7-FEC5-473F-96BC-FA2B0C440AA9}"/>
    <cellStyle name="60% - Énfasis6 12 2 4" xfId="9043" xr:uid="{A974674A-7089-4470-9559-A96A4FDBCD45}"/>
    <cellStyle name="60% - Énfasis6 12 2 4 2" xfId="24456" xr:uid="{21B101EE-30EC-4231-89DD-0DF28DDA2361}"/>
    <cellStyle name="60% - Énfasis6 12 2 4 2 2" xfId="56335" xr:uid="{FB02514C-B47D-48B0-AF79-0367ABF2B480}"/>
    <cellStyle name="60% - Énfasis6 12 2 4 3" xfId="56334" xr:uid="{B27474E6-421F-4A91-A84C-34852820A824}"/>
    <cellStyle name="60% - Énfasis6 12 2 5" xfId="16751" xr:uid="{5A8FC0A6-93D7-4C7A-A78D-251D7C834362}"/>
    <cellStyle name="60% - Énfasis6 12 2 5 2" xfId="56336" xr:uid="{28EA7C36-91F3-4119-B3CC-3E92B272BBE6}"/>
    <cellStyle name="60% - Énfasis6 12 2 6" xfId="56321" xr:uid="{F790A9F3-005C-47C9-8F1E-DD9FDF2A330B}"/>
    <cellStyle name="60% - Énfasis6 12 3" xfId="2153" xr:uid="{403BF6DC-063B-46B2-A4CC-987FA62D0000}"/>
    <cellStyle name="60% - Énfasis6 12 3 2" xfId="5885" xr:uid="{6F575432-A22C-4ADD-9EF4-6A72CC9897E9}"/>
    <cellStyle name="60% - Énfasis6 12 3 2 2" xfId="13593" xr:uid="{D4648FF4-9EC6-49E8-96E2-338D15563441}"/>
    <cellStyle name="60% - Énfasis6 12 3 2 2 2" xfId="29005" xr:uid="{1AA27A06-529F-4310-BF7A-537061EDDA7A}"/>
    <cellStyle name="60% - Énfasis6 12 3 2 2 2 2" xfId="56340" xr:uid="{271A7787-F810-4914-BF05-C438459EEE48}"/>
    <cellStyle name="60% - Énfasis6 12 3 2 2 3" xfId="56339" xr:uid="{707B5DC4-83A1-42D3-ACFD-B63C67958EE1}"/>
    <cellStyle name="60% - Énfasis6 12 3 2 3" xfId="21300" xr:uid="{702A6AA9-A742-43A2-9174-E0BCB0D2CCAC}"/>
    <cellStyle name="60% - Énfasis6 12 3 2 3 2" xfId="56341" xr:uid="{44850E45-1F4A-4C51-B30B-C9763ACC8AF2}"/>
    <cellStyle name="60% - Énfasis6 12 3 2 4" xfId="56338" xr:uid="{594AF123-8724-4F3E-8312-A05238E4851A}"/>
    <cellStyle name="60% - Énfasis6 12 3 3" xfId="9864" xr:uid="{BB94254C-4E9F-4FA1-81AC-B80426E3EC75}"/>
    <cellStyle name="60% - Énfasis6 12 3 3 2" xfId="25277" xr:uid="{448F09B8-48B0-46FA-AC4B-125EA1C8A429}"/>
    <cellStyle name="60% - Énfasis6 12 3 3 2 2" xfId="56343" xr:uid="{86D20F79-6CA9-4B64-9A09-CA6A845146E0}"/>
    <cellStyle name="60% - Énfasis6 12 3 3 3" xfId="56342" xr:uid="{C3F81E1B-0B60-40B7-A473-D45D9116CF7D}"/>
    <cellStyle name="60% - Énfasis6 12 3 4" xfId="17572" xr:uid="{57AE32A7-C864-409C-B941-E021E1FD0281}"/>
    <cellStyle name="60% - Énfasis6 12 3 4 2" xfId="56344" xr:uid="{9A94F382-ACD5-43AB-92F5-8CC385AA1D45}"/>
    <cellStyle name="60% - Énfasis6 12 3 5" xfId="56337" xr:uid="{A5EF8F8A-0D17-4855-8C14-BC35C6AB30E0}"/>
    <cellStyle name="60% - Énfasis6 12 4" xfId="4408" xr:uid="{FE9F94BC-7C42-40F0-8F16-54EAC51BF24B}"/>
    <cellStyle name="60% - Énfasis6 12 4 2" xfId="12116" xr:uid="{EBD5284F-5319-497E-8512-C103ED399B2E}"/>
    <cellStyle name="60% - Énfasis6 12 4 2 2" xfId="27528" xr:uid="{2AEE3D4D-00A1-48FC-A163-BFE4F3A0E17F}"/>
    <cellStyle name="60% - Énfasis6 12 4 2 2 2" xfId="56347" xr:uid="{397ACD10-F64D-437F-8FF1-2CF5BCA47E4F}"/>
    <cellStyle name="60% - Énfasis6 12 4 2 3" xfId="56346" xr:uid="{5F8E4F99-AC72-47DD-A457-35BE51401B32}"/>
    <cellStyle name="60% - Énfasis6 12 4 3" xfId="19823" xr:uid="{3C6D9B12-DD65-4F02-ADDA-044076954ABD}"/>
    <cellStyle name="60% - Énfasis6 12 4 3 2" xfId="56348" xr:uid="{745B0ADA-E145-45D8-AFC4-AD359BAA9903}"/>
    <cellStyle name="60% - Énfasis6 12 4 4" xfId="56345" xr:uid="{FE4F8638-5A39-4A30-A00C-ABE23FE0FF4C}"/>
    <cellStyle name="60% - Énfasis6 12 5" xfId="8405" xr:uid="{82E331AF-75AE-4995-A150-37ECDEC03F5A}"/>
    <cellStyle name="60% - Énfasis6 12 5 2" xfId="23818" xr:uid="{A0C22270-7C61-4816-AFB7-C81F752DA814}"/>
    <cellStyle name="60% - Énfasis6 12 5 2 2" xfId="56350" xr:uid="{EE3099A7-24EA-47DD-8C9B-2E0C0F4D5957}"/>
    <cellStyle name="60% - Énfasis6 12 5 3" xfId="56349" xr:uid="{C870A8AA-5884-49E8-883D-2ACFF29CDB27}"/>
    <cellStyle name="60% - Énfasis6 12 6" xfId="16113" xr:uid="{79406504-6ECD-4B44-8985-3609DCC0AF83}"/>
    <cellStyle name="60% - Énfasis6 12 6 2" xfId="56351" xr:uid="{7A0A354C-492B-4A0B-8ED0-68BDAC58F380}"/>
    <cellStyle name="60% - Énfasis6 12 7" xfId="56320" xr:uid="{7F84367B-5538-4C6D-89C7-09C457582085}"/>
    <cellStyle name="60% - Énfasis6 13" xfId="683" xr:uid="{533AEFDA-24B0-4D82-91EB-D597FB582F9D}"/>
    <cellStyle name="60% - Énfasis6 13 2" xfId="1344" xr:uid="{16893C1A-BF77-4B20-8239-29DF2749544A}"/>
    <cellStyle name="60% - Énfasis6 13 2 2" xfId="2811" xr:uid="{6B2ADE71-EFBB-4FC9-8E86-D7C386662AA9}"/>
    <cellStyle name="60% - Énfasis6 13 2 2 2" xfId="6543" xr:uid="{07EB4A1E-E696-4449-8B93-10371DB9872B}"/>
    <cellStyle name="60% - Énfasis6 13 2 2 2 2" xfId="14251" xr:uid="{A64018B6-FCEA-451A-9244-0EE243D64DF5}"/>
    <cellStyle name="60% - Énfasis6 13 2 2 2 2 2" xfId="29663" xr:uid="{748E28D7-5998-4878-99C6-39D9B3B21F0A}"/>
    <cellStyle name="60% - Énfasis6 13 2 2 2 2 2 2" xfId="56357" xr:uid="{B42A8D0E-6BF9-44AD-950C-AFBADA64129B}"/>
    <cellStyle name="60% - Énfasis6 13 2 2 2 2 3" xfId="56356" xr:uid="{CA6EE142-BB12-4C0E-A73E-689702BBC218}"/>
    <cellStyle name="60% - Énfasis6 13 2 2 2 3" xfId="21958" xr:uid="{D944A871-729B-4E35-9573-B062D68B5413}"/>
    <cellStyle name="60% - Énfasis6 13 2 2 2 3 2" xfId="56358" xr:uid="{183290F4-4BA9-4F95-9E41-C6A4D75E1442}"/>
    <cellStyle name="60% - Énfasis6 13 2 2 2 4" xfId="56355" xr:uid="{440E8B87-10A9-4483-88A2-E9B7416FD33A}"/>
    <cellStyle name="60% - Énfasis6 13 2 2 3" xfId="10522" xr:uid="{C1D44901-88EA-4D7A-BDC9-8F8ED6663A46}"/>
    <cellStyle name="60% - Énfasis6 13 2 2 3 2" xfId="25935" xr:uid="{A86F9706-D478-4B54-83EE-C6CEEB9AE194}"/>
    <cellStyle name="60% - Énfasis6 13 2 2 3 2 2" xfId="56360" xr:uid="{EDAB9A0C-54E5-4FBE-9696-8D848D9E0D37}"/>
    <cellStyle name="60% - Énfasis6 13 2 2 3 3" xfId="56359" xr:uid="{E4DF55AB-96D3-4754-A214-4BF2F4C4070E}"/>
    <cellStyle name="60% - Énfasis6 13 2 2 4" xfId="18230" xr:uid="{C345A513-3BAF-4B7D-9187-47922B0122F6}"/>
    <cellStyle name="60% - Énfasis6 13 2 2 4 2" xfId="56361" xr:uid="{C53B9858-750C-465D-AA37-8C92C69B7C0A}"/>
    <cellStyle name="60% - Énfasis6 13 2 2 5" xfId="56354" xr:uid="{7FDEB1F1-A2E5-4654-BDFC-0094F5BE77BB}"/>
    <cellStyle name="60% - Énfasis6 13 2 3" xfId="5080" xr:uid="{0BBF628E-DCE7-4117-AFEA-8AA47774AD43}"/>
    <cellStyle name="60% - Énfasis6 13 2 3 2" xfId="12788" xr:uid="{851E4540-C8C4-4E3C-AE23-27D119A0618A}"/>
    <cellStyle name="60% - Énfasis6 13 2 3 2 2" xfId="28200" xr:uid="{44762AA4-993E-4C3B-ADE3-E925C89608FA}"/>
    <cellStyle name="60% - Énfasis6 13 2 3 2 2 2" xfId="56364" xr:uid="{AFFB5F08-3B1E-437C-BAE1-8C72EED6C8F1}"/>
    <cellStyle name="60% - Énfasis6 13 2 3 2 3" xfId="56363" xr:uid="{4590FBB1-7B87-4E8B-A9F4-69B2A2D78B45}"/>
    <cellStyle name="60% - Énfasis6 13 2 3 3" xfId="20495" xr:uid="{6F4F75E6-7774-445A-B2F0-009BDE520044}"/>
    <cellStyle name="60% - Énfasis6 13 2 3 3 2" xfId="56365" xr:uid="{3603E41D-1683-4202-A81C-B09AF40D69F9}"/>
    <cellStyle name="60% - Énfasis6 13 2 3 4" xfId="56362" xr:uid="{45918A84-A9F4-4024-8687-1C4C8B51049F}"/>
    <cellStyle name="60% - Énfasis6 13 2 4" xfId="9063" xr:uid="{7A226FCB-9D34-4ADB-80A4-05D6DD338F96}"/>
    <cellStyle name="60% - Énfasis6 13 2 4 2" xfId="24476" xr:uid="{C4508DDD-8E3C-4823-B176-66723B421358}"/>
    <cellStyle name="60% - Énfasis6 13 2 4 2 2" xfId="56367" xr:uid="{51D5AFA4-4DC4-472F-BC25-FE8ABE16C08A}"/>
    <cellStyle name="60% - Énfasis6 13 2 4 3" xfId="56366" xr:uid="{282AB2E8-1B2D-446C-B4E1-C2908B2B32F3}"/>
    <cellStyle name="60% - Énfasis6 13 2 5" xfId="16771" xr:uid="{1311F8F9-8453-4287-B39E-136C56C0B349}"/>
    <cellStyle name="60% - Énfasis6 13 2 5 2" xfId="56368" xr:uid="{DE83DC71-B9F6-49A0-BE61-6F7732CE0006}"/>
    <cellStyle name="60% - Énfasis6 13 2 6" xfId="56353" xr:uid="{308FA574-8D2B-44AB-9A75-159FB4F66722}"/>
    <cellStyle name="60% - Énfasis6 13 3" xfId="2173" xr:uid="{0A621DC0-80AC-472E-9553-DF60026928F7}"/>
    <cellStyle name="60% - Énfasis6 13 3 2" xfId="5905" xr:uid="{6ADF87BC-6395-4925-917D-0CF5D4814C48}"/>
    <cellStyle name="60% - Énfasis6 13 3 2 2" xfId="13613" xr:uid="{208C1F6A-E45F-4E78-A0B0-50E4E6E764BC}"/>
    <cellStyle name="60% - Énfasis6 13 3 2 2 2" xfId="29025" xr:uid="{9F17DE60-4B14-46F5-8FAF-4BCF4869694E}"/>
    <cellStyle name="60% - Énfasis6 13 3 2 2 2 2" xfId="56372" xr:uid="{63EBEE85-8471-4B36-A901-4EC9ADC8E51D}"/>
    <cellStyle name="60% - Énfasis6 13 3 2 2 3" xfId="56371" xr:uid="{AA734701-49C0-4A9C-9ACF-D7B4A6B8B6D7}"/>
    <cellStyle name="60% - Énfasis6 13 3 2 3" xfId="21320" xr:uid="{86C1E732-C8C0-46E0-80BF-14577E3B8743}"/>
    <cellStyle name="60% - Énfasis6 13 3 2 3 2" xfId="56373" xr:uid="{EE190063-EE7A-4D0A-B7F6-54E1F295E658}"/>
    <cellStyle name="60% - Énfasis6 13 3 2 4" xfId="56370" xr:uid="{E2E94C16-D954-4519-87E9-538CA0297C5D}"/>
    <cellStyle name="60% - Énfasis6 13 3 3" xfId="9884" xr:uid="{263FA755-D08E-40C4-8581-52ABEE74F262}"/>
    <cellStyle name="60% - Énfasis6 13 3 3 2" xfId="25297" xr:uid="{C5037602-7923-49E6-B87C-94C5CF756055}"/>
    <cellStyle name="60% - Énfasis6 13 3 3 2 2" xfId="56375" xr:uid="{D0DE03D7-CB3C-41E8-8E0A-1D6190907186}"/>
    <cellStyle name="60% - Énfasis6 13 3 3 3" xfId="56374" xr:uid="{F9501715-22F4-4F21-B10F-B328FF98D828}"/>
    <cellStyle name="60% - Énfasis6 13 3 4" xfId="17592" xr:uid="{5EF9041D-4650-435A-B9A2-1B6E33BB12D3}"/>
    <cellStyle name="60% - Énfasis6 13 3 4 2" xfId="56376" xr:uid="{8B342C3C-872F-4FE5-A4E0-D0D81904CF4B}"/>
    <cellStyle name="60% - Énfasis6 13 3 5" xfId="56369" xr:uid="{19506DDD-0583-4D50-AEB8-DF9ED606F841}"/>
    <cellStyle name="60% - Énfasis6 13 4" xfId="4428" xr:uid="{26E03F29-4E04-497B-B2F3-76941FADE318}"/>
    <cellStyle name="60% - Énfasis6 13 4 2" xfId="12136" xr:uid="{601E9C95-1DAF-45E2-867A-5A48FD19104F}"/>
    <cellStyle name="60% - Énfasis6 13 4 2 2" xfId="27548" xr:uid="{4731334E-546D-490E-9B27-400DF8E82C9D}"/>
    <cellStyle name="60% - Énfasis6 13 4 2 2 2" xfId="56379" xr:uid="{B8F2CD73-075A-4188-BE9E-3889ADA405DD}"/>
    <cellStyle name="60% - Énfasis6 13 4 2 3" xfId="56378" xr:uid="{C2D6446E-A4A0-4EE8-96CD-ADF349CE0E3B}"/>
    <cellStyle name="60% - Énfasis6 13 4 3" xfId="19843" xr:uid="{B819B7F3-C6BE-41C1-9501-AB6A079B7E01}"/>
    <cellStyle name="60% - Énfasis6 13 4 3 2" xfId="56380" xr:uid="{617834EA-D336-4288-9088-B9EFA3FBCC30}"/>
    <cellStyle name="60% - Énfasis6 13 4 4" xfId="56377" xr:uid="{B4FA87C1-2D0E-4682-8AF0-61A619DF893F}"/>
    <cellStyle name="60% - Énfasis6 13 5" xfId="8425" xr:uid="{EB3C7E2B-D3D9-483B-8410-E3BF2EE1162D}"/>
    <cellStyle name="60% - Énfasis6 13 5 2" xfId="23838" xr:uid="{4A058501-1CCD-420D-95B0-17CCF8DC1099}"/>
    <cellStyle name="60% - Énfasis6 13 5 2 2" xfId="56382" xr:uid="{EC665300-D63F-4994-9DA0-48BF90394957}"/>
    <cellStyle name="60% - Énfasis6 13 5 3" xfId="56381" xr:uid="{6588A375-9A49-46A6-8E2C-C1270B57D165}"/>
    <cellStyle name="60% - Énfasis6 13 6" xfId="16133" xr:uid="{FBEFAE24-444C-4B67-AE1D-BF17A0404EC7}"/>
    <cellStyle name="60% - Énfasis6 13 6 2" xfId="56383" xr:uid="{4BC69B3F-97B3-403B-9BFD-2E09DE384B63}"/>
    <cellStyle name="60% - Énfasis6 13 7" xfId="56352" xr:uid="{B214AB89-1B8D-45FC-A4D7-C5835210F111}"/>
    <cellStyle name="60% - Énfasis6 14" xfId="703" xr:uid="{0ADFC49B-1A4A-4422-B994-2334ED3B7197}"/>
    <cellStyle name="60% - Énfasis6 14 2" xfId="1364" xr:uid="{B492288E-0A68-4FB8-8CF8-76DC05F8C4D5}"/>
    <cellStyle name="60% - Énfasis6 14 2 2" xfId="2831" xr:uid="{0A0FCFB0-319D-4105-956A-988473A79A0F}"/>
    <cellStyle name="60% - Énfasis6 14 2 2 2" xfId="6563" xr:uid="{BD4EF032-04A5-4563-A2AA-DBF90B2A7DE1}"/>
    <cellStyle name="60% - Énfasis6 14 2 2 2 2" xfId="14271" xr:uid="{8097303F-7B70-4A3D-A1F8-E9A1A4BF9D39}"/>
    <cellStyle name="60% - Énfasis6 14 2 2 2 2 2" xfId="29683" xr:uid="{08FD65BA-2082-4A01-BD6C-FCD0DE6D6C04}"/>
    <cellStyle name="60% - Énfasis6 14 2 2 2 2 2 2" xfId="56389" xr:uid="{B05ADCED-48FA-4138-9594-BA385FE536BD}"/>
    <cellStyle name="60% - Énfasis6 14 2 2 2 2 3" xfId="56388" xr:uid="{A6DFE1E7-D69D-4CED-8B16-9CCDA49383D5}"/>
    <cellStyle name="60% - Énfasis6 14 2 2 2 3" xfId="21978" xr:uid="{161CB8E4-5E3A-405E-9B16-2446D8A594A6}"/>
    <cellStyle name="60% - Énfasis6 14 2 2 2 3 2" xfId="56390" xr:uid="{7BB4F90B-406D-4520-8972-A06C1512787F}"/>
    <cellStyle name="60% - Énfasis6 14 2 2 2 4" xfId="56387" xr:uid="{FEDFA684-D45A-4F87-BEA9-332D66F2311E}"/>
    <cellStyle name="60% - Énfasis6 14 2 2 3" xfId="10542" xr:uid="{48500C03-3C73-4107-A7DA-241D855DF0A4}"/>
    <cellStyle name="60% - Énfasis6 14 2 2 3 2" xfId="25955" xr:uid="{73D8384A-14F7-4C3A-8BF6-AAAAFBC50B74}"/>
    <cellStyle name="60% - Énfasis6 14 2 2 3 2 2" xfId="56392" xr:uid="{AA9F1FEB-147D-4637-BFA0-CD5657150F3A}"/>
    <cellStyle name="60% - Énfasis6 14 2 2 3 3" xfId="56391" xr:uid="{A10D1596-1BA9-46E3-A98C-44B892D06C8D}"/>
    <cellStyle name="60% - Énfasis6 14 2 2 4" xfId="18250" xr:uid="{EA4D9DB0-8989-4853-8235-888498A2513D}"/>
    <cellStyle name="60% - Énfasis6 14 2 2 4 2" xfId="56393" xr:uid="{D5397E9E-9605-422B-A70F-5615E44BDEB4}"/>
    <cellStyle name="60% - Énfasis6 14 2 2 5" xfId="56386" xr:uid="{DD6EC9B4-E8EF-4E04-AFEC-BDD9F97B3416}"/>
    <cellStyle name="60% - Énfasis6 14 2 3" xfId="5100" xr:uid="{FC81B609-5075-473C-9729-032F2B12DCB0}"/>
    <cellStyle name="60% - Énfasis6 14 2 3 2" xfId="12808" xr:uid="{C0B184B7-AF43-4E84-B580-94729B16FFED}"/>
    <cellStyle name="60% - Énfasis6 14 2 3 2 2" xfId="28220" xr:uid="{A2413234-4DE6-4C14-8AD6-501D967BFAA9}"/>
    <cellStyle name="60% - Énfasis6 14 2 3 2 2 2" xfId="56396" xr:uid="{B88B5F6F-679C-44B5-B18A-E7BC525DD3C7}"/>
    <cellStyle name="60% - Énfasis6 14 2 3 2 3" xfId="56395" xr:uid="{D0DBA34A-32EF-4B1F-853B-AFE3A36EDEDE}"/>
    <cellStyle name="60% - Énfasis6 14 2 3 3" xfId="20515" xr:uid="{C72757AF-B24B-4D3B-AC7E-2CFDB19E7BAE}"/>
    <cellStyle name="60% - Énfasis6 14 2 3 3 2" xfId="56397" xr:uid="{2CA05EED-53BD-482B-A507-69366B3C7844}"/>
    <cellStyle name="60% - Énfasis6 14 2 3 4" xfId="56394" xr:uid="{70A70537-4E03-4CCC-80A9-CBC757B15D6E}"/>
    <cellStyle name="60% - Énfasis6 14 2 4" xfId="9083" xr:uid="{F1DC3923-4AB6-479D-9304-95A50711FDB0}"/>
    <cellStyle name="60% - Énfasis6 14 2 4 2" xfId="24496" xr:uid="{A5354EEE-B7D0-45D6-A3F4-85E225C05222}"/>
    <cellStyle name="60% - Énfasis6 14 2 4 2 2" xfId="56399" xr:uid="{368FE9D6-B712-46B2-9797-4DE0AA1A9BF8}"/>
    <cellStyle name="60% - Énfasis6 14 2 4 3" xfId="56398" xr:uid="{020D0C59-0384-4B76-84E6-53C69CC3042C}"/>
    <cellStyle name="60% - Énfasis6 14 2 5" xfId="16791" xr:uid="{A035B562-E1EC-464B-8797-AD30703E95C9}"/>
    <cellStyle name="60% - Énfasis6 14 2 5 2" xfId="56400" xr:uid="{0D214445-F931-4D72-A592-1B93CE7F9893}"/>
    <cellStyle name="60% - Énfasis6 14 2 6" xfId="56385" xr:uid="{A1329940-CCCC-4F11-A770-3EFA238593BA}"/>
    <cellStyle name="60% - Énfasis6 14 3" xfId="2193" xr:uid="{C95293B3-82DF-479D-B028-2EEEE1497099}"/>
    <cellStyle name="60% - Énfasis6 14 3 2" xfId="5925" xr:uid="{A887CB84-9BE5-440B-8AFA-DF5061B1073E}"/>
    <cellStyle name="60% - Énfasis6 14 3 2 2" xfId="13633" xr:uid="{2A8A3424-A10C-4BEA-8A8E-6B42AA946F5B}"/>
    <cellStyle name="60% - Énfasis6 14 3 2 2 2" xfId="29045" xr:uid="{FB6649DA-4D49-4A76-90AF-63EB2B0AB34A}"/>
    <cellStyle name="60% - Énfasis6 14 3 2 2 2 2" xfId="56404" xr:uid="{9E773F7C-F6F4-41CE-A7CC-04725DEEBB1C}"/>
    <cellStyle name="60% - Énfasis6 14 3 2 2 3" xfId="56403" xr:uid="{11BCFCA4-6067-4737-B15C-28D984811CDB}"/>
    <cellStyle name="60% - Énfasis6 14 3 2 3" xfId="21340" xr:uid="{25F48D78-9903-4A12-B5AB-9FFA56FCB864}"/>
    <cellStyle name="60% - Énfasis6 14 3 2 3 2" xfId="56405" xr:uid="{DBC85B3D-DBBC-4C9A-85E2-AB4F4E82DB8C}"/>
    <cellStyle name="60% - Énfasis6 14 3 2 4" xfId="56402" xr:uid="{31C51861-4E4B-4B83-AE2E-61F335EB0F4F}"/>
    <cellStyle name="60% - Énfasis6 14 3 3" xfId="9904" xr:uid="{7481ECAB-1A22-4F0E-9140-9DF0648AA67F}"/>
    <cellStyle name="60% - Énfasis6 14 3 3 2" xfId="25317" xr:uid="{9604450D-AB5F-4D89-B1F9-0870B3A5ECE7}"/>
    <cellStyle name="60% - Énfasis6 14 3 3 2 2" xfId="56407" xr:uid="{29F88634-F229-4786-8F16-435E5698803E}"/>
    <cellStyle name="60% - Énfasis6 14 3 3 3" xfId="56406" xr:uid="{6222BD9F-5DE0-4F45-AC84-023B55C740BB}"/>
    <cellStyle name="60% - Énfasis6 14 3 4" xfId="17612" xr:uid="{6ABDFC43-6167-49E3-9B54-075A4FAF7F19}"/>
    <cellStyle name="60% - Énfasis6 14 3 4 2" xfId="56408" xr:uid="{EABA80AA-3764-4E2A-A74F-D4B411A3D897}"/>
    <cellStyle name="60% - Énfasis6 14 3 5" xfId="56401" xr:uid="{5A93EC71-9623-43DA-8FB9-6256AF742926}"/>
    <cellStyle name="60% - Énfasis6 14 4" xfId="4448" xr:uid="{48FE3D4A-F4C5-4D8F-A4CB-3684A20090CB}"/>
    <cellStyle name="60% - Énfasis6 14 4 2" xfId="12156" xr:uid="{C1DEA533-F669-45B7-9001-A5478F7A1DF2}"/>
    <cellStyle name="60% - Énfasis6 14 4 2 2" xfId="27568" xr:uid="{36D17385-C299-431F-AA31-D232D7B1EEB1}"/>
    <cellStyle name="60% - Énfasis6 14 4 2 2 2" xfId="56411" xr:uid="{0FCB9DBA-9730-4169-96EC-F46E21A37A35}"/>
    <cellStyle name="60% - Énfasis6 14 4 2 3" xfId="56410" xr:uid="{3573EAC3-5BB0-4FFE-8103-51DF208ED7CB}"/>
    <cellStyle name="60% - Énfasis6 14 4 3" xfId="19863" xr:uid="{70024D19-C10E-4D81-AABA-1A06F16D346F}"/>
    <cellStyle name="60% - Énfasis6 14 4 3 2" xfId="56412" xr:uid="{F03ABB14-F31F-4CB3-86E1-E79605BBBD49}"/>
    <cellStyle name="60% - Énfasis6 14 4 4" xfId="56409" xr:uid="{A1CAB24F-120A-46E0-96B5-4785F61F52F3}"/>
    <cellStyle name="60% - Énfasis6 14 5" xfId="8445" xr:uid="{569D7ABD-C2A7-4128-8ED8-66FF56A90336}"/>
    <cellStyle name="60% - Énfasis6 14 5 2" xfId="23858" xr:uid="{256A2ECA-35AF-4C1B-902B-CC1BFF4C6A0E}"/>
    <cellStyle name="60% - Énfasis6 14 5 2 2" xfId="56414" xr:uid="{CA6412CD-4ABB-483C-A503-6951B68557AB}"/>
    <cellStyle name="60% - Énfasis6 14 5 3" xfId="56413" xr:uid="{4F1DDEC5-92E4-4432-A870-007FA35D7458}"/>
    <cellStyle name="60% - Énfasis6 14 6" xfId="16153" xr:uid="{1C5D9D38-C3DF-421D-9D84-A4CE60BF3336}"/>
    <cellStyle name="60% - Énfasis6 14 6 2" xfId="56415" xr:uid="{2D464C45-D9DA-4A4F-9CBC-8A55EAF1C57E}"/>
    <cellStyle name="60% - Énfasis6 14 7" xfId="56384" xr:uid="{D82E7DAC-B088-4519-B4A0-C6B6DF725D5E}"/>
    <cellStyle name="60% - Énfasis6 15" xfId="724" xr:uid="{08E5DA8C-E7F5-4930-8F79-9C43F9CB1222}"/>
    <cellStyle name="60% - Énfasis6 15 2" xfId="1385" xr:uid="{8F57CF5A-5AF1-47EA-9B4B-D20B0C93D97C}"/>
    <cellStyle name="60% - Énfasis6 15 2 2" xfId="2852" xr:uid="{1A14873E-66E2-4622-B655-EEB6D1FF1FC0}"/>
    <cellStyle name="60% - Énfasis6 15 2 2 2" xfId="6584" xr:uid="{7213F4C9-B9BA-4421-A846-BE3AF0749FAD}"/>
    <cellStyle name="60% - Énfasis6 15 2 2 2 2" xfId="14292" xr:uid="{4250751E-15FE-491D-A795-34708C714CB0}"/>
    <cellStyle name="60% - Énfasis6 15 2 2 2 2 2" xfId="29704" xr:uid="{3BB85DF7-8224-427D-9AD3-2F0F28C9D77B}"/>
    <cellStyle name="60% - Énfasis6 15 2 2 2 2 2 2" xfId="56421" xr:uid="{1AD2C774-A86B-44BD-948B-A2AA94177648}"/>
    <cellStyle name="60% - Énfasis6 15 2 2 2 2 3" xfId="56420" xr:uid="{2DC71879-CEF0-46F1-9037-E5E5667DEBA1}"/>
    <cellStyle name="60% - Énfasis6 15 2 2 2 3" xfId="21999" xr:uid="{DCEEC91E-E4C7-4B3E-BF61-8EF7C3C303A4}"/>
    <cellStyle name="60% - Énfasis6 15 2 2 2 3 2" xfId="56422" xr:uid="{2533ABA2-7CAE-4F43-8B39-AB0F1C493175}"/>
    <cellStyle name="60% - Énfasis6 15 2 2 2 4" xfId="56419" xr:uid="{FEB1FA0E-7BC1-4278-9A1D-F4A928D8A3F1}"/>
    <cellStyle name="60% - Énfasis6 15 2 2 3" xfId="10563" xr:uid="{C1058FA3-F288-4294-849E-9B41429BA632}"/>
    <cellStyle name="60% - Énfasis6 15 2 2 3 2" xfId="25976" xr:uid="{8426F51D-702C-4FBC-A7DA-2F2EDA540D77}"/>
    <cellStyle name="60% - Énfasis6 15 2 2 3 2 2" xfId="56424" xr:uid="{38DDF6CD-6F1C-4A67-8DE8-3A8D671562DE}"/>
    <cellStyle name="60% - Énfasis6 15 2 2 3 3" xfId="56423" xr:uid="{9425F6E8-AD10-4CBA-B8D5-9824D82D4666}"/>
    <cellStyle name="60% - Énfasis6 15 2 2 4" xfId="18271" xr:uid="{E0F98DC1-DD81-47D9-9257-3393C4397676}"/>
    <cellStyle name="60% - Énfasis6 15 2 2 4 2" xfId="56425" xr:uid="{5EEED63C-48F1-4924-8E74-EDB12E32D85D}"/>
    <cellStyle name="60% - Énfasis6 15 2 2 5" xfId="56418" xr:uid="{34F06C6F-4614-4FCD-8AD0-EE1943F473C7}"/>
    <cellStyle name="60% - Énfasis6 15 2 3" xfId="5121" xr:uid="{D9F60533-2089-4B88-8C5E-2A8AFB9BE2EF}"/>
    <cellStyle name="60% - Énfasis6 15 2 3 2" xfId="12829" xr:uid="{3F15D2D8-3CA7-480E-BD77-2623D76DFCC1}"/>
    <cellStyle name="60% - Énfasis6 15 2 3 2 2" xfId="28241" xr:uid="{7554747E-2BCC-49FC-8528-B27C0A812369}"/>
    <cellStyle name="60% - Énfasis6 15 2 3 2 2 2" xfId="56428" xr:uid="{505D3608-D58F-4320-8CF3-128BCC27D967}"/>
    <cellStyle name="60% - Énfasis6 15 2 3 2 3" xfId="56427" xr:uid="{8C468137-36BD-44CB-9E70-D099B2C9FDAA}"/>
    <cellStyle name="60% - Énfasis6 15 2 3 3" xfId="20536" xr:uid="{84DC49F3-8AF8-417F-BA3B-2B10B975C74E}"/>
    <cellStyle name="60% - Énfasis6 15 2 3 3 2" xfId="56429" xr:uid="{616EB775-469F-4712-A7BE-2E754722ACD7}"/>
    <cellStyle name="60% - Énfasis6 15 2 3 4" xfId="56426" xr:uid="{1D66B6B8-4308-4A26-81A6-9F8D1318AEDD}"/>
    <cellStyle name="60% - Énfasis6 15 2 4" xfId="9104" xr:uid="{65D78DED-5FBD-4739-9C1E-2A4616133FE6}"/>
    <cellStyle name="60% - Énfasis6 15 2 4 2" xfId="24517" xr:uid="{30A4EA1C-7F14-49A3-9F94-ABF43DF381A1}"/>
    <cellStyle name="60% - Énfasis6 15 2 4 2 2" xfId="56431" xr:uid="{C6674A89-52A5-4907-893A-915E8BE7DC77}"/>
    <cellStyle name="60% - Énfasis6 15 2 4 3" xfId="56430" xr:uid="{AA889A09-6D3B-4BD5-B0F5-ABE4AC5D740D}"/>
    <cellStyle name="60% - Énfasis6 15 2 5" xfId="16812" xr:uid="{019932A6-6184-4C61-A321-5B3C00BDCB32}"/>
    <cellStyle name="60% - Énfasis6 15 2 5 2" xfId="56432" xr:uid="{551E2D13-F5DC-4FFA-B8C1-64EAF8906FA5}"/>
    <cellStyle name="60% - Énfasis6 15 2 6" xfId="56417" xr:uid="{F9E43D4B-B37F-4156-8ACE-E62CC11E0BD1}"/>
    <cellStyle name="60% - Énfasis6 15 3" xfId="2214" xr:uid="{3E0056FA-0CEB-47CB-99A4-71F10E860457}"/>
    <cellStyle name="60% - Énfasis6 15 3 2" xfId="5946" xr:uid="{D8DC108A-2C2C-4C70-B699-6F05B7C47FCC}"/>
    <cellStyle name="60% - Énfasis6 15 3 2 2" xfId="13654" xr:uid="{C2CBFB5C-F2DC-44DF-9DEA-2BC9ABA19EA5}"/>
    <cellStyle name="60% - Énfasis6 15 3 2 2 2" xfId="29066" xr:uid="{9EB3E5B7-0D44-420A-A2E7-BFEA9F3AB13F}"/>
    <cellStyle name="60% - Énfasis6 15 3 2 2 2 2" xfId="56436" xr:uid="{C964C3E0-0D20-40D9-9399-CB7F7AC7205C}"/>
    <cellStyle name="60% - Énfasis6 15 3 2 2 3" xfId="56435" xr:uid="{0DAAA2C0-02BB-415E-9040-A050FA8BC9B9}"/>
    <cellStyle name="60% - Énfasis6 15 3 2 3" xfId="21361" xr:uid="{93046BC5-9D55-461E-8AB0-D1D4D0B7537C}"/>
    <cellStyle name="60% - Énfasis6 15 3 2 3 2" xfId="56437" xr:uid="{7239748F-A85B-450C-ADCD-4DE0983C92DB}"/>
    <cellStyle name="60% - Énfasis6 15 3 2 4" xfId="56434" xr:uid="{3864F50A-F189-45D3-AFD6-ABB4A969AA08}"/>
    <cellStyle name="60% - Énfasis6 15 3 3" xfId="9925" xr:uid="{0A90A621-5597-4E5E-9C35-7DB81453EF67}"/>
    <cellStyle name="60% - Énfasis6 15 3 3 2" xfId="25338" xr:uid="{ABDB9283-B015-4B15-99EA-6DA4ABE5A83F}"/>
    <cellStyle name="60% - Énfasis6 15 3 3 2 2" xfId="56439" xr:uid="{33B0DF15-645C-495F-8405-7C21B4AF82DB}"/>
    <cellStyle name="60% - Énfasis6 15 3 3 3" xfId="56438" xr:uid="{C5898651-4904-40DF-9D8A-3DEE8EDFE7AC}"/>
    <cellStyle name="60% - Énfasis6 15 3 4" xfId="17633" xr:uid="{A14D396B-F6BA-4B09-BC4B-088506DAF573}"/>
    <cellStyle name="60% - Énfasis6 15 3 4 2" xfId="56440" xr:uid="{17DAD4B2-E35F-421D-8FEB-213D386C77B4}"/>
    <cellStyle name="60% - Énfasis6 15 3 5" xfId="56433" xr:uid="{C6565C1C-2FE4-40BA-99E4-E48C394A6B6B}"/>
    <cellStyle name="60% - Énfasis6 15 4" xfId="4469" xr:uid="{986D8B57-BFEE-46F4-89ED-6127766D4ADD}"/>
    <cellStyle name="60% - Énfasis6 15 4 2" xfId="12177" xr:uid="{80A917C7-EB9D-43DD-9542-7B476A1C1E79}"/>
    <cellStyle name="60% - Énfasis6 15 4 2 2" xfId="27589" xr:uid="{150AAA5A-C3CD-4E17-8859-A545E321FA5A}"/>
    <cellStyle name="60% - Énfasis6 15 4 2 2 2" xfId="56443" xr:uid="{7621B1AC-E882-425A-AB5F-4A2ADFA4AD92}"/>
    <cellStyle name="60% - Énfasis6 15 4 2 3" xfId="56442" xr:uid="{7FC5946D-ABCA-454F-A0C4-5525CC083F6B}"/>
    <cellStyle name="60% - Énfasis6 15 4 3" xfId="19884" xr:uid="{FECEA0E1-EC33-4FBC-9663-E321C98D1C36}"/>
    <cellStyle name="60% - Énfasis6 15 4 3 2" xfId="56444" xr:uid="{0172E2D7-A5C5-443E-AD7A-1AE9B70CBCD2}"/>
    <cellStyle name="60% - Énfasis6 15 4 4" xfId="56441" xr:uid="{CBE13A5B-D41A-4639-9A7F-8F9074F6B694}"/>
    <cellStyle name="60% - Énfasis6 15 5" xfId="8466" xr:uid="{B08F78CF-BAAF-44AD-9505-91C608E15C4A}"/>
    <cellStyle name="60% - Énfasis6 15 5 2" xfId="23879" xr:uid="{7123153E-8414-4B34-8364-76FC2A2BB9EB}"/>
    <cellStyle name="60% - Énfasis6 15 5 2 2" xfId="56446" xr:uid="{16720960-FA40-432E-97FB-05004FC01E74}"/>
    <cellStyle name="60% - Énfasis6 15 5 3" xfId="56445" xr:uid="{08BD6BF0-CF0C-47C7-8FCA-1EF3456EA965}"/>
    <cellStyle name="60% - Énfasis6 15 6" xfId="16174" xr:uid="{4F810E54-2543-4043-81E3-E6C110A381E9}"/>
    <cellStyle name="60% - Énfasis6 15 6 2" xfId="56447" xr:uid="{6F73DD9C-CF90-4911-89B8-B5AE428DB666}"/>
    <cellStyle name="60% - Énfasis6 15 7" xfId="56416" xr:uid="{5606C7EB-1CDA-4CB3-9D95-0B82D62FD699}"/>
    <cellStyle name="60% - Énfasis6 16" xfId="744" xr:uid="{6252A9B7-5A43-4252-8EE9-182EEEFB89BD}"/>
    <cellStyle name="60% - Énfasis6 16 2" xfId="1405" xr:uid="{751F0CCD-ABF0-48CA-A0BD-23B47EA99A81}"/>
    <cellStyle name="60% - Énfasis6 16 2 2" xfId="2872" xr:uid="{04BAFCA3-4679-4B52-814A-B76D29374833}"/>
    <cellStyle name="60% - Énfasis6 16 2 2 2" xfId="6604" xr:uid="{54CD7921-6E87-4432-A98B-05B8DF1F021B}"/>
    <cellStyle name="60% - Énfasis6 16 2 2 2 2" xfId="14312" xr:uid="{7AD0C9AC-9BCA-4D5A-8D0A-49A1478A3745}"/>
    <cellStyle name="60% - Énfasis6 16 2 2 2 2 2" xfId="29724" xr:uid="{98F55D6C-26C5-4F65-AA57-0F61B329649B}"/>
    <cellStyle name="60% - Énfasis6 16 2 2 2 2 2 2" xfId="56453" xr:uid="{CC7C6F1C-A66C-4336-86E7-2323E3905FE0}"/>
    <cellStyle name="60% - Énfasis6 16 2 2 2 2 3" xfId="56452" xr:uid="{D1DB9F5B-BDBB-4BE9-9A61-339708C3778A}"/>
    <cellStyle name="60% - Énfasis6 16 2 2 2 3" xfId="22019" xr:uid="{8DDC14C2-E01E-4905-8CDE-7D4AFB96B71C}"/>
    <cellStyle name="60% - Énfasis6 16 2 2 2 3 2" xfId="56454" xr:uid="{2394C05F-4D1D-40F4-BD8A-7AE44B0CB3BB}"/>
    <cellStyle name="60% - Énfasis6 16 2 2 2 4" xfId="56451" xr:uid="{A1B18039-12B7-4CA9-9A14-8C7A411278AD}"/>
    <cellStyle name="60% - Énfasis6 16 2 2 3" xfId="10583" xr:uid="{A159E731-5B7A-4D65-85A9-4F4DCB0DC1C0}"/>
    <cellStyle name="60% - Énfasis6 16 2 2 3 2" xfId="25996" xr:uid="{F3867C0C-4DC3-4CCF-AC64-BC99E1C7E2B0}"/>
    <cellStyle name="60% - Énfasis6 16 2 2 3 2 2" xfId="56456" xr:uid="{E7D92AFF-AFE0-4C25-B6A4-53F41E94E253}"/>
    <cellStyle name="60% - Énfasis6 16 2 2 3 3" xfId="56455" xr:uid="{BFA91DEF-B19A-4659-B307-A4F29B563ABA}"/>
    <cellStyle name="60% - Énfasis6 16 2 2 4" xfId="18291" xr:uid="{B85F2692-DF38-4135-9B08-B1AB877A0764}"/>
    <cellStyle name="60% - Énfasis6 16 2 2 4 2" xfId="56457" xr:uid="{8EAD109E-5A40-4547-BD4B-0B093421CEA9}"/>
    <cellStyle name="60% - Énfasis6 16 2 2 5" xfId="56450" xr:uid="{14C54161-20E4-4C11-8977-16B0BDE649DB}"/>
    <cellStyle name="60% - Énfasis6 16 2 3" xfId="5141" xr:uid="{9994A20E-2471-4872-83B1-63264592E57C}"/>
    <cellStyle name="60% - Énfasis6 16 2 3 2" xfId="12849" xr:uid="{65F30A90-9C95-48D3-BA01-CC1CE8DC83AA}"/>
    <cellStyle name="60% - Énfasis6 16 2 3 2 2" xfId="28261" xr:uid="{03B6A118-1EC6-4C97-9C3E-10BCF5F09316}"/>
    <cellStyle name="60% - Énfasis6 16 2 3 2 2 2" xfId="56460" xr:uid="{86D6D561-3C72-4FA3-956F-1842AA6EB033}"/>
    <cellStyle name="60% - Énfasis6 16 2 3 2 3" xfId="56459" xr:uid="{66F5F755-89F8-46FA-BBE6-CDDF999F82F3}"/>
    <cellStyle name="60% - Énfasis6 16 2 3 3" xfId="20556" xr:uid="{C28538E1-8AC6-4D82-BDAA-1B35A03F3DA7}"/>
    <cellStyle name="60% - Énfasis6 16 2 3 3 2" xfId="56461" xr:uid="{87C79C36-36B8-49C8-A5EC-B7D2EE2473EF}"/>
    <cellStyle name="60% - Énfasis6 16 2 3 4" xfId="56458" xr:uid="{2472F09F-DA23-4893-B2AA-DED1CD6A4623}"/>
    <cellStyle name="60% - Énfasis6 16 2 4" xfId="9124" xr:uid="{B2743B71-F3BA-4EC3-912C-1A29631D2964}"/>
    <cellStyle name="60% - Énfasis6 16 2 4 2" xfId="24537" xr:uid="{958945E1-F248-42E8-8D7D-125BB230C8FC}"/>
    <cellStyle name="60% - Énfasis6 16 2 4 2 2" xfId="56463" xr:uid="{EB65EFDC-7101-476A-B730-3CFD82B96AE2}"/>
    <cellStyle name="60% - Énfasis6 16 2 4 3" xfId="56462" xr:uid="{C85CB23F-61AE-4CD3-8B1E-7FC44D7595C5}"/>
    <cellStyle name="60% - Énfasis6 16 2 5" xfId="16832" xr:uid="{72B053CD-1C8A-4C31-9DDD-C0079A16EE5E}"/>
    <cellStyle name="60% - Énfasis6 16 2 5 2" xfId="56464" xr:uid="{5B3C1D22-8BB4-421F-9F09-E2286DCA5C1E}"/>
    <cellStyle name="60% - Énfasis6 16 2 6" xfId="56449" xr:uid="{3C4C9655-BB4C-4443-A636-5081CE9C8569}"/>
    <cellStyle name="60% - Énfasis6 16 3" xfId="2234" xr:uid="{3B2A0F3A-0724-44B6-A2D1-B53E636FA6EB}"/>
    <cellStyle name="60% - Énfasis6 16 3 2" xfId="5966" xr:uid="{B42ACF64-7C79-4A21-BF3D-FCEC6EDCAF68}"/>
    <cellStyle name="60% - Énfasis6 16 3 2 2" xfId="13674" xr:uid="{90BD2154-BE80-49C3-926E-093744FFE643}"/>
    <cellStyle name="60% - Énfasis6 16 3 2 2 2" xfId="29086" xr:uid="{D405FD7B-5EAE-4649-A3A2-BED22E8A7165}"/>
    <cellStyle name="60% - Énfasis6 16 3 2 2 2 2" xfId="56468" xr:uid="{5F7A9F22-CC8C-4291-A357-775378D2E325}"/>
    <cellStyle name="60% - Énfasis6 16 3 2 2 3" xfId="56467" xr:uid="{7B2EDEE7-25D2-4E69-AA40-AEAB91188783}"/>
    <cellStyle name="60% - Énfasis6 16 3 2 3" xfId="21381" xr:uid="{92D33B72-327E-4E06-BD97-8A029B370E18}"/>
    <cellStyle name="60% - Énfasis6 16 3 2 3 2" xfId="56469" xr:uid="{79C9D8BA-F755-4ED5-B406-2F93F9C04088}"/>
    <cellStyle name="60% - Énfasis6 16 3 2 4" xfId="56466" xr:uid="{E2B781AA-5BC8-4AC3-BD73-62614D00470B}"/>
    <cellStyle name="60% - Énfasis6 16 3 3" xfId="9945" xr:uid="{92EC9523-C187-46B2-B274-72D2C8830D54}"/>
    <cellStyle name="60% - Énfasis6 16 3 3 2" xfId="25358" xr:uid="{91CFDDC6-C68B-4521-AFA2-893CE05B9EBE}"/>
    <cellStyle name="60% - Énfasis6 16 3 3 2 2" xfId="56471" xr:uid="{703D2886-9E86-40C3-9B32-304FAD11E21B}"/>
    <cellStyle name="60% - Énfasis6 16 3 3 3" xfId="56470" xr:uid="{FC081806-8341-4DD5-BC5C-FBCF8B47B58B}"/>
    <cellStyle name="60% - Énfasis6 16 3 4" xfId="17653" xr:uid="{39326773-A6EC-499F-B79B-BFFDBD73985D}"/>
    <cellStyle name="60% - Énfasis6 16 3 4 2" xfId="56472" xr:uid="{679D6868-29BE-4D42-8134-AE26DED2EAC1}"/>
    <cellStyle name="60% - Énfasis6 16 3 5" xfId="56465" xr:uid="{F01B7B1D-37FB-4FC3-A430-6AD473298041}"/>
    <cellStyle name="60% - Énfasis6 16 4" xfId="4489" xr:uid="{B421147D-9529-4358-8644-80C04D14CF1A}"/>
    <cellStyle name="60% - Énfasis6 16 4 2" xfId="12197" xr:uid="{163F4E62-BA0B-40F1-B120-9C75B1FA3722}"/>
    <cellStyle name="60% - Énfasis6 16 4 2 2" xfId="27609" xr:uid="{C7306599-24C9-40BB-A62D-DE80C3D31C39}"/>
    <cellStyle name="60% - Énfasis6 16 4 2 2 2" xfId="56475" xr:uid="{FB8724F1-D1DC-4370-9150-1C7006391380}"/>
    <cellStyle name="60% - Énfasis6 16 4 2 3" xfId="56474" xr:uid="{19DABF62-83EB-4AC8-98EF-4E6055FF9598}"/>
    <cellStyle name="60% - Énfasis6 16 4 3" xfId="19904" xr:uid="{BB05396C-B7B7-4C7A-8E05-CE599DEDE02C}"/>
    <cellStyle name="60% - Énfasis6 16 4 3 2" xfId="56476" xr:uid="{3F522A9C-F44A-4217-AFE1-FAF2C1A3C88F}"/>
    <cellStyle name="60% - Énfasis6 16 4 4" xfId="56473" xr:uid="{E743EF22-FD88-4643-B482-CBA2B7331620}"/>
    <cellStyle name="60% - Énfasis6 16 5" xfId="8486" xr:uid="{6079E22A-1737-4A88-87B0-0B2CFA105569}"/>
    <cellStyle name="60% - Énfasis6 16 5 2" xfId="23899" xr:uid="{8A855DC5-A6E1-4578-B6FE-D31023A1D09C}"/>
    <cellStyle name="60% - Énfasis6 16 5 2 2" xfId="56478" xr:uid="{F60D3396-F17F-40A5-A257-99AFA9078A1A}"/>
    <cellStyle name="60% - Énfasis6 16 5 3" xfId="56477" xr:uid="{2329B7E4-6D73-4AA2-8DB7-696D84FDDA39}"/>
    <cellStyle name="60% - Énfasis6 16 6" xfId="16194" xr:uid="{6A3ECCF4-049F-48DA-8018-53EBAAAD2C8B}"/>
    <cellStyle name="60% - Énfasis6 16 6 2" xfId="56479" xr:uid="{B2F8639D-BC9E-4145-99DA-036786649D43}"/>
    <cellStyle name="60% - Énfasis6 16 7" xfId="56448" xr:uid="{7FE1B8B9-E29C-45C2-B8B6-E8AE2FFD65B9}"/>
    <cellStyle name="60% - Énfasis6 17" xfId="764" xr:uid="{5E9831F7-D158-4205-8AE4-DAFD933DB359}"/>
    <cellStyle name="60% - Énfasis6 17 2" xfId="1425" xr:uid="{8D9CEF92-F002-4EB5-830F-2625E84DFC0C}"/>
    <cellStyle name="60% - Énfasis6 17 2 2" xfId="2892" xr:uid="{B5C8F14C-411C-4D1A-8607-27F15F073DE9}"/>
    <cellStyle name="60% - Énfasis6 17 2 2 2" xfId="6624" xr:uid="{3A89539B-4FBB-422A-B236-25D0218DB2A0}"/>
    <cellStyle name="60% - Énfasis6 17 2 2 2 2" xfId="14332" xr:uid="{69F5FC81-6E75-45DC-81E1-1AF9A0E5BDB3}"/>
    <cellStyle name="60% - Énfasis6 17 2 2 2 2 2" xfId="29744" xr:uid="{F0BF0B64-0D62-4394-9F77-923610E0C778}"/>
    <cellStyle name="60% - Énfasis6 17 2 2 2 2 2 2" xfId="56485" xr:uid="{DE7F9767-4EA8-4238-84DF-4C4197ACD161}"/>
    <cellStyle name="60% - Énfasis6 17 2 2 2 2 3" xfId="56484" xr:uid="{0ED99643-C9AF-47A1-A511-B92EDF8C1C1E}"/>
    <cellStyle name="60% - Énfasis6 17 2 2 2 3" xfId="22039" xr:uid="{289FE5A6-3E43-4113-833A-1C6B05927736}"/>
    <cellStyle name="60% - Énfasis6 17 2 2 2 3 2" xfId="56486" xr:uid="{D619E3DE-A388-48AF-8A17-6C13D45C7335}"/>
    <cellStyle name="60% - Énfasis6 17 2 2 2 4" xfId="56483" xr:uid="{6D9F0182-5B8A-47F4-8D7C-B661ACDE633A}"/>
    <cellStyle name="60% - Énfasis6 17 2 2 3" xfId="10603" xr:uid="{87B27247-D944-40D5-9513-EA87339E2FFF}"/>
    <cellStyle name="60% - Énfasis6 17 2 2 3 2" xfId="26016" xr:uid="{E4C05F5B-21D3-4188-93E7-3BF93424F5BF}"/>
    <cellStyle name="60% - Énfasis6 17 2 2 3 2 2" xfId="56488" xr:uid="{9ED0EB7D-4C06-4912-BD6B-F1E0C00717C4}"/>
    <cellStyle name="60% - Énfasis6 17 2 2 3 3" xfId="56487" xr:uid="{9B71D9FB-7BDA-4681-B52A-474A3499D651}"/>
    <cellStyle name="60% - Énfasis6 17 2 2 4" xfId="18311" xr:uid="{534A9E3D-172A-4F40-9BF9-D902B124960B}"/>
    <cellStyle name="60% - Énfasis6 17 2 2 4 2" xfId="56489" xr:uid="{B1DF2366-F3FF-4C24-AF38-01A68CCA406E}"/>
    <cellStyle name="60% - Énfasis6 17 2 2 5" xfId="56482" xr:uid="{5F04DC9F-02B4-4CA6-AD8A-D9F35C22C2AE}"/>
    <cellStyle name="60% - Énfasis6 17 2 3" xfId="5161" xr:uid="{F2F9D734-4093-47A6-B22E-7C299BF9D8D1}"/>
    <cellStyle name="60% - Énfasis6 17 2 3 2" xfId="12869" xr:uid="{BFDDB96D-A2F7-4212-9C54-E355E3EC3990}"/>
    <cellStyle name="60% - Énfasis6 17 2 3 2 2" xfId="28281" xr:uid="{5F2036F1-C3FA-4EAC-B9CB-6827B9110F80}"/>
    <cellStyle name="60% - Énfasis6 17 2 3 2 2 2" xfId="56492" xr:uid="{C7B870B0-4EAA-4066-B8BD-C2B64E58899A}"/>
    <cellStyle name="60% - Énfasis6 17 2 3 2 3" xfId="56491" xr:uid="{EACDBED0-1542-44FF-A6EF-59634406BBFB}"/>
    <cellStyle name="60% - Énfasis6 17 2 3 3" xfId="20576" xr:uid="{2D8ADA62-07B4-4E67-9E3A-C0546B42B194}"/>
    <cellStyle name="60% - Énfasis6 17 2 3 3 2" xfId="56493" xr:uid="{6D796417-4BE0-459A-A77A-B585C9182724}"/>
    <cellStyle name="60% - Énfasis6 17 2 3 4" xfId="56490" xr:uid="{302BADB4-4D55-445B-A70A-0EDD02AC02FB}"/>
    <cellStyle name="60% - Énfasis6 17 2 4" xfId="9144" xr:uid="{F8593636-BA8A-4405-AC3D-D4E2FC5E9BCD}"/>
    <cellStyle name="60% - Énfasis6 17 2 4 2" xfId="24557" xr:uid="{90D1890C-6BFF-406A-99D7-D908B976FE75}"/>
    <cellStyle name="60% - Énfasis6 17 2 4 2 2" xfId="56495" xr:uid="{26F7B109-C07D-47FA-87D6-CEA7498EF99F}"/>
    <cellStyle name="60% - Énfasis6 17 2 4 3" xfId="56494" xr:uid="{2F6A27ED-6558-4988-BF41-E2DD4E0C13A1}"/>
    <cellStyle name="60% - Énfasis6 17 2 5" xfId="16852" xr:uid="{0200207C-B5C5-44C4-B726-A6E3A5ED95D3}"/>
    <cellStyle name="60% - Énfasis6 17 2 5 2" xfId="56496" xr:uid="{533A5C09-4A06-43A3-A63C-A219B956E7EE}"/>
    <cellStyle name="60% - Énfasis6 17 2 6" xfId="56481" xr:uid="{17EEBE92-755B-421F-8692-434BACA43EA1}"/>
    <cellStyle name="60% - Énfasis6 17 3" xfId="2254" xr:uid="{6566006E-9CC5-414F-B08C-577C4C1A980E}"/>
    <cellStyle name="60% - Énfasis6 17 3 2" xfId="5986" xr:uid="{330DE544-E853-48B5-A080-5D922CF7B9C2}"/>
    <cellStyle name="60% - Énfasis6 17 3 2 2" xfId="13694" xr:uid="{C0E51932-05E8-4352-9236-3FF8D90B3700}"/>
    <cellStyle name="60% - Énfasis6 17 3 2 2 2" xfId="29106" xr:uid="{A4384A40-41FE-42DB-8301-3A36A221351C}"/>
    <cellStyle name="60% - Énfasis6 17 3 2 2 2 2" xfId="56500" xr:uid="{DAEDCDBE-1215-4C0A-8C95-68B7CBEAE1E5}"/>
    <cellStyle name="60% - Énfasis6 17 3 2 2 3" xfId="56499" xr:uid="{E9F7DC74-5D56-43EE-BA9B-367E1B143E74}"/>
    <cellStyle name="60% - Énfasis6 17 3 2 3" xfId="21401" xr:uid="{B7D97B7B-5B1C-4F4D-81A8-CAC42C1454C6}"/>
    <cellStyle name="60% - Énfasis6 17 3 2 3 2" xfId="56501" xr:uid="{9D19B0D0-DBFA-49C7-8B04-899B2368FDD6}"/>
    <cellStyle name="60% - Énfasis6 17 3 2 4" xfId="56498" xr:uid="{45B4E08A-DFA4-41D2-B3B6-BD4A7D8CC692}"/>
    <cellStyle name="60% - Énfasis6 17 3 3" xfId="9965" xr:uid="{943E9D29-36EF-42F7-B2D8-86AC93DC941D}"/>
    <cellStyle name="60% - Énfasis6 17 3 3 2" xfId="25378" xr:uid="{B3526D46-C7B7-4D41-B799-16B16BE51C61}"/>
    <cellStyle name="60% - Énfasis6 17 3 3 2 2" xfId="56503" xr:uid="{88F546FD-BA6C-48F0-BD42-674A072444E5}"/>
    <cellStyle name="60% - Énfasis6 17 3 3 3" xfId="56502" xr:uid="{78B20FD5-D368-42A0-A1DD-885B5BC85B64}"/>
    <cellStyle name="60% - Énfasis6 17 3 4" xfId="17673" xr:uid="{4D44238C-765E-4497-89BC-245D127F66FC}"/>
    <cellStyle name="60% - Énfasis6 17 3 4 2" xfId="56504" xr:uid="{F025E8BF-577D-4B5D-8CAD-EA08B422492B}"/>
    <cellStyle name="60% - Énfasis6 17 3 5" xfId="56497" xr:uid="{40E777C5-9FCA-4EAD-9209-0048AA0A5DFC}"/>
    <cellStyle name="60% - Énfasis6 17 4" xfId="4509" xr:uid="{BA4F0625-3DE2-4B14-A665-292C69139C9E}"/>
    <cellStyle name="60% - Énfasis6 17 4 2" xfId="12217" xr:uid="{08B8819A-54FB-469E-B022-3808C1196D9F}"/>
    <cellStyle name="60% - Énfasis6 17 4 2 2" xfId="27629" xr:uid="{6D0F9A06-9A59-44A2-A702-C901D9726C5C}"/>
    <cellStyle name="60% - Énfasis6 17 4 2 2 2" xfId="56507" xr:uid="{47847CC0-0874-4C8B-A9D8-6326B55A88C5}"/>
    <cellStyle name="60% - Énfasis6 17 4 2 3" xfId="56506" xr:uid="{5EE1180C-E008-45F3-9973-C2E24D4E9894}"/>
    <cellStyle name="60% - Énfasis6 17 4 3" xfId="19924" xr:uid="{5CB97368-0543-471C-B6E4-ED02ECDB315C}"/>
    <cellStyle name="60% - Énfasis6 17 4 3 2" xfId="56508" xr:uid="{64748E19-4481-4BC3-8546-AEBED3723984}"/>
    <cellStyle name="60% - Énfasis6 17 4 4" xfId="56505" xr:uid="{A870BFEE-2737-49B9-9E45-1E846B9D77A0}"/>
    <cellStyle name="60% - Énfasis6 17 5" xfId="8506" xr:uid="{C649418B-3365-45D0-94B2-89C5CF0FC1BC}"/>
    <cellStyle name="60% - Énfasis6 17 5 2" xfId="23919" xr:uid="{B3BB40E5-2268-4ABF-B716-B17FFD37BE54}"/>
    <cellStyle name="60% - Énfasis6 17 5 2 2" xfId="56510" xr:uid="{35B31C31-A781-4AF9-97C9-662C0DF313A0}"/>
    <cellStyle name="60% - Énfasis6 17 5 3" xfId="56509" xr:uid="{1C0A3651-5719-4D9F-92AD-3744262A7E18}"/>
    <cellStyle name="60% - Énfasis6 17 6" xfId="16214" xr:uid="{66B6D311-3529-4BE5-B444-06C7DB009B55}"/>
    <cellStyle name="60% - Énfasis6 17 6 2" xfId="56511" xr:uid="{E0B97C41-0DD0-40AA-BF68-8158E681F6E5}"/>
    <cellStyle name="60% - Énfasis6 17 7" xfId="56480" xr:uid="{3F2409B1-A1B6-46D4-BF14-21780D425547}"/>
    <cellStyle name="60% - Énfasis6 18" xfId="783" xr:uid="{D39789E5-ED7E-463E-AB20-69F8B5875172}"/>
    <cellStyle name="60% - Énfasis6 18 2" xfId="2273" xr:uid="{BBAAC19A-43B7-42F1-93F7-16D202A2749B}"/>
    <cellStyle name="60% - Énfasis6 18 2 2" xfId="6005" xr:uid="{9D9DC396-1267-472D-904C-EA744AD3DC2C}"/>
    <cellStyle name="60% - Énfasis6 18 2 2 2" xfId="13713" xr:uid="{6AD964C8-7DC1-4E20-91EA-67A69C217912}"/>
    <cellStyle name="60% - Énfasis6 18 2 2 2 2" xfId="29125" xr:uid="{C2E558F3-CB5D-45D0-939D-0F65A3A7A274}"/>
    <cellStyle name="60% - Énfasis6 18 2 2 2 2 2" xfId="56516" xr:uid="{9C86ABBF-9D0D-4E18-AA0A-6EA73808F93F}"/>
    <cellStyle name="60% - Énfasis6 18 2 2 2 3" xfId="56515" xr:uid="{6FE89A8A-1B33-44E8-8C94-F9657121498E}"/>
    <cellStyle name="60% - Énfasis6 18 2 2 3" xfId="21420" xr:uid="{39D74E5A-4134-4094-A3ED-94DE612A8C2F}"/>
    <cellStyle name="60% - Énfasis6 18 2 2 3 2" xfId="56517" xr:uid="{030CF7F0-80DC-400F-B90C-6880E8EE7ED0}"/>
    <cellStyle name="60% - Énfasis6 18 2 2 4" xfId="56514" xr:uid="{B6BF5A87-5AE8-49C8-AB40-59B76D95C215}"/>
    <cellStyle name="60% - Énfasis6 18 2 3" xfId="9984" xr:uid="{DDD82628-111D-4E74-A615-197C2993A155}"/>
    <cellStyle name="60% - Énfasis6 18 2 3 2" xfId="25397" xr:uid="{5748EE99-0E3F-4D96-8A3D-5AF875A7D078}"/>
    <cellStyle name="60% - Énfasis6 18 2 3 2 2" xfId="56519" xr:uid="{25CDD8EA-5181-414C-9B1D-FE6A458C4F49}"/>
    <cellStyle name="60% - Énfasis6 18 2 3 3" xfId="56518" xr:uid="{60E08325-A4AB-49B8-99CB-7F196AFF646C}"/>
    <cellStyle name="60% - Énfasis6 18 2 4" xfId="17692" xr:uid="{3BC4E580-99EB-4F9B-929E-2D31FBFB2ABA}"/>
    <cellStyle name="60% - Énfasis6 18 2 4 2" xfId="56520" xr:uid="{265B30F9-44FD-48CE-9894-9384B721C476}"/>
    <cellStyle name="60% - Énfasis6 18 2 5" xfId="56513" xr:uid="{48BB059E-91C0-4F20-B55E-AA7D66547C3E}"/>
    <cellStyle name="60% - Énfasis6 18 3" xfId="4528" xr:uid="{04CA3BC7-781D-4339-86DE-55B441EFD367}"/>
    <cellStyle name="60% - Énfasis6 18 3 2" xfId="12236" xr:uid="{4D7D08F8-0314-4C4C-B0BB-F0014BF8B0BA}"/>
    <cellStyle name="60% - Énfasis6 18 3 2 2" xfId="27648" xr:uid="{C7110C04-7211-4518-A42D-49B99434AF23}"/>
    <cellStyle name="60% - Énfasis6 18 3 2 2 2" xfId="56523" xr:uid="{F662A769-7B15-436C-8838-E6D2FC22FE31}"/>
    <cellStyle name="60% - Énfasis6 18 3 2 3" xfId="56522" xr:uid="{2D90B412-0199-49B6-A077-5E7E49F8B856}"/>
    <cellStyle name="60% - Énfasis6 18 3 3" xfId="19943" xr:uid="{BBE8DFB3-6430-46DF-B47F-E7893AC9E816}"/>
    <cellStyle name="60% - Énfasis6 18 3 3 2" xfId="56524" xr:uid="{E11D3016-F122-42A1-B18A-42E948B384B8}"/>
    <cellStyle name="60% - Énfasis6 18 3 4" xfId="56521" xr:uid="{59215D0E-E506-42AC-B847-6E3860602C61}"/>
    <cellStyle name="60% - Énfasis6 18 4" xfId="8525" xr:uid="{BB1E8579-9CB5-4276-B90A-4762C233506F}"/>
    <cellStyle name="60% - Énfasis6 18 4 2" xfId="23938" xr:uid="{3DD2E037-3DDB-4DD8-B87B-907193C4B52C}"/>
    <cellStyle name="60% - Énfasis6 18 4 2 2" xfId="56526" xr:uid="{FC31995F-148F-41AF-9E64-CF888109E840}"/>
    <cellStyle name="60% - Énfasis6 18 4 3" xfId="56525" xr:uid="{58F687DA-6C8A-4E4B-AD26-E3A4CD5E6922}"/>
    <cellStyle name="60% - Énfasis6 18 5" xfId="16233" xr:uid="{CA9F568B-6641-43B5-90AE-09229F438CD8}"/>
    <cellStyle name="60% - Énfasis6 18 5 2" xfId="56527" xr:uid="{23E33A81-B9D1-4D2C-B529-C1D9586C8C2C}"/>
    <cellStyle name="60% - Énfasis6 18 6" xfId="56512" xr:uid="{EE5CC8EB-57C4-4B5D-B255-444F1E530CBA}"/>
    <cellStyle name="60% - Énfasis6 19" xfId="1447" xr:uid="{58C85789-6A07-41AA-A172-5CFF18E775EE}"/>
    <cellStyle name="60% - Énfasis6 19 2" xfId="2912" xr:uid="{9FFDBA80-3796-409E-8194-5FA0663DE31B}"/>
    <cellStyle name="60% - Énfasis6 19 2 2" xfId="6644" xr:uid="{0F026DBD-10A1-4E03-8355-FDA4AA9C15FD}"/>
    <cellStyle name="60% - Énfasis6 19 2 2 2" xfId="14352" xr:uid="{D7E2F926-F974-4830-A503-00902679EEA2}"/>
    <cellStyle name="60% - Énfasis6 19 2 2 2 2" xfId="29764" xr:uid="{1D7A7D89-D3FB-4C45-9563-0FE5A1F2654D}"/>
    <cellStyle name="60% - Énfasis6 19 2 2 2 2 2" xfId="56532" xr:uid="{55AA1DB9-E1ED-438B-A226-E9551141445E}"/>
    <cellStyle name="60% - Énfasis6 19 2 2 2 3" xfId="56531" xr:uid="{3DCC182A-F277-49D9-B369-E86FFE5F5E36}"/>
    <cellStyle name="60% - Énfasis6 19 2 2 3" xfId="22059" xr:uid="{5C71A573-1CAD-40B7-BF1C-9FB134FCB06C}"/>
    <cellStyle name="60% - Énfasis6 19 2 2 3 2" xfId="56533" xr:uid="{70E231BF-750F-4020-82A7-D0903307B02E}"/>
    <cellStyle name="60% - Énfasis6 19 2 2 4" xfId="56530" xr:uid="{4D71C0D0-3C92-4F36-A6F4-A93954050B0F}"/>
    <cellStyle name="60% - Énfasis6 19 2 3" xfId="10623" xr:uid="{CCCF3AAD-7624-4AFE-94B1-F0B4791655FF}"/>
    <cellStyle name="60% - Énfasis6 19 2 3 2" xfId="26036" xr:uid="{E4FCD4D8-49D3-4AAE-945F-C6B185600D80}"/>
    <cellStyle name="60% - Énfasis6 19 2 3 2 2" xfId="56535" xr:uid="{D4982EDD-DE2F-4811-A227-19D63E0BC07E}"/>
    <cellStyle name="60% - Énfasis6 19 2 3 3" xfId="56534" xr:uid="{F8F9D294-D215-405D-A704-0F1330D46B36}"/>
    <cellStyle name="60% - Énfasis6 19 2 4" xfId="18331" xr:uid="{955A933F-8958-4EF9-91D3-2378FFCBFD24}"/>
    <cellStyle name="60% - Énfasis6 19 2 4 2" xfId="56536" xr:uid="{559F132C-141D-46D0-A607-00801F0DCF3B}"/>
    <cellStyle name="60% - Énfasis6 19 2 5" xfId="56529" xr:uid="{66B8229E-61E0-4B51-A403-8E4EDAE00B56}"/>
    <cellStyle name="60% - Énfasis6 19 3" xfId="5183" xr:uid="{09BFDE24-C9B2-40A2-8C29-571FA8A9708D}"/>
    <cellStyle name="60% - Énfasis6 19 3 2" xfId="12891" xr:uid="{09BEB389-9BFC-4ED4-9714-D882509BCBEC}"/>
    <cellStyle name="60% - Énfasis6 19 3 2 2" xfId="28303" xr:uid="{CFCD710A-AE4B-49DE-94DD-A3A0F478C5E1}"/>
    <cellStyle name="60% - Énfasis6 19 3 2 2 2" xfId="56539" xr:uid="{EF8B51CF-E2D8-4E66-B2EE-DBE6F26BAF0C}"/>
    <cellStyle name="60% - Énfasis6 19 3 2 3" xfId="56538" xr:uid="{A86181B7-6D0A-44CB-9EC6-9E4F7DB8CD55}"/>
    <cellStyle name="60% - Énfasis6 19 3 3" xfId="20598" xr:uid="{43956309-AF30-4DE8-AABA-BD3E6D3D0179}"/>
    <cellStyle name="60% - Énfasis6 19 3 3 2" xfId="56540" xr:uid="{906D799E-622F-4C8A-9308-0CE27ECD4FA3}"/>
    <cellStyle name="60% - Énfasis6 19 3 4" xfId="56537" xr:uid="{CB80F9F3-9B10-424D-93AF-AAF9A4407A88}"/>
    <cellStyle name="60% - Énfasis6 19 4" xfId="9164" xr:uid="{15AA9837-FC8E-4AC2-94F8-A430E6079279}"/>
    <cellStyle name="60% - Énfasis6 19 4 2" xfId="24577" xr:uid="{B39F8C1D-FF91-47AC-B896-59032452E4DF}"/>
    <cellStyle name="60% - Énfasis6 19 4 2 2" xfId="56542" xr:uid="{6F5796B3-6DE4-499C-8B03-18FB817EA13D}"/>
    <cellStyle name="60% - Énfasis6 19 4 3" xfId="56541" xr:uid="{C0BA0035-DF1B-4240-9628-1A8D3DA4E963}"/>
    <cellStyle name="60% - Énfasis6 19 5" xfId="16872" xr:uid="{3DFD9151-E577-4498-BC55-6946FF24C834}"/>
    <cellStyle name="60% - Énfasis6 19 5 2" xfId="56543" xr:uid="{1C4515B8-2EA9-490A-82F4-DC26A57D0A4A}"/>
    <cellStyle name="60% - Énfasis6 19 6" xfId="56528" xr:uid="{5DA82ECE-7985-47FD-92FA-1236611587A0}"/>
    <cellStyle name="60% - Énfasis6 2" xfId="43" xr:uid="{427C80A2-F3F8-4B64-8BD7-EBE0E5BA8D12}"/>
    <cellStyle name="60% - Énfasis6 2 2" xfId="457" xr:uid="{D3B8E9A7-2BC3-422A-8DB0-65B953227951}"/>
    <cellStyle name="60% - Énfasis6 2 2 2" xfId="1118" xr:uid="{A358C2A8-6707-4878-95FA-2C5A53BC4853}"/>
    <cellStyle name="60% - Énfasis6 2 2 2 2" xfId="2586" xr:uid="{0D2F587F-6140-49B6-AC20-EA74D26309E0}"/>
    <cellStyle name="60% - Énfasis6 2 2 2 2 2" xfId="6318" xr:uid="{6DA853AB-246B-40B7-9825-A38E702788F5}"/>
    <cellStyle name="60% - Énfasis6 2 2 2 2 2 2" xfId="14026" xr:uid="{00518185-F32B-45A0-A97F-8C4C7C3A3FC1}"/>
    <cellStyle name="60% - Énfasis6 2 2 2 2 2 2 2" xfId="29438" xr:uid="{D88CF73F-4655-466B-BCF5-1369394DA4D3}"/>
    <cellStyle name="60% - Énfasis6 2 2 2 2 2 2 2 2" xfId="56550" xr:uid="{31F180BF-07E3-42C8-83DD-62EF4ECDA595}"/>
    <cellStyle name="60% - Énfasis6 2 2 2 2 2 2 3" xfId="56549" xr:uid="{16989681-5731-4811-9628-ED433583826A}"/>
    <cellStyle name="60% - Énfasis6 2 2 2 2 2 3" xfId="21733" xr:uid="{0BF804D1-0004-4809-9B7C-8ED65051809F}"/>
    <cellStyle name="60% - Énfasis6 2 2 2 2 2 3 2" xfId="56551" xr:uid="{D4FDFC28-803D-4D73-892A-3CCE8CFEF955}"/>
    <cellStyle name="60% - Énfasis6 2 2 2 2 2 4" xfId="56548" xr:uid="{4EFCA833-F54D-42B4-B72A-7A02727D19BC}"/>
    <cellStyle name="60% - Énfasis6 2 2 2 2 3" xfId="10297" xr:uid="{D152B36B-DB1A-4CAD-B27F-3990AB8F5F21}"/>
    <cellStyle name="60% - Énfasis6 2 2 2 2 3 2" xfId="25710" xr:uid="{325154E5-C530-4975-8E92-06161C776D9C}"/>
    <cellStyle name="60% - Énfasis6 2 2 2 2 3 2 2" xfId="56553" xr:uid="{CB6A963C-D516-4545-AE7F-BA3F3171CD85}"/>
    <cellStyle name="60% - Énfasis6 2 2 2 2 3 3" xfId="56552" xr:uid="{8649C337-9086-4DFD-9201-1C5BA25E0B7B}"/>
    <cellStyle name="60% - Énfasis6 2 2 2 2 4" xfId="18005" xr:uid="{33D6E067-9AF4-475B-B4B0-A7B048CDE80E}"/>
    <cellStyle name="60% - Énfasis6 2 2 2 2 4 2" xfId="56554" xr:uid="{9AB836AE-6631-43AE-8159-BCAA8F11AA55}"/>
    <cellStyle name="60% - Énfasis6 2 2 2 2 5" xfId="56547" xr:uid="{4DC92D22-0710-48C2-A3BE-D26D693B7524}"/>
    <cellStyle name="60% - Énfasis6 2 2 2 3" xfId="4855" xr:uid="{BED1CECC-74AA-40C1-A032-D6942BE6E6C6}"/>
    <cellStyle name="60% - Énfasis6 2 2 2 3 2" xfId="12563" xr:uid="{AFDF1204-FECA-48FB-8CB5-510A9BBBD862}"/>
    <cellStyle name="60% - Énfasis6 2 2 2 3 2 2" xfId="27975" xr:uid="{D962254C-866C-4150-A9F4-0DDCEC3B4B4C}"/>
    <cellStyle name="60% - Énfasis6 2 2 2 3 2 2 2" xfId="56557" xr:uid="{23600652-5BF5-4966-BDCE-BE2D07A01FCF}"/>
    <cellStyle name="60% - Énfasis6 2 2 2 3 2 3" xfId="56556" xr:uid="{551FB82F-076F-4195-8DE1-241FA4F8BC09}"/>
    <cellStyle name="60% - Énfasis6 2 2 2 3 3" xfId="20270" xr:uid="{111A4942-2E74-49DE-9110-89D6CB892310}"/>
    <cellStyle name="60% - Énfasis6 2 2 2 3 3 2" xfId="56558" xr:uid="{FEAC8117-C77D-4E72-9D4A-C25F51832BC5}"/>
    <cellStyle name="60% - Énfasis6 2 2 2 3 4" xfId="56555" xr:uid="{770F5FAE-637A-4CD6-A4D7-68332AD38D84}"/>
    <cellStyle name="60% - Énfasis6 2 2 2 4" xfId="8838" xr:uid="{60570E7E-59A9-41EC-B724-7E9FE5C236AF}"/>
    <cellStyle name="60% - Énfasis6 2 2 2 4 2" xfId="24251" xr:uid="{5B261177-CBB1-4FE2-92D8-93D9A9B7E509}"/>
    <cellStyle name="60% - Énfasis6 2 2 2 4 2 2" xfId="56560" xr:uid="{C7981B2F-C484-4CFF-BCF8-A3A863F0BD61}"/>
    <cellStyle name="60% - Énfasis6 2 2 2 4 3" xfId="56559" xr:uid="{7CAC653C-9AB0-4892-B04B-115551BADFF9}"/>
    <cellStyle name="60% - Énfasis6 2 2 2 5" xfId="16546" xr:uid="{9594314B-0526-4728-85DB-1C34A43CB267}"/>
    <cellStyle name="60% - Énfasis6 2 2 2 5 2" xfId="56561" xr:uid="{1DF610EE-AAF3-4A9D-BFB5-A4BC6C5A7167}"/>
    <cellStyle name="60% - Énfasis6 2 2 2 6" xfId="56546" xr:uid="{2937EC0E-FDAA-4FA6-81B9-C482ABB69425}"/>
    <cellStyle name="60% - Énfasis6 2 2 3" xfId="1948" xr:uid="{10B72481-5D4E-4A43-8D62-DD5762592B32}"/>
    <cellStyle name="60% - Énfasis6 2 2 3 2" xfId="5680" xr:uid="{92152BD5-0AD4-4A09-A951-E07F730E2E89}"/>
    <cellStyle name="60% - Énfasis6 2 2 3 2 2" xfId="13388" xr:uid="{DF8E6FF2-688B-4BEC-9493-9093048F094B}"/>
    <cellStyle name="60% - Énfasis6 2 2 3 2 2 2" xfId="28800" xr:uid="{CF51CBA8-26D4-4CD5-B40F-DD358CF4D628}"/>
    <cellStyle name="60% - Énfasis6 2 2 3 2 2 2 2" xfId="56565" xr:uid="{15B05295-47D1-4F10-8F0C-7C8040453277}"/>
    <cellStyle name="60% - Énfasis6 2 2 3 2 2 3" xfId="56564" xr:uid="{854547E7-FE69-4FD9-8C64-3208249AEE4B}"/>
    <cellStyle name="60% - Énfasis6 2 2 3 2 3" xfId="21095" xr:uid="{0ACEE33C-C5ED-439E-98B9-93B3A92B4BF8}"/>
    <cellStyle name="60% - Énfasis6 2 2 3 2 3 2" xfId="56566" xr:uid="{CC1A635E-4E14-46A0-82C9-391DF7F468F2}"/>
    <cellStyle name="60% - Énfasis6 2 2 3 2 4" xfId="56563" xr:uid="{390F0509-F922-4BCC-A92A-58C304AA5CC8}"/>
    <cellStyle name="60% - Énfasis6 2 2 3 3" xfId="9659" xr:uid="{FE8CF87C-C8FC-4D90-A502-578229E7625A}"/>
    <cellStyle name="60% - Énfasis6 2 2 3 3 2" xfId="25072" xr:uid="{B0D7291D-D90F-48CD-BCF2-6DEDA96345BE}"/>
    <cellStyle name="60% - Énfasis6 2 2 3 3 2 2" xfId="56568" xr:uid="{D9A5F5C9-F227-45B4-AB51-756DB6093DC1}"/>
    <cellStyle name="60% - Énfasis6 2 2 3 3 3" xfId="56567" xr:uid="{130F550F-EAB5-4257-A8CE-B6CCF0D231D4}"/>
    <cellStyle name="60% - Énfasis6 2 2 3 4" xfId="17367" xr:uid="{ADAF0A4E-8C82-4718-B97C-E28B1C7CC4E2}"/>
    <cellStyle name="60% - Énfasis6 2 2 3 4 2" xfId="56569" xr:uid="{CDC6BE42-C769-4D62-B20F-AE7C4F5053B8}"/>
    <cellStyle name="60% - Énfasis6 2 2 3 5" xfId="56562" xr:uid="{41B2D50A-D57E-4C51-9802-AA3AC84B3232}"/>
    <cellStyle name="60% - Énfasis6 2 2 4" xfId="4203" xr:uid="{40CC2752-90C0-4200-9755-0EB7CDC526CB}"/>
    <cellStyle name="60% - Énfasis6 2 2 4 2" xfId="11911" xr:uid="{E3BF404C-76FF-434D-BD89-499AE46772B0}"/>
    <cellStyle name="60% - Énfasis6 2 2 4 2 2" xfId="27323" xr:uid="{47E7EB87-1AF9-41AC-98FA-D81007D8BD3C}"/>
    <cellStyle name="60% - Énfasis6 2 2 4 2 2 2" xfId="56572" xr:uid="{A64FD72A-2CF8-4D7A-9F78-2E4850FF3345}"/>
    <cellStyle name="60% - Énfasis6 2 2 4 2 3" xfId="56571" xr:uid="{03ADDA4A-73A9-441C-917F-4C8E47FE17AD}"/>
    <cellStyle name="60% - Énfasis6 2 2 4 3" xfId="19618" xr:uid="{5B5E4156-8D3D-4B4B-9F08-2B78406CFC80}"/>
    <cellStyle name="60% - Énfasis6 2 2 4 3 2" xfId="56573" xr:uid="{1EAA68EA-7652-4EBB-8C34-B79C4BCE45C9}"/>
    <cellStyle name="60% - Énfasis6 2 2 4 4" xfId="56570" xr:uid="{F7A80117-0B77-4BE1-93CF-08E49EA9C8A5}"/>
    <cellStyle name="60% - Énfasis6 2 2 5" xfId="8200" xr:uid="{2AAFA5FB-378F-4BDD-A142-EE334330A159}"/>
    <cellStyle name="60% - Énfasis6 2 2 5 2" xfId="23613" xr:uid="{04E9C888-075B-414B-8965-63B3127D9761}"/>
    <cellStyle name="60% - Énfasis6 2 2 5 2 2" xfId="56575" xr:uid="{E3C96B99-0E4E-4C3C-BFBB-99FAFEDF8090}"/>
    <cellStyle name="60% - Énfasis6 2 2 5 3" xfId="56574" xr:uid="{265437C1-1709-4B6A-A2FF-5D7FF286E715}"/>
    <cellStyle name="60% - Énfasis6 2 2 6" xfId="15908" xr:uid="{F25CA50C-7E78-4879-B49C-3873F489B9A4}"/>
    <cellStyle name="60% - Énfasis6 2 2 6 2" xfId="56576" xr:uid="{84190BA5-1E89-499C-94F1-BF676D872424}"/>
    <cellStyle name="60% - Énfasis6 2 2 7" xfId="56545" xr:uid="{A4781BAC-3BCA-4FFC-80E5-241C12242586}"/>
    <cellStyle name="60% - Énfasis6 2 3" xfId="918" xr:uid="{B1E3424F-E178-4933-A74E-AC0EA9DF2319}"/>
    <cellStyle name="60% - Énfasis6 2 3 2" xfId="2388" xr:uid="{5EFEBAC3-0548-4368-AE39-79F299D6A91A}"/>
    <cellStyle name="60% - Énfasis6 2 3 2 2" xfId="6120" xr:uid="{56CC15A2-19AE-405A-BC78-8749D1AEFC74}"/>
    <cellStyle name="60% - Énfasis6 2 3 2 2 2" xfId="13828" xr:uid="{F342A1DA-15EC-4D45-A509-21A0275DCB94}"/>
    <cellStyle name="60% - Énfasis6 2 3 2 2 2 2" xfId="29240" xr:uid="{87DC7929-A669-4AFE-813A-619170F0BBC8}"/>
    <cellStyle name="60% - Énfasis6 2 3 2 2 2 2 2" xfId="56581" xr:uid="{0384EF60-C491-495F-B9E3-F49EED07B6B3}"/>
    <cellStyle name="60% - Énfasis6 2 3 2 2 2 3" xfId="56580" xr:uid="{4A455125-6481-442F-8C8A-78685DE57D36}"/>
    <cellStyle name="60% - Énfasis6 2 3 2 2 3" xfId="21535" xr:uid="{D34A6CCB-A8D1-4676-9990-5EF5C744391C}"/>
    <cellStyle name="60% - Énfasis6 2 3 2 2 3 2" xfId="56582" xr:uid="{7EE6E5E7-FBA9-4546-8C4B-ED2A01931F92}"/>
    <cellStyle name="60% - Énfasis6 2 3 2 2 4" xfId="56579" xr:uid="{84A2CF6C-5567-4495-BF85-D4F81CFF2857}"/>
    <cellStyle name="60% - Énfasis6 2 3 2 3" xfId="10099" xr:uid="{78FDF630-7D38-4598-9447-6D825B89012C}"/>
    <cellStyle name="60% - Énfasis6 2 3 2 3 2" xfId="25512" xr:uid="{674E5E8F-A41D-4C81-B6F0-027904C3918A}"/>
    <cellStyle name="60% - Énfasis6 2 3 2 3 2 2" xfId="56584" xr:uid="{7B673BBA-F596-47F5-88E4-8CB177BF6340}"/>
    <cellStyle name="60% - Énfasis6 2 3 2 3 3" xfId="56583" xr:uid="{41430442-24B3-402F-AD97-2E51AA6CF183}"/>
    <cellStyle name="60% - Énfasis6 2 3 2 4" xfId="17807" xr:uid="{12901F67-1D9E-493F-93F4-6B982F9497AF}"/>
    <cellStyle name="60% - Énfasis6 2 3 2 4 2" xfId="56585" xr:uid="{732662CD-AB2D-499D-A0F8-59939BBBA426}"/>
    <cellStyle name="60% - Énfasis6 2 3 2 5" xfId="56578" xr:uid="{8838A29D-9AD2-4D52-A21F-F26ECB98E2A2}"/>
    <cellStyle name="60% - Énfasis6 2 3 3" xfId="4655" xr:uid="{9EB2B826-FF1D-4848-A737-6341FCFA107C}"/>
    <cellStyle name="60% - Énfasis6 2 3 3 2" xfId="12363" xr:uid="{CA0C8A00-E254-4F36-91A7-C0C30A315993}"/>
    <cellStyle name="60% - Énfasis6 2 3 3 2 2" xfId="27775" xr:uid="{5DFAB0E7-6746-4459-978C-C094E73A2647}"/>
    <cellStyle name="60% - Énfasis6 2 3 3 2 2 2" xfId="56588" xr:uid="{FA497B0F-5004-451A-ABCD-E0435B0AAABD}"/>
    <cellStyle name="60% - Énfasis6 2 3 3 2 3" xfId="56587" xr:uid="{3A909862-0B88-4DDD-9D8C-FA5748C03A96}"/>
    <cellStyle name="60% - Énfasis6 2 3 3 3" xfId="20070" xr:uid="{8BE6E70A-C4DC-4877-B36B-B66E167E6D89}"/>
    <cellStyle name="60% - Énfasis6 2 3 3 3 2" xfId="56589" xr:uid="{2AFC4C1B-E4D8-415B-B686-8156AD8B1EDB}"/>
    <cellStyle name="60% - Énfasis6 2 3 3 4" xfId="56586" xr:uid="{B9E9FC1A-A029-451E-9EF5-9B0AF0A1B49B}"/>
    <cellStyle name="60% - Énfasis6 2 3 4" xfId="8640" xr:uid="{ADEC13AB-F601-4099-B741-AEF87A894132}"/>
    <cellStyle name="60% - Énfasis6 2 3 4 2" xfId="24053" xr:uid="{095D7C58-45B8-41C6-9769-B8556442D540}"/>
    <cellStyle name="60% - Énfasis6 2 3 4 2 2" xfId="56591" xr:uid="{41663D61-D4CF-480A-8461-16169D5EB0D2}"/>
    <cellStyle name="60% - Énfasis6 2 3 4 3" xfId="56590" xr:uid="{ABA714D7-5E1D-43BD-AE8F-AE61B608A583}"/>
    <cellStyle name="60% - Énfasis6 2 3 5" xfId="16348" xr:uid="{BC110DF4-2D43-4A15-8233-C3F317D5B4BE}"/>
    <cellStyle name="60% - Énfasis6 2 3 5 2" xfId="56592" xr:uid="{2F0545E9-4D05-40D1-9285-232CDFC0186B}"/>
    <cellStyle name="60% - Énfasis6 2 3 6" xfId="56577" xr:uid="{60F968F8-AE77-4BA1-BA05-50D13FD3ED35}"/>
    <cellStyle name="60% - Énfasis6 2 4" xfId="1750" xr:uid="{F7FC1E85-FCF0-4A5C-AA3A-8ABC148689FF}"/>
    <cellStyle name="60% - Énfasis6 2 4 2" xfId="5482" xr:uid="{BEB7BB59-3DFD-46C1-A88B-08184F8B24AD}"/>
    <cellStyle name="60% - Énfasis6 2 4 2 2" xfId="13190" xr:uid="{D7DE2959-C1EE-4780-9997-BFF7CC4C43C0}"/>
    <cellStyle name="60% - Énfasis6 2 4 2 2 2" xfId="28602" xr:uid="{01A279F9-08E8-41BA-887F-C9D484FADE78}"/>
    <cellStyle name="60% - Énfasis6 2 4 2 2 2 2" xfId="56596" xr:uid="{F9824175-6E39-4A10-BEA7-03E621FEB4A2}"/>
    <cellStyle name="60% - Énfasis6 2 4 2 2 3" xfId="56595" xr:uid="{E451DDD0-8984-49B5-BDFA-8B43CDAC23C5}"/>
    <cellStyle name="60% - Énfasis6 2 4 2 3" xfId="20897" xr:uid="{F282F7B7-AA33-44EF-9184-DE3392FEBC25}"/>
    <cellStyle name="60% - Énfasis6 2 4 2 3 2" xfId="56597" xr:uid="{DBAA508E-091A-4689-95EC-E26BEFA0564E}"/>
    <cellStyle name="60% - Énfasis6 2 4 2 4" xfId="56594" xr:uid="{EE6A30A3-5BBC-4A3F-98B0-29C14264212E}"/>
    <cellStyle name="60% - Énfasis6 2 4 3" xfId="9461" xr:uid="{B781F1F3-4AFF-4F66-AD57-0151CB1C59A9}"/>
    <cellStyle name="60% - Énfasis6 2 4 3 2" xfId="24874" xr:uid="{D04AFFE3-1082-4036-9B8A-EF292F962BF2}"/>
    <cellStyle name="60% - Énfasis6 2 4 3 2 2" xfId="56599" xr:uid="{6044569A-7277-4377-A596-067D941E9317}"/>
    <cellStyle name="60% - Énfasis6 2 4 3 3" xfId="56598" xr:uid="{68012533-E2D7-452F-9416-F28B24B4AB3B}"/>
    <cellStyle name="60% - Énfasis6 2 4 4" xfId="17169" xr:uid="{C428EA8D-1E23-4C6A-80E5-1C1147E83A79}"/>
    <cellStyle name="60% - Énfasis6 2 4 4 2" xfId="56600" xr:uid="{610C17A2-A69E-4F05-BF46-D726B18352BC}"/>
    <cellStyle name="60% - Énfasis6 2 4 5" xfId="56593" xr:uid="{4BB62DDD-EEF1-4ABE-B0B4-2B67BBB48F3C}"/>
    <cellStyle name="60% - Énfasis6 2 5" xfId="4003" xr:uid="{794C9DC0-5C94-41AA-BE1E-997C10B002AB}"/>
    <cellStyle name="60% - Énfasis6 2 5 2" xfId="11711" xr:uid="{6A4FDAC1-6C93-4616-B55C-CC54D668F1F9}"/>
    <cellStyle name="60% - Énfasis6 2 5 2 2" xfId="27123" xr:uid="{A7817D22-A2DD-4CD5-A36F-6A13280C93BD}"/>
    <cellStyle name="60% - Énfasis6 2 5 2 2 2" xfId="56603" xr:uid="{092202A1-FC2E-4B0E-8107-4A1CFC75609D}"/>
    <cellStyle name="60% - Énfasis6 2 5 2 3" xfId="56602" xr:uid="{6B97E025-8A31-47F9-8B08-68F739E9DDD5}"/>
    <cellStyle name="60% - Énfasis6 2 5 3" xfId="19418" xr:uid="{9969936C-7780-4A89-8FA6-64CEECA63A12}"/>
    <cellStyle name="60% - Énfasis6 2 5 3 2" xfId="56604" xr:uid="{3886043B-0F0B-4FAF-8279-137DD5A160A1}"/>
    <cellStyle name="60% - Énfasis6 2 5 4" xfId="56601" xr:uid="{705C6A30-686C-4519-BA27-64539652FD49}"/>
    <cellStyle name="60% - Énfasis6 2 6" xfId="8002" xr:uid="{9337746E-FC32-4E99-833D-FBC2C01D0792}"/>
    <cellStyle name="60% - Énfasis6 2 6 2" xfId="23415" xr:uid="{E4483807-62FD-4EC6-8239-DD7F3F90A10F}"/>
    <cellStyle name="60% - Énfasis6 2 6 2 2" xfId="56606" xr:uid="{8C021949-A6C6-45F7-99DE-675339A94E30}"/>
    <cellStyle name="60% - Énfasis6 2 6 3" xfId="56605" xr:uid="{231A5940-891E-44F7-B027-1938C89C205C}"/>
    <cellStyle name="60% - Énfasis6 2 7" xfId="15710" xr:uid="{1B2EC03B-6275-4D1E-9826-64AA29FFE19E}"/>
    <cellStyle name="60% - Énfasis6 2 7 2" xfId="56607" xr:uid="{6A78B76C-7B2D-4938-8691-A8A87F47C079}"/>
    <cellStyle name="60% - Énfasis6 2 8" xfId="56544" xr:uid="{74BEBB5F-94A4-4307-99D3-B4905023B257}"/>
    <cellStyle name="60% - Énfasis6 2 9" xfId="255" xr:uid="{C59A5D93-B4C8-4C48-94AA-AD25AD429038}"/>
    <cellStyle name="60% - Énfasis6 20" xfId="1467" xr:uid="{647353A1-A419-478C-8EE0-85324C5CFC6D}"/>
    <cellStyle name="60% - Énfasis6 20 2" xfId="2932" xr:uid="{D87F1567-2C55-4D21-A076-8F561489CAC8}"/>
    <cellStyle name="60% - Énfasis6 20 2 2" xfId="6664" xr:uid="{1D4B1BAE-2FA4-4696-8BCB-32237B1F0769}"/>
    <cellStyle name="60% - Énfasis6 20 2 2 2" xfId="14372" xr:uid="{80F6373D-A8DF-474B-99BF-E5705B652563}"/>
    <cellStyle name="60% - Énfasis6 20 2 2 2 2" xfId="29784" xr:uid="{6239E222-B343-4264-925F-F2B7E617CA27}"/>
    <cellStyle name="60% - Énfasis6 20 2 2 2 2 2" xfId="56612" xr:uid="{AB0080C3-465F-4B27-8613-AEEDDB6A37DB}"/>
    <cellStyle name="60% - Énfasis6 20 2 2 2 3" xfId="56611" xr:uid="{4C5D8173-6420-4795-8156-B4155916BE69}"/>
    <cellStyle name="60% - Énfasis6 20 2 2 3" xfId="22079" xr:uid="{1A6F09B6-5202-4398-8FD8-4B055F43468A}"/>
    <cellStyle name="60% - Énfasis6 20 2 2 3 2" xfId="56613" xr:uid="{AE1FED45-5CEF-417D-92E5-75951CEA7282}"/>
    <cellStyle name="60% - Énfasis6 20 2 2 4" xfId="56610" xr:uid="{2E584AAB-063F-40B7-9997-771EE12724D4}"/>
    <cellStyle name="60% - Énfasis6 20 2 3" xfId="10643" xr:uid="{A29D6D75-9B8E-4E4C-A10E-59785367DB69}"/>
    <cellStyle name="60% - Énfasis6 20 2 3 2" xfId="26056" xr:uid="{EE405735-6858-49AD-A262-A169B883FBD1}"/>
    <cellStyle name="60% - Énfasis6 20 2 3 2 2" xfId="56615" xr:uid="{A3BE02C5-5E5C-441F-B4A7-A2F211E5DD1A}"/>
    <cellStyle name="60% - Énfasis6 20 2 3 3" xfId="56614" xr:uid="{919F3249-EAF6-4B12-8BB3-172C4BA03E09}"/>
    <cellStyle name="60% - Énfasis6 20 2 4" xfId="18351" xr:uid="{9303253F-4952-4C8B-98B3-811AB5F0EBEF}"/>
    <cellStyle name="60% - Énfasis6 20 2 4 2" xfId="56616" xr:uid="{1732DF4C-277A-45E7-9FB4-61537C90763E}"/>
    <cellStyle name="60% - Énfasis6 20 2 5" xfId="56609" xr:uid="{EDF735FD-AB99-4917-9AAA-F022906B1EEB}"/>
    <cellStyle name="60% - Énfasis6 20 3" xfId="5203" xr:uid="{A52374DF-3CD1-4513-A41E-6B65E0EC086E}"/>
    <cellStyle name="60% - Énfasis6 20 3 2" xfId="12911" xr:uid="{0D9EF231-E8A1-4D83-AD92-15986E1DFB07}"/>
    <cellStyle name="60% - Énfasis6 20 3 2 2" xfId="28323" xr:uid="{87CDD92F-EFE6-49A5-9CD1-457AC320CCB1}"/>
    <cellStyle name="60% - Énfasis6 20 3 2 2 2" xfId="56619" xr:uid="{49FEDE14-0CE8-4505-98DF-3DCF5352DD93}"/>
    <cellStyle name="60% - Énfasis6 20 3 2 3" xfId="56618" xr:uid="{CC84CF62-5098-4E7F-A6D0-F74D88D3502F}"/>
    <cellStyle name="60% - Énfasis6 20 3 3" xfId="20618" xr:uid="{88546A6E-3C9B-4616-A656-94BE06093B77}"/>
    <cellStyle name="60% - Énfasis6 20 3 3 2" xfId="56620" xr:uid="{E6951333-125F-4687-9AF8-1FDF1F64894C}"/>
    <cellStyle name="60% - Énfasis6 20 3 4" xfId="56617" xr:uid="{21CBA2C8-FADB-4A8A-AE94-98728A7AFC98}"/>
    <cellStyle name="60% - Énfasis6 20 4" xfId="9184" xr:uid="{3E8D0308-45BA-49A2-94BB-E2280A1A92AB}"/>
    <cellStyle name="60% - Énfasis6 20 4 2" xfId="24597" xr:uid="{DC7083D2-B4AA-4BEC-A6AA-2E7102A28CF3}"/>
    <cellStyle name="60% - Énfasis6 20 4 2 2" xfId="56622" xr:uid="{C9FB6B5D-B49A-4445-BB8E-CBBB2E9930B9}"/>
    <cellStyle name="60% - Énfasis6 20 4 3" xfId="56621" xr:uid="{1D707D77-3A94-4E89-A5DE-E29439D26CB7}"/>
    <cellStyle name="60% - Énfasis6 20 5" xfId="16892" xr:uid="{EC6B3DBE-0E07-457F-B7EC-D32E5EA43AAD}"/>
    <cellStyle name="60% - Énfasis6 20 5 2" xfId="56623" xr:uid="{46099DC8-F0A5-4CF7-8402-CD22963FE537}"/>
    <cellStyle name="60% - Énfasis6 20 6" xfId="56608" xr:uid="{02C4F53E-12A8-450E-BC49-71B6E616A409}"/>
    <cellStyle name="60% - Énfasis6 21" xfId="1487" xr:uid="{3F87FB43-0995-45AF-BAD4-F65E510D7EE0}"/>
    <cellStyle name="60% - Énfasis6 21 2" xfId="2952" xr:uid="{5C18C7E1-175D-49E0-B0C1-AA1DF5F31962}"/>
    <cellStyle name="60% - Énfasis6 21 2 2" xfId="6684" xr:uid="{C8A0F33B-2E35-4E29-B9A8-AC46CEE7D4FE}"/>
    <cellStyle name="60% - Énfasis6 21 2 2 2" xfId="14392" xr:uid="{EC5238AB-000F-4E4C-82DE-A98FD4EB49B4}"/>
    <cellStyle name="60% - Énfasis6 21 2 2 2 2" xfId="29804" xr:uid="{CEF1BF56-AAFE-4FF9-82B9-CBAF3AA1468C}"/>
    <cellStyle name="60% - Énfasis6 21 2 2 2 2 2" xfId="56628" xr:uid="{1C0989FB-D11A-416A-80D8-B32E8CC80AC1}"/>
    <cellStyle name="60% - Énfasis6 21 2 2 2 3" xfId="56627" xr:uid="{9DAAF9FA-7BF5-4231-AFF1-9E1893647B10}"/>
    <cellStyle name="60% - Énfasis6 21 2 2 3" xfId="22099" xr:uid="{6F115D82-3FC2-4CEB-9F41-0BB337A68546}"/>
    <cellStyle name="60% - Énfasis6 21 2 2 3 2" xfId="56629" xr:uid="{F96CEC4A-D566-4088-98ED-B217934A96E5}"/>
    <cellStyle name="60% - Énfasis6 21 2 2 4" xfId="56626" xr:uid="{F12858FB-48E2-4401-BCDF-B151FEDF8C82}"/>
    <cellStyle name="60% - Énfasis6 21 2 3" xfId="10663" xr:uid="{90E13848-6FDF-4B61-B237-82080074772A}"/>
    <cellStyle name="60% - Énfasis6 21 2 3 2" xfId="26076" xr:uid="{B1F668BB-471F-4174-8DFA-9AEA4C293021}"/>
    <cellStyle name="60% - Énfasis6 21 2 3 2 2" xfId="56631" xr:uid="{EB0C074F-B852-4ACE-BD09-D5766AAFFCB5}"/>
    <cellStyle name="60% - Énfasis6 21 2 3 3" xfId="56630" xr:uid="{33E30CCA-F71A-40E4-B7CD-A2B5BC5C956D}"/>
    <cellStyle name="60% - Énfasis6 21 2 4" xfId="18371" xr:uid="{C003DFB7-37A9-4F37-9CC5-EEE4AF1E634E}"/>
    <cellStyle name="60% - Énfasis6 21 2 4 2" xfId="56632" xr:uid="{508352F7-F769-4F0C-9F1F-6A820AB3DC89}"/>
    <cellStyle name="60% - Énfasis6 21 2 5" xfId="56625" xr:uid="{1572D9A7-BD2E-4FBE-A142-C5A55F19C4BF}"/>
    <cellStyle name="60% - Énfasis6 21 3" xfId="5223" xr:uid="{E20C3387-AEFD-4641-A5BA-DFAA85BEB854}"/>
    <cellStyle name="60% - Énfasis6 21 3 2" xfId="12931" xr:uid="{55FC66DB-BB89-4C77-B946-229E9E969798}"/>
    <cellStyle name="60% - Énfasis6 21 3 2 2" xfId="28343" xr:uid="{FA491F94-8555-442E-9918-CD2D41B916EB}"/>
    <cellStyle name="60% - Énfasis6 21 3 2 2 2" xfId="56635" xr:uid="{6936DC77-DA28-401C-AC9F-FE08418ED0E2}"/>
    <cellStyle name="60% - Énfasis6 21 3 2 3" xfId="56634" xr:uid="{1642C27F-F387-4D26-BF4A-35C32FBD6247}"/>
    <cellStyle name="60% - Énfasis6 21 3 3" xfId="20638" xr:uid="{67F68C88-319A-4C6A-A5C2-E40CFA8C7795}"/>
    <cellStyle name="60% - Énfasis6 21 3 3 2" xfId="56636" xr:uid="{D569C9A8-0037-4318-B264-8480E0810ACA}"/>
    <cellStyle name="60% - Énfasis6 21 3 4" xfId="56633" xr:uid="{E30CC438-10F8-4C9F-A18D-993B347A9358}"/>
    <cellStyle name="60% - Énfasis6 21 4" xfId="9204" xr:uid="{AC15F1C8-252B-4046-8088-06FAD27EA23F}"/>
    <cellStyle name="60% - Énfasis6 21 4 2" xfId="24617" xr:uid="{665B0090-D432-4EE7-94EA-935223F2C5CD}"/>
    <cellStyle name="60% - Énfasis6 21 4 2 2" xfId="56638" xr:uid="{4C222D74-F5AF-4B5D-BFEE-956EAEA1A7BE}"/>
    <cellStyle name="60% - Énfasis6 21 4 3" xfId="56637" xr:uid="{84B3B8D7-D177-480E-8F65-1D2DDAAAE3DA}"/>
    <cellStyle name="60% - Énfasis6 21 5" xfId="16912" xr:uid="{A001C833-0941-46B6-B71D-A8BE3B421CF0}"/>
    <cellStyle name="60% - Énfasis6 21 5 2" xfId="56639" xr:uid="{9D9017FF-B0FC-481E-ADC8-2881926BFF1D}"/>
    <cellStyle name="60% - Énfasis6 21 6" xfId="56624" xr:uid="{E31988B3-BD0B-4361-8A8D-DDC22DE1F1B3}"/>
    <cellStyle name="60% - Énfasis6 22" xfId="1507" xr:uid="{769C6612-C02E-4D69-8A51-65C722837CB4}"/>
    <cellStyle name="60% - Énfasis6 22 2" xfId="2972" xr:uid="{53ABC79E-2844-462B-AC6B-B4B5CE4376BF}"/>
    <cellStyle name="60% - Énfasis6 22 2 2" xfId="6704" xr:uid="{825C6948-86C5-4D98-9401-ED6C3579D060}"/>
    <cellStyle name="60% - Énfasis6 22 2 2 2" xfId="14412" xr:uid="{7141C174-A734-40EB-9765-ED9E243BD391}"/>
    <cellStyle name="60% - Énfasis6 22 2 2 2 2" xfId="29824" xr:uid="{918D5958-F128-47DF-BD6B-FE9B79AE5F0C}"/>
    <cellStyle name="60% - Énfasis6 22 2 2 2 2 2" xfId="56644" xr:uid="{DC2748CB-B84D-4E33-A091-9BC7B67F4300}"/>
    <cellStyle name="60% - Énfasis6 22 2 2 2 3" xfId="56643" xr:uid="{CB0F8D47-2648-4659-AA99-A36AB638B2A2}"/>
    <cellStyle name="60% - Énfasis6 22 2 2 3" xfId="22119" xr:uid="{101C8487-5CDD-42C5-B3AA-C956BACA6280}"/>
    <cellStyle name="60% - Énfasis6 22 2 2 3 2" xfId="56645" xr:uid="{35762C03-A14E-4754-B4CF-137B74B11B19}"/>
    <cellStyle name="60% - Énfasis6 22 2 2 4" xfId="56642" xr:uid="{71361825-83E1-4DA4-BC65-F06FC8F6D754}"/>
    <cellStyle name="60% - Énfasis6 22 2 3" xfId="10683" xr:uid="{ACE2569F-4F74-40E1-A749-78CC31FE3968}"/>
    <cellStyle name="60% - Énfasis6 22 2 3 2" xfId="26096" xr:uid="{EC272995-F16A-4705-8AD3-347D8F408423}"/>
    <cellStyle name="60% - Énfasis6 22 2 3 2 2" xfId="56647" xr:uid="{23B91DCE-1CDA-431A-B8F4-285E70342AA2}"/>
    <cellStyle name="60% - Énfasis6 22 2 3 3" xfId="56646" xr:uid="{4E29D0E2-0647-4E80-A3B1-B74445C29005}"/>
    <cellStyle name="60% - Énfasis6 22 2 4" xfId="18391" xr:uid="{5D2BCAA5-ECB2-49B1-9B71-C26F2F380F62}"/>
    <cellStyle name="60% - Énfasis6 22 2 4 2" xfId="56648" xr:uid="{38D37EB8-E2DD-4270-9704-0AE6B30BF372}"/>
    <cellStyle name="60% - Énfasis6 22 2 5" xfId="56641" xr:uid="{3BCC4781-3CDE-4E18-AC41-71E5AE39B1A9}"/>
    <cellStyle name="60% - Énfasis6 22 3" xfId="5243" xr:uid="{9263F059-8D97-4BB7-BF0E-0898C372B45F}"/>
    <cellStyle name="60% - Énfasis6 22 3 2" xfId="12951" xr:uid="{56F18F23-10CC-4D91-B0ED-19CB615F69A0}"/>
    <cellStyle name="60% - Énfasis6 22 3 2 2" xfId="28363" xr:uid="{2314E373-8881-439C-8E46-A0285202CA95}"/>
    <cellStyle name="60% - Énfasis6 22 3 2 2 2" xfId="56651" xr:uid="{5C091971-BA1A-4763-A45C-8FEF64B0B0F7}"/>
    <cellStyle name="60% - Énfasis6 22 3 2 3" xfId="56650" xr:uid="{D60052D7-05E6-451C-9D39-D577ABDE0802}"/>
    <cellStyle name="60% - Énfasis6 22 3 3" xfId="20658" xr:uid="{9F2ABF97-E0CD-4338-A112-9DE04B149770}"/>
    <cellStyle name="60% - Énfasis6 22 3 3 2" xfId="56652" xr:uid="{75F29714-F59C-4AF7-93FF-A29ECCA080B7}"/>
    <cellStyle name="60% - Énfasis6 22 3 4" xfId="56649" xr:uid="{0F874EC2-859B-4EAB-A3AB-E977531C27EC}"/>
    <cellStyle name="60% - Énfasis6 22 4" xfId="9224" xr:uid="{4C0750BD-ABBC-4766-824E-62C7B4E50A21}"/>
    <cellStyle name="60% - Énfasis6 22 4 2" xfId="24637" xr:uid="{C8C927C5-7ECA-464F-8091-52325B15E656}"/>
    <cellStyle name="60% - Énfasis6 22 4 2 2" xfId="56654" xr:uid="{37386B68-7C38-4EF6-B935-25F8A6780FA4}"/>
    <cellStyle name="60% - Énfasis6 22 4 3" xfId="56653" xr:uid="{44D9CE89-41F2-4021-B1F2-52D4505894B6}"/>
    <cellStyle name="60% - Énfasis6 22 5" xfId="16932" xr:uid="{BD82E6F2-A6E3-4C07-B6C5-FE3568790310}"/>
    <cellStyle name="60% - Énfasis6 22 5 2" xfId="56655" xr:uid="{51C08A93-ED94-48EF-A2EB-4E8BFCFE7BAE}"/>
    <cellStyle name="60% - Énfasis6 22 6" xfId="56640" xr:uid="{E640D4E6-028D-4589-A8EB-63460EDD4A41}"/>
    <cellStyle name="60% - Énfasis6 23" xfId="1527" xr:uid="{668F62B1-E5EB-4773-A4F2-013BE5FE3CD4}"/>
    <cellStyle name="60% - Énfasis6 23 2" xfId="2992" xr:uid="{83AC35F4-F4E9-4F3E-91C1-93BF6C0CC960}"/>
    <cellStyle name="60% - Énfasis6 23 2 2" xfId="6724" xr:uid="{D3049C3F-CB2A-4C1C-998B-F21CC380B98E}"/>
    <cellStyle name="60% - Énfasis6 23 2 2 2" xfId="14432" xr:uid="{3877D546-1A99-40B5-90F4-0002CE017C04}"/>
    <cellStyle name="60% - Énfasis6 23 2 2 2 2" xfId="29844" xr:uid="{FAD1113F-3AF4-4CF0-8BAB-120751FF5BD1}"/>
    <cellStyle name="60% - Énfasis6 23 2 2 2 2 2" xfId="56660" xr:uid="{FA022FA1-526C-4209-BA92-D9125D13A4AB}"/>
    <cellStyle name="60% - Énfasis6 23 2 2 2 3" xfId="56659" xr:uid="{487B19B2-A04A-47C4-A02C-EA1A390E6624}"/>
    <cellStyle name="60% - Énfasis6 23 2 2 3" xfId="22139" xr:uid="{AFA17F95-8440-450E-ADF0-696C180210C5}"/>
    <cellStyle name="60% - Énfasis6 23 2 2 3 2" xfId="56661" xr:uid="{1A86147C-0A38-4C67-B7A0-8464D1DDBAAE}"/>
    <cellStyle name="60% - Énfasis6 23 2 2 4" xfId="56658" xr:uid="{AB3CF3AD-6FFC-435E-942D-C44D3F83B960}"/>
    <cellStyle name="60% - Énfasis6 23 2 3" xfId="10703" xr:uid="{A6BBB7C3-71F0-454B-9416-23B046C82384}"/>
    <cellStyle name="60% - Énfasis6 23 2 3 2" xfId="26116" xr:uid="{A7886468-1456-4285-A3D1-9CE0F74BD8E9}"/>
    <cellStyle name="60% - Énfasis6 23 2 3 2 2" xfId="56663" xr:uid="{02A94AA1-4E3A-4B2F-8233-3EA0D7517C93}"/>
    <cellStyle name="60% - Énfasis6 23 2 3 3" xfId="56662" xr:uid="{80B1B852-AD10-4D2F-92A5-0DEFCC10B52B}"/>
    <cellStyle name="60% - Énfasis6 23 2 4" xfId="18411" xr:uid="{15EF45CC-8899-4049-B878-9A767CA1684A}"/>
    <cellStyle name="60% - Énfasis6 23 2 4 2" xfId="56664" xr:uid="{7CA33B05-A889-4CED-B2FE-CE1018D4A9F5}"/>
    <cellStyle name="60% - Énfasis6 23 2 5" xfId="56657" xr:uid="{70A400E1-5064-4D4E-ACD4-634C7EEC3761}"/>
    <cellStyle name="60% - Énfasis6 23 3" xfId="5263" xr:uid="{782A0CB5-504D-4D42-B3EE-D71CFC3DA067}"/>
    <cellStyle name="60% - Énfasis6 23 3 2" xfId="12971" xr:uid="{CFBAD8D0-0C91-4748-9F00-8EB15FE3594F}"/>
    <cellStyle name="60% - Énfasis6 23 3 2 2" xfId="28383" xr:uid="{A7B112E4-842F-42E6-BE83-FE4864D0FAF3}"/>
    <cellStyle name="60% - Énfasis6 23 3 2 2 2" xfId="56667" xr:uid="{1C68DA95-7C72-4555-85D5-5D372DF40DA2}"/>
    <cellStyle name="60% - Énfasis6 23 3 2 3" xfId="56666" xr:uid="{4ABD4BDC-932F-48CA-A6E5-A57673F03C53}"/>
    <cellStyle name="60% - Énfasis6 23 3 3" xfId="20678" xr:uid="{393ADA05-12ED-49E0-A137-CECFD485CE4F}"/>
    <cellStyle name="60% - Énfasis6 23 3 3 2" xfId="56668" xr:uid="{4851DAFA-B9EE-4424-A36B-D42284E4CA32}"/>
    <cellStyle name="60% - Énfasis6 23 3 4" xfId="56665" xr:uid="{D7220230-372A-405F-B42D-08832A872619}"/>
    <cellStyle name="60% - Énfasis6 23 4" xfId="9244" xr:uid="{C3ACE10D-5663-4142-8614-30C0C43F01DC}"/>
    <cellStyle name="60% - Énfasis6 23 4 2" xfId="24657" xr:uid="{C2AEEED0-2258-44AE-860E-233CB6E5D5CB}"/>
    <cellStyle name="60% - Énfasis6 23 4 2 2" xfId="56670" xr:uid="{BFF55CEE-BFF8-40ED-8CB3-7B7166B3B1DE}"/>
    <cellStyle name="60% - Énfasis6 23 4 3" xfId="56669" xr:uid="{D3B6A141-4405-445C-A30A-A2B331F31514}"/>
    <cellStyle name="60% - Énfasis6 23 5" xfId="16952" xr:uid="{2CDEC77B-828D-4139-BA04-E9D9DA5DDB27}"/>
    <cellStyle name="60% - Énfasis6 23 5 2" xfId="56671" xr:uid="{DB5AF349-6ECF-47EA-BA17-446D66C48501}"/>
    <cellStyle name="60% - Énfasis6 23 6" xfId="56656" xr:uid="{122A70B9-90F1-4631-A36F-D8AE457F8F26}"/>
    <cellStyle name="60% - Énfasis6 24" xfId="1547" xr:uid="{A50CF6F3-95ED-4794-9A19-1996E03BCB2C}"/>
    <cellStyle name="60% - Énfasis6 24 2" xfId="3012" xr:uid="{12282AD2-7ADD-48C3-BFA8-10C101B34F3C}"/>
    <cellStyle name="60% - Énfasis6 24 2 2" xfId="6744" xr:uid="{73159287-B82B-4731-B47A-CAFAD883A180}"/>
    <cellStyle name="60% - Énfasis6 24 2 2 2" xfId="14452" xr:uid="{3AFFA0C2-091D-4764-B37C-88CE385B8EF8}"/>
    <cellStyle name="60% - Énfasis6 24 2 2 2 2" xfId="29864" xr:uid="{E222BAC9-1C2B-40B9-B682-8BA71F183D2F}"/>
    <cellStyle name="60% - Énfasis6 24 2 2 2 2 2" xfId="56676" xr:uid="{E69B7E7B-C440-4985-AE55-EA562772C9A5}"/>
    <cellStyle name="60% - Énfasis6 24 2 2 2 3" xfId="56675" xr:uid="{3B6B7AD5-CEFA-461A-A6CE-4CAD4CFFED9B}"/>
    <cellStyle name="60% - Énfasis6 24 2 2 3" xfId="22159" xr:uid="{A3F2AF03-1761-420C-BAF7-F838657FA493}"/>
    <cellStyle name="60% - Énfasis6 24 2 2 3 2" xfId="56677" xr:uid="{11CD105C-C6EA-4644-B48D-1C48DBDCB920}"/>
    <cellStyle name="60% - Énfasis6 24 2 2 4" xfId="56674" xr:uid="{1DEBC30F-AD04-43AF-9847-5D45C3410DBE}"/>
    <cellStyle name="60% - Énfasis6 24 2 3" xfId="10723" xr:uid="{478AE921-B84C-4BB2-9F15-D8090435B92C}"/>
    <cellStyle name="60% - Énfasis6 24 2 3 2" xfId="26136" xr:uid="{332ED0BE-10F8-43FC-8E64-9D01F7166B4E}"/>
    <cellStyle name="60% - Énfasis6 24 2 3 2 2" xfId="56679" xr:uid="{B52A23EC-1219-4648-A47B-61C2B41592D8}"/>
    <cellStyle name="60% - Énfasis6 24 2 3 3" xfId="56678" xr:uid="{29147D32-2455-46A3-A8DB-109570899186}"/>
    <cellStyle name="60% - Énfasis6 24 2 4" xfId="18431" xr:uid="{0C412AAA-D421-457D-AA6D-7744A9D77A49}"/>
    <cellStyle name="60% - Énfasis6 24 2 4 2" xfId="56680" xr:uid="{75D8147D-B78B-4C3D-A891-EFBE2E931A56}"/>
    <cellStyle name="60% - Énfasis6 24 2 5" xfId="56673" xr:uid="{A729B771-C807-4631-83DA-6A3888CC2029}"/>
    <cellStyle name="60% - Énfasis6 24 3" xfId="5283" xr:uid="{188360F2-B286-46D8-B20D-72590DBE3D99}"/>
    <cellStyle name="60% - Énfasis6 24 3 2" xfId="12991" xr:uid="{B525A97B-D42B-4169-BC79-F491F74162AE}"/>
    <cellStyle name="60% - Énfasis6 24 3 2 2" xfId="28403" xr:uid="{EE76A2AA-3551-4F2B-B675-523EC19F1A6D}"/>
    <cellStyle name="60% - Énfasis6 24 3 2 2 2" xfId="56683" xr:uid="{406B3E7D-618B-43A3-A0E3-D2778F7F2C32}"/>
    <cellStyle name="60% - Énfasis6 24 3 2 3" xfId="56682" xr:uid="{F68B09D2-BBA1-4624-A35C-B3C3ED8A0C92}"/>
    <cellStyle name="60% - Énfasis6 24 3 3" xfId="20698" xr:uid="{B570C6C5-DAD5-4ED5-9E48-A64DE7D701E2}"/>
    <cellStyle name="60% - Énfasis6 24 3 3 2" xfId="56684" xr:uid="{E1CA5F03-46EE-4F46-9129-A094624E2A5F}"/>
    <cellStyle name="60% - Énfasis6 24 3 4" xfId="56681" xr:uid="{966DB4BF-2B51-4B08-8EBF-C3F973202526}"/>
    <cellStyle name="60% - Énfasis6 24 4" xfId="9264" xr:uid="{309BBE19-55F2-4471-9B71-BB85EBAB8569}"/>
    <cellStyle name="60% - Énfasis6 24 4 2" xfId="24677" xr:uid="{B0839D38-11B7-4137-85BF-6DFB48B105A3}"/>
    <cellStyle name="60% - Énfasis6 24 4 2 2" xfId="56686" xr:uid="{915FBFEB-254F-45E2-99A0-54A0F138021D}"/>
    <cellStyle name="60% - Énfasis6 24 4 3" xfId="56685" xr:uid="{F97E0F6D-8C18-4795-B3FB-5F4C56779D0C}"/>
    <cellStyle name="60% - Énfasis6 24 5" xfId="16972" xr:uid="{C40ACC40-9A4A-4401-876A-262A1812B307}"/>
    <cellStyle name="60% - Énfasis6 24 5 2" xfId="56687" xr:uid="{B090B34E-64D8-46A8-998C-054F2994C2F2}"/>
    <cellStyle name="60% - Énfasis6 24 6" xfId="56672" xr:uid="{2337848F-153B-4C27-A474-010EEB1D23DE}"/>
    <cellStyle name="60% - Énfasis6 25" xfId="1567" xr:uid="{987C2030-FE81-473E-B2E6-B9056ADABFF1}"/>
    <cellStyle name="60% - Énfasis6 25 2" xfId="3032" xr:uid="{3522916B-677A-45F0-815F-5B7399909541}"/>
    <cellStyle name="60% - Énfasis6 25 2 2" xfId="6764" xr:uid="{5E348465-3F3C-4D1C-A96D-3FCB3CCDF4E9}"/>
    <cellStyle name="60% - Énfasis6 25 2 2 2" xfId="14472" xr:uid="{8C88B904-C9DE-439C-9733-5D246C6A9EA9}"/>
    <cellStyle name="60% - Énfasis6 25 2 2 2 2" xfId="29884" xr:uid="{FDA6CB00-0F39-4D94-B692-D83B92AF3A0F}"/>
    <cellStyle name="60% - Énfasis6 25 2 2 2 2 2" xfId="56692" xr:uid="{847E4DDA-D25F-412F-A833-38675DCC013E}"/>
    <cellStyle name="60% - Énfasis6 25 2 2 2 3" xfId="56691" xr:uid="{1586EB0E-D778-4C60-B190-25A00EC5F38A}"/>
    <cellStyle name="60% - Énfasis6 25 2 2 3" xfId="22179" xr:uid="{EECE2DA3-630A-4B8E-9771-1653F083173A}"/>
    <cellStyle name="60% - Énfasis6 25 2 2 3 2" xfId="56693" xr:uid="{C0612A27-2A71-4FD9-BA59-97923005ED8B}"/>
    <cellStyle name="60% - Énfasis6 25 2 2 4" xfId="56690" xr:uid="{5F2B6712-BC0D-426D-9A47-D45B0640BC81}"/>
    <cellStyle name="60% - Énfasis6 25 2 3" xfId="10743" xr:uid="{B909446F-5CF2-41A7-B5E6-90162DA8FC88}"/>
    <cellStyle name="60% - Énfasis6 25 2 3 2" xfId="26156" xr:uid="{CD1A6223-64E7-407D-BD61-2242CFE8D6D2}"/>
    <cellStyle name="60% - Énfasis6 25 2 3 2 2" xfId="56695" xr:uid="{5C74337E-A0D4-4BE1-A4F5-AC29F415604C}"/>
    <cellStyle name="60% - Énfasis6 25 2 3 3" xfId="56694" xr:uid="{AFD6BCB7-45C8-4355-A3CB-C65462CD465C}"/>
    <cellStyle name="60% - Énfasis6 25 2 4" xfId="18451" xr:uid="{84A6CB1C-76D3-4990-8204-BE4F92879BBA}"/>
    <cellStyle name="60% - Énfasis6 25 2 4 2" xfId="56696" xr:uid="{12526E5D-7390-41D8-83D6-187B75DA47C9}"/>
    <cellStyle name="60% - Énfasis6 25 2 5" xfId="56689" xr:uid="{077521D3-D7FB-4F97-93B2-0E7F0073017B}"/>
    <cellStyle name="60% - Énfasis6 25 3" xfId="5303" xr:uid="{246B3B71-3C49-42ED-9330-9ED723C044DF}"/>
    <cellStyle name="60% - Énfasis6 25 3 2" xfId="13011" xr:uid="{32C08063-3AB7-4D58-AACB-4366831AD2EB}"/>
    <cellStyle name="60% - Énfasis6 25 3 2 2" xfId="28423" xr:uid="{DC3BAB1A-E26A-470B-97BA-85A2994E17FC}"/>
    <cellStyle name="60% - Énfasis6 25 3 2 2 2" xfId="56699" xr:uid="{0FA66368-1AA1-40F6-8CBE-48E1B45AA140}"/>
    <cellStyle name="60% - Énfasis6 25 3 2 3" xfId="56698" xr:uid="{38B252DA-1680-4E33-839A-7E263EB48555}"/>
    <cellStyle name="60% - Énfasis6 25 3 3" xfId="20718" xr:uid="{DB44432D-82D9-4B2E-AC60-4AB52E3812CB}"/>
    <cellStyle name="60% - Énfasis6 25 3 3 2" xfId="56700" xr:uid="{39579CCD-316E-400B-BA91-16B05956105A}"/>
    <cellStyle name="60% - Énfasis6 25 3 4" xfId="56697" xr:uid="{E344FEFE-C82F-4779-9BE4-95F42D8A3227}"/>
    <cellStyle name="60% - Énfasis6 25 4" xfId="9284" xr:uid="{06E24402-B321-4547-B7E8-B7DB74CF6191}"/>
    <cellStyle name="60% - Énfasis6 25 4 2" xfId="24697" xr:uid="{A2E56E60-D918-4E96-BDEA-32E2282FB04D}"/>
    <cellStyle name="60% - Énfasis6 25 4 2 2" xfId="56702" xr:uid="{0987206A-E603-46DE-BFD7-744760D28408}"/>
    <cellStyle name="60% - Énfasis6 25 4 3" xfId="56701" xr:uid="{5A321C09-343D-4216-A997-9CB1A84009F9}"/>
    <cellStyle name="60% - Énfasis6 25 5" xfId="16992" xr:uid="{410E29BD-6900-4156-B259-E7A970E65F4A}"/>
    <cellStyle name="60% - Énfasis6 25 5 2" xfId="56703" xr:uid="{2E625BAC-0E4E-4926-B0ED-D5E0896F9500}"/>
    <cellStyle name="60% - Énfasis6 25 6" xfId="56688" xr:uid="{E9B18C6C-6053-40D9-8436-7AB145418BA0}"/>
    <cellStyle name="60% - Énfasis6 26" xfId="1587" xr:uid="{DE6CE0CA-B0DD-4F84-9251-615A6F0B720B}"/>
    <cellStyle name="60% - Énfasis6 26 2" xfId="3052" xr:uid="{05973E9B-828B-42A0-B3A8-140DEB42B788}"/>
    <cellStyle name="60% - Énfasis6 26 2 2" xfId="6784" xr:uid="{20B8A18B-68B9-49F7-8F9F-5A628243A31E}"/>
    <cellStyle name="60% - Énfasis6 26 2 2 2" xfId="14492" xr:uid="{A567B441-6261-4E85-8079-795B595BE7D6}"/>
    <cellStyle name="60% - Énfasis6 26 2 2 2 2" xfId="29904" xr:uid="{533245EF-66EF-4B50-9AC7-967190B76BC6}"/>
    <cellStyle name="60% - Énfasis6 26 2 2 2 2 2" xfId="56708" xr:uid="{43DB4A8C-5B3B-4495-A747-6CF76B3EE56D}"/>
    <cellStyle name="60% - Énfasis6 26 2 2 2 3" xfId="56707" xr:uid="{057759BE-A6B6-4457-AE11-3D81733D493B}"/>
    <cellStyle name="60% - Énfasis6 26 2 2 3" xfId="22199" xr:uid="{B80B2ADB-A106-47DF-898B-2CEEB249F90F}"/>
    <cellStyle name="60% - Énfasis6 26 2 2 3 2" xfId="56709" xr:uid="{33E0F8C8-C0C8-45EC-9E33-AECCF3875CA0}"/>
    <cellStyle name="60% - Énfasis6 26 2 2 4" xfId="56706" xr:uid="{29B4BF92-61DB-4D64-AFC5-9E0D6D208057}"/>
    <cellStyle name="60% - Énfasis6 26 2 3" xfId="10763" xr:uid="{E7286A25-56BA-4C30-8340-23C98886B211}"/>
    <cellStyle name="60% - Énfasis6 26 2 3 2" xfId="26176" xr:uid="{EE59DFB5-DA5D-4F97-93CD-9886CE071A95}"/>
    <cellStyle name="60% - Énfasis6 26 2 3 2 2" xfId="56711" xr:uid="{6FB52304-750A-4D1B-A359-7BC2EE1304D7}"/>
    <cellStyle name="60% - Énfasis6 26 2 3 3" xfId="56710" xr:uid="{4EB9A450-0EBD-4D49-AEA0-D0D57EA3C359}"/>
    <cellStyle name="60% - Énfasis6 26 2 4" xfId="18471" xr:uid="{DA99E87A-2867-4387-9F60-4035C9C37690}"/>
    <cellStyle name="60% - Énfasis6 26 2 4 2" xfId="56712" xr:uid="{AB1269DF-3463-47D9-8690-AF5C95EB16A4}"/>
    <cellStyle name="60% - Énfasis6 26 2 5" xfId="56705" xr:uid="{EA325148-CC88-4FE7-9A5B-721D0172E8A2}"/>
    <cellStyle name="60% - Énfasis6 26 3" xfId="5323" xr:uid="{C5BBD1A9-0041-437B-A48D-7776E7B65A00}"/>
    <cellStyle name="60% - Énfasis6 26 3 2" xfId="13031" xr:uid="{98234B32-BB71-4120-9FE5-4F5A7BB648DD}"/>
    <cellStyle name="60% - Énfasis6 26 3 2 2" xfId="28443" xr:uid="{48EF937E-3B5F-42F4-935D-EEBD453D005F}"/>
    <cellStyle name="60% - Énfasis6 26 3 2 2 2" xfId="56715" xr:uid="{596D7716-FF4F-4A31-A1FC-A94940B24FDB}"/>
    <cellStyle name="60% - Énfasis6 26 3 2 3" xfId="56714" xr:uid="{D7653B2D-A109-43F4-AC55-A059CBA37607}"/>
    <cellStyle name="60% - Énfasis6 26 3 3" xfId="20738" xr:uid="{2A0337FF-F7D7-46CC-9AA1-C7E4CC67EF9D}"/>
    <cellStyle name="60% - Énfasis6 26 3 3 2" xfId="56716" xr:uid="{73242B72-200B-4E86-8774-00A24310791E}"/>
    <cellStyle name="60% - Énfasis6 26 3 4" xfId="56713" xr:uid="{4E9C2472-8E24-4CDE-B0C0-FE3C2E2389ED}"/>
    <cellStyle name="60% - Énfasis6 26 4" xfId="9304" xr:uid="{3CE4C235-0042-46E8-8141-07AEEE747619}"/>
    <cellStyle name="60% - Énfasis6 26 4 2" xfId="24717" xr:uid="{D050215F-D20A-4576-AE5C-994B1A06CC1A}"/>
    <cellStyle name="60% - Énfasis6 26 4 2 2" xfId="56718" xr:uid="{A649F97C-3799-4D29-BC7F-DC449F23280F}"/>
    <cellStyle name="60% - Énfasis6 26 4 3" xfId="56717" xr:uid="{2C95C9CD-2FDE-4074-9A02-E41181865BC6}"/>
    <cellStyle name="60% - Énfasis6 26 5" xfId="17012" xr:uid="{39361AE6-7025-48F7-B6E4-17D36C9C300F}"/>
    <cellStyle name="60% - Énfasis6 26 5 2" xfId="56719" xr:uid="{D0B3FDC8-C1D1-4C98-8AF3-EB0021A3FD3E}"/>
    <cellStyle name="60% - Énfasis6 26 6" xfId="56704" xr:uid="{47D33197-8551-44F3-A492-A840AD2BC4B7}"/>
    <cellStyle name="60% - Énfasis6 27" xfId="1608" xr:uid="{73B253D0-8398-4F1C-AFEA-4B4ABAB6A441}"/>
    <cellStyle name="60% - Énfasis6 27 2" xfId="3073" xr:uid="{575A1483-9C41-404E-96F0-4C58C0E7367D}"/>
    <cellStyle name="60% - Énfasis6 27 2 2" xfId="6805" xr:uid="{F623FFAE-5698-4286-BDFB-E75AB631561F}"/>
    <cellStyle name="60% - Énfasis6 27 2 2 2" xfId="14513" xr:uid="{E45A5A14-53E4-4931-86B7-5296EA1AEB88}"/>
    <cellStyle name="60% - Énfasis6 27 2 2 2 2" xfId="29925" xr:uid="{863B69FA-DAC3-4FB4-A601-1753FD11CE71}"/>
    <cellStyle name="60% - Énfasis6 27 2 2 2 2 2" xfId="56724" xr:uid="{64019C4F-5CD1-42B8-9A4E-69AB6DB40B60}"/>
    <cellStyle name="60% - Énfasis6 27 2 2 2 3" xfId="56723" xr:uid="{D75F2446-F407-4348-A95B-4858F21D561F}"/>
    <cellStyle name="60% - Énfasis6 27 2 2 3" xfId="22220" xr:uid="{F56E0D9B-457C-448C-9EDF-0E8D3F9B662B}"/>
    <cellStyle name="60% - Énfasis6 27 2 2 3 2" xfId="56725" xr:uid="{3A8217A2-A2FF-4F95-9A88-3E9E5B4E3762}"/>
    <cellStyle name="60% - Énfasis6 27 2 2 4" xfId="56722" xr:uid="{5F8D1409-C5C1-45B6-9B42-7188D0FE9708}"/>
    <cellStyle name="60% - Énfasis6 27 2 3" xfId="10784" xr:uid="{47677F32-0E5A-4183-A25F-9C2FFA5373D1}"/>
    <cellStyle name="60% - Énfasis6 27 2 3 2" xfId="26197" xr:uid="{E37C9671-D324-4871-8A2C-E76189562B4C}"/>
    <cellStyle name="60% - Énfasis6 27 2 3 2 2" xfId="56727" xr:uid="{10BE01E8-299D-4E32-9A44-FF4167CD54D2}"/>
    <cellStyle name="60% - Énfasis6 27 2 3 3" xfId="56726" xr:uid="{762F8602-266A-4416-9223-B2403A7CFE5A}"/>
    <cellStyle name="60% - Énfasis6 27 2 4" xfId="18492" xr:uid="{A0B3219C-C3B5-42EF-AFB3-5C0AAFD05C6D}"/>
    <cellStyle name="60% - Énfasis6 27 2 4 2" xfId="56728" xr:uid="{2503516D-E7E8-487E-A61E-3601FCE3BA93}"/>
    <cellStyle name="60% - Énfasis6 27 2 5" xfId="56721" xr:uid="{BB95745A-896A-4D81-BDE3-CA09223E134D}"/>
    <cellStyle name="60% - Énfasis6 27 3" xfId="5344" xr:uid="{B65CE04A-F410-477A-8360-09A09DD465DD}"/>
    <cellStyle name="60% - Énfasis6 27 3 2" xfId="13052" xr:uid="{257D649F-2EAE-4018-9366-CB93B7805E3B}"/>
    <cellStyle name="60% - Énfasis6 27 3 2 2" xfId="28464" xr:uid="{6C450714-AEF2-42AF-8754-04EC67697F77}"/>
    <cellStyle name="60% - Énfasis6 27 3 2 2 2" xfId="56731" xr:uid="{CE6EE2D0-C62A-4EF6-B684-3B165811718C}"/>
    <cellStyle name="60% - Énfasis6 27 3 2 3" xfId="56730" xr:uid="{A39FC22E-3E60-4998-9098-85E0341ED362}"/>
    <cellStyle name="60% - Énfasis6 27 3 3" xfId="20759" xr:uid="{B6FB5ADB-722A-47C3-B509-29FAC628524F}"/>
    <cellStyle name="60% - Énfasis6 27 3 3 2" xfId="56732" xr:uid="{E48D0CA5-68AA-4A56-A01E-4262834784EE}"/>
    <cellStyle name="60% - Énfasis6 27 3 4" xfId="56729" xr:uid="{26B68AB7-7F86-4421-82EA-A271EB46B506}"/>
    <cellStyle name="60% - Énfasis6 27 4" xfId="9325" xr:uid="{34296915-40E3-44EF-A588-32643E445EA4}"/>
    <cellStyle name="60% - Énfasis6 27 4 2" xfId="24738" xr:uid="{AA3CACA2-8B31-415A-8406-87B46F05EACE}"/>
    <cellStyle name="60% - Énfasis6 27 4 2 2" xfId="56734" xr:uid="{CF7DE0D1-EC60-4330-B0D1-9C21614BA0AB}"/>
    <cellStyle name="60% - Énfasis6 27 4 3" xfId="56733" xr:uid="{0F8CB845-ED79-4C39-B2DE-C790E097E383}"/>
    <cellStyle name="60% - Énfasis6 27 5" xfId="17033" xr:uid="{B29A2282-FC9C-4B19-898B-7229A9D6F9E8}"/>
    <cellStyle name="60% - Énfasis6 27 5 2" xfId="56735" xr:uid="{DF5763ED-CC1F-4A4D-A7BD-BCCD44A5B9F0}"/>
    <cellStyle name="60% - Énfasis6 27 6" xfId="56720" xr:uid="{3DA52438-B35B-4F85-9E2B-8D04DCDBAF58}"/>
    <cellStyle name="60% - Énfasis6 28" xfId="3093" xr:uid="{76B814E9-BC9E-4AEE-B339-AEDAE8E62A6E}"/>
    <cellStyle name="60% - Énfasis6 28 2" xfId="6825" xr:uid="{68877A3A-FDF8-4738-A32D-0AE1F27AC01C}"/>
    <cellStyle name="60% - Énfasis6 28 2 2" xfId="14533" xr:uid="{7BE28E11-BF8C-4861-99DB-B9D4BBA913F3}"/>
    <cellStyle name="60% - Énfasis6 28 2 2 2" xfId="29945" xr:uid="{F5067E37-CBD4-4E96-9350-2E884CFB099C}"/>
    <cellStyle name="60% - Énfasis6 28 2 2 2 2" xfId="56739" xr:uid="{2EB22D8F-1B82-46F7-8D0F-4DBBAF1BD4F1}"/>
    <cellStyle name="60% - Énfasis6 28 2 2 3" xfId="56738" xr:uid="{DC18D56D-F59D-4242-9017-929C06737A7C}"/>
    <cellStyle name="60% - Énfasis6 28 2 3" xfId="22240" xr:uid="{0AAD3A87-F03C-42B7-A988-1AAAB48C4561}"/>
    <cellStyle name="60% - Énfasis6 28 2 3 2" xfId="56740" xr:uid="{3F664F47-6801-43EF-B9B0-D4C84CC17BE1}"/>
    <cellStyle name="60% - Énfasis6 28 2 4" xfId="56737" xr:uid="{73F615B4-29E6-4A0E-80BA-70EEF5FD1B9A}"/>
    <cellStyle name="60% - Énfasis6 28 3" xfId="10804" xr:uid="{115493BA-5842-446D-8B4F-76586515E036}"/>
    <cellStyle name="60% - Énfasis6 28 3 2" xfId="26217" xr:uid="{379DB230-8C33-48CB-B102-D4C6E4B6C37D}"/>
    <cellStyle name="60% - Énfasis6 28 3 2 2" xfId="56742" xr:uid="{CE6E442B-8737-4883-B9B2-5A137D339F90}"/>
    <cellStyle name="60% - Énfasis6 28 3 3" xfId="56741" xr:uid="{14D1E7CD-D0F1-4F30-BAC4-CB5FDB3A9D25}"/>
    <cellStyle name="60% - Énfasis6 28 4" xfId="18512" xr:uid="{ED8BB4EC-D149-42F7-BA5E-6A608569E31F}"/>
    <cellStyle name="60% - Énfasis6 28 4 2" xfId="56743" xr:uid="{28BBADEE-83F3-43E9-B092-9D6EEC41CE6E}"/>
    <cellStyle name="60% - Énfasis6 28 5" xfId="56736" xr:uid="{1C182506-8F5C-4DF6-8F93-098FD4534C30}"/>
    <cellStyle name="60% - Énfasis6 29" xfId="3113" xr:uid="{FD16B2B7-D433-4B9C-9FD6-E1D05C07AD51}"/>
    <cellStyle name="60% - Énfasis6 29 2" xfId="6845" xr:uid="{5D351596-E301-4E55-A99E-A6F81608E63C}"/>
    <cellStyle name="60% - Énfasis6 29 2 2" xfId="14553" xr:uid="{56F3E755-EFDE-4019-893A-AEF6AB59F552}"/>
    <cellStyle name="60% - Énfasis6 29 2 2 2" xfId="29965" xr:uid="{C14A81E5-7447-443B-BBB3-2E594EBEA885}"/>
    <cellStyle name="60% - Énfasis6 29 2 2 2 2" xfId="56747" xr:uid="{40EF40FD-1BDF-4926-84D4-1284B2CB58CE}"/>
    <cellStyle name="60% - Énfasis6 29 2 2 3" xfId="56746" xr:uid="{CB214B03-EBAE-476C-92FB-A0762F00488B}"/>
    <cellStyle name="60% - Énfasis6 29 2 3" xfId="22260" xr:uid="{BA3D5A4E-F235-4576-9C1F-398CEA5D4736}"/>
    <cellStyle name="60% - Énfasis6 29 2 3 2" xfId="56748" xr:uid="{36EA5BC0-D9D6-4F60-A217-E5AE01B52093}"/>
    <cellStyle name="60% - Énfasis6 29 2 4" xfId="56745" xr:uid="{9BB6F425-AAE0-40B1-BB25-165244695B0B}"/>
    <cellStyle name="60% - Énfasis6 29 3" xfId="10824" xr:uid="{4568D43E-A012-4101-85E5-51BFAA93F255}"/>
    <cellStyle name="60% - Énfasis6 29 3 2" xfId="26237" xr:uid="{4DA57325-98C3-4CCE-BE5F-A2E5E9452D94}"/>
    <cellStyle name="60% - Énfasis6 29 3 2 2" xfId="56750" xr:uid="{828A0ADB-4DEE-41EA-AB08-9DE3C47ED68E}"/>
    <cellStyle name="60% - Énfasis6 29 3 3" xfId="56749" xr:uid="{5C09C9A6-05A6-4C30-BBF8-959AC14C4C16}"/>
    <cellStyle name="60% - Énfasis6 29 4" xfId="18532" xr:uid="{15BEF6B6-3163-43CA-BD4C-63C9A276CE67}"/>
    <cellStyle name="60% - Énfasis6 29 4 2" xfId="56751" xr:uid="{5CBFF372-2F5D-4769-8817-0C5D476DF991}"/>
    <cellStyle name="60% - Énfasis6 29 5" xfId="56744" xr:uid="{B389D1DF-1500-4566-8133-8319C6E494E1}"/>
    <cellStyle name="60% - Énfasis6 3" xfId="278" xr:uid="{EAA8C606-67FA-412F-86AA-2395B02311B0}"/>
    <cellStyle name="60% - Énfasis6 3 2" xfId="481" xr:uid="{B22CE02D-B434-4996-91E0-0588B643CAA6}"/>
    <cellStyle name="60% - Énfasis6 3 2 2" xfId="1142" xr:uid="{FF9E257C-5F4A-4C72-B086-909079821CE2}"/>
    <cellStyle name="60% - Énfasis6 3 2 2 2" xfId="2610" xr:uid="{F9CB3A55-462A-4195-9887-314FA7ABEF82}"/>
    <cellStyle name="60% - Énfasis6 3 2 2 2 2" xfId="6342" xr:uid="{E94A7A85-8C1D-42F8-A292-EB459E25BFBF}"/>
    <cellStyle name="60% - Énfasis6 3 2 2 2 2 2" xfId="14050" xr:uid="{9CABE416-958B-405D-BF5B-140FD52CA7B6}"/>
    <cellStyle name="60% - Énfasis6 3 2 2 2 2 2 2" xfId="29462" xr:uid="{3D6A7724-B56F-45BB-B2F0-C001658805E8}"/>
    <cellStyle name="60% - Énfasis6 3 2 2 2 2 2 2 2" xfId="56758" xr:uid="{B9C6347E-6D99-42AE-AA7C-1225A2ADA914}"/>
    <cellStyle name="60% - Énfasis6 3 2 2 2 2 2 3" xfId="56757" xr:uid="{5F113DAE-6FC6-42B9-89B8-2724FBECD9A3}"/>
    <cellStyle name="60% - Énfasis6 3 2 2 2 2 3" xfId="21757" xr:uid="{FFCADD2F-1E90-493B-9A8D-92A81A2AA7B1}"/>
    <cellStyle name="60% - Énfasis6 3 2 2 2 2 3 2" xfId="56759" xr:uid="{9A7E6219-5532-4DF1-A0F4-DAF551A76008}"/>
    <cellStyle name="60% - Énfasis6 3 2 2 2 2 4" xfId="56756" xr:uid="{67218118-EB7F-4279-A250-ABDE93C0F593}"/>
    <cellStyle name="60% - Énfasis6 3 2 2 2 3" xfId="10321" xr:uid="{ADC936D2-CD86-4F59-9025-8E85753EA06D}"/>
    <cellStyle name="60% - Énfasis6 3 2 2 2 3 2" xfId="25734" xr:uid="{3CF35FDB-917C-41CE-B75F-171E1C1155C9}"/>
    <cellStyle name="60% - Énfasis6 3 2 2 2 3 2 2" xfId="56761" xr:uid="{70D6DA92-AEA4-4652-A568-F5A7FFEA3C9B}"/>
    <cellStyle name="60% - Énfasis6 3 2 2 2 3 3" xfId="56760" xr:uid="{668D6232-F1D8-4BE9-8C68-DE6B45821C4C}"/>
    <cellStyle name="60% - Énfasis6 3 2 2 2 4" xfId="18029" xr:uid="{AECE76DC-27C3-4185-8F97-0B0B9F8145E4}"/>
    <cellStyle name="60% - Énfasis6 3 2 2 2 4 2" xfId="56762" xr:uid="{1EDB49E9-FAFD-4679-9D31-F47236344576}"/>
    <cellStyle name="60% - Énfasis6 3 2 2 2 5" xfId="56755" xr:uid="{84B29E52-3CE8-420E-B4E5-8D6992CC5BF1}"/>
    <cellStyle name="60% - Énfasis6 3 2 2 3" xfId="4879" xr:uid="{871D0BA6-810B-4159-856D-641D4470EBF5}"/>
    <cellStyle name="60% - Énfasis6 3 2 2 3 2" xfId="12587" xr:uid="{B4132AF7-08E6-4C2A-A8AE-2ADE7F8F5E10}"/>
    <cellStyle name="60% - Énfasis6 3 2 2 3 2 2" xfId="27999" xr:uid="{4842853D-53BD-41E6-8040-009F244961E5}"/>
    <cellStyle name="60% - Énfasis6 3 2 2 3 2 2 2" xfId="56765" xr:uid="{0430670D-224A-4739-B805-98D228320CC7}"/>
    <cellStyle name="60% - Énfasis6 3 2 2 3 2 3" xfId="56764" xr:uid="{57E0FE8C-259C-44E7-8C56-719223564DBD}"/>
    <cellStyle name="60% - Énfasis6 3 2 2 3 3" xfId="20294" xr:uid="{C70781B7-66D1-4FDA-B588-90605A0C8787}"/>
    <cellStyle name="60% - Énfasis6 3 2 2 3 3 2" xfId="56766" xr:uid="{E4545621-97E7-4120-9B07-47FBB885224D}"/>
    <cellStyle name="60% - Énfasis6 3 2 2 3 4" xfId="56763" xr:uid="{526F47EA-D6C4-4B54-ADE3-585B06E400EC}"/>
    <cellStyle name="60% - Énfasis6 3 2 2 4" xfId="8862" xr:uid="{6C963C01-724D-406B-8461-E82A46A62E7F}"/>
    <cellStyle name="60% - Énfasis6 3 2 2 4 2" xfId="24275" xr:uid="{8B9D3BDE-B82C-41B7-8B0B-BCC4670406A1}"/>
    <cellStyle name="60% - Énfasis6 3 2 2 4 2 2" xfId="56768" xr:uid="{1AD52420-F58A-4FA2-8E13-01D9207F28E8}"/>
    <cellStyle name="60% - Énfasis6 3 2 2 4 3" xfId="56767" xr:uid="{4EF5A77E-6AD8-4E89-A6D3-0A3DA8658753}"/>
    <cellStyle name="60% - Énfasis6 3 2 2 5" xfId="16570" xr:uid="{D87B79DE-048B-449D-8D19-2A1EF8611B7B}"/>
    <cellStyle name="60% - Énfasis6 3 2 2 5 2" xfId="56769" xr:uid="{8D3E94C2-1CDD-432F-B163-F6F8BC26704D}"/>
    <cellStyle name="60% - Énfasis6 3 2 2 6" xfId="56754" xr:uid="{4F435170-D5B1-429A-8601-8F5461A8DE6D}"/>
    <cellStyle name="60% - Énfasis6 3 2 3" xfId="1972" xr:uid="{38CE28E4-CD25-46A9-9390-3600541A1B93}"/>
    <cellStyle name="60% - Énfasis6 3 2 3 2" xfId="5704" xr:uid="{56B69D20-1455-4D7F-9D59-6EBA7A380025}"/>
    <cellStyle name="60% - Énfasis6 3 2 3 2 2" xfId="13412" xr:uid="{6A57E8E1-D242-487C-9097-1A37EDED5D6A}"/>
    <cellStyle name="60% - Énfasis6 3 2 3 2 2 2" xfId="28824" xr:uid="{2D9BB231-05C3-4328-8C08-D5EEEBB09C82}"/>
    <cellStyle name="60% - Énfasis6 3 2 3 2 2 2 2" xfId="56773" xr:uid="{D9E57F2E-80A5-4E0C-BA09-82CCA246C6C5}"/>
    <cellStyle name="60% - Énfasis6 3 2 3 2 2 3" xfId="56772" xr:uid="{66F140BF-C360-4772-99B7-4828C287D76F}"/>
    <cellStyle name="60% - Énfasis6 3 2 3 2 3" xfId="21119" xr:uid="{C27A04AB-F75F-460C-9D59-D7646F703651}"/>
    <cellStyle name="60% - Énfasis6 3 2 3 2 3 2" xfId="56774" xr:uid="{AA4A04E9-65A4-4345-B2D4-BE771CDE9CBB}"/>
    <cellStyle name="60% - Énfasis6 3 2 3 2 4" xfId="56771" xr:uid="{5CCAA90A-0D40-4820-832B-740AD5E9C2E0}"/>
    <cellStyle name="60% - Énfasis6 3 2 3 3" xfId="9683" xr:uid="{A06DD849-16E0-4627-9E96-0C2105CD9DDD}"/>
    <cellStyle name="60% - Énfasis6 3 2 3 3 2" xfId="25096" xr:uid="{800285C1-9395-45BC-B5A8-A186DBC6B837}"/>
    <cellStyle name="60% - Énfasis6 3 2 3 3 2 2" xfId="56776" xr:uid="{BBBB0717-77CC-40CB-9F1B-BBB4862AEF38}"/>
    <cellStyle name="60% - Énfasis6 3 2 3 3 3" xfId="56775" xr:uid="{A784759F-81E6-479C-87FC-BC7C74F1EC5C}"/>
    <cellStyle name="60% - Énfasis6 3 2 3 4" xfId="17391" xr:uid="{94DA1CC4-54CE-4E11-9070-E87AA2084FAD}"/>
    <cellStyle name="60% - Énfasis6 3 2 3 4 2" xfId="56777" xr:uid="{77B053E1-310E-460E-9FD3-E3348F2EF7E9}"/>
    <cellStyle name="60% - Énfasis6 3 2 3 5" xfId="56770" xr:uid="{006D3D81-CF93-47A0-BC8F-410311A202A4}"/>
    <cellStyle name="60% - Énfasis6 3 2 4" xfId="4227" xr:uid="{128C7F59-AE40-4BE9-92FD-D586948BFE06}"/>
    <cellStyle name="60% - Énfasis6 3 2 4 2" xfId="11935" xr:uid="{68EE3333-D668-46CD-8984-43E72EEDCFF2}"/>
    <cellStyle name="60% - Énfasis6 3 2 4 2 2" xfId="27347" xr:uid="{C2492CEA-4DE1-42EF-927D-F786716A4CE4}"/>
    <cellStyle name="60% - Énfasis6 3 2 4 2 2 2" xfId="56780" xr:uid="{FD207FAA-84D6-4E27-A5F2-A219B3814C9C}"/>
    <cellStyle name="60% - Énfasis6 3 2 4 2 3" xfId="56779" xr:uid="{E0B8B725-AAF3-4927-9A14-82A547682B1D}"/>
    <cellStyle name="60% - Énfasis6 3 2 4 3" xfId="19642" xr:uid="{82C692C9-6419-4413-9041-02C2254A5130}"/>
    <cellStyle name="60% - Énfasis6 3 2 4 3 2" xfId="56781" xr:uid="{DB6235A8-4E39-49A7-A21B-8D84FA0E29B2}"/>
    <cellStyle name="60% - Énfasis6 3 2 4 4" xfId="56778" xr:uid="{546DE43C-5A92-4DAB-9A57-58EAB0583EEE}"/>
    <cellStyle name="60% - Énfasis6 3 2 5" xfId="8224" xr:uid="{98A4D3F8-5EAD-4E69-84C3-AEFDC77AF6E9}"/>
    <cellStyle name="60% - Énfasis6 3 2 5 2" xfId="23637" xr:uid="{A384CE33-1630-443F-9099-ADD4B494742D}"/>
    <cellStyle name="60% - Énfasis6 3 2 5 2 2" xfId="56783" xr:uid="{53A752E1-D6DA-446F-8FC2-5D47BABB40CF}"/>
    <cellStyle name="60% - Énfasis6 3 2 5 3" xfId="56782" xr:uid="{FA2AAC4B-20AA-4EB5-B6DB-E11489923FFC}"/>
    <cellStyle name="60% - Énfasis6 3 2 6" xfId="15932" xr:uid="{08EE9445-0327-4205-A593-46E832A4DDA6}"/>
    <cellStyle name="60% - Énfasis6 3 2 6 2" xfId="56784" xr:uid="{A3427E70-A9D8-45ED-A6FB-E99C30FC5A88}"/>
    <cellStyle name="60% - Énfasis6 3 2 7" xfId="56753" xr:uid="{B820613D-246F-4AA7-913C-C5F5F7EE9E4C}"/>
    <cellStyle name="60% - Énfasis6 3 3" xfId="942" xr:uid="{E2CF08FC-A900-4FEB-93EF-6F2EACE211E1}"/>
    <cellStyle name="60% - Énfasis6 3 3 2" xfId="2412" xr:uid="{39C9C972-FD13-4874-8799-ACB656E8B9D3}"/>
    <cellStyle name="60% - Énfasis6 3 3 2 2" xfId="6144" xr:uid="{68AF7C29-190A-486B-927B-06B8AC168DA2}"/>
    <cellStyle name="60% - Énfasis6 3 3 2 2 2" xfId="13852" xr:uid="{7A399EC4-0009-49D2-B795-B6955A7D7564}"/>
    <cellStyle name="60% - Énfasis6 3 3 2 2 2 2" xfId="29264" xr:uid="{79385AAF-33DE-4877-8933-7F45E51256A7}"/>
    <cellStyle name="60% - Énfasis6 3 3 2 2 2 2 2" xfId="56789" xr:uid="{65BA2E89-25EF-4274-A9FF-54804B0C05AF}"/>
    <cellStyle name="60% - Énfasis6 3 3 2 2 2 3" xfId="56788" xr:uid="{60E45262-A012-43A3-8C63-14002CA609B9}"/>
    <cellStyle name="60% - Énfasis6 3 3 2 2 3" xfId="21559" xr:uid="{44F78760-9D80-4964-BF63-5A35B4F9A91A}"/>
    <cellStyle name="60% - Énfasis6 3 3 2 2 3 2" xfId="56790" xr:uid="{E12554AB-1210-4906-9E66-860CD29326BC}"/>
    <cellStyle name="60% - Énfasis6 3 3 2 2 4" xfId="56787" xr:uid="{C01A5C07-A5E0-4403-8C67-7DFF30032BB4}"/>
    <cellStyle name="60% - Énfasis6 3 3 2 3" xfId="10123" xr:uid="{3AA3E0A3-732B-4F07-8562-7BACF2909884}"/>
    <cellStyle name="60% - Énfasis6 3 3 2 3 2" xfId="25536" xr:uid="{9E858472-2923-491C-829F-7AA30EAB9981}"/>
    <cellStyle name="60% - Énfasis6 3 3 2 3 2 2" xfId="56792" xr:uid="{655B8478-C9E0-4430-98CC-C9E371E93CA8}"/>
    <cellStyle name="60% - Énfasis6 3 3 2 3 3" xfId="56791" xr:uid="{AE5BDC9F-8284-4FA6-B1BE-70C87E3537D8}"/>
    <cellStyle name="60% - Énfasis6 3 3 2 4" xfId="17831" xr:uid="{EF1D8EF7-708E-4A3B-8E75-4228845AB1A2}"/>
    <cellStyle name="60% - Énfasis6 3 3 2 4 2" xfId="56793" xr:uid="{799EBEAF-CEFB-491D-8681-CAB492783C55}"/>
    <cellStyle name="60% - Énfasis6 3 3 2 5" xfId="56786" xr:uid="{7CCAE313-D7FE-421B-BAD7-EC3A256C76B4}"/>
    <cellStyle name="60% - Énfasis6 3 3 3" xfId="4679" xr:uid="{58D12FCC-31D5-4AA7-A0C6-3994644E5C56}"/>
    <cellStyle name="60% - Énfasis6 3 3 3 2" xfId="12387" xr:uid="{2FF98149-C003-4083-B380-B08290D3D10F}"/>
    <cellStyle name="60% - Énfasis6 3 3 3 2 2" xfId="27799" xr:uid="{8242C617-8F38-402A-989D-B65012394E20}"/>
    <cellStyle name="60% - Énfasis6 3 3 3 2 2 2" xfId="56796" xr:uid="{1A58EF44-0514-4C24-A629-90808E68D6FC}"/>
    <cellStyle name="60% - Énfasis6 3 3 3 2 3" xfId="56795" xr:uid="{007CCEDD-894E-4C52-8C8E-4B2E007B0EE6}"/>
    <cellStyle name="60% - Énfasis6 3 3 3 3" xfId="20094" xr:uid="{8FE6294A-6998-4090-B7CD-D7A6FAE64807}"/>
    <cellStyle name="60% - Énfasis6 3 3 3 3 2" xfId="56797" xr:uid="{63525075-95E8-42B4-8158-904AA147A97B}"/>
    <cellStyle name="60% - Énfasis6 3 3 3 4" xfId="56794" xr:uid="{11BF0873-15A3-4FA6-8E58-1EA035426035}"/>
    <cellStyle name="60% - Énfasis6 3 3 4" xfId="8664" xr:uid="{C17669E4-6D93-4BF9-96BC-E99C02CC92DA}"/>
    <cellStyle name="60% - Énfasis6 3 3 4 2" xfId="24077" xr:uid="{6F0135C3-AEAC-4ECC-AAA8-BC7565298621}"/>
    <cellStyle name="60% - Énfasis6 3 3 4 2 2" xfId="56799" xr:uid="{F917E7D1-3AB8-4B60-867B-5629AFCE1878}"/>
    <cellStyle name="60% - Énfasis6 3 3 4 3" xfId="56798" xr:uid="{A43E1BE8-181C-435C-9D32-2928F159F444}"/>
    <cellStyle name="60% - Énfasis6 3 3 5" xfId="16372" xr:uid="{D26C7A03-025F-4C1B-9D82-3E2C70E04DBF}"/>
    <cellStyle name="60% - Énfasis6 3 3 5 2" xfId="56800" xr:uid="{852D094B-2F56-4182-B403-E6E7F9656735}"/>
    <cellStyle name="60% - Énfasis6 3 3 6" xfId="56785" xr:uid="{B6FEFFE4-E24B-4285-B9BF-2F290831C011}"/>
    <cellStyle name="60% - Énfasis6 3 4" xfId="1774" xr:uid="{4E088636-E282-4038-8B82-FB6DBF56C1DE}"/>
    <cellStyle name="60% - Énfasis6 3 4 2" xfId="5506" xr:uid="{B31DE8F1-4CB8-4D86-9420-0B5B026A5A41}"/>
    <cellStyle name="60% - Énfasis6 3 4 2 2" xfId="13214" xr:uid="{FDF7792C-75F1-4C8B-A862-6753230AC654}"/>
    <cellStyle name="60% - Énfasis6 3 4 2 2 2" xfId="28626" xr:uid="{489ACD73-A7E5-41F7-9413-632772489311}"/>
    <cellStyle name="60% - Énfasis6 3 4 2 2 2 2" xfId="56804" xr:uid="{07D2F145-3F65-4F80-8BA0-F103A669D56E}"/>
    <cellStyle name="60% - Énfasis6 3 4 2 2 3" xfId="56803" xr:uid="{7FAF7493-6F96-4BD6-AA32-6671275F5EA2}"/>
    <cellStyle name="60% - Énfasis6 3 4 2 3" xfId="20921" xr:uid="{3EBBE658-CD34-43C1-B606-A52AABE0747D}"/>
    <cellStyle name="60% - Énfasis6 3 4 2 3 2" xfId="56805" xr:uid="{CEE1FE5C-C869-4F51-B009-B785213EE8CD}"/>
    <cellStyle name="60% - Énfasis6 3 4 2 4" xfId="56802" xr:uid="{9EC09AD6-0BE0-49DE-AEDF-34DEBE5B3637}"/>
    <cellStyle name="60% - Énfasis6 3 4 3" xfId="9485" xr:uid="{48A2C74A-1D6A-4758-B2AD-17E94DDFEB2C}"/>
    <cellStyle name="60% - Énfasis6 3 4 3 2" xfId="24898" xr:uid="{93AC88A7-0384-47F9-B310-44FD7BF6EF47}"/>
    <cellStyle name="60% - Énfasis6 3 4 3 2 2" xfId="56807" xr:uid="{F329F8BC-E4A0-4C13-9040-11CDE99BDAE8}"/>
    <cellStyle name="60% - Énfasis6 3 4 3 3" xfId="56806" xr:uid="{F58F5C0F-B371-4B36-933C-DD682807750E}"/>
    <cellStyle name="60% - Énfasis6 3 4 4" xfId="17193" xr:uid="{F02EB828-C6B3-49A5-8CCA-8EE8DA5E0F55}"/>
    <cellStyle name="60% - Énfasis6 3 4 4 2" xfId="56808" xr:uid="{2A02268B-15F2-4BC3-8B6D-8575641D4E35}"/>
    <cellStyle name="60% - Énfasis6 3 4 5" xfId="56801" xr:uid="{A9D60A19-2D27-40AE-B65C-459F693155C3}"/>
    <cellStyle name="60% - Énfasis6 3 5" xfId="4027" xr:uid="{5C21A15F-74F2-4C4A-8091-820913F4A28D}"/>
    <cellStyle name="60% - Énfasis6 3 5 2" xfId="11735" xr:uid="{318E0B1C-F54D-4F86-B8DA-280AD02E304C}"/>
    <cellStyle name="60% - Énfasis6 3 5 2 2" xfId="27147" xr:uid="{0A0BC882-2892-4336-B0D1-C35549528599}"/>
    <cellStyle name="60% - Énfasis6 3 5 2 2 2" xfId="56811" xr:uid="{E1AB9A5D-0338-4099-9A1D-2D35F10BD83B}"/>
    <cellStyle name="60% - Énfasis6 3 5 2 3" xfId="56810" xr:uid="{13035707-2D90-4247-B82D-BB17293C61FA}"/>
    <cellStyle name="60% - Énfasis6 3 5 3" xfId="19442" xr:uid="{EB3786C1-CA83-4FED-883F-AB1AEF9DD0A2}"/>
    <cellStyle name="60% - Énfasis6 3 5 3 2" xfId="56812" xr:uid="{5589C638-7765-4549-88FA-7CEE830D42F5}"/>
    <cellStyle name="60% - Énfasis6 3 5 4" xfId="56809" xr:uid="{E8783992-73B7-45E3-9D6F-9693B3F0C9AB}"/>
    <cellStyle name="60% - Énfasis6 3 6" xfId="8026" xr:uid="{71130740-8A51-4AC3-B09C-D2E7B3726263}"/>
    <cellStyle name="60% - Énfasis6 3 6 2" xfId="23439" xr:uid="{26FC05EF-0601-4F0C-80F6-4528594EBFEC}"/>
    <cellStyle name="60% - Énfasis6 3 6 2 2" xfId="56814" xr:uid="{B5CAFD77-A545-4B71-BB36-D100EAA3FEB1}"/>
    <cellStyle name="60% - Énfasis6 3 6 3" xfId="56813" xr:uid="{9A47D264-22A7-441F-ADE5-A739E60D9E1B}"/>
    <cellStyle name="60% - Énfasis6 3 7" xfId="15734" xr:uid="{3A16A7D8-9B0B-4C25-96F6-34EFEB1C50D1}"/>
    <cellStyle name="60% - Énfasis6 3 7 2" xfId="56815" xr:uid="{5478D7D2-604F-4D9A-A8A7-EE48843BFC06}"/>
    <cellStyle name="60% - Énfasis6 3 8" xfId="56752" xr:uid="{8D28B2D1-EDAB-4531-8A18-F1C943F31459}"/>
    <cellStyle name="60% - Énfasis6 30" xfId="3133" xr:uid="{415DC507-A6F1-4DA3-9AA5-91CE157CD5C0}"/>
    <cellStyle name="60% - Énfasis6 30 2" xfId="6865" xr:uid="{DA6334A0-5BFC-45DD-BFB0-2A92DF584E4C}"/>
    <cellStyle name="60% - Énfasis6 30 2 2" xfId="14573" xr:uid="{1626DAAD-34B9-4C04-99A6-B806093EB36E}"/>
    <cellStyle name="60% - Énfasis6 30 2 2 2" xfId="29985" xr:uid="{769A93EA-4638-4B8E-8C3E-374EC49C5FCE}"/>
    <cellStyle name="60% - Énfasis6 30 2 2 2 2" xfId="56819" xr:uid="{7DA6A4F7-8ED2-4A78-ABEC-EB78B38BFD53}"/>
    <cellStyle name="60% - Énfasis6 30 2 2 3" xfId="56818" xr:uid="{5CFC9DBD-628F-4DBA-8FFE-FA8092227C7C}"/>
    <cellStyle name="60% - Énfasis6 30 2 3" xfId="22280" xr:uid="{62AA498E-B188-478C-AEEF-C611F90E60C6}"/>
    <cellStyle name="60% - Énfasis6 30 2 3 2" xfId="56820" xr:uid="{DFB2B3FE-20C9-4D41-9F57-4C9C23777942}"/>
    <cellStyle name="60% - Énfasis6 30 2 4" xfId="56817" xr:uid="{3D48B570-C9A0-47B9-BB49-8940B74186F1}"/>
    <cellStyle name="60% - Énfasis6 30 3" xfId="10844" xr:uid="{A2D56138-9017-4974-AE74-51853C731A99}"/>
    <cellStyle name="60% - Énfasis6 30 3 2" xfId="26257" xr:uid="{63637049-2C3A-46DB-9C99-A01771CB0D64}"/>
    <cellStyle name="60% - Énfasis6 30 3 2 2" xfId="56822" xr:uid="{D5FF1081-C942-408F-BDD8-0CC17CDC31A5}"/>
    <cellStyle name="60% - Énfasis6 30 3 3" xfId="56821" xr:uid="{F6C97829-36A4-419B-940C-85A0DB124DC1}"/>
    <cellStyle name="60% - Énfasis6 30 4" xfId="18552" xr:uid="{4C2C5DF3-1EA3-400F-9DB1-6A2093301AEC}"/>
    <cellStyle name="60% - Énfasis6 30 4 2" xfId="56823" xr:uid="{F3B71C13-B204-4AA0-A1F5-E9FE4D2D4003}"/>
    <cellStyle name="60% - Énfasis6 30 5" xfId="56816" xr:uid="{75923380-46BE-4C70-8B3B-0D785B657CF5}"/>
    <cellStyle name="60% - Énfasis6 31" xfId="3153" xr:uid="{4C758128-F096-42DD-9070-C650FC0962C0}"/>
    <cellStyle name="60% - Énfasis6 31 2" xfId="6885" xr:uid="{7EE0ACB2-2C82-48D9-9409-3975F688950F}"/>
    <cellStyle name="60% - Énfasis6 31 2 2" xfId="14593" xr:uid="{FD3A2D9A-5262-4451-8B75-41E09EFA4B94}"/>
    <cellStyle name="60% - Énfasis6 31 2 2 2" xfId="30005" xr:uid="{B72D379F-BDC9-473C-8642-A815CD2BF6A3}"/>
    <cellStyle name="60% - Énfasis6 31 2 2 2 2" xfId="56827" xr:uid="{AAE498FA-B004-4BB7-AD6F-2D7B494ED494}"/>
    <cellStyle name="60% - Énfasis6 31 2 2 3" xfId="56826" xr:uid="{6C9BDB52-0082-4725-9C16-25ACD61B1CA3}"/>
    <cellStyle name="60% - Énfasis6 31 2 3" xfId="22300" xr:uid="{C6D26A7C-5540-493C-8C6C-A351643C4942}"/>
    <cellStyle name="60% - Énfasis6 31 2 3 2" xfId="56828" xr:uid="{13964F19-0486-46EE-8F8B-AFFBA5BD4AAF}"/>
    <cellStyle name="60% - Énfasis6 31 2 4" xfId="56825" xr:uid="{F9807AEE-0CFC-4A04-90B0-F90D4C4A74D5}"/>
    <cellStyle name="60% - Énfasis6 31 3" xfId="10864" xr:uid="{C3983680-D507-42B5-8937-37AA9574188D}"/>
    <cellStyle name="60% - Énfasis6 31 3 2" xfId="26277" xr:uid="{3D013C84-A382-449C-A248-21658962C36B}"/>
    <cellStyle name="60% - Énfasis6 31 3 2 2" xfId="56830" xr:uid="{D641837A-E95B-4BC3-A11A-7FCF7A6C2E2F}"/>
    <cellStyle name="60% - Énfasis6 31 3 3" xfId="56829" xr:uid="{B72C001D-63CE-45FA-A15B-4D8553C7BB5D}"/>
    <cellStyle name="60% - Énfasis6 31 4" xfId="18572" xr:uid="{9EC46E57-4A6B-44A9-AC04-6770E1DD2E66}"/>
    <cellStyle name="60% - Énfasis6 31 4 2" xfId="56831" xr:uid="{64277A27-9449-4E5E-AD95-03E87A47599B}"/>
    <cellStyle name="60% - Énfasis6 31 5" xfId="56824" xr:uid="{4954DE0F-0771-4333-AF3D-BE5419B973BA}"/>
    <cellStyle name="60% - Énfasis6 32" xfId="3173" xr:uid="{12D827C9-513F-42BF-9B31-40767ED17B8E}"/>
    <cellStyle name="60% - Énfasis6 32 2" xfId="6905" xr:uid="{35ED42C4-9498-4E68-A76C-7A1FC4A8E4DE}"/>
    <cellStyle name="60% - Énfasis6 32 2 2" xfId="14613" xr:uid="{6FAF0AF2-5E01-462A-8E61-873E3A01ACFA}"/>
    <cellStyle name="60% - Énfasis6 32 2 2 2" xfId="30025" xr:uid="{BF52F901-4389-48F5-875F-807E744C6ABD}"/>
    <cellStyle name="60% - Énfasis6 32 2 2 2 2" xfId="56835" xr:uid="{A1C073DB-4817-4A7D-9332-BD72DCEA5320}"/>
    <cellStyle name="60% - Énfasis6 32 2 2 3" xfId="56834" xr:uid="{02715DCE-5539-4E59-9F21-2509E888BB11}"/>
    <cellStyle name="60% - Énfasis6 32 2 3" xfId="22320" xr:uid="{00B7E6A8-C12B-4830-821F-C36DDC4C328C}"/>
    <cellStyle name="60% - Énfasis6 32 2 3 2" xfId="56836" xr:uid="{C17035F3-55D4-4358-96BC-675887EEDBC0}"/>
    <cellStyle name="60% - Énfasis6 32 2 4" xfId="56833" xr:uid="{950B1831-B893-4E9A-BE00-6C38B9379C69}"/>
    <cellStyle name="60% - Énfasis6 32 3" xfId="10884" xr:uid="{BCDF489A-F63C-4C75-B6F7-BA02C60C751C}"/>
    <cellStyle name="60% - Énfasis6 32 3 2" xfId="26297" xr:uid="{136ECDFE-557B-4B28-9A59-9B49CA95F792}"/>
    <cellStyle name="60% - Énfasis6 32 3 2 2" xfId="56838" xr:uid="{38685DB4-CAD6-4527-AC38-C20A6948E341}"/>
    <cellStyle name="60% - Énfasis6 32 3 3" xfId="56837" xr:uid="{238C7ABA-BF0A-4D6B-A0C9-E136EBACF73A}"/>
    <cellStyle name="60% - Énfasis6 32 4" xfId="18592" xr:uid="{A06436EE-1E01-49BC-AF6B-3C53A2FD3D84}"/>
    <cellStyle name="60% - Énfasis6 32 4 2" xfId="56839" xr:uid="{E5EF59AD-B9F8-4E1B-BBAA-B707F833CFC4}"/>
    <cellStyle name="60% - Énfasis6 32 5" xfId="56832" xr:uid="{8B974033-7D59-49EA-ABF2-C8B9142D24B6}"/>
    <cellStyle name="60% - Énfasis6 33" xfId="3193" xr:uid="{91960129-1241-4F3E-B025-1086341031E8}"/>
    <cellStyle name="60% - Énfasis6 33 2" xfId="6925" xr:uid="{90CF2783-0A53-48D9-8BFD-1CA05975D308}"/>
    <cellStyle name="60% - Énfasis6 33 2 2" xfId="14633" xr:uid="{2544F17B-E1F9-4908-8C46-64337DAC4346}"/>
    <cellStyle name="60% - Énfasis6 33 2 2 2" xfId="30045" xr:uid="{EC490E9A-550B-493A-9B00-4CDC541CFFFA}"/>
    <cellStyle name="60% - Énfasis6 33 2 2 2 2" xfId="56843" xr:uid="{27BF0BD8-63C8-475F-A307-279BF4C78A3F}"/>
    <cellStyle name="60% - Énfasis6 33 2 2 3" xfId="56842" xr:uid="{0747CBB5-7398-44C9-BC1F-A2548AB2DA41}"/>
    <cellStyle name="60% - Énfasis6 33 2 3" xfId="22340" xr:uid="{98EFF1C3-AE18-4EE1-AB3B-72C448F7AD1E}"/>
    <cellStyle name="60% - Énfasis6 33 2 3 2" xfId="56844" xr:uid="{A595C265-1FC7-418C-BE6A-6E8B7863A167}"/>
    <cellStyle name="60% - Énfasis6 33 2 4" xfId="56841" xr:uid="{5950B88B-2D2B-4D89-8C87-4711A279D2B4}"/>
    <cellStyle name="60% - Énfasis6 33 3" xfId="10904" xr:uid="{B0C5E868-49D3-46D9-B9ED-46BD00E66CA8}"/>
    <cellStyle name="60% - Énfasis6 33 3 2" xfId="26317" xr:uid="{23F80CC5-57E3-4BB7-8612-60BEFE81E887}"/>
    <cellStyle name="60% - Énfasis6 33 3 2 2" xfId="56846" xr:uid="{C7219168-A01C-4871-B19E-08F5989C5744}"/>
    <cellStyle name="60% - Énfasis6 33 3 3" xfId="56845" xr:uid="{D0B97D5E-7314-443A-B610-EA94B2D04E66}"/>
    <cellStyle name="60% - Énfasis6 33 4" xfId="18612" xr:uid="{61265915-8614-4C72-9CBA-231623B6771D}"/>
    <cellStyle name="60% - Énfasis6 33 4 2" xfId="56847" xr:uid="{A26F2478-1329-4D28-8494-4F9763954FB5}"/>
    <cellStyle name="60% - Énfasis6 33 5" xfId="56840" xr:uid="{22718C90-69A3-490C-8E78-D12464BE1785}"/>
    <cellStyle name="60% - Énfasis6 34" xfId="3213" xr:uid="{F450C348-2B31-432D-8349-2DC20A5B2BE4}"/>
    <cellStyle name="60% - Énfasis6 34 2" xfId="6945" xr:uid="{3086E715-AC5B-478E-B9AA-A04CABEF3A27}"/>
    <cellStyle name="60% - Énfasis6 34 2 2" xfId="14653" xr:uid="{F620F92E-BD82-49B2-ABCC-59E2608F379B}"/>
    <cellStyle name="60% - Énfasis6 34 2 2 2" xfId="30065" xr:uid="{03E462BE-EAF2-47C9-BC2F-6369BB90ACAF}"/>
    <cellStyle name="60% - Énfasis6 34 2 2 2 2" xfId="56851" xr:uid="{59CDC882-7667-4F20-9F27-1E65F34AD08D}"/>
    <cellStyle name="60% - Énfasis6 34 2 2 3" xfId="56850" xr:uid="{53C10C10-A93F-44C7-8237-8BB02E545241}"/>
    <cellStyle name="60% - Énfasis6 34 2 3" xfId="22360" xr:uid="{35253489-5CCE-4C3D-A12A-DD107F242250}"/>
    <cellStyle name="60% - Énfasis6 34 2 3 2" xfId="56852" xr:uid="{F59226CA-D27F-4141-A619-10A55BF26BD8}"/>
    <cellStyle name="60% - Énfasis6 34 2 4" xfId="56849" xr:uid="{0D086474-1A1E-4311-9A58-0B93B2A48C3C}"/>
    <cellStyle name="60% - Énfasis6 34 3" xfId="10924" xr:uid="{03C520D5-6D62-4F5B-A462-0844AA36E6BF}"/>
    <cellStyle name="60% - Énfasis6 34 3 2" xfId="26337" xr:uid="{8FE227AE-0FFC-46A9-9B4D-8EBB902B91A4}"/>
    <cellStyle name="60% - Énfasis6 34 3 2 2" xfId="56854" xr:uid="{A6222D83-0ECB-4347-BB27-42FBF51915F4}"/>
    <cellStyle name="60% - Énfasis6 34 3 3" xfId="56853" xr:uid="{2D4C60B6-6731-4240-902B-6170EF8C0730}"/>
    <cellStyle name="60% - Énfasis6 34 4" xfId="18632" xr:uid="{0BFF2D03-CF08-4703-A953-ADC5E6B1A82D}"/>
    <cellStyle name="60% - Énfasis6 34 4 2" xfId="56855" xr:uid="{35EBF3F1-8706-485E-A665-8A3EF4A4BC35}"/>
    <cellStyle name="60% - Énfasis6 34 5" xfId="56848" xr:uid="{BB6E6297-1EC5-4E6E-83B0-066152A8D18F}"/>
    <cellStyle name="60% - Énfasis6 35" xfId="3233" xr:uid="{3AB7ADDF-C9D6-4C3C-AA75-9BBCA3CD2909}"/>
    <cellStyle name="60% - Énfasis6 35 2" xfId="6965" xr:uid="{7416CBCF-F4DA-4B9A-BC2C-10227D05ADC8}"/>
    <cellStyle name="60% - Énfasis6 35 2 2" xfId="14673" xr:uid="{936CBDE7-4FE4-4784-B9A1-221C5A10BB74}"/>
    <cellStyle name="60% - Énfasis6 35 2 2 2" xfId="30085" xr:uid="{80CC0A87-1947-47FA-B6D3-A13E144DFAA9}"/>
    <cellStyle name="60% - Énfasis6 35 2 2 2 2" xfId="56859" xr:uid="{DE77DCC8-1A47-41C2-84F4-4C553EB6E935}"/>
    <cellStyle name="60% - Énfasis6 35 2 2 3" xfId="56858" xr:uid="{1A1A8AFF-A584-41AE-83B9-D3CDB4A7D260}"/>
    <cellStyle name="60% - Énfasis6 35 2 3" xfId="22380" xr:uid="{EBFDE718-A764-4DFE-BC40-CB50D04B8790}"/>
    <cellStyle name="60% - Énfasis6 35 2 3 2" xfId="56860" xr:uid="{8C60B5E9-6953-4CFE-9A55-40264F0D1FCA}"/>
    <cellStyle name="60% - Énfasis6 35 2 4" xfId="56857" xr:uid="{D632E44C-6EDE-47D3-8EC2-A4898AC7A7EA}"/>
    <cellStyle name="60% - Énfasis6 35 3" xfId="10944" xr:uid="{1AA8249E-63E3-42DF-9DD6-1310DA09EFA4}"/>
    <cellStyle name="60% - Énfasis6 35 3 2" xfId="26357" xr:uid="{93008CE0-E5C9-4459-8F4E-9DF8736F5F42}"/>
    <cellStyle name="60% - Énfasis6 35 3 2 2" xfId="56862" xr:uid="{D58A8A86-050D-47DE-9885-F3033BEE74C6}"/>
    <cellStyle name="60% - Énfasis6 35 3 3" xfId="56861" xr:uid="{5CCBFE90-2E73-4405-8023-D85D00ADC177}"/>
    <cellStyle name="60% - Énfasis6 35 4" xfId="18652" xr:uid="{D69AD564-D6FF-4965-B675-93CA88A8088E}"/>
    <cellStyle name="60% - Énfasis6 35 4 2" xfId="56863" xr:uid="{EFF3A0FE-D2FF-4706-9D1A-B64E881611C2}"/>
    <cellStyle name="60% - Énfasis6 35 5" xfId="56856" xr:uid="{81F74763-6C1A-4C0D-9F10-A22EDCD65188}"/>
    <cellStyle name="60% - Énfasis6 36" xfId="3253" xr:uid="{6AC001FC-6938-4709-85B7-EE8F1FA0B4BB}"/>
    <cellStyle name="60% - Énfasis6 36 2" xfId="6985" xr:uid="{8BDB8C9A-7933-4598-B44B-F9CD0C260235}"/>
    <cellStyle name="60% - Énfasis6 36 2 2" xfId="14693" xr:uid="{35ACB8DC-E6A1-4D1D-9A5E-9606550F1567}"/>
    <cellStyle name="60% - Énfasis6 36 2 2 2" xfId="30105" xr:uid="{51D5D91F-E1E4-4F64-8E33-90CA66512664}"/>
    <cellStyle name="60% - Énfasis6 36 2 2 2 2" xfId="56867" xr:uid="{F3DD173C-7620-4DCE-9EDB-814DE9E11DDB}"/>
    <cellStyle name="60% - Énfasis6 36 2 2 3" xfId="56866" xr:uid="{56989AEB-77F3-4631-9795-F94A4E4085B7}"/>
    <cellStyle name="60% - Énfasis6 36 2 3" xfId="22400" xr:uid="{0FE2061A-C3F4-4F76-AC7C-365DEA236E4F}"/>
    <cellStyle name="60% - Énfasis6 36 2 3 2" xfId="56868" xr:uid="{DB5BA1B3-3649-4B09-9631-118F3164880F}"/>
    <cellStyle name="60% - Énfasis6 36 2 4" xfId="56865" xr:uid="{09065561-C97B-415A-963C-0A417AFA32F6}"/>
    <cellStyle name="60% - Énfasis6 36 3" xfId="10964" xr:uid="{3A06D58F-A98D-479F-8817-CD7C32B5C42F}"/>
    <cellStyle name="60% - Énfasis6 36 3 2" xfId="26377" xr:uid="{5E7B702C-8BEC-4420-B91D-A14DF41CD734}"/>
    <cellStyle name="60% - Énfasis6 36 3 2 2" xfId="56870" xr:uid="{AC935AE1-BA6D-4E97-A9FA-FDA4AA53AF88}"/>
    <cellStyle name="60% - Énfasis6 36 3 3" xfId="56869" xr:uid="{7A2B4470-24C8-4A78-856C-A7B067A2F1DE}"/>
    <cellStyle name="60% - Énfasis6 36 4" xfId="18672" xr:uid="{A5A09E0C-CCAE-4984-B166-EAA7BD9A3F5E}"/>
    <cellStyle name="60% - Énfasis6 36 4 2" xfId="56871" xr:uid="{FC2C5592-7A2B-47B0-80A4-4F5A98BC3012}"/>
    <cellStyle name="60% - Énfasis6 36 5" xfId="56864" xr:uid="{FD8F54BC-3B1B-4D49-9280-2F3FF183E343}"/>
    <cellStyle name="60% - Énfasis6 37" xfId="3273" xr:uid="{79E4B4AE-A857-4F29-A3BD-381A7754C8B0}"/>
    <cellStyle name="60% - Énfasis6 37 2" xfId="7005" xr:uid="{35CBC7CF-21C5-4648-B67C-87EC66E967B9}"/>
    <cellStyle name="60% - Énfasis6 37 2 2" xfId="14713" xr:uid="{948CBABF-060B-43C6-A4E6-711E9E1831EF}"/>
    <cellStyle name="60% - Énfasis6 37 2 2 2" xfId="30125" xr:uid="{6F52B763-5471-48A0-87E3-6FBBF88FA4AB}"/>
    <cellStyle name="60% - Énfasis6 37 2 2 2 2" xfId="56875" xr:uid="{081D42A8-5916-42C9-BF1E-B8C51CB4BE91}"/>
    <cellStyle name="60% - Énfasis6 37 2 2 3" xfId="56874" xr:uid="{3FCBC996-2B55-4BC4-9CD5-CBB1EED7C61A}"/>
    <cellStyle name="60% - Énfasis6 37 2 3" xfId="22420" xr:uid="{543B33A3-200B-4E4B-8B02-FCBCD6A6AD04}"/>
    <cellStyle name="60% - Énfasis6 37 2 3 2" xfId="56876" xr:uid="{49037086-F6DA-430B-9B0F-1C70E750F6EB}"/>
    <cellStyle name="60% - Énfasis6 37 2 4" xfId="56873" xr:uid="{FD76B1E8-B27D-4B26-BD50-F2BA2B262211}"/>
    <cellStyle name="60% - Énfasis6 37 3" xfId="10984" xr:uid="{6521F3C4-DE74-498F-BC72-6587BCE0DE5B}"/>
    <cellStyle name="60% - Énfasis6 37 3 2" xfId="26397" xr:uid="{AFAE992D-691A-4B6D-B981-593A80843507}"/>
    <cellStyle name="60% - Énfasis6 37 3 2 2" xfId="56878" xr:uid="{DE33CA84-11DB-45E5-B801-29AFD28A7266}"/>
    <cellStyle name="60% - Énfasis6 37 3 3" xfId="56877" xr:uid="{886D119F-A681-4F6E-901D-4149B3166413}"/>
    <cellStyle name="60% - Énfasis6 37 4" xfId="18692" xr:uid="{020F7C5E-2F09-428F-8C76-907DB6851130}"/>
    <cellStyle name="60% - Énfasis6 37 4 2" xfId="56879" xr:uid="{5C931FC8-99E3-433A-8A59-85E9E35E06C8}"/>
    <cellStyle name="60% - Énfasis6 37 5" xfId="56872" xr:uid="{9AE80FBA-DBFB-4B09-8307-855366F9576B}"/>
    <cellStyle name="60% - Énfasis6 38" xfId="3293" xr:uid="{47D07072-E1B2-40E0-8778-4CEC121F60A8}"/>
    <cellStyle name="60% - Énfasis6 38 2" xfId="7025" xr:uid="{265839DD-5C27-4684-BEF3-109100ACF5A3}"/>
    <cellStyle name="60% - Énfasis6 38 2 2" xfId="14733" xr:uid="{AB1CA4CC-6D88-4F22-8466-2FC89CE6CFF8}"/>
    <cellStyle name="60% - Énfasis6 38 2 2 2" xfId="30145" xr:uid="{21F3F42B-01B5-4891-825E-B8CCC16DB3A9}"/>
    <cellStyle name="60% - Énfasis6 38 2 2 2 2" xfId="56883" xr:uid="{7F5FE3E0-228E-4236-99FB-85E51FF92C85}"/>
    <cellStyle name="60% - Énfasis6 38 2 2 3" xfId="56882" xr:uid="{19B6F133-A63F-4C3F-864B-34747D166A4C}"/>
    <cellStyle name="60% - Énfasis6 38 2 3" xfId="22440" xr:uid="{1A0B0ADC-0717-4BA7-B45A-BC2F46CBEA90}"/>
    <cellStyle name="60% - Énfasis6 38 2 3 2" xfId="56884" xr:uid="{B7245659-B69A-497B-A93F-BEC6C0BD77BF}"/>
    <cellStyle name="60% - Énfasis6 38 2 4" xfId="56881" xr:uid="{D17FEA6C-FCAC-43C8-BC4C-B6F4E8382429}"/>
    <cellStyle name="60% - Énfasis6 38 3" xfId="11004" xr:uid="{EBE8CF62-B435-4AA9-B577-03B5287C11D0}"/>
    <cellStyle name="60% - Énfasis6 38 3 2" xfId="26417" xr:uid="{37E3AC5A-8EE2-4F4D-9F9A-CF7A04AD7791}"/>
    <cellStyle name="60% - Énfasis6 38 3 2 2" xfId="56886" xr:uid="{77C4D905-9BC6-44AB-8E5C-80A1D94420E5}"/>
    <cellStyle name="60% - Énfasis6 38 3 3" xfId="56885" xr:uid="{DC314CF3-B7F5-4E01-BC81-B34D0FC2E101}"/>
    <cellStyle name="60% - Énfasis6 38 4" xfId="18712" xr:uid="{508D0102-C174-4F50-85AB-700634B81C69}"/>
    <cellStyle name="60% - Énfasis6 38 4 2" xfId="56887" xr:uid="{375F3C7F-45B6-43CC-A5AC-957473CFC798}"/>
    <cellStyle name="60% - Énfasis6 38 5" xfId="56880" xr:uid="{E45A91E6-E7F9-40E4-B38F-8B8F2BBBAE59}"/>
    <cellStyle name="60% - Énfasis6 4" xfId="298" xr:uid="{FA85193F-8736-4B55-B3EE-EF5514B3EEA8}"/>
    <cellStyle name="60% - Énfasis6 4 2" xfId="501" xr:uid="{E20ED52B-EB8E-4E1E-924D-1B1CE8F3097C}"/>
    <cellStyle name="60% - Énfasis6 4 2 2" xfId="1162" xr:uid="{62D366D6-C1A4-4920-905B-4B82142D353F}"/>
    <cellStyle name="60% - Énfasis6 4 2 2 2" xfId="2630" xr:uid="{01D62577-015D-40D5-957D-A8F3CE20D36C}"/>
    <cellStyle name="60% - Énfasis6 4 2 2 2 2" xfId="6362" xr:uid="{907BA0CC-C090-409B-BB14-3C929A1F6C32}"/>
    <cellStyle name="60% - Énfasis6 4 2 2 2 2 2" xfId="14070" xr:uid="{86253916-0A00-4EB1-8A11-486EA829256D}"/>
    <cellStyle name="60% - Énfasis6 4 2 2 2 2 2 2" xfId="29482" xr:uid="{10DEF732-4B57-4D9E-8796-A19C7613983C}"/>
    <cellStyle name="60% - Énfasis6 4 2 2 2 2 2 2 2" xfId="56894" xr:uid="{5776DC8C-8A9A-410C-A62D-E371543FE1EB}"/>
    <cellStyle name="60% - Énfasis6 4 2 2 2 2 2 3" xfId="56893" xr:uid="{842EFAA7-8D47-4A6D-A119-C0568151B80F}"/>
    <cellStyle name="60% - Énfasis6 4 2 2 2 2 3" xfId="21777" xr:uid="{AB03A5B0-B98E-4064-87F0-5708E8CDC6A8}"/>
    <cellStyle name="60% - Énfasis6 4 2 2 2 2 3 2" xfId="56895" xr:uid="{7BEB3062-5A0F-40DE-AF2D-C3156BB8A137}"/>
    <cellStyle name="60% - Énfasis6 4 2 2 2 2 4" xfId="56892" xr:uid="{FC16B269-9C83-4718-91EC-E55487F81D3D}"/>
    <cellStyle name="60% - Énfasis6 4 2 2 2 3" xfId="10341" xr:uid="{2F285B3A-FB0C-4D71-9BAB-5E910E88F98A}"/>
    <cellStyle name="60% - Énfasis6 4 2 2 2 3 2" xfId="25754" xr:uid="{5BFF5FEC-E329-4AC7-8EC2-D68C777E095C}"/>
    <cellStyle name="60% - Énfasis6 4 2 2 2 3 2 2" xfId="56897" xr:uid="{67EE348F-128E-4A3E-BB8C-040D663BC431}"/>
    <cellStyle name="60% - Énfasis6 4 2 2 2 3 3" xfId="56896" xr:uid="{93F56971-59E6-4F38-A65E-2F4E168DE53E}"/>
    <cellStyle name="60% - Énfasis6 4 2 2 2 4" xfId="18049" xr:uid="{1C19F75A-280E-4DD2-A7B8-ECF652CD6D43}"/>
    <cellStyle name="60% - Énfasis6 4 2 2 2 4 2" xfId="56898" xr:uid="{0812A36B-BDEA-4345-8770-7D55CF50DA62}"/>
    <cellStyle name="60% - Énfasis6 4 2 2 2 5" xfId="56891" xr:uid="{ABAC9B54-524F-4917-A5A3-AE7E40FAADB1}"/>
    <cellStyle name="60% - Énfasis6 4 2 2 3" xfId="4899" xr:uid="{FA09148F-27CD-44FE-BEED-9C4510CC999F}"/>
    <cellStyle name="60% - Énfasis6 4 2 2 3 2" xfId="12607" xr:uid="{5983B050-E207-45E0-AACC-E9C03DFA8FCF}"/>
    <cellStyle name="60% - Énfasis6 4 2 2 3 2 2" xfId="28019" xr:uid="{87DD87CE-3ADE-4CBC-929C-A2979B296FA2}"/>
    <cellStyle name="60% - Énfasis6 4 2 2 3 2 2 2" xfId="56901" xr:uid="{0CF53E64-1456-4254-87A1-45BD08D87ECF}"/>
    <cellStyle name="60% - Énfasis6 4 2 2 3 2 3" xfId="56900" xr:uid="{646E9EE2-4CCD-4963-9A0F-FDE6B6D840A7}"/>
    <cellStyle name="60% - Énfasis6 4 2 2 3 3" xfId="20314" xr:uid="{E7EA7C21-E25D-4CB5-AF60-9AB1C40B1761}"/>
    <cellStyle name="60% - Énfasis6 4 2 2 3 3 2" xfId="56902" xr:uid="{1AF6157F-1D82-42D1-A042-9C6E1BBC863F}"/>
    <cellStyle name="60% - Énfasis6 4 2 2 3 4" xfId="56899" xr:uid="{CE63B113-1DF9-44BF-B2F4-492265001360}"/>
    <cellStyle name="60% - Énfasis6 4 2 2 4" xfId="8882" xr:uid="{2615E756-4F28-4C39-BBC5-724A2B26F75E}"/>
    <cellStyle name="60% - Énfasis6 4 2 2 4 2" xfId="24295" xr:uid="{8F428573-E28E-4E0D-8AA6-0A6C1BC4CBE7}"/>
    <cellStyle name="60% - Énfasis6 4 2 2 4 2 2" xfId="56904" xr:uid="{F40F0CE2-777E-4412-8E34-69501C17DE63}"/>
    <cellStyle name="60% - Énfasis6 4 2 2 4 3" xfId="56903" xr:uid="{0A127A8C-FD06-477A-AE14-09CFB8E7429A}"/>
    <cellStyle name="60% - Énfasis6 4 2 2 5" xfId="16590" xr:uid="{457C823B-C0EB-45A0-B557-11F0F17E91AA}"/>
    <cellStyle name="60% - Énfasis6 4 2 2 5 2" xfId="56905" xr:uid="{AAE6774D-EC78-44C3-AEE8-E063207A45BA}"/>
    <cellStyle name="60% - Énfasis6 4 2 2 6" xfId="56890" xr:uid="{4DD2F737-4680-45F7-8866-1398AC182C1F}"/>
    <cellStyle name="60% - Énfasis6 4 2 3" xfId="1992" xr:uid="{3DD88DEA-0FDD-4DBA-81BE-DF047531A02A}"/>
    <cellStyle name="60% - Énfasis6 4 2 3 2" xfId="5724" xr:uid="{6841FA5D-C6CF-4349-B497-E1B9A3801C28}"/>
    <cellStyle name="60% - Énfasis6 4 2 3 2 2" xfId="13432" xr:uid="{61E28B3D-C3C6-4B4A-8885-832D07A77841}"/>
    <cellStyle name="60% - Énfasis6 4 2 3 2 2 2" xfId="28844" xr:uid="{D34205BB-5B15-4B52-A876-54AFDC62B90D}"/>
    <cellStyle name="60% - Énfasis6 4 2 3 2 2 2 2" xfId="56909" xr:uid="{A98F1FA2-F805-4EC7-A22A-B7EEDAE21D8F}"/>
    <cellStyle name="60% - Énfasis6 4 2 3 2 2 3" xfId="56908" xr:uid="{3FE5A948-FC1D-4783-901D-0F50A528026F}"/>
    <cellStyle name="60% - Énfasis6 4 2 3 2 3" xfId="21139" xr:uid="{DA9C61A8-6FA5-4A85-B7AB-367AA0F46618}"/>
    <cellStyle name="60% - Énfasis6 4 2 3 2 3 2" xfId="56910" xr:uid="{3106C13F-8605-42FB-91AC-AA697DE60C20}"/>
    <cellStyle name="60% - Énfasis6 4 2 3 2 4" xfId="56907" xr:uid="{97F42D63-4810-4561-8AAC-2D1B1AC587AE}"/>
    <cellStyle name="60% - Énfasis6 4 2 3 3" xfId="9703" xr:uid="{C19E4D27-1094-42C6-B7C6-C4AE871A51B8}"/>
    <cellStyle name="60% - Énfasis6 4 2 3 3 2" xfId="25116" xr:uid="{07688BEE-832F-4EB3-93F0-54D6D227D939}"/>
    <cellStyle name="60% - Énfasis6 4 2 3 3 2 2" xfId="56912" xr:uid="{52FE4A50-A391-4215-A7EF-05CF781120AB}"/>
    <cellStyle name="60% - Énfasis6 4 2 3 3 3" xfId="56911" xr:uid="{141DDDC5-C49F-4E67-99FB-36EE5C3774BF}"/>
    <cellStyle name="60% - Énfasis6 4 2 3 4" xfId="17411" xr:uid="{CFB6F1B9-FAB9-4019-B775-93B5164E3DF5}"/>
    <cellStyle name="60% - Énfasis6 4 2 3 4 2" xfId="56913" xr:uid="{13401356-1A83-4EDD-9A2F-FF919078452D}"/>
    <cellStyle name="60% - Énfasis6 4 2 3 5" xfId="56906" xr:uid="{3AAB7AD1-8B5A-448F-AAB7-332F4C598035}"/>
    <cellStyle name="60% - Énfasis6 4 2 4" xfId="4247" xr:uid="{251401B1-711D-45FE-BCF6-A51AC9C01C34}"/>
    <cellStyle name="60% - Énfasis6 4 2 4 2" xfId="11955" xr:uid="{3AE2B49C-658E-44B1-A805-3661A6182AAB}"/>
    <cellStyle name="60% - Énfasis6 4 2 4 2 2" xfId="27367" xr:uid="{9D84047E-9EEB-4EC4-8C7F-CB040A4D7341}"/>
    <cellStyle name="60% - Énfasis6 4 2 4 2 2 2" xfId="56916" xr:uid="{6768F28F-AA4E-4712-A7DF-D0E737E2B6F3}"/>
    <cellStyle name="60% - Énfasis6 4 2 4 2 3" xfId="56915" xr:uid="{415D5AE5-28AD-4C97-8916-2AD43FF09430}"/>
    <cellStyle name="60% - Énfasis6 4 2 4 3" xfId="19662" xr:uid="{60618D3B-9425-4EF5-B7F5-116C22767F80}"/>
    <cellStyle name="60% - Énfasis6 4 2 4 3 2" xfId="56917" xr:uid="{5563733D-BD3B-41C6-87C6-395C7758788D}"/>
    <cellStyle name="60% - Énfasis6 4 2 4 4" xfId="56914" xr:uid="{289730DD-8B3B-4A44-9F97-8867E172523D}"/>
    <cellStyle name="60% - Énfasis6 4 2 5" xfId="8244" xr:uid="{33B953EC-0085-4421-A613-53A69C4ECD30}"/>
    <cellStyle name="60% - Énfasis6 4 2 5 2" xfId="23657" xr:uid="{D72BA561-6F3A-4F8E-9FC9-A61673CC9C55}"/>
    <cellStyle name="60% - Énfasis6 4 2 5 2 2" xfId="56919" xr:uid="{2B81FD67-075F-4860-89F3-78EAC7058364}"/>
    <cellStyle name="60% - Énfasis6 4 2 5 3" xfId="56918" xr:uid="{FFCE27E9-DBBE-4C49-88BA-9C6DE3147862}"/>
    <cellStyle name="60% - Énfasis6 4 2 6" xfId="15952" xr:uid="{78BE5258-5AD8-4FEE-A143-A23B3DC87502}"/>
    <cellStyle name="60% - Énfasis6 4 2 6 2" xfId="56920" xr:uid="{B6BEC3B5-89B1-4E8D-99E9-DF5651030DFF}"/>
    <cellStyle name="60% - Énfasis6 4 2 7" xfId="56889" xr:uid="{448BFCD2-572D-449C-B831-D9A9E7C3637A}"/>
    <cellStyle name="60% - Énfasis6 4 3" xfId="962" xr:uid="{35D8F58E-8BE2-4F0F-82BF-D0B6ECA950A3}"/>
    <cellStyle name="60% - Énfasis6 4 3 2" xfId="2432" xr:uid="{FCD9E2DB-7933-428E-88D9-EC4793111693}"/>
    <cellStyle name="60% - Énfasis6 4 3 2 2" xfId="6164" xr:uid="{B794D318-DA38-4233-AA98-78A1B92B62F7}"/>
    <cellStyle name="60% - Énfasis6 4 3 2 2 2" xfId="13872" xr:uid="{028C1C71-C3AC-4607-8B00-D10CC3DC6B23}"/>
    <cellStyle name="60% - Énfasis6 4 3 2 2 2 2" xfId="29284" xr:uid="{6BCA7A84-C0DF-44FC-A6D6-8EA09B2A9089}"/>
    <cellStyle name="60% - Énfasis6 4 3 2 2 2 2 2" xfId="56925" xr:uid="{7FA4484F-D573-444F-8485-F5D447B4EAEC}"/>
    <cellStyle name="60% - Énfasis6 4 3 2 2 2 3" xfId="56924" xr:uid="{5A9781ED-3C03-4D97-B809-BCD44611F0B1}"/>
    <cellStyle name="60% - Énfasis6 4 3 2 2 3" xfId="21579" xr:uid="{70CD42E0-3905-431E-87BA-4CDF381DD3E7}"/>
    <cellStyle name="60% - Énfasis6 4 3 2 2 3 2" xfId="56926" xr:uid="{E2045725-F7E3-40C8-AB39-3A9CE3200A0E}"/>
    <cellStyle name="60% - Énfasis6 4 3 2 2 4" xfId="56923" xr:uid="{E19D53AC-77A9-41FE-B1C6-CA1F2E62FA4E}"/>
    <cellStyle name="60% - Énfasis6 4 3 2 3" xfId="10143" xr:uid="{D6802BFB-C41F-4C9D-99A9-5B8C5F08878E}"/>
    <cellStyle name="60% - Énfasis6 4 3 2 3 2" xfId="25556" xr:uid="{A054FB1C-E6BE-415A-9C3A-3293F5E0D38A}"/>
    <cellStyle name="60% - Énfasis6 4 3 2 3 2 2" xfId="56928" xr:uid="{AB724FE3-886D-4CDE-B06A-F7AE3CE42913}"/>
    <cellStyle name="60% - Énfasis6 4 3 2 3 3" xfId="56927" xr:uid="{A342EB0B-789C-4330-8FDC-335D67EF5C5D}"/>
    <cellStyle name="60% - Énfasis6 4 3 2 4" xfId="17851" xr:uid="{CE8A37B2-9E6E-46AA-97FB-5BF2E0DBAFFC}"/>
    <cellStyle name="60% - Énfasis6 4 3 2 4 2" xfId="56929" xr:uid="{B9998948-B0DD-4328-9103-9CAA3982A12F}"/>
    <cellStyle name="60% - Énfasis6 4 3 2 5" xfId="56922" xr:uid="{6022EEB4-9944-4372-99B3-F6204BEAEC2B}"/>
    <cellStyle name="60% - Énfasis6 4 3 3" xfId="4699" xr:uid="{92C9FC71-6FDB-4454-9B42-9C6FD7A7D7C3}"/>
    <cellStyle name="60% - Énfasis6 4 3 3 2" xfId="12407" xr:uid="{AC6EEF30-901A-4C11-BBED-83093EF0A38B}"/>
    <cellStyle name="60% - Énfasis6 4 3 3 2 2" xfId="27819" xr:uid="{B2ED7F32-ADD8-48DE-8DAD-D0797FE90701}"/>
    <cellStyle name="60% - Énfasis6 4 3 3 2 2 2" xfId="56932" xr:uid="{647D23A1-53CF-4D43-ADE0-CDE5DCD15FDB}"/>
    <cellStyle name="60% - Énfasis6 4 3 3 2 3" xfId="56931" xr:uid="{9D5151EA-F353-48FB-B7F3-E70D4711A7EF}"/>
    <cellStyle name="60% - Énfasis6 4 3 3 3" xfId="20114" xr:uid="{1A03FBFA-207D-443F-BCE6-4B1653B334C1}"/>
    <cellStyle name="60% - Énfasis6 4 3 3 3 2" xfId="56933" xr:uid="{1A8C5BE4-B8A1-495C-8945-C7E1B43287F1}"/>
    <cellStyle name="60% - Énfasis6 4 3 3 4" xfId="56930" xr:uid="{AAF7D5FE-C150-4289-A414-F755647F8D32}"/>
    <cellStyle name="60% - Énfasis6 4 3 4" xfId="8684" xr:uid="{3C25C163-5285-4DB7-B393-4BAB45A6F041}"/>
    <cellStyle name="60% - Énfasis6 4 3 4 2" xfId="24097" xr:uid="{E9976583-A3A3-4780-9123-50F5B913408D}"/>
    <cellStyle name="60% - Énfasis6 4 3 4 2 2" xfId="56935" xr:uid="{07EB4BE5-1178-4B75-8162-ED210EE2F40E}"/>
    <cellStyle name="60% - Énfasis6 4 3 4 3" xfId="56934" xr:uid="{FA446163-859E-4261-920E-FBEE1DD5EAA3}"/>
    <cellStyle name="60% - Énfasis6 4 3 5" xfId="16392" xr:uid="{B5230598-B6ED-4741-9E38-F4437D149C16}"/>
    <cellStyle name="60% - Énfasis6 4 3 5 2" xfId="56936" xr:uid="{50D096A6-C503-4DB3-A9F5-CA4EF75EA049}"/>
    <cellStyle name="60% - Énfasis6 4 3 6" xfId="56921" xr:uid="{0DC0B1F0-03A0-412C-A6D4-C7ABF3F77806}"/>
    <cellStyle name="60% - Énfasis6 4 4" xfId="1794" xr:uid="{F0DE28F3-FFDF-4276-8CE9-7F3108D04B9F}"/>
    <cellStyle name="60% - Énfasis6 4 4 2" xfId="5526" xr:uid="{8F992E64-4240-44C9-8F4F-D6B13BC2A5F5}"/>
    <cellStyle name="60% - Énfasis6 4 4 2 2" xfId="13234" xr:uid="{78E2C3E6-AB70-44E8-A345-6E12F7A1BCCD}"/>
    <cellStyle name="60% - Énfasis6 4 4 2 2 2" xfId="28646" xr:uid="{38F377ED-55BE-4FCE-BCB3-92A482F97286}"/>
    <cellStyle name="60% - Énfasis6 4 4 2 2 2 2" xfId="56940" xr:uid="{E8271E9C-3ADD-4C21-BE20-BAC6C7042C86}"/>
    <cellStyle name="60% - Énfasis6 4 4 2 2 3" xfId="56939" xr:uid="{D17112E3-7A0E-43C1-98C9-6BC0F3B61EF6}"/>
    <cellStyle name="60% - Énfasis6 4 4 2 3" xfId="20941" xr:uid="{DBC06E6A-0564-4D96-BEA8-E291ECCBF2B0}"/>
    <cellStyle name="60% - Énfasis6 4 4 2 3 2" xfId="56941" xr:uid="{94C40D3D-7108-42DF-8541-19A608F50BE2}"/>
    <cellStyle name="60% - Énfasis6 4 4 2 4" xfId="56938" xr:uid="{1884707C-EACB-4AD7-B15F-EBF8F58103F0}"/>
    <cellStyle name="60% - Énfasis6 4 4 3" xfId="9505" xr:uid="{F826D970-79B5-4021-BC60-DE51521AAA22}"/>
    <cellStyle name="60% - Énfasis6 4 4 3 2" xfId="24918" xr:uid="{87C237CF-76A9-4C30-A4F6-7DBD2B80DB8B}"/>
    <cellStyle name="60% - Énfasis6 4 4 3 2 2" xfId="56943" xr:uid="{47C3361C-3282-4EF7-A963-2CF7AC3951CC}"/>
    <cellStyle name="60% - Énfasis6 4 4 3 3" xfId="56942" xr:uid="{B6CD166D-FE72-49CA-9D92-75C2DA7A895D}"/>
    <cellStyle name="60% - Énfasis6 4 4 4" xfId="17213" xr:uid="{B091D198-7469-49AF-BA25-64458172A0C7}"/>
    <cellStyle name="60% - Énfasis6 4 4 4 2" xfId="56944" xr:uid="{5C231364-D18B-47EC-99C4-DA3FE0A30408}"/>
    <cellStyle name="60% - Énfasis6 4 4 5" xfId="56937" xr:uid="{DED90ED2-3AF5-4B67-825F-13C2ABD1BB44}"/>
    <cellStyle name="60% - Énfasis6 4 5" xfId="4047" xr:uid="{965C8A2A-BE25-41A7-AAF7-349B05FDE90E}"/>
    <cellStyle name="60% - Énfasis6 4 5 2" xfId="11755" xr:uid="{9508C0FC-C519-4183-873C-A9B3EEFEF53D}"/>
    <cellStyle name="60% - Énfasis6 4 5 2 2" xfId="27167" xr:uid="{86BEA10A-4913-4D6A-861B-15BD5B2EA7DD}"/>
    <cellStyle name="60% - Énfasis6 4 5 2 2 2" xfId="56947" xr:uid="{503F0C7F-99B9-4D37-94A3-D7458BE672DB}"/>
    <cellStyle name="60% - Énfasis6 4 5 2 3" xfId="56946" xr:uid="{87EC54F4-2AEB-4D71-BC2C-3B4DBF0206D2}"/>
    <cellStyle name="60% - Énfasis6 4 5 3" xfId="19462" xr:uid="{7CDF04BD-4D0B-49E3-A365-D62341B7EA11}"/>
    <cellStyle name="60% - Énfasis6 4 5 3 2" xfId="56948" xr:uid="{B4520CAC-BEDC-4604-9818-C19E78D31C6B}"/>
    <cellStyle name="60% - Énfasis6 4 5 4" xfId="56945" xr:uid="{FE239B44-5D9E-4A51-ACB9-5C87656896AB}"/>
    <cellStyle name="60% - Énfasis6 4 6" xfId="8046" xr:uid="{71C49B3C-6F2C-442C-872F-D967D573A9B8}"/>
    <cellStyle name="60% - Énfasis6 4 6 2" xfId="23459" xr:uid="{7D317A99-1C15-441E-B91E-9556BC51065C}"/>
    <cellStyle name="60% - Énfasis6 4 6 2 2" xfId="56950" xr:uid="{3016A069-3F29-4768-A56E-3852EC3D0A25}"/>
    <cellStyle name="60% - Énfasis6 4 6 3" xfId="56949" xr:uid="{3F7EAC06-271C-456D-805C-87D66E059585}"/>
    <cellStyle name="60% - Énfasis6 4 7" xfId="15754" xr:uid="{01C33DDE-79DB-44DE-B6BF-3BB35EE65A12}"/>
    <cellStyle name="60% - Énfasis6 4 7 2" xfId="56951" xr:uid="{0FBF0303-BD3F-4B8C-9103-71A70FB68CD8}"/>
    <cellStyle name="60% - Énfasis6 4 8" xfId="56888" xr:uid="{0BDC3888-EB6C-467C-8065-8DEAFDA8D9FB}"/>
    <cellStyle name="60% - Énfasis6 5" xfId="318" xr:uid="{7C189E53-F077-42C4-8396-F892B8682DD4}"/>
    <cellStyle name="60% - Énfasis6 5 2" xfId="521" xr:uid="{44180EA7-5B7E-41C4-B58C-11CFE4ECEB0A}"/>
    <cellStyle name="60% - Énfasis6 5 2 2" xfId="1182" xr:uid="{1A5E5B56-E2BE-4FDC-805D-C86E3AC2C1E5}"/>
    <cellStyle name="60% - Énfasis6 5 2 2 2" xfId="2650" xr:uid="{0B534FB3-97AC-4365-B3D3-056726E24766}"/>
    <cellStyle name="60% - Énfasis6 5 2 2 2 2" xfId="6382" xr:uid="{AD9004B6-50EF-440E-ABC2-E88639ABE9BD}"/>
    <cellStyle name="60% - Énfasis6 5 2 2 2 2 2" xfId="14090" xr:uid="{856B6892-8530-48D7-AE56-EFC6D2B8E5DA}"/>
    <cellStyle name="60% - Énfasis6 5 2 2 2 2 2 2" xfId="29502" xr:uid="{7D4678DB-BD3A-4EEC-A0BA-5CEA71849ACA}"/>
    <cellStyle name="60% - Énfasis6 5 2 2 2 2 2 2 2" xfId="56958" xr:uid="{B9D4BADC-AAB8-4D8F-AD00-812A23A99FC8}"/>
    <cellStyle name="60% - Énfasis6 5 2 2 2 2 2 3" xfId="56957" xr:uid="{23AA1216-A773-4375-B204-384ED185090B}"/>
    <cellStyle name="60% - Énfasis6 5 2 2 2 2 3" xfId="21797" xr:uid="{53455AC8-CAE9-46F8-BD3F-81845E231D5C}"/>
    <cellStyle name="60% - Énfasis6 5 2 2 2 2 3 2" xfId="56959" xr:uid="{73333695-D7B4-468F-8420-8D6A394C6828}"/>
    <cellStyle name="60% - Énfasis6 5 2 2 2 2 4" xfId="56956" xr:uid="{77638895-540A-4EF3-9C99-66A6C16F55B9}"/>
    <cellStyle name="60% - Énfasis6 5 2 2 2 3" xfId="10361" xr:uid="{9B0017E9-16CA-47D4-A227-BFD20179C21B}"/>
    <cellStyle name="60% - Énfasis6 5 2 2 2 3 2" xfId="25774" xr:uid="{3667E388-DFDC-465D-8CD2-323264B9029F}"/>
    <cellStyle name="60% - Énfasis6 5 2 2 2 3 2 2" xfId="56961" xr:uid="{F16CFF5C-72A6-4BB2-8060-FC9589A9CF8E}"/>
    <cellStyle name="60% - Énfasis6 5 2 2 2 3 3" xfId="56960" xr:uid="{C8351D98-E45F-4C2A-9B9A-C4D7C0A71F67}"/>
    <cellStyle name="60% - Énfasis6 5 2 2 2 4" xfId="18069" xr:uid="{D02B673B-540E-45F4-8FD3-7CF6C735E9B0}"/>
    <cellStyle name="60% - Énfasis6 5 2 2 2 4 2" xfId="56962" xr:uid="{0E2F7EE5-7C50-4025-A8F2-9844161D6813}"/>
    <cellStyle name="60% - Énfasis6 5 2 2 2 5" xfId="56955" xr:uid="{2D5A2A32-4F06-4028-ABF6-CB32E9EB6209}"/>
    <cellStyle name="60% - Énfasis6 5 2 2 3" xfId="4919" xr:uid="{3BE93138-26E4-4EA1-8679-A9375BB065DA}"/>
    <cellStyle name="60% - Énfasis6 5 2 2 3 2" xfId="12627" xr:uid="{0226502B-398E-472A-AFB4-CF5544434CA2}"/>
    <cellStyle name="60% - Énfasis6 5 2 2 3 2 2" xfId="28039" xr:uid="{899D8613-2931-49BB-864D-B16466F01EED}"/>
    <cellStyle name="60% - Énfasis6 5 2 2 3 2 2 2" xfId="56965" xr:uid="{DD154C36-548E-4529-82C2-5B2D68CF7642}"/>
    <cellStyle name="60% - Énfasis6 5 2 2 3 2 3" xfId="56964" xr:uid="{279391B3-31A3-4645-BF2A-79D460BC2530}"/>
    <cellStyle name="60% - Énfasis6 5 2 2 3 3" xfId="20334" xr:uid="{F800CA2D-A06D-45ED-A832-F6866A7888D3}"/>
    <cellStyle name="60% - Énfasis6 5 2 2 3 3 2" xfId="56966" xr:uid="{E4CC5649-DC3A-48A2-9AC7-680C248085E8}"/>
    <cellStyle name="60% - Énfasis6 5 2 2 3 4" xfId="56963" xr:uid="{6DFE6EF7-3B8E-43D8-8E57-CD9C55A8D7E0}"/>
    <cellStyle name="60% - Énfasis6 5 2 2 4" xfId="8902" xr:uid="{DA6A9B8B-CD75-4924-A78E-D69E341B179A}"/>
    <cellStyle name="60% - Énfasis6 5 2 2 4 2" xfId="24315" xr:uid="{5AB0F80C-2913-4BD2-930D-182995ECE975}"/>
    <cellStyle name="60% - Énfasis6 5 2 2 4 2 2" xfId="56968" xr:uid="{ED7B3037-DA58-404B-954B-944018C9B1E5}"/>
    <cellStyle name="60% - Énfasis6 5 2 2 4 3" xfId="56967" xr:uid="{9809575A-EDE4-42F0-829C-6C0FED8F77D7}"/>
    <cellStyle name="60% - Énfasis6 5 2 2 5" xfId="16610" xr:uid="{1E7E6D14-AB4F-4B82-945C-A18E175E09B6}"/>
    <cellStyle name="60% - Énfasis6 5 2 2 5 2" xfId="56969" xr:uid="{89E0B28F-056A-41E6-8034-DC22D4A63424}"/>
    <cellStyle name="60% - Énfasis6 5 2 2 6" xfId="56954" xr:uid="{C10D39C1-132E-4757-AB2C-B9373D673FB1}"/>
    <cellStyle name="60% - Énfasis6 5 2 3" xfId="2012" xr:uid="{6B9EE5A7-618D-4A8B-9C93-6C730BAE6B34}"/>
    <cellStyle name="60% - Énfasis6 5 2 3 2" xfId="5744" xr:uid="{3E2762C2-E2C5-4D3A-A4D1-2E1A28CC3C62}"/>
    <cellStyle name="60% - Énfasis6 5 2 3 2 2" xfId="13452" xr:uid="{E5CA2678-477D-4FB8-9650-4FA6C030C337}"/>
    <cellStyle name="60% - Énfasis6 5 2 3 2 2 2" xfId="28864" xr:uid="{88132AEE-86FD-400F-A646-13811092A153}"/>
    <cellStyle name="60% - Énfasis6 5 2 3 2 2 2 2" xfId="56973" xr:uid="{7A4B9E48-3B1C-41F5-BFE8-B7F4E8596291}"/>
    <cellStyle name="60% - Énfasis6 5 2 3 2 2 3" xfId="56972" xr:uid="{151E9454-E1C2-4372-8EBB-54543CA7FE1E}"/>
    <cellStyle name="60% - Énfasis6 5 2 3 2 3" xfId="21159" xr:uid="{71E078FB-A27D-4192-BDAB-26664F91C436}"/>
    <cellStyle name="60% - Énfasis6 5 2 3 2 3 2" xfId="56974" xr:uid="{7316D468-12CD-4BA0-9DBB-827F741532FC}"/>
    <cellStyle name="60% - Énfasis6 5 2 3 2 4" xfId="56971" xr:uid="{69FA7C63-FEDC-46C0-8563-C662F66B5CCD}"/>
    <cellStyle name="60% - Énfasis6 5 2 3 3" xfId="9723" xr:uid="{05D90079-81CB-44BC-AF10-336C096A98B7}"/>
    <cellStyle name="60% - Énfasis6 5 2 3 3 2" xfId="25136" xr:uid="{A83B3386-9464-46AD-9795-F8E84E8F845A}"/>
    <cellStyle name="60% - Énfasis6 5 2 3 3 2 2" xfId="56976" xr:uid="{D899F817-FFB0-4B5E-8108-8238F074693C}"/>
    <cellStyle name="60% - Énfasis6 5 2 3 3 3" xfId="56975" xr:uid="{B7F231FC-6D29-4F84-A102-8D8ABA96A151}"/>
    <cellStyle name="60% - Énfasis6 5 2 3 4" xfId="17431" xr:uid="{B08059B9-56B9-459C-9B25-B8A7E5E017CE}"/>
    <cellStyle name="60% - Énfasis6 5 2 3 4 2" xfId="56977" xr:uid="{C9098531-C482-49F9-9FF0-5B6E5DA6E60E}"/>
    <cellStyle name="60% - Énfasis6 5 2 3 5" xfId="56970" xr:uid="{28BE2C98-8D31-4459-9CB1-BD99C4B3FB88}"/>
    <cellStyle name="60% - Énfasis6 5 2 4" xfId="4267" xr:uid="{8679216D-68D7-4ECF-9B70-B086CE24275A}"/>
    <cellStyle name="60% - Énfasis6 5 2 4 2" xfId="11975" xr:uid="{5A0B3F65-A606-477B-811C-BE8346D1199C}"/>
    <cellStyle name="60% - Énfasis6 5 2 4 2 2" xfId="27387" xr:uid="{270AA421-1E74-43A6-8241-3390ED98D0E2}"/>
    <cellStyle name="60% - Énfasis6 5 2 4 2 2 2" xfId="56980" xr:uid="{C1BA1FCA-78B2-49F4-B345-C8E20262DFCD}"/>
    <cellStyle name="60% - Énfasis6 5 2 4 2 3" xfId="56979" xr:uid="{60FFCF29-750F-413A-A772-EBDB751FC0EB}"/>
    <cellStyle name="60% - Énfasis6 5 2 4 3" xfId="19682" xr:uid="{7B22A014-526B-4D81-9B76-E46329173136}"/>
    <cellStyle name="60% - Énfasis6 5 2 4 3 2" xfId="56981" xr:uid="{B9160E0D-E13A-45DE-993F-5ED994F88F9B}"/>
    <cellStyle name="60% - Énfasis6 5 2 4 4" xfId="56978" xr:uid="{EF0091EF-A79D-42B9-8FA9-C3D4E2273B3C}"/>
    <cellStyle name="60% - Énfasis6 5 2 5" xfId="8264" xr:uid="{E84A0A92-1FF2-4FCE-852F-99CD312CE09B}"/>
    <cellStyle name="60% - Énfasis6 5 2 5 2" xfId="23677" xr:uid="{022DA267-90F6-4128-BEF3-AD8DE2F62759}"/>
    <cellStyle name="60% - Énfasis6 5 2 5 2 2" xfId="56983" xr:uid="{F2098EE5-840C-4B2C-8603-31F2A89F931B}"/>
    <cellStyle name="60% - Énfasis6 5 2 5 3" xfId="56982" xr:uid="{FE86E431-2B05-459F-B57F-BE3C63633854}"/>
    <cellStyle name="60% - Énfasis6 5 2 6" xfId="15972" xr:uid="{5E18866C-3053-4093-9902-C1D70B7857FA}"/>
    <cellStyle name="60% - Énfasis6 5 2 6 2" xfId="56984" xr:uid="{AACDBDA3-5B92-4080-8C52-74A64DB68456}"/>
    <cellStyle name="60% - Énfasis6 5 2 7" xfId="56953" xr:uid="{07609062-177E-40E3-A73E-42C65F165683}"/>
    <cellStyle name="60% - Énfasis6 5 3" xfId="982" xr:uid="{99122E8A-2BCE-4B9A-848E-6F416DF24AB4}"/>
    <cellStyle name="60% - Énfasis6 5 3 2" xfId="2452" xr:uid="{D619B20A-FA70-4088-AEA2-3A6233EFF251}"/>
    <cellStyle name="60% - Énfasis6 5 3 2 2" xfId="6184" xr:uid="{7CF97064-FBCD-481D-91BF-50761E051D07}"/>
    <cellStyle name="60% - Énfasis6 5 3 2 2 2" xfId="13892" xr:uid="{AD91318A-7DC3-434E-AD53-2EA13966A83F}"/>
    <cellStyle name="60% - Énfasis6 5 3 2 2 2 2" xfId="29304" xr:uid="{7FAFAEAF-707D-4A3F-B479-6012E72A06FF}"/>
    <cellStyle name="60% - Énfasis6 5 3 2 2 2 2 2" xfId="56989" xr:uid="{88EA67CF-F9DB-41BC-A5C3-DAC2E3C802AD}"/>
    <cellStyle name="60% - Énfasis6 5 3 2 2 2 3" xfId="56988" xr:uid="{457E1F1B-BA97-48DC-BFAE-8B0B231D6F6C}"/>
    <cellStyle name="60% - Énfasis6 5 3 2 2 3" xfId="21599" xr:uid="{8A816BAB-E94D-4360-9FD3-690297306B2F}"/>
    <cellStyle name="60% - Énfasis6 5 3 2 2 3 2" xfId="56990" xr:uid="{9C2EC3F2-F441-460C-8C0D-850562BE2295}"/>
    <cellStyle name="60% - Énfasis6 5 3 2 2 4" xfId="56987" xr:uid="{81FA18C2-B52A-43E5-AFC6-A95A429B8BE3}"/>
    <cellStyle name="60% - Énfasis6 5 3 2 3" xfId="10163" xr:uid="{BA237CDE-0498-488E-ACC3-A85C9DF60798}"/>
    <cellStyle name="60% - Énfasis6 5 3 2 3 2" xfId="25576" xr:uid="{2863F77E-1EF8-446F-94C5-B08622D659FF}"/>
    <cellStyle name="60% - Énfasis6 5 3 2 3 2 2" xfId="56992" xr:uid="{3BE55624-4496-4FE6-98D1-5A5B39FAB741}"/>
    <cellStyle name="60% - Énfasis6 5 3 2 3 3" xfId="56991" xr:uid="{1CEC218F-EF23-43AE-917A-FAA4BA9B1BB0}"/>
    <cellStyle name="60% - Énfasis6 5 3 2 4" xfId="17871" xr:uid="{53A02D6B-979B-498E-A747-DB8C2D200DF7}"/>
    <cellStyle name="60% - Énfasis6 5 3 2 4 2" xfId="56993" xr:uid="{0913FF09-1C8E-425D-811C-CD17ED1A65C5}"/>
    <cellStyle name="60% - Énfasis6 5 3 2 5" xfId="56986" xr:uid="{46F530DC-4C6D-48CF-8C3B-7DACBA6ADBF3}"/>
    <cellStyle name="60% - Énfasis6 5 3 3" xfId="4719" xr:uid="{709C2353-DD7D-4711-842B-EFA0D19B7523}"/>
    <cellStyle name="60% - Énfasis6 5 3 3 2" xfId="12427" xr:uid="{95755655-51C1-4270-BBE7-CEA5CBC6BFAD}"/>
    <cellStyle name="60% - Énfasis6 5 3 3 2 2" xfId="27839" xr:uid="{767C7627-5BC0-446C-93B5-FFA8C4D275AA}"/>
    <cellStyle name="60% - Énfasis6 5 3 3 2 2 2" xfId="56996" xr:uid="{A70B4092-A8E1-44EE-BD01-0F479DC2B531}"/>
    <cellStyle name="60% - Énfasis6 5 3 3 2 3" xfId="56995" xr:uid="{9B8670D3-10BD-46F9-A6A0-62F177B814BD}"/>
    <cellStyle name="60% - Énfasis6 5 3 3 3" xfId="20134" xr:uid="{53A51058-6EEC-4CFA-9E1E-4AAC8A0C67C4}"/>
    <cellStyle name="60% - Énfasis6 5 3 3 3 2" xfId="56997" xr:uid="{42FA4AF0-EF4F-4EA2-A30C-86461318C918}"/>
    <cellStyle name="60% - Énfasis6 5 3 3 4" xfId="56994" xr:uid="{D726A7E1-8E2F-442E-BDDE-527D48247CF3}"/>
    <cellStyle name="60% - Énfasis6 5 3 4" xfId="8704" xr:uid="{DF077CF1-F68A-474C-AE65-F049506E2866}"/>
    <cellStyle name="60% - Énfasis6 5 3 4 2" xfId="24117" xr:uid="{C69C007B-825F-4226-8BB8-9940AB19BADC}"/>
    <cellStyle name="60% - Énfasis6 5 3 4 2 2" xfId="56999" xr:uid="{2ADD7DC7-055C-497D-A00F-A74E71670802}"/>
    <cellStyle name="60% - Énfasis6 5 3 4 3" xfId="56998" xr:uid="{02191084-F2F5-40C6-9D27-AF0187CE507F}"/>
    <cellStyle name="60% - Énfasis6 5 3 5" xfId="16412" xr:uid="{01FB1534-1082-4F27-9FF6-67EE53D985B5}"/>
    <cellStyle name="60% - Énfasis6 5 3 5 2" xfId="57000" xr:uid="{DD4D1EAB-B254-4B98-9083-C891ADB6AD0C}"/>
    <cellStyle name="60% - Énfasis6 5 3 6" xfId="56985" xr:uid="{4A0844C0-718C-485C-8301-65B87CFF7E55}"/>
    <cellStyle name="60% - Énfasis6 5 4" xfId="1814" xr:uid="{20A45D33-E06A-4D88-A8E3-2398CB84D192}"/>
    <cellStyle name="60% - Énfasis6 5 4 2" xfId="5546" xr:uid="{A0CA85EF-D6C9-4DCE-BF9A-F008133F6C7F}"/>
    <cellStyle name="60% - Énfasis6 5 4 2 2" xfId="13254" xr:uid="{292A1D94-45BD-44E3-B235-B2F2BF63921C}"/>
    <cellStyle name="60% - Énfasis6 5 4 2 2 2" xfId="28666" xr:uid="{30A8CBD3-5D80-44F5-8CDD-9F6B0ACAB956}"/>
    <cellStyle name="60% - Énfasis6 5 4 2 2 2 2" xfId="57004" xr:uid="{F05C48B2-3E2E-45B5-BDAB-661CFEDE52E8}"/>
    <cellStyle name="60% - Énfasis6 5 4 2 2 3" xfId="57003" xr:uid="{E21F774E-8A38-45AE-AC47-08FA14A61DA3}"/>
    <cellStyle name="60% - Énfasis6 5 4 2 3" xfId="20961" xr:uid="{D1C90D40-FC83-46F8-A99B-F1CBBDA651BC}"/>
    <cellStyle name="60% - Énfasis6 5 4 2 3 2" xfId="57005" xr:uid="{217333EA-7F35-4AD9-8453-FFEFB64B6B1D}"/>
    <cellStyle name="60% - Énfasis6 5 4 2 4" xfId="57002" xr:uid="{684C21B6-C9BF-4B48-9D4A-23EF88B720FE}"/>
    <cellStyle name="60% - Énfasis6 5 4 3" xfId="9525" xr:uid="{B62E69EB-317D-48B0-8062-3E5800AA400B}"/>
    <cellStyle name="60% - Énfasis6 5 4 3 2" xfId="24938" xr:uid="{36EB9A2E-1F4D-4974-8EFC-DBF36F42E5E2}"/>
    <cellStyle name="60% - Énfasis6 5 4 3 2 2" xfId="57007" xr:uid="{46D6EC34-690F-44C1-87CB-896589E6C819}"/>
    <cellStyle name="60% - Énfasis6 5 4 3 3" xfId="57006" xr:uid="{CBA0395D-C84C-451C-AD3A-EE81967C1B5E}"/>
    <cellStyle name="60% - Énfasis6 5 4 4" xfId="17233" xr:uid="{1CA16122-9A77-453F-B67C-BE9700318D60}"/>
    <cellStyle name="60% - Énfasis6 5 4 4 2" xfId="57008" xr:uid="{CA2D0910-377D-4026-9D25-D36F14176663}"/>
    <cellStyle name="60% - Énfasis6 5 4 5" xfId="57001" xr:uid="{691FD50E-C483-4120-898C-44EB9F367645}"/>
    <cellStyle name="60% - Énfasis6 5 5" xfId="4067" xr:uid="{B8A6D757-05D6-47EB-8906-0F266FD60F6A}"/>
    <cellStyle name="60% - Énfasis6 5 5 2" xfId="11775" xr:uid="{34B9549C-F124-478C-BBC4-9D772D860631}"/>
    <cellStyle name="60% - Énfasis6 5 5 2 2" xfId="27187" xr:uid="{1684F99E-3D20-4AE7-9FBC-C4BD65183138}"/>
    <cellStyle name="60% - Énfasis6 5 5 2 2 2" xfId="57011" xr:uid="{97CCF74F-4464-44C0-877A-3099A7CD4393}"/>
    <cellStyle name="60% - Énfasis6 5 5 2 3" xfId="57010" xr:uid="{B017DE49-ED0A-4AA4-B2E7-8AAA6FB9B53E}"/>
    <cellStyle name="60% - Énfasis6 5 5 3" xfId="19482" xr:uid="{D8CAB346-9350-47E0-B2C6-285147084C0D}"/>
    <cellStyle name="60% - Énfasis6 5 5 3 2" xfId="57012" xr:uid="{4107B0C1-8996-4EE0-AADB-ECC04CB3DF7A}"/>
    <cellStyle name="60% - Énfasis6 5 5 4" xfId="57009" xr:uid="{0D023817-18C6-498F-9A4E-6D4D4AA7D666}"/>
    <cellStyle name="60% - Énfasis6 5 6" xfId="8066" xr:uid="{C021B796-E0D5-4405-BEF4-846E2E9D3DFD}"/>
    <cellStyle name="60% - Énfasis6 5 6 2" xfId="23479" xr:uid="{44236D24-0B0C-44B6-8126-84F49E272111}"/>
    <cellStyle name="60% - Énfasis6 5 6 2 2" xfId="57014" xr:uid="{9BA69B90-079A-4B13-A6BA-DB8E96E2C482}"/>
    <cellStyle name="60% - Énfasis6 5 6 3" xfId="57013" xr:uid="{7DFA974E-6211-41BE-AAD7-853B5B2A7EC8}"/>
    <cellStyle name="60% - Énfasis6 5 7" xfId="15774" xr:uid="{61FD34AC-D0D5-465F-926D-7583904A86F6}"/>
    <cellStyle name="60% - Énfasis6 5 7 2" xfId="57015" xr:uid="{B9E86570-748A-459C-B63D-6C9A0C3E7034}"/>
    <cellStyle name="60% - Énfasis6 5 8" xfId="56952" xr:uid="{A6D605ED-9657-484D-AEB8-E8D20B1506CE}"/>
    <cellStyle name="60% - Énfasis6 6" xfId="541" xr:uid="{4202B397-14F4-4FE7-ACBA-B4E79DFBA7A4}"/>
    <cellStyle name="60% - Énfasis6 6 2" xfId="1202" xr:uid="{05A0C171-38C8-46ED-A20D-DA9F09B1557A}"/>
    <cellStyle name="60% - Énfasis6 6 2 2" xfId="2670" xr:uid="{7EE7425C-68AC-43BD-80E4-D0253EFC7DFC}"/>
    <cellStyle name="60% - Énfasis6 6 2 2 2" xfId="6402" xr:uid="{6A6B0BD8-880B-4904-AA49-6E04CA0D4460}"/>
    <cellStyle name="60% - Énfasis6 6 2 2 2 2" xfId="14110" xr:uid="{64BD15C7-4EBD-4027-8CE9-F24D03FFCE44}"/>
    <cellStyle name="60% - Énfasis6 6 2 2 2 2 2" xfId="29522" xr:uid="{090222B8-BB3C-4594-AB28-243FBD488953}"/>
    <cellStyle name="60% - Énfasis6 6 2 2 2 2 2 2" xfId="57021" xr:uid="{A94AC86F-5FEC-4BA0-9507-3280C46E2F29}"/>
    <cellStyle name="60% - Énfasis6 6 2 2 2 2 3" xfId="57020" xr:uid="{42ECC97F-52A5-4187-B45F-38468C0FDEB2}"/>
    <cellStyle name="60% - Énfasis6 6 2 2 2 3" xfId="21817" xr:uid="{5DAC7303-1295-4E5B-A11E-FF2D6C21DF99}"/>
    <cellStyle name="60% - Énfasis6 6 2 2 2 3 2" xfId="57022" xr:uid="{47C62A28-428A-46A3-8287-B083D75D90E5}"/>
    <cellStyle name="60% - Énfasis6 6 2 2 2 4" xfId="57019" xr:uid="{6E563F71-EAE4-4A1B-83FF-13A326B6163E}"/>
    <cellStyle name="60% - Énfasis6 6 2 2 3" xfId="10381" xr:uid="{2B698BB4-B210-43AF-A416-71809C9943FC}"/>
    <cellStyle name="60% - Énfasis6 6 2 2 3 2" xfId="25794" xr:uid="{C6D5623D-D3F8-49A5-9AFD-5214ECD798D7}"/>
    <cellStyle name="60% - Énfasis6 6 2 2 3 2 2" xfId="57024" xr:uid="{12358FD7-C8AC-4A68-ACC2-6E28E03E1E29}"/>
    <cellStyle name="60% - Énfasis6 6 2 2 3 3" xfId="57023" xr:uid="{89047774-D329-4060-95D3-3CF27F71ABCE}"/>
    <cellStyle name="60% - Énfasis6 6 2 2 4" xfId="18089" xr:uid="{90BB3939-D9C2-4ED8-967B-A3E0AA2C91E5}"/>
    <cellStyle name="60% - Énfasis6 6 2 2 4 2" xfId="57025" xr:uid="{43580A88-B6A3-4838-BD16-311C52E69099}"/>
    <cellStyle name="60% - Énfasis6 6 2 2 5" xfId="57018" xr:uid="{8BD1AE02-8CC4-4B49-A3C2-18CC9946F9D0}"/>
    <cellStyle name="60% - Énfasis6 6 2 3" xfId="4939" xr:uid="{8EC71BB5-F03C-4825-89FF-8CC02EBE3286}"/>
    <cellStyle name="60% - Énfasis6 6 2 3 2" xfId="12647" xr:uid="{2F5E8799-B0E3-45C3-B7AB-358E5DA21616}"/>
    <cellStyle name="60% - Énfasis6 6 2 3 2 2" xfId="28059" xr:uid="{4F029CD2-D023-454C-AB2C-84BDD826FB52}"/>
    <cellStyle name="60% - Énfasis6 6 2 3 2 2 2" xfId="57028" xr:uid="{387B4D69-AB5A-429B-8C57-9675B26CF3E0}"/>
    <cellStyle name="60% - Énfasis6 6 2 3 2 3" xfId="57027" xr:uid="{A8015052-B789-4720-BAB7-417A89DC13F9}"/>
    <cellStyle name="60% - Énfasis6 6 2 3 3" xfId="20354" xr:uid="{5AEC826A-DD62-4607-82CA-34E2E5E7C67C}"/>
    <cellStyle name="60% - Énfasis6 6 2 3 3 2" xfId="57029" xr:uid="{87A7C73D-6FBD-42ED-92F2-1828265836F9}"/>
    <cellStyle name="60% - Énfasis6 6 2 3 4" xfId="57026" xr:uid="{F7CB3180-7BE5-4E5D-8A67-5FD908D03705}"/>
    <cellStyle name="60% - Énfasis6 6 2 4" xfId="8922" xr:uid="{362030F1-E65B-4125-AA9D-3CC4548335AB}"/>
    <cellStyle name="60% - Énfasis6 6 2 4 2" xfId="24335" xr:uid="{A6BC230E-8679-47C2-8B89-6805D4AA020E}"/>
    <cellStyle name="60% - Énfasis6 6 2 4 2 2" xfId="57031" xr:uid="{F24AEFAC-9941-4DB3-8FDF-2E8A403F2EDC}"/>
    <cellStyle name="60% - Énfasis6 6 2 4 3" xfId="57030" xr:uid="{32F8CFAA-71F6-40A3-8F36-2D96F77FF267}"/>
    <cellStyle name="60% - Énfasis6 6 2 5" xfId="16630" xr:uid="{9B0F8E0B-FC65-434D-A482-9589582562EA}"/>
    <cellStyle name="60% - Énfasis6 6 2 5 2" xfId="57032" xr:uid="{0389DCC5-2D0A-4566-97A3-B61107CF76D9}"/>
    <cellStyle name="60% - Énfasis6 6 2 6" xfId="57017" xr:uid="{91C160A2-8370-430D-8425-CAC6D5EEE485}"/>
    <cellStyle name="60% - Énfasis6 6 3" xfId="2032" xr:uid="{6B88DEA1-82B6-4127-A0E3-F3EA7CA402BB}"/>
    <cellStyle name="60% - Énfasis6 6 3 2" xfId="5764" xr:uid="{00DB21D0-DB47-4AE9-B4FC-F4ECE236557E}"/>
    <cellStyle name="60% - Énfasis6 6 3 2 2" xfId="13472" xr:uid="{42AE3E09-E00B-452F-91C0-6033E5ED7A17}"/>
    <cellStyle name="60% - Énfasis6 6 3 2 2 2" xfId="28884" xr:uid="{B6588874-36A0-4D34-8599-6F6D37EFA338}"/>
    <cellStyle name="60% - Énfasis6 6 3 2 2 2 2" xfId="57036" xr:uid="{75D5511D-C507-46E7-B7ED-2553908789D8}"/>
    <cellStyle name="60% - Énfasis6 6 3 2 2 3" xfId="57035" xr:uid="{70089000-8236-49F5-9E0F-ED6D584B8966}"/>
    <cellStyle name="60% - Énfasis6 6 3 2 3" xfId="21179" xr:uid="{B2184563-3B10-4B14-BA44-A9560E5D5086}"/>
    <cellStyle name="60% - Énfasis6 6 3 2 3 2" xfId="57037" xr:uid="{0EE0F7AD-8549-4A2B-A17D-6872F834916A}"/>
    <cellStyle name="60% - Énfasis6 6 3 2 4" xfId="57034" xr:uid="{870B1189-E831-48A8-B1CE-B8F0E58F1268}"/>
    <cellStyle name="60% - Énfasis6 6 3 3" xfId="9743" xr:uid="{257149C6-D28A-487D-A873-99C443BE1B2C}"/>
    <cellStyle name="60% - Énfasis6 6 3 3 2" xfId="25156" xr:uid="{6EA850AF-C93A-412F-9320-2325B32DB3DD}"/>
    <cellStyle name="60% - Énfasis6 6 3 3 2 2" xfId="57039" xr:uid="{F1AD8103-E1EA-45C8-A99F-32B2E78599BF}"/>
    <cellStyle name="60% - Énfasis6 6 3 3 3" xfId="57038" xr:uid="{C02D28FD-3995-49B6-BD18-F089E906E645}"/>
    <cellStyle name="60% - Énfasis6 6 3 4" xfId="17451" xr:uid="{9426DC54-420C-4608-BD71-49A88C335C4C}"/>
    <cellStyle name="60% - Énfasis6 6 3 4 2" xfId="57040" xr:uid="{9CD47009-EDBE-4495-8AA6-16AFD56FCCD8}"/>
    <cellStyle name="60% - Énfasis6 6 3 5" xfId="57033" xr:uid="{72077AAE-64C0-4E7D-9B51-D93CCD5641D7}"/>
    <cellStyle name="60% - Énfasis6 6 4" xfId="4287" xr:uid="{54465554-0980-492C-90CB-4C88BF1253C6}"/>
    <cellStyle name="60% - Énfasis6 6 4 2" xfId="11995" xr:uid="{673CAD9C-3E97-4ADC-A7FA-33DA05DA0F78}"/>
    <cellStyle name="60% - Énfasis6 6 4 2 2" xfId="27407" xr:uid="{BF4310D8-BA92-47EE-8E7B-769B1ED2E431}"/>
    <cellStyle name="60% - Énfasis6 6 4 2 2 2" xfId="57043" xr:uid="{AE2F0C72-EDD7-40C9-9C9D-817629029B94}"/>
    <cellStyle name="60% - Énfasis6 6 4 2 3" xfId="57042" xr:uid="{E66D84B5-8B6A-44AB-A196-2142062DC117}"/>
    <cellStyle name="60% - Énfasis6 6 4 3" xfId="19702" xr:uid="{B1540921-9569-4DF8-8586-7C30BE3FBF02}"/>
    <cellStyle name="60% - Énfasis6 6 4 3 2" xfId="57044" xr:uid="{D91935B9-3DB0-4F57-B62C-DDCD13F78C3B}"/>
    <cellStyle name="60% - Énfasis6 6 4 4" xfId="57041" xr:uid="{E02703BE-F2BA-4865-B4C5-E76CB2B545FA}"/>
    <cellStyle name="60% - Énfasis6 6 5" xfId="8284" xr:uid="{82250D0F-499C-4951-A15A-99D815C21296}"/>
    <cellStyle name="60% - Énfasis6 6 5 2" xfId="23697" xr:uid="{C3BF7505-A29F-4B83-8AC8-C901F0C51671}"/>
    <cellStyle name="60% - Énfasis6 6 5 2 2" xfId="57046" xr:uid="{50F369E9-537C-434D-A189-14031FE673A8}"/>
    <cellStyle name="60% - Énfasis6 6 5 3" xfId="57045" xr:uid="{7A1C50A5-38D6-4D4C-8831-05396AC5E122}"/>
    <cellStyle name="60% - Énfasis6 6 6" xfId="15992" xr:uid="{A07E4A32-7627-425E-9A5E-59A3FBAD4203}"/>
    <cellStyle name="60% - Énfasis6 6 6 2" xfId="57047" xr:uid="{C87E1CEF-E38B-4F15-A198-A5A8486CFE3D}"/>
    <cellStyle name="60% - Énfasis6 6 7" xfId="57016" xr:uid="{0691B183-6724-4100-A5FE-462FBB8E192C}"/>
    <cellStyle name="60% - Énfasis6 7" xfId="561" xr:uid="{2D9D9F60-1471-4852-8C84-D0F76CF8EFB4}"/>
    <cellStyle name="60% - Énfasis6 7 2" xfId="1222" xr:uid="{530B9279-E844-401B-BDD1-847F31B0314D}"/>
    <cellStyle name="60% - Énfasis6 7 2 2" xfId="2690" xr:uid="{FACA9835-C3B8-42EF-8454-9885CEB9371F}"/>
    <cellStyle name="60% - Énfasis6 7 2 2 2" xfId="6422" xr:uid="{5C0C696F-F23C-4E7A-934E-7CB453BD0056}"/>
    <cellStyle name="60% - Énfasis6 7 2 2 2 2" xfId="14130" xr:uid="{F453C2FC-EBA7-49EC-8365-C58FE2DBCC12}"/>
    <cellStyle name="60% - Énfasis6 7 2 2 2 2 2" xfId="29542" xr:uid="{AE61F677-20D8-452A-A1AE-C3CA1064A166}"/>
    <cellStyle name="60% - Énfasis6 7 2 2 2 2 2 2" xfId="57053" xr:uid="{EF768ADD-8D1C-43EE-B785-48122100B6EE}"/>
    <cellStyle name="60% - Énfasis6 7 2 2 2 2 3" xfId="57052" xr:uid="{91413A62-C710-4AC0-86EF-B6F9DC9C84E8}"/>
    <cellStyle name="60% - Énfasis6 7 2 2 2 3" xfId="21837" xr:uid="{8648F9D1-E9E5-4708-A73E-300E2D2CF80B}"/>
    <cellStyle name="60% - Énfasis6 7 2 2 2 3 2" xfId="57054" xr:uid="{8E27343C-DA04-4EE0-B928-5EDC4A4CA973}"/>
    <cellStyle name="60% - Énfasis6 7 2 2 2 4" xfId="57051" xr:uid="{548A6ECD-DE7B-4294-BC33-CA5706B355BE}"/>
    <cellStyle name="60% - Énfasis6 7 2 2 3" xfId="10401" xr:uid="{3896AE56-4541-48A6-858C-7B597783EBBA}"/>
    <cellStyle name="60% - Énfasis6 7 2 2 3 2" xfId="25814" xr:uid="{B3E4FA40-BC56-46A3-B396-E0549ABFDCA5}"/>
    <cellStyle name="60% - Énfasis6 7 2 2 3 2 2" xfId="57056" xr:uid="{0A6521CA-3BEB-4312-BBF9-BF918E5FBCB9}"/>
    <cellStyle name="60% - Énfasis6 7 2 2 3 3" xfId="57055" xr:uid="{E583BB30-FF51-43BF-91AD-5F76735B8995}"/>
    <cellStyle name="60% - Énfasis6 7 2 2 4" xfId="18109" xr:uid="{22C98CAF-8BD2-48FD-BB38-9B7724ADA961}"/>
    <cellStyle name="60% - Énfasis6 7 2 2 4 2" xfId="57057" xr:uid="{75A7578C-7CE8-44C7-82D4-BF1AC5DB7614}"/>
    <cellStyle name="60% - Énfasis6 7 2 2 5" xfId="57050" xr:uid="{504D1DBC-BA4D-431F-B819-18EDD5727AAE}"/>
    <cellStyle name="60% - Énfasis6 7 2 3" xfId="4959" xr:uid="{56CF3537-B95B-419D-8498-41371DF6C5E5}"/>
    <cellStyle name="60% - Énfasis6 7 2 3 2" xfId="12667" xr:uid="{9FEA5B52-11F1-4DC5-B76B-094AE5587084}"/>
    <cellStyle name="60% - Énfasis6 7 2 3 2 2" xfId="28079" xr:uid="{876709C6-BF9D-4DE9-A761-6CC9E4E7C434}"/>
    <cellStyle name="60% - Énfasis6 7 2 3 2 2 2" xfId="57060" xr:uid="{28019293-C55A-41E2-AE37-5C878C29722B}"/>
    <cellStyle name="60% - Énfasis6 7 2 3 2 3" xfId="57059" xr:uid="{04EF3D2F-5B6B-4B2E-A3AF-8BA2CDC0A901}"/>
    <cellStyle name="60% - Énfasis6 7 2 3 3" xfId="20374" xr:uid="{F9FA8F6C-DD85-4B5E-A085-E55D11705964}"/>
    <cellStyle name="60% - Énfasis6 7 2 3 3 2" xfId="57061" xr:uid="{9395AC3F-722C-4A9E-9A74-1928CAE0C65A}"/>
    <cellStyle name="60% - Énfasis6 7 2 3 4" xfId="57058" xr:uid="{D2DDB057-9C16-436D-834C-F295A727ACD5}"/>
    <cellStyle name="60% - Énfasis6 7 2 4" xfId="8942" xr:uid="{C10C161F-5414-4769-B309-78327FEF097E}"/>
    <cellStyle name="60% - Énfasis6 7 2 4 2" xfId="24355" xr:uid="{2B6AFF83-019C-49C1-9F71-FCF111EAFB20}"/>
    <cellStyle name="60% - Énfasis6 7 2 4 2 2" xfId="57063" xr:uid="{13ACAAFB-E7EE-4EF3-80BD-2E63710A08E7}"/>
    <cellStyle name="60% - Énfasis6 7 2 4 3" xfId="57062" xr:uid="{E10A9A06-BB45-4505-AFCB-8DC45E9BD058}"/>
    <cellStyle name="60% - Énfasis6 7 2 5" xfId="16650" xr:uid="{B826253A-8F24-4096-AD11-29F182D03389}"/>
    <cellStyle name="60% - Énfasis6 7 2 5 2" xfId="57064" xr:uid="{E65DF3F3-BEB8-4D2F-91B5-BB0D785F5C0D}"/>
    <cellStyle name="60% - Énfasis6 7 2 6" xfId="57049" xr:uid="{0E040A15-5603-4EB2-A1FA-D2838B58A2F0}"/>
    <cellStyle name="60% - Énfasis6 7 3" xfId="2052" xr:uid="{8E5C8837-FFCB-4327-9E4E-2985DCBD277C}"/>
    <cellStyle name="60% - Énfasis6 7 3 2" xfId="5784" xr:uid="{A8728495-E543-4859-9DF8-63BA2333E475}"/>
    <cellStyle name="60% - Énfasis6 7 3 2 2" xfId="13492" xr:uid="{E885CC87-5B65-4EDA-A1DA-AD1F26E51E15}"/>
    <cellStyle name="60% - Énfasis6 7 3 2 2 2" xfId="28904" xr:uid="{06281E4D-2250-4CFB-9BAD-96AADAFF4D77}"/>
    <cellStyle name="60% - Énfasis6 7 3 2 2 2 2" xfId="57068" xr:uid="{75998F72-8ABD-452E-9FD1-788A1D34F666}"/>
    <cellStyle name="60% - Énfasis6 7 3 2 2 3" xfId="57067" xr:uid="{EEA0F7EE-BFB4-4E02-848C-8718C7E8C2D2}"/>
    <cellStyle name="60% - Énfasis6 7 3 2 3" xfId="21199" xr:uid="{7A4F386D-3462-45ED-B195-FF9F4329DB97}"/>
    <cellStyle name="60% - Énfasis6 7 3 2 3 2" xfId="57069" xr:uid="{3A527D9E-83EC-4194-AC72-4DDCC3A688BA}"/>
    <cellStyle name="60% - Énfasis6 7 3 2 4" xfId="57066" xr:uid="{DDF9CA7E-07B0-4CAC-B2CC-5A49A91D76FD}"/>
    <cellStyle name="60% - Énfasis6 7 3 3" xfId="9763" xr:uid="{F803AF2D-8079-428E-86DE-CCD573992D77}"/>
    <cellStyle name="60% - Énfasis6 7 3 3 2" xfId="25176" xr:uid="{4C3A03E4-6BEA-44A7-B4D3-9993F3F638E1}"/>
    <cellStyle name="60% - Énfasis6 7 3 3 2 2" xfId="57071" xr:uid="{46B14EBF-5617-4E0A-A1CB-601A6C683FEA}"/>
    <cellStyle name="60% - Énfasis6 7 3 3 3" xfId="57070" xr:uid="{EF5F1E0B-B73E-44DA-9828-2D4C994E5154}"/>
    <cellStyle name="60% - Énfasis6 7 3 4" xfId="17471" xr:uid="{3B160877-4395-476D-9049-E5E4F3A7860F}"/>
    <cellStyle name="60% - Énfasis6 7 3 4 2" xfId="57072" xr:uid="{5DC0F7CD-0FC0-4668-ABE2-F2437E73C0B9}"/>
    <cellStyle name="60% - Énfasis6 7 3 5" xfId="57065" xr:uid="{FB80F76B-D1B3-4BDC-961B-59717DA3FC61}"/>
    <cellStyle name="60% - Énfasis6 7 4" xfId="4307" xr:uid="{C885F5B2-D3FB-4DB9-9431-59DB8488579B}"/>
    <cellStyle name="60% - Énfasis6 7 4 2" xfId="12015" xr:uid="{DBDEDD5D-4C12-4A7F-8F1E-902E55AEDE40}"/>
    <cellStyle name="60% - Énfasis6 7 4 2 2" xfId="27427" xr:uid="{83DEEFFE-9630-4271-991A-0BADC617BDE8}"/>
    <cellStyle name="60% - Énfasis6 7 4 2 2 2" xfId="57075" xr:uid="{A3ED4CF3-025E-44EB-BB66-7071330FD300}"/>
    <cellStyle name="60% - Énfasis6 7 4 2 3" xfId="57074" xr:uid="{5CA5116A-1B95-4DB3-8CFD-F17DEC934183}"/>
    <cellStyle name="60% - Énfasis6 7 4 3" xfId="19722" xr:uid="{44AD9F5F-4FC7-4962-9153-51D3C08F2EE6}"/>
    <cellStyle name="60% - Énfasis6 7 4 3 2" xfId="57076" xr:uid="{6D1D69BA-AB04-4AEF-A31B-2CA8FB365D4D}"/>
    <cellStyle name="60% - Énfasis6 7 4 4" xfId="57073" xr:uid="{3B21490E-7FDD-435B-BCFB-A20B63500DA2}"/>
    <cellStyle name="60% - Énfasis6 7 5" xfId="8304" xr:uid="{F962C0EF-79AC-4EE9-8152-45EDF598C1BB}"/>
    <cellStyle name="60% - Énfasis6 7 5 2" xfId="23717" xr:uid="{2F0A4727-9B06-4A62-B815-0E805AF1D95D}"/>
    <cellStyle name="60% - Énfasis6 7 5 2 2" xfId="57078" xr:uid="{BF6E295A-3C4E-4CDB-B814-E92A17CBB5E6}"/>
    <cellStyle name="60% - Énfasis6 7 5 3" xfId="57077" xr:uid="{C0C7DE08-D8E2-443C-8F52-347608D439EC}"/>
    <cellStyle name="60% - Énfasis6 7 6" xfId="16012" xr:uid="{4CA9E818-2B09-40CC-AFB9-E4F57126650B}"/>
    <cellStyle name="60% - Énfasis6 7 6 2" xfId="57079" xr:uid="{B3EA9554-D84F-4DF2-BA0D-DF5EC46B9554}"/>
    <cellStyle name="60% - Énfasis6 7 7" xfId="57048" xr:uid="{644CC4C4-0D1C-4547-891E-5E69EFD4A8FD}"/>
    <cellStyle name="60% - Énfasis6 8" xfId="581" xr:uid="{3AE7A8E6-9D33-4C26-AF42-0F6BC4B697A6}"/>
    <cellStyle name="60% - Énfasis6 8 2" xfId="1242" xr:uid="{AC8036D0-1841-4570-B912-117B161ABB3B}"/>
    <cellStyle name="60% - Énfasis6 8 2 2" xfId="2710" xr:uid="{2AD696DB-A4BC-4980-AF68-6F020F23275B}"/>
    <cellStyle name="60% - Énfasis6 8 2 2 2" xfId="6442" xr:uid="{8F95FB8C-8B9B-49EB-A4ED-F4728BE05F2C}"/>
    <cellStyle name="60% - Énfasis6 8 2 2 2 2" xfId="14150" xr:uid="{3FE2FD2F-329D-4BFC-A593-0781839DCFF0}"/>
    <cellStyle name="60% - Énfasis6 8 2 2 2 2 2" xfId="29562" xr:uid="{213C87B1-B855-43BA-B85A-E858B7543DAE}"/>
    <cellStyle name="60% - Énfasis6 8 2 2 2 2 2 2" xfId="57085" xr:uid="{A876E084-EE44-4CAD-88AF-049F819435B4}"/>
    <cellStyle name="60% - Énfasis6 8 2 2 2 2 3" xfId="57084" xr:uid="{3CE18EDD-1E4A-41A7-BC55-8BC1CB9ADD44}"/>
    <cellStyle name="60% - Énfasis6 8 2 2 2 3" xfId="21857" xr:uid="{20E222AB-7F57-4D9D-B357-AA564C8EC575}"/>
    <cellStyle name="60% - Énfasis6 8 2 2 2 3 2" xfId="57086" xr:uid="{57FD930F-A01C-4E16-A6D5-475C8C362367}"/>
    <cellStyle name="60% - Énfasis6 8 2 2 2 4" xfId="57083" xr:uid="{76AF10B9-5305-4798-B19F-8801C3988FAA}"/>
    <cellStyle name="60% - Énfasis6 8 2 2 3" xfId="10421" xr:uid="{80D4C9F6-E7B1-4C18-8743-359BAA7A6ACA}"/>
    <cellStyle name="60% - Énfasis6 8 2 2 3 2" xfId="25834" xr:uid="{1610FFD9-FCEA-417F-8747-630EE05A134E}"/>
    <cellStyle name="60% - Énfasis6 8 2 2 3 2 2" xfId="57088" xr:uid="{A5A1AF07-24D9-43DE-9368-3E83088BA474}"/>
    <cellStyle name="60% - Énfasis6 8 2 2 3 3" xfId="57087" xr:uid="{24A90835-356A-4679-B9FA-54A01D867330}"/>
    <cellStyle name="60% - Énfasis6 8 2 2 4" xfId="18129" xr:uid="{2D18F107-3975-4945-852D-070437779349}"/>
    <cellStyle name="60% - Énfasis6 8 2 2 4 2" xfId="57089" xr:uid="{E1624FDB-0CC8-457C-AD53-2B80C678735C}"/>
    <cellStyle name="60% - Énfasis6 8 2 2 5" xfId="57082" xr:uid="{D4DA758B-8821-4AB4-BB0F-B0F4A352ED1E}"/>
    <cellStyle name="60% - Énfasis6 8 2 3" xfId="4979" xr:uid="{A330D8AF-C019-42C5-8E97-900F0F48AD86}"/>
    <cellStyle name="60% - Énfasis6 8 2 3 2" xfId="12687" xr:uid="{B57A28F2-43A7-4AEA-AF3E-3E4CC71E0529}"/>
    <cellStyle name="60% - Énfasis6 8 2 3 2 2" xfId="28099" xr:uid="{6630F44D-D30E-47F5-88C4-99861CAC68B0}"/>
    <cellStyle name="60% - Énfasis6 8 2 3 2 2 2" xfId="57092" xr:uid="{67EA4321-C556-48D8-9C7A-5D78BD380C89}"/>
    <cellStyle name="60% - Énfasis6 8 2 3 2 3" xfId="57091" xr:uid="{66D7FA37-9BDD-4663-86A4-5A77180D838E}"/>
    <cellStyle name="60% - Énfasis6 8 2 3 3" xfId="20394" xr:uid="{36945223-E835-4814-878B-F8AE5C5D7306}"/>
    <cellStyle name="60% - Énfasis6 8 2 3 3 2" xfId="57093" xr:uid="{25C6A489-80A2-447F-8604-0257B47E9217}"/>
    <cellStyle name="60% - Énfasis6 8 2 3 4" xfId="57090" xr:uid="{ED732AC3-A2D7-48CE-921B-34B8ACD42317}"/>
    <cellStyle name="60% - Énfasis6 8 2 4" xfId="8962" xr:uid="{B7989DD1-2381-43B3-8440-BAF85D280D2D}"/>
    <cellStyle name="60% - Énfasis6 8 2 4 2" xfId="24375" xr:uid="{D81ED6EB-E0A9-4ABE-81AB-667E915CCFE3}"/>
    <cellStyle name="60% - Énfasis6 8 2 4 2 2" xfId="57095" xr:uid="{1D0379A4-1260-4E9A-B2F8-1DD5B08EFD11}"/>
    <cellStyle name="60% - Énfasis6 8 2 4 3" xfId="57094" xr:uid="{BC60621A-5E65-45F7-8807-9305319AAC8A}"/>
    <cellStyle name="60% - Énfasis6 8 2 5" xfId="16670" xr:uid="{DBF3D7D6-1BBC-433B-AB83-A340B13A04A0}"/>
    <cellStyle name="60% - Énfasis6 8 2 5 2" xfId="57096" xr:uid="{E5B838B3-EC6A-4B2D-B748-03E01F1E66BD}"/>
    <cellStyle name="60% - Énfasis6 8 2 6" xfId="57081" xr:uid="{6E0B3DCE-2FB8-4781-88CE-1746DE10247D}"/>
    <cellStyle name="60% - Énfasis6 8 3" xfId="2072" xr:uid="{78162336-87B4-4995-9E59-D02D6D975EBC}"/>
    <cellStyle name="60% - Énfasis6 8 3 2" xfId="5804" xr:uid="{38F01203-68E5-4479-8C8C-2CC262819F56}"/>
    <cellStyle name="60% - Énfasis6 8 3 2 2" xfId="13512" xr:uid="{A95F3142-0301-44A4-B637-D706750F2187}"/>
    <cellStyle name="60% - Énfasis6 8 3 2 2 2" xfId="28924" xr:uid="{D60603B5-ABB4-4438-8142-D72663805033}"/>
    <cellStyle name="60% - Énfasis6 8 3 2 2 2 2" xfId="57100" xr:uid="{AAAD44B0-613C-4E4D-A96A-4171AACBDB96}"/>
    <cellStyle name="60% - Énfasis6 8 3 2 2 3" xfId="57099" xr:uid="{3EB0146E-D24E-48E1-9E27-346B25761CB5}"/>
    <cellStyle name="60% - Énfasis6 8 3 2 3" xfId="21219" xr:uid="{D86A5644-9CC2-4AD8-BEFF-4FE096067DBE}"/>
    <cellStyle name="60% - Énfasis6 8 3 2 3 2" xfId="57101" xr:uid="{07E3E45C-214A-407E-93E5-FD38A814A793}"/>
    <cellStyle name="60% - Énfasis6 8 3 2 4" xfId="57098" xr:uid="{E9CC8C86-65B8-4873-96F2-FC5DF5317DDE}"/>
    <cellStyle name="60% - Énfasis6 8 3 3" xfId="9783" xr:uid="{C99B7C79-3B5C-438E-8F67-CB1021CFFEE4}"/>
    <cellStyle name="60% - Énfasis6 8 3 3 2" xfId="25196" xr:uid="{E63F82B8-CDAB-4A83-B30D-C058059620F4}"/>
    <cellStyle name="60% - Énfasis6 8 3 3 2 2" xfId="57103" xr:uid="{9BB3768F-E159-4C9D-BF02-0C66967AEF2C}"/>
    <cellStyle name="60% - Énfasis6 8 3 3 3" xfId="57102" xr:uid="{8A5C2035-5094-4DF8-9279-99B0E9C559D4}"/>
    <cellStyle name="60% - Énfasis6 8 3 4" xfId="17491" xr:uid="{788EAF45-47FA-4676-8882-6772631D9279}"/>
    <cellStyle name="60% - Énfasis6 8 3 4 2" xfId="57104" xr:uid="{236A6047-D308-4AF4-B537-F64D33E4D2AC}"/>
    <cellStyle name="60% - Énfasis6 8 3 5" xfId="57097" xr:uid="{7DBC558A-EBEB-492D-99B5-4DE7A97F8869}"/>
    <cellStyle name="60% - Énfasis6 8 4" xfId="4327" xr:uid="{EA4CBA71-AB84-4185-9AD7-9E36DCB3ABBF}"/>
    <cellStyle name="60% - Énfasis6 8 4 2" xfId="12035" xr:uid="{00571A30-9ECE-4CD8-892F-4F8B461DF577}"/>
    <cellStyle name="60% - Énfasis6 8 4 2 2" xfId="27447" xr:uid="{D2A68AF2-2192-4AAB-9DF9-FBB9E0C921DA}"/>
    <cellStyle name="60% - Énfasis6 8 4 2 2 2" xfId="57107" xr:uid="{6CE034D0-87D3-4603-8C1D-0D8CCD8890E4}"/>
    <cellStyle name="60% - Énfasis6 8 4 2 3" xfId="57106" xr:uid="{EB59B048-8458-45C1-948D-17D214BB15F4}"/>
    <cellStyle name="60% - Énfasis6 8 4 3" xfId="19742" xr:uid="{F0FC1C87-36F0-4DE0-BEAD-31F292DB39A5}"/>
    <cellStyle name="60% - Énfasis6 8 4 3 2" xfId="57108" xr:uid="{19A18D6E-9247-4952-A17A-F53FC4FDECC3}"/>
    <cellStyle name="60% - Énfasis6 8 4 4" xfId="57105" xr:uid="{2D4530D8-5371-4E3D-833F-A9666AE58DBF}"/>
    <cellStyle name="60% - Énfasis6 8 5" xfId="8324" xr:uid="{F8C547A5-98D8-4A11-A033-C77E9ABB85B0}"/>
    <cellStyle name="60% - Énfasis6 8 5 2" xfId="23737" xr:uid="{3E64EA50-222D-46D9-BFB7-FF4A055C1C75}"/>
    <cellStyle name="60% - Énfasis6 8 5 2 2" xfId="57110" xr:uid="{0DFB001C-406E-4293-B697-395C350802F8}"/>
    <cellStyle name="60% - Énfasis6 8 5 3" xfId="57109" xr:uid="{89651501-0A03-4F56-A588-94A438976A42}"/>
    <cellStyle name="60% - Énfasis6 8 6" xfId="16032" xr:uid="{81F6DEBC-896E-4C00-8916-AD5CFD49BDCC}"/>
    <cellStyle name="60% - Énfasis6 8 6 2" xfId="57111" xr:uid="{93850974-F050-4AA3-AACF-E82F8677B8C3}"/>
    <cellStyle name="60% - Énfasis6 8 7" xfId="57080" xr:uid="{62B6BDE0-3397-45E9-B303-EDFCDD22AF4B}"/>
    <cellStyle name="60% - Énfasis6 9" xfId="601" xr:uid="{1D138906-F982-4A1E-8BED-288344D04660}"/>
    <cellStyle name="60% - Énfasis6 9 2" xfId="1262" xr:uid="{8F6FB2B8-2638-480B-AC3B-AD79C1EEE950}"/>
    <cellStyle name="60% - Énfasis6 9 2 2" xfId="2730" xr:uid="{FD299B48-9B05-45BF-9C34-8A22A1F1F265}"/>
    <cellStyle name="60% - Énfasis6 9 2 2 2" xfId="6462" xr:uid="{20A4111C-2849-49F0-AB87-3332F97B1996}"/>
    <cellStyle name="60% - Énfasis6 9 2 2 2 2" xfId="14170" xr:uid="{7BDBDE80-6BA2-4884-B6F3-7382AE06B43D}"/>
    <cellStyle name="60% - Énfasis6 9 2 2 2 2 2" xfId="29582" xr:uid="{1B85531C-7152-48E1-AE3A-BE55ACA1D4F4}"/>
    <cellStyle name="60% - Énfasis6 9 2 2 2 2 2 2" xfId="57117" xr:uid="{45A09BFA-BEBD-4F02-A505-8A251EEF448C}"/>
    <cellStyle name="60% - Énfasis6 9 2 2 2 2 3" xfId="57116" xr:uid="{B6F9D931-1BE6-42A8-A26F-86AA8EA11FB9}"/>
    <cellStyle name="60% - Énfasis6 9 2 2 2 3" xfId="21877" xr:uid="{DC69CD90-7B0F-4F84-AF17-399612B30D39}"/>
    <cellStyle name="60% - Énfasis6 9 2 2 2 3 2" xfId="57118" xr:uid="{16F78607-3FF1-46A8-A1DC-21D8665FFBD8}"/>
    <cellStyle name="60% - Énfasis6 9 2 2 2 4" xfId="57115" xr:uid="{F4EDEAB5-AE87-452C-BB05-4785E161C32A}"/>
    <cellStyle name="60% - Énfasis6 9 2 2 3" xfId="10441" xr:uid="{BCF42DF6-68DE-471F-A4AC-B6029A3C833A}"/>
    <cellStyle name="60% - Énfasis6 9 2 2 3 2" xfId="25854" xr:uid="{46D4602F-AE5A-4D5A-A729-B1E6581BF9E9}"/>
    <cellStyle name="60% - Énfasis6 9 2 2 3 2 2" xfId="57120" xr:uid="{413DD9F7-0E1F-40F1-ACEB-71CC3B281A02}"/>
    <cellStyle name="60% - Énfasis6 9 2 2 3 3" xfId="57119" xr:uid="{CCF47F19-72B4-43D6-A1D1-17FCF5D24F46}"/>
    <cellStyle name="60% - Énfasis6 9 2 2 4" xfId="18149" xr:uid="{71BE770E-E6EF-48B0-A775-634CA43D8B8B}"/>
    <cellStyle name="60% - Énfasis6 9 2 2 4 2" xfId="57121" xr:uid="{E058410B-9532-4C74-AF08-2A1A713000F9}"/>
    <cellStyle name="60% - Énfasis6 9 2 2 5" xfId="57114" xr:uid="{1533870F-EA06-447E-A23C-E32373D5E2C4}"/>
    <cellStyle name="60% - Énfasis6 9 2 3" xfId="4999" xr:uid="{920EE162-8BDE-4772-8653-F406A3DB9861}"/>
    <cellStyle name="60% - Énfasis6 9 2 3 2" xfId="12707" xr:uid="{53F89624-3749-45F4-9B8D-AAA3B09BFB81}"/>
    <cellStyle name="60% - Énfasis6 9 2 3 2 2" xfId="28119" xr:uid="{D4321F75-256D-48D8-BD3D-19ED3EA3A08B}"/>
    <cellStyle name="60% - Énfasis6 9 2 3 2 2 2" xfId="57124" xr:uid="{40272B78-6857-4F9E-8438-3222E8B85BEC}"/>
    <cellStyle name="60% - Énfasis6 9 2 3 2 3" xfId="57123" xr:uid="{90121A29-E234-4917-8868-589C7560C200}"/>
    <cellStyle name="60% - Énfasis6 9 2 3 3" xfId="20414" xr:uid="{19C83B6D-D579-43ED-9D21-95A73DB905C9}"/>
    <cellStyle name="60% - Énfasis6 9 2 3 3 2" xfId="57125" xr:uid="{4B52E098-6145-45D8-8152-6508115C88B1}"/>
    <cellStyle name="60% - Énfasis6 9 2 3 4" xfId="57122" xr:uid="{3022185C-685A-4D7B-8E18-C51623A3F009}"/>
    <cellStyle name="60% - Énfasis6 9 2 4" xfId="8982" xr:uid="{B9E659A7-ABD1-4492-A728-819C9BA20AF7}"/>
    <cellStyle name="60% - Énfasis6 9 2 4 2" xfId="24395" xr:uid="{07DF8943-096D-425A-ACD7-D062384C12C7}"/>
    <cellStyle name="60% - Énfasis6 9 2 4 2 2" xfId="57127" xr:uid="{EA58DB97-4BF2-4D85-B7F4-747CAE8BEFDA}"/>
    <cellStyle name="60% - Énfasis6 9 2 4 3" xfId="57126" xr:uid="{02432BE6-6E1D-41D0-B94E-A376B47D0D81}"/>
    <cellStyle name="60% - Énfasis6 9 2 5" xfId="16690" xr:uid="{09323DE9-A96B-4FD5-ACE4-FC7BC06E23B1}"/>
    <cellStyle name="60% - Énfasis6 9 2 5 2" xfId="57128" xr:uid="{416D6A7C-54F1-4823-B803-E4D4FA9D041F}"/>
    <cellStyle name="60% - Énfasis6 9 2 6" xfId="57113" xr:uid="{87969518-E766-46CE-AF0A-EB6367835D56}"/>
    <cellStyle name="60% - Énfasis6 9 3" xfId="2092" xr:uid="{AE16BB3E-0AA6-4376-8DBE-D7A6A38756B9}"/>
    <cellStyle name="60% - Énfasis6 9 3 2" xfId="5824" xr:uid="{F4896FDF-D133-4FB4-89D6-D158D9726D95}"/>
    <cellStyle name="60% - Énfasis6 9 3 2 2" xfId="13532" xr:uid="{9FFF840A-B87C-4685-A80A-4C306C5EC8C1}"/>
    <cellStyle name="60% - Énfasis6 9 3 2 2 2" xfId="28944" xr:uid="{E2CC002C-DAF8-495E-951A-CF534E838BA6}"/>
    <cellStyle name="60% - Énfasis6 9 3 2 2 2 2" xfId="57132" xr:uid="{F51D830B-377E-44B1-A7FA-A84E8126B280}"/>
    <cellStyle name="60% - Énfasis6 9 3 2 2 3" xfId="57131" xr:uid="{3B5A6353-102C-429A-816B-211F3D63FF09}"/>
    <cellStyle name="60% - Énfasis6 9 3 2 3" xfId="21239" xr:uid="{020431CB-D637-4C15-A2DD-1EA163C2502B}"/>
    <cellStyle name="60% - Énfasis6 9 3 2 3 2" xfId="57133" xr:uid="{06E4B7E9-EA13-4CBD-BBC3-4A0C8A903277}"/>
    <cellStyle name="60% - Énfasis6 9 3 2 4" xfId="57130" xr:uid="{EC5C4465-C813-45D5-A5A6-E6B7C937ADA7}"/>
    <cellStyle name="60% - Énfasis6 9 3 3" xfId="9803" xr:uid="{F571C733-C125-4199-9167-C5FB3B15EB7D}"/>
    <cellStyle name="60% - Énfasis6 9 3 3 2" xfId="25216" xr:uid="{9DAC10C7-A687-493C-A328-C7F366DCCB35}"/>
    <cellStyle name="60% - Énfasis6 9 3 3 2 2" xfId="57135" xr:uid="{A6995EAF-8691-46BE-A02C-B0076D86690D}"/>
    <cellStyle name="60% - Énfasis6 9 3 3 3" xfId="57134" xr:uid="{D335D3F3-2C48-47D2-BEE5-9434DBEE0A5D}"/>
    <cellStyle name="60% - Énfasis6 9 3 4" xfId="17511" xr:uid="{86A97BC3-97C9-4C22-8DCD-DE4AB89C9292}"/>
    <cellStyle name="60% - Énfasis6 9 3 4 2" xfId="57136" xr:uid="{E11268C6-949D-43B3-ACE5-C7CF7AB3AE34}"/>
    <cellStyle name="60% - Énfasis6 9 3 5" xfId="57129" xr:uid="{D16822B2-F247-47D3-A091-BC9D966998EC}"/>
    <cellStyle name="60% - Énfasis6 9 4" xfId="4347" xr:uid="{B2CE7A8C-AD99-4D9A-8EF1-343BDBF385CC}"/>
    <cellStyle name="60% - Énfasis6 9 4 2" xfId="12055" xr:uid="{92102AFD-5387-4D60-BC4D-C3E7F142F1DE}"/>
    <cellStyle name="60% - Énfasis6 9 4 2 2" xfId="27467" xr:uid="{EB0DDE30-55DB-42E3-BF53-BCD3411D2BF1}"/>
    <cellStyle name="60% - Énfasis6 9 4 2 2 2" xfId="57139" xr:uid="{45BF2142-206F-445F-89D5-EE576C6EC57B}"/>
    <cellStyle name="60% - Énfasis6 9 4 2 3" xfId="57138" xr:uid="{94B98708-5573-432C-AEFA-5DF0A45EBD65}"/>
    <cellStyle name="60% - Énfasis6 9 4 3" xfId="19762" xr:uid="{16914F5D-79BB-476B-87D0-C1BCF87EE801}"/>
    <cellStyle name="60% - Énfasis6 9 4 3 2" xfId="57140" xr:uid="{1853B4A7-33C7-4AB8-B30C-620615F69DF4}"/>
    <cellStyle name="60% - Énfasis6 9 4 4" xfId="57137" xr:uid="{66A16840-9984-4E49-8DFB-7BFF54310D6F}"/>
    <cellStyle name="60% - Énfasis6 9 5" xfId="8344" xr:uid="{F596CD7E-D858-4B65-85EF-837D0991C4E3}"/>
    <cellStyle name="60% - Énfasis6 9 5 2" xfId="23757" xr:uid="{52A69621-3246-4348-A23D-308CE780C858}"/>
    <cellStyle name="60% - Énfasis6 9 5 2 2" xfId="57142" xr:uid="{0D79E00A-787B-4902-9ED5-825B8942BFB3}"/>
    <cellStyle name="60% - Énfasis6 9 5 3" xfId="57141" xr:uid="{447C4D51-C2A2-4BE1-AF52-0168340D01C6}"/>
    <cellStyle name="60% - Énfasis6 9 6" xfId="16052" xr:uid="{3191055C-5897-43F5-B9BC-DFBFC821476F}"/>
    <cellStyle name="60% - Énfasis6 9 6 2" xfId="57143" xr:uid="{2CA69727-8289-4EB2-B2C9-88ABF627F7E5}"/>
    <cellStyle name="60% - Énfasis6 9 7" xfId="57112" xr:uid="{889F4DB0-C880-41D2-9F5E-43DECD670B0B}"/>
    <cellStyle name="Accent1 2" xfId="93" xr:uid="{56F2A4E7-EEC2-4B33-8034-3762B383E8DF}"/>
    <cellStyle name="Accent1 2 2" xfId="57145" xr:uid="{4691CC5E-5504-40B3-8B1F-3438F5794A4D}"/>
    <cellStyle name="Accent1 3" xfId="57144" xr:uid="{CA78DEDE-5BD8-4FA0-8826-132BF8943FF8}"/>
    <cellStyle name="Accent2 2" xfId="94" xr:uid="{CFD98FA1-601A-47E1-9E33-F81F6AB2D107}"/>
    <cellStyle name="Accent2 2 2" xfId="57147" xr:uid="{325C2004-67F5-48F8-A20A-4F7F1ADA8EA3}"/>
    <cellStyle name="Accent2 3" xfId="57146" xr:uid="{2ADBF1AF-1C4D-4544-9216-FFF8F9B73199}"/>
    <cellStyle name="Accent3 2" xfId="95" xr:uid="{BBE023A9-127A-4E14-ACE3-81E56324F33E}"/>
    <cellStyle name="Accent3 2 2" xfId="57149" xr:uid="{C74C2C75-65B5-4FD9-9BCE-0FA145621945}"/>
    <cellStyle name="Accent3 3" xfId="57148" xr:uid="{993C74CE-0D34-462B-A86B-119D313CE90E}"/>
    <cellStyle name="Accent4 2" xfId="96" xr:uid="{DE4EDB0F-00F3-4E94-B932-97CC5FB1EAD4}"/>
    <cellStyle name="Accent4 2 2" xfId="57151" xr:uid="{36BEB827-BCB5-43CA-B827-3CEC88B8DF4D}"/>
    <cellStyle name="Accent4 3" xfId="57150" xr:uid="{74EA9D23-EB0D-46F8-8664-1E65AAB00F09}"/>
    <cellStyle name="Accent5 2" xfId="97" xr:uid="{BF74CA0D-1FEF-4B58-863D-5E72D493E701}"/>
    <cellStyle name="Accent5 2 2" xfId="57153" xr:uid="{A5895826-4F33-48BC-ADFF-33E7F488F093}"/>
    <cellStyle name="Accent5 3" xfId="57152" xr:uid="{F04CB1E4-31B4-4F7C-93E9-A7BC7BE71ADF}"/>
    <cellStyle name="Accent6 2" xfId="98" xr:uid="{92D38DDF-1EE7-4D6A-A3CA-29864946B3DD}"/>
    <cellStyle name="Accent6 2 2" xfId="57155" xr:uid="{3E651524-1224-4A7A-A650-2DFB8639F133}"/>
    <cellStyle name="Accent6 3" xfId="57154" xr:uid="{F38FE2F7-951F-435A-9860-7C3F0512CF25}"/>
    <cellStyle name="Bad 2" xfId="99" xr:uid="{EBB7AB89-E458-48C1-ADEE-8579500E0FBF}"/>
    <cellStyle name="Bad 2 2" xfId="57156" xr:uid="{FBF742D5-2828-46AF-BD39-B9DEAA30F00B}"/>
    <cellStyle name="blp_column_header" xfId="100" xr:uid="{B74B1586-9E26-4CFF-B2A1-BC81A64A93CD}"/>
    <cellStyle name="Buena" xfId="101" xr:uid="{B166D78F-D8AF-4E49-B28F-9D6CA88A4B3A}"/>
    <cellStyle name="Buena 2" xfId="57157" xr:uid="{2376FD62-1572-46A8-B0B5-25F20ECC9206}"/>
    <cellStyle name="Bueno" xfId="2" builtinId="26" customBuiltin="1"/>
    <cellStyle name="Calculation 2" xfId="102" xr:uid="{FF198A4F-3307-4F87-8178-533867DD183E}"/>
    <cellStyle name="Calculation 2 2" xfId="57158" xr:uid="{13B644A6-EA22-49A6-931B-6DB8F25BC6AD}"/>
    <cellStyle name="Cálculo" xfId="17" builtinId="22" customBuiltin="1"/>
    <cellStyle name="Celda de comprobación" xfId="5" builtinId="23" customBuiltin="1"/>
    <cellStyle name="Celda de comprobación 2" xfId="165" xr:uid="{85B6935B-5EEA-4E01-8B9B-2EBFDCBCA40A}"/>
    <cellStyle name="Celda de comprobación 2 2" xfId="57160" xr:uid="{BDAFE8F5-2794-443E-AE47-365CEF0A248A}"/>
    <cellStyle name="Celda de comprobación 3" xfId="797" xr:uid="{B6E69A66-FEFD-4384-B416-896AB96719FD}"/>
    <cellStyle name="Celda de comprobación 3 2" xfId="57161" xr:uid="{A0158E06-9684-4260-A491-ED86DF22CFF8}"/>
    <cellStyle name="Celda de comprobación 4" xfId="57159" xr:uid="{37C38BDE-81CE-4F36-A42E-8CB36953B6FC}"/>
    <cellStyle name="Celda de comprobación 5" xfId="62111" xr:uid="{B24E0527-60E3-49FA-879C-13187FAC824D}"/>
    <cellStyle name="Celda vinculada" xfId="18" builtinId="24" customBuiltin="1"/>
    <cellStyle name="Celda vinculada 2" xfId="164" xr:uid="{90DBF4A1-C9CA-40EE-B73C-1BED260AA0CC}"/>
    <cellStyle name="Celda vinculada 2 2" xfId="57163" xr:uid="{58A96D78-779C-4692-A46D-C8808CD4F61C}"/>
    <cellStyle name="Celda vinculada 3" xfId="798" xr:uid="{57DB8AE3-AD3F-453D-8102-1E57CAFE99C0}"/>
    <cellStyle name="Celda vinculada 3 2" xfId="57164" xr:uid="{D016576C-38C1-4290-86FD-0108085ADA15}"/>
    <cellStyle name="Celda vinculada 4" xfId="57162" xr:uid="{97394EED-6B1A-4D5A-A703-A02D179F79A6}"/>
    <cellStyle name="Celda vinculada 5" xfId="62075" xr:uid="{DAFBB3EE-C2D1-4867-B2B3-F06C49A26AEF}"/>
    <cellStyle name="Check Cell 2" xfId="103" xr:uid="{1CA6847B-4A85-46D1-84F6-C3205709C459}"/>
    <cellStyle name="Check Cell 2 2" xfId="57165" xr:uid="{ABBEAB39-578D-4F94-A3D8-CB101B275775}"/>
    <cellStyle name="Comma 10" xfId="57167" xr:uid="{98C60FC0-6C72-423D-A47E-41B3C09623C8}"/>
    <cellStyle name="Comma 11" xfId="57166" xr:uid="{F833E4D5-2652-4E32-A289-EF35A485004B}"/>
    <cellStyle name="Comma 2" xfId="62" xr:uid="{068169BA-5E23-4B09-935D-A84E4453FE16}"/>
    <cellStyle name="Comma 2 2" xfId="195" xr:uid="{B2F28721-4782-439F-82E5-A63AD8D8B6E5}"/>
    <cellStyle name="Comma 2 2 2" xfId="861" xr:uid="{6E08A83B-9910-4BA0-8F17-B5999B12C122}"/>
    <cellStyle name="Comma 2 2 2 2" xfId="4598" xr:uid="{FE70DF47-16FB-4B73-9E63-72830E5AB410}"/>
    <cellStyle name="Comma 2 2 2 2 2" xfId="12306" xr:uid="{A5543436-EB5C-4810-84EA-ED2937FBDE52}"/>
    <cellStyle name="Comma 2 2 2 2 2 2" xfId="27718" xr:uid="{B2E1776F-163B-474C-B0BF-E8192158E2A6}"/>
    <cellStyle name="Comma 2 2 2 2 2 2 2" xfId="57173" xr:uid="{B1777CAF-4FD0-436E-82E5-D3291328E32E}"/>
    <cellStyle name="Comma 2 2 2 2 2 3" xfId="57172" xr:uid="{97C7C8D5-2510-4F4E-A4C8-2CDF63F04572}"/>
    <cellStyle name="Comma 2 2 2 2 3" xfId="20013" xr:uid="{64BC5761-AF0A-4309-8001-0D07185DB609}"/>
    <cellStyle name="Comma 2 2 2 2 3 2" xfId="57174" xr:uid="{EDFD910E-DF90-4B93-9EC5-3C49632E8630}"/>
    <cellStyle name="Comma 2 2 2 2 4" xfId="57171" xr:uid="{941A196D-0CDA-42C2-B2F6-10954674D44E}"/>
    <cellStyle name="Comma 2 2 2 3" xfId="57170" xr:uid="{B6935BD9-AC7F-4E39-9814-3C4FE414D922}"/>
    <cellStyle name="Comma 2 2 3" xfId="3946" xr:uid="{5E1C42B5-AB7F-4498-8D6E-408C7ABB6837}"/>
    <cellStyle name="Comma 2 2 3 2" xfId="11654" xr:uid="{8A310EFB-C127-4285-A882-8165AD71A76C}"/>
    <cellStyle name="Comma 2 2 3 2 2" xfId="27066" xr:uid="{53B34583-3F15-486D-95F2-54EEB35C1FB9}"/>
    <cellStyle name="Comma 2 2 3 2 2 2" xfId="57177" xr:uid="{A15541EE-7A23-442A-88AE-1270C3DA88D1}"/>
    <cellStyle name="Comma 2 2 3 2 3" xfId="57176" xr:uid="{C38CF619-6316-43D6-8AF3-5F14A89F77AC}"/>
    <cellStyle name="Comma 2 2 3 3" xfId="19361" xr:uid="{7D469525-64C6-4DDA-AADB-AAECFBDDC8C1}"/>
    <cellStyle name="Comma 2 2 3 3 2" xfId="57178" xr:uid="{411A5541-459A-4AF7-AE09-FA04FFDE8C42}"/>
    <cellStyle name="Comma 2 2 3 4" xfId="57175" xr:uid="{0DC3A52B-4DA1-4676-AAE5-B2B45CDA4122}"/>
    <cellStyle name="Comma 2 2 4" xfId="57169" xr:uid="{948CBC29-D7CA-414A-A7A4-0A74D272BBA3}"/>
    <cellStyle name="Comma 2 3" xfId="799" xr:uid="{B8F6192B-1746-49C7-B421-FD0B827D4EE9}"/>
    <cellStyle name="Comma 2 3 2" xfId="4541" xr:uid="{D3E65FFE-A8B0-4E1D-8E19-5673B9FEDFA6}"/>
    <cellStyle name="Comma 2 3 2 2" xfId="12249" xr:uid="{95919883-CB3F-45B3-931A-D7F8E0C74E45}"/>
    <cellStyle name="Comma 2 3 2 2 2" xfId="27661" xr:uid="{D23932CF-6623-45C4-8532-A6A14BE5B0B7}"/>
    <cellStyle name="Comma 2 3 2 2 2 2" xfId="57182" xr:uid="{98D6BB8D-12AC-4279-AF42-38909D63F7B2}"/>
    <cellStyle name="Comma 2 3 2 2 3" xfId="57181" xr:uid="{50C4B455-D91F-4F5B-8B56-9B4C72B67DE6}"/>
    <cellStyle name="Comma 2 3 2 3" xfId="19956" xr:uid="{2891DB98-5AF8-491B-974B-A1CC6AE56919}"/>
    <cellStyle name="Comma 2 3 2 3 2" xfId="57183" xr:uid="{2291C1D7-1FF0-4D2B-9C86-71D32FE63468}"/>
    <cellStyle name="Comma 2 3 2 4" xfId="57180" xr:uid="{ABEFC324-1DE1-4D91-86F0-E305E0D612A9}"/>
    <cellStyle name="Comma 2 3 3" xfId="57179" xr:uid="{61DC0F1E-2BA4-41B1-936A-53AF6CBB1C5D}"/>
    <cellStyle name="Comma 2 4" xfId="3888" xr:uid="{C36CA487-B641-40A5-93E6-770E9FA1BEFD}"/>
    <cellStyle name="Comma 2 4 2" xfId="11597" xr:uid="{8EF35803-DD5A-4A26-B9A5-EE40D40A63AF}"/>
    <cellStyle name="Comma 2 4 2 2" xfId="27009" xr:uid="{A4669D38-A54E-4F42-BDFE-1EEEB2B65E99}"/>
    <cellStyle name="Comma 2 4 2 2 2" xfId="57186" xr:uid="{81FA88E3-A594-4446-86D6-41DDBE9516EA}"/>
    <cellStyle name="Comma 2 4 2 3" xfId="57185" xr:uid="{70C31CAA-CE4C-4477-9608-7D4EB86AD877}"/>
    <cellStyle name="Comma 2 4 3" xfId="19304" xr:uid="{18474DCE-DF90-44F7-AB40-512C67118432}"/>
    <cellStyle name="Comma 2 4 3 2" xfId="57187" xr:uid="{687D6D04-AB67-46E5-BA73-3F9968BF9B65}"/>
    <cellStyle name="Comma 2 4 4" xfId="57184" xr:uid="{99AAC1E4-3DD9-433D-A208-F3400EF4C295}"/>
    <cellStyle name="Comma 2 5" xfId="57168" xr:uid="{D3421665-8D37-4BD8-B92A-64E082035B6F}"/>
    <cellStyle name="Comma 2 6" xfId="62072" xr:uid="{7C423A7F-B972-485B-B127-9F1AE5F27E05}"/>
    <cellStyle name="Comma 3" xfId="104" xr:uid="{7C27C085-B786-47A5-9111-70E1C1DD7BE2}"/>
    <cellStyle name="Comma 3 2" xfId="196" xr:uid="{0595AD06-8602-40C5-8D11-9FDA29A99E11}"/>
    <cellStyle name="Comma 3 2 2" xfId="862" xr:uid="{3E61E48D-585A-4CE3-86EA-CCD1726FC34B}"/>
    <cellStyle name="Comma 3 2 2 2" xfId="4599" xr:uid="{A01C8150-E7B8-4662-BC1D-AB1A592698E5}"/>
    <cellStyle name="Comma 3 2 2 2 2" xfId="12307" xr:uid="{55531CA6-466B-470D-B1F1-AFC47B451C50}"/>
    <cellStyle name="Comma 3 2 2 2 2 2" xfId="27719" xr:uid="{5CFEF92E-D658-4EAD-A09F-7135C852A88B}"/>
    <cellStyle name="Comma 3 2 2 2 2 2 2" xfId="57193" xr:uid="{90A1447D-EE56-4666-9585-6F83ADB737CA}"/>
    <cellStyle name="Comma 3 2 2 2 2 3" xfId="57192" xr:uid="{B4711DE8-3C82-48CC-BD09-27247F448FA3}"/>
    <cellStyle name="Comma 3 2 2 2 3" xfId="20014" xr:uid="{16C9D04F-460E-4A0D-A857-5A13E8348350}"/>
    <cellStyle name="Comma 3 2 2 2 3 2" xfId="57194" xr:uid="{D6FC7AA4-9EDA-4B14-A15B-026F94984570}"/>
    <cellStyle name="Comma 3 2 2 2 4" xfId="57191" xr:uid="{468FFE69-0C39-454E-99A6-E05B9F92B9DD}"/>
    <cellStyle name="Comma 3 2 2 3" xfId="57190" xr:uid="{606B6B3F-52BD-4580-9AC1-7C64243D4882}"/>
    <cellStyle name="Comma 3 2 3" xfId="3947" xr:uid="{8E5E84D9-4F47-497E-A852-584F21D3294A}"/>
    <cellStyle name="Comma 3 2 3 2" xfId="11655" xr:uid="{8C2CF4DD-CC07-4AFE-87AE-437F5D0FE66E}"/>
    <cellStyle name="Comma 3 2 3 2 2" xfId="27067" xr:uid="{F4BB1DEC-BDD3-480F-B063-896932E15F52}"/>
    <cellStyle name="Comma 3 2 3 2 2 2" xfId="57197" xr:uid="{4556E06D-1E13-41B4-9A47-F97D8E46CAD4}"/>
    <cellStyle name="Comma 3 2 3 2 3" xfId="57196" xr:uid="{557DE068-55F5-4A13-9DD6-8D93F4AA929C}"/>
    <cellStyle name="Comma 3 2 3 3" xfId="19362" xr:uid="{A35D1FC6-7EC9-4526-ADEF-C6D1D7DCE4B4}"/>
    <cellStyle name="Comma 3 2 3 3 2" xfId="57198" xr:uid="{2E696BA8-974C-4815-92B8-2086EDFB671C}"/>
    <cellStyle name="Comma 3 2 3 4" xfId="57195" xr:uid="{739998A3-228B-465D-8C33-541E8030438C}"/>
    <cellStyle name="Comma 3 2 4" xfId="57189" xr:uid="{B40924C8-7A9F-4DC2-BD7C-D22BC7315046}"/>
    <cellStyle name="Comma 3 3" xfId="800" xr:uid="{A115D4A3-0E0C-463A-8E61-91C27E64E213}"/>
    <cellStyle name="Comma 3 3 2" xfId="4542" xr:uid="{320AF1B4-1981-4E63-950C-687121EA069A}"/>
    <cellStyle name="Comma 3 3 2 2" xfId="12250" xr:uid="{828E4D72-C678-4445-B707-A464F00565F5}"/>
    <cellStyle name="Comma 3 3 2 2 2" xfId="27662" xr:uid="{50B7E297-41E4-43BA-9FD0-305CDC6A677F}"/>
    <cellStyle name="Comma 3 3 2 2 2 2" xfId="57202" xr:uid="{634650C7-0745-4A94-B727-701AD913E347}"/>
    <cellStyle name="Comma 3 3 2 2 3" xfId="57201" xr:uid="{059AB8DA-E07A-465D-8233-78106FF377CB}"/>
    <cellStyle name="Comma 3 3 2 3" xfId="19957" xr:uid="{11A7CBE2-7817-4BF1-9DA9-C2B5343B912A}"/>
    <cellStyle name="Comma 3 3 2 3 2" xfId="57203" xr:uid="{88FF57E5-DC65-4107-9585-2BE3BC0350A3}"/>
    <cellStyle name="Comma 3 3 2 4" xfId="57200" xr:uid="{D127E6AC-79DF-4681-A074-7114F7ED22FC}"/>
    <cellStyle name="Comma 3 3 3" xfId="57199" xr:uid="{29A0F578-A310-4216-9B56-C4072B92BBA4}"/>
    <cellStyle name="Comma 3 4" xfId="3889" xr:uid="{489E18D0-9326-448F-869C-99BA9A77002E}"/>
    <cellStyle name="Comma 3 4 2" xfId="11598" xr:uid="{2B6BE07C-EA89-4475-8930-2755990178DE}"/>
    <cellStyle name="Comma 3 4 2 2" xfId="27010" xr:uid="{DC56F98A-0493-47B1-8579-723FE103F13D}"/>
    <cellStyle name="Comma 3 4 2 2 2" xfId="57206" xr:uid="{6E7AF043-52B9-47BB-98DE-1960DC16DB81}"/>
    <cellStyle name="Comma 3 4 2 3" xfId="57205" xr:uid="{6340F9B0-3D95-4972-AEF9-769187846A24}"/>
    <cellStyle name="Comma 3 4 3" xfId="19305" xr:uid="{BED5C06A-4AD9-4771-937A-AD0A3F42137F}"/>
    <cellStyle name="Comma 3 4 3 2" xfId="57207" xr:uid="{C309BFDA-1CD0-4FB1-91FB-CE6272C1B01B}"/>
    <cellStyle name="Comma 3 4 4" xfId="57204" xr:uid="{DFDF1169-1B02-4E14-B545-3A06871B9536}"/>
    <cellStyle name="Comma 3 5" xfId="57188" xr:uid="{FA0BA104-B2F7-4BAC-9933-C7AEF8B83F3C}"/>
    <cellStyle name="Comma 4" xfId="105" xr:uid="{D3866FAA-10E1-4B85-BC05-954BC4A08302}"/>
    <cellStyle name="Comma 4 2" xfId="197" xr:uid="{64BE403C-B40A-4CB8-96A9-A88B3ECA5557}"/>
    <cellStyle name="Comma 4 2 2" xfId="863" xr:uid="{BD853991-62CE-4903-9280-88C5D54D5853}"/>
    <cellStyle name="Comma 4 2 2 2" xfId="4600" xr:uid="{45DFFD01-861C-47A6-82F1-23DDC8F8D202}"/>
    <cellStyle name="Comma 4 2 2 2 2" xfId="12308" xr:uid="{8E30E139-4AA1-41D0-AB90-11AC66516AA1}"/>
    <cellStyle name="Comma 4 2 2 2 2 2" xfId="27720" xr:uid="{B5115404-E6F1-4A6F-81EC-BA29B71AAA91}"/>
    <cellStyle name="Comma 4 2 2 2 2 2 2" xfId="57213" xr:uid="{159F1E45-C916-4BD7-9BBA-50AAFDBB5C73}"/>
    <cellStyle name="Comma 4 2 2 2 2 3" xfId="57212" xr:uid="{F75C43B4-A455-4324-9266-38D163EA80AF}"/>
    <cellStyle name="Comma 4 2 2 2 3" xfId="20015" xr:uid="{45B496A9-3870-44F0-82D9-3AD4DE0E6EA0}"/>
    <cellStyle name="Comma 4 2 2 2 3 2" xfId="57214" xr:uid="{D6D6086D-E60B-4F8D-876C-3818F20B6E8A}"/>
    <cellStyle name="Comma 4 2 2 2 4" xfId="57211" xr:uid="{9BC49C0E-9737-4854-A306-E2490E1DA708}"/>
    <cellStyle name="Comma 4 2 2 3" xfId="57210" xr:uid="{9BF1082A-EE96-40AB-B0FD-33858F94F17E}"/>
    <cellStyle name="Comma 4 2 3" xfId="3948" xr:uid="{E7BA3805-A5E5-4115-B152-C5CEF2249E61}"/>
    <cellStyle name="Comma 4 2 3 2" xfId="11656" xr:uid="{2D25DA02-AEE0-4BC2-9088-B7077B15218B}"/>
    <cellStyle name="Comma 4 2 3 2 2" xfId="27068" xr:uid="{00443ED0-FC17-438B-986F-863798078DD9}"/>
    <cellStyle name="Comma 4 2 3 2 2 2" xfId="57217" xr:uid="{DD08CC9A-3E59-40B5-9554-651DF6766659}"/>
    <cellStyle name="Comma 4 2 3 2 3" xfId="57216" xr:uid="{A7B67504-4AF5-4875-8F95-99B56B5F664C}"/>
    <cellStyle name="Comma 4 2 3 3" xfId="19363" xr:uid="{C7320229-E2A3-495A-89F4-D88F4B211BFD}"/>
    <cellStyle name="Comma 4 2 3 3 2" xfId="57218" xr:uid="{95F3A840-A10C-4381-813F-BCDD6C965780}"/>
    <cellStyle name="Comma 4 2 3 4" xfId="57215" xr:uid="{C1C9079E-5316-49E9-96C3-E8726E958AC4}"/>
    <cellStyle name="Comma 4 2 4" xfId="57209" xr:uid="{F34996C1-F252-4342-BC5D-34F203B9F242}"/>
    <cellStyle name="Comma 4 3" xfId="801" xr:uid="{79F4D8CD-98D1-4159-BD56-69F7189A1734}"/>
    <cellStyle name="Comma 4 3 2" xfId="4543" xr:uid="{AFCD5EDC-7A73-4916-9D14-3F629B09517B}"/>
    <cellStyle name="Comma 4 3 2 2" xfId="12251" xr:uid="{F7E9358C-FAA7-45D5-8179-BA8B24E45B31}"/>
    <cellStyle name="Comma 4 3 2 2 2" xfId="27663" xr:uid="{8F69E05A-8883-4DA7-BB12-987B3C486D0E}"/>
    <cellStyle name="Comma 4 3 2 2 2 2" xfId="57222" xr:uid="{DFB904E7-C1A9-417D-813D-D950A21E0912}"/>
    <cellStyle name="Comma 4 3 2 2 3" xfId="57221" xr:uid="{7B27B29A-832F-4328-AA34-2AB69D65B18E}"/>
    <cellStyle name="Comma 4 3 2 3" xfId="19958" xr:uid="{BD6D0559-ED61-4075-9BB4-6B61DCF0A4EF}"/>
    <cellStyle name="Comma 4 3 2 3 2" xfId="57223" xr:uid="{F4642C2F-0E58-4312-BF11-E86AC405156C}"/>
    <cellStyle name="Comma 4 3 2 4" xfId="57220" xr:uid="{DFAFCBF3-912B-40A2-82B0-893332E2E830}"/>
    <cellStyle name="Comma 4 3 3" xfId="57219" xr:uid="{659AA403-A19E-4821-89C5-119462E08BD7}"/>
    <cellStyle name="Comma 4 4" xfId="3890" xr:uid="{73139C76-BFCA-4464-A1B1-BD868BEA6B28}"/>
    <cellStyle name="Comma 4 4 2" xfId="11599" xr:uid="{7859157A-A540-475E-8CA0-E36E92E811EA}"/>
    <cellStyle name="Comma 4 4 2 2" xfId="27011" xr:uid="{5E1E4E94-31C0-4738-A365-BE01EDE5A008}"/>
    <cellStyle name="Comma 4 4 2 2 2" xfId="57226" xr:uid="{30B0BCF0-E4F7-462B-B407-29846CBDC31C}"/>
    <cellStyle name="Comma 4 4 2 3" xfId="57225" xr:uid="{5E65A28A-6E4E-4E32-9A42-E3BE8A427407}"/>
    <cellStyle name="Comma 4 4 3" xfId="19306" xr:uid="{8B2B7782-6D3E-4B5D-82CE-71D9CA62DD58}"/>
    <cellStyle name="Comma 4 4 3 2" xfId="57227" xr:uid="{36EFE9C6-69B9-42E1-A674-35AB93B09093}"/>
    <cellStyle name="Comma 4 4 4" xfId="57224" xr:uid="{4B377145-8CB1-4AB3-8527-460C31D8DAE2}"/>
    <cellStyle name="Comma 4 5" xfId="57208" xr:uid="{0284C028-3E5C-46E8-B0A1-D530D2540F15}"/>
    <cellStyle name="Comma 5" xfId="351" xr:uid="{7B319FD1-D4A8-477A-AD5D-B88BDB109201}"/>
    <cellStyle name="Comma 5 2" xfId="1014" xr:uid="{34B2A6BE-3A8E-43FF-98AA-C953214E19F6}"/>
    <cellStyle name="Comma 5 2 2" xfId="4751" xr:uid="{3E297C36-FB78-4318-B494-A70561AD849B}"/>
    <cellStyle name="Comma 5 2 2 2" xfId="12459" xr:uid="{3AC6ED12-3E44-4F41-8459-9688E6F82776}"/>
    <cellStyle name="Comma 5 2 2 2 2" xfId="27871" xr:uid="{7B644267-B93D-4A32-8FE6-280363CF036D}"/>
    <cellStyle name="Comma 5 2 2 2 2 2" xfId="57232" xr:uid="{C94B647D-6F79-4F8B-8EE5-8EDE0E5FDDDE}"/>
    <cellStyle name="Comma 5 2 2 2 3" xfId="57231" xr:uid="{35BF3DF8-2369-440E-ADB2-11F63CB3B011}"/>
    <cellStyle name="Comma 5 2 2 3" xfId="20166" xr:uid="{0D2F41DA-AF52-4A8F-B236-33CD758794BB}"/>
    <cellStyle name="Comma 5 2 2 3 2" xfId="57233" xr:uid="{9C8E9E6C-A836-4CD7-B23A-5A8B82ACAEEB}"/>
    <cellStyle name="Comma 5 2 2 4" xfId="57230" xr:uid="{B1EB1743-0FDE-4571-9550-493472FAC365}"/>
    <cellStyle name="Comma 5 2 3" xfId="57229" xr:uid="{E7720AD9-F591-4F01-BB9F-93AB3B143090}"/>
    <cellStyle name="Comma 5 3" xfId="4099" xr:uid="{433B6882-9DD0-4B8C-B7EE-4CAFFBB6A38D}"/>
    <cellStyle name="Comma 5 3 2" xfId="11807" xr:uid="{FFF519F5-80ED-4CFC-9CEC-352D3654A878}"/>
    <cellStyle name="Comma 5 3 2 2" xfId="27219" xr:uid="{67C0A952-CE06-4DDC-8473-EF4E09E3C17C}"/>
    <cellStyle name="Comma 5 3 2 2 2" xfId="57236" xr:uid="{56982049-2A94-46C8-B113-8595471BAF21}"/>
    <cellStyle name="Comma 5 3 2 3" xfId="57235" xr:uid="{42F93E83-D964-40C6-B707-4AF7FEBC8B01}"/>
    <cellStyle name="Comma 5 3 3" xfId="19514" xr:uid="{462A3D79-9F42-4167-BFAB-D02D70DF704A}"/>
    <cellStyle name="Comma 5 3 3 2" xfId="57237" xr:uid="{93E8A7E6-5D36-422F-9A40-60B6A79D3032}"/>
    <cellStyle name="Comma 5 3 4" xfId="57234" xr:uid="{768340B7-03D8-4C17-BB5F-3423496660F9}"/>
    <cellStyle name="Comma 5 4" xfId="57228" xr:uid="{DE865452-B4D9-4C5D-BCE2-362D8E583B3E}"/>
    <cellStyle name="Comma 6" xfId="1645" xr:uid="{873AA5C0-2E66-4E67-8B4D-D70849F509AB}"/>
    <cellStyle name="Comma 6 2" xfId="5378" xr:uid="{6855C0A9-DC08-4273-B65E-ACF5580B97AE}"/>
    <cellStyle name="Comma 6 2 2" xfId="13086" xr:uid="{71B1E00C-89A9-43A8-92AF-814D38DC5FC8}"/>
    <cellStyle name="Comma 6 2 2 2" xfId="28498" xr:uid="{2AE21820-596D-449B-BC85-D0AF41D54BAB}"/>
    <cellStyle name="Comma 6 2 2 2 2" xfId="57241" xr:uid="{D23B2E9B-394A-4961-8F93-627E69843790}"/>
    <cellStyle name="Comma 6 2 2 3" xfId="57240" xr:uid="{D714678B-9515-4450-958D-9E0BB8BC078A}"/>
    <cellStyle name="Comma 6 2 3" xfId="20793" xr:uid="{F6AE2D34-ED62-4E40-AB97-A601A18EE1DE}"/>
    <cellStyle name="Comma 6 2 3 2" xfId="57242" xr:uid="{C442258A-8BD3-4B86-B249-7BDB3E72564A}"/>
    <cellStyle name="Comma 6 2 4" xfId="57239" xr:uid="{7B23E404-F8EA-46B7-97FB-1DA865AE3916}"/>
    <cellStyle name="Comma 6 3" xfId="57238" xr:uid="{607C3125-1EA1-4BD7-B2E4-67D79553C30B}"/>
    <cellStyle name="Comma 7" xfId="1611" xr:uid="{116201AE-AF2C-45A4-BFF9-E970D84A1BC3}"/>
    <cellStyle name="Comma 7 2" xfId="5347" xr:uid="{ABF9F1CC-54E5-4003-A22E-21D36586098D}"/>
    <cellStyle name="Comma 7 2 2" xfId="13055" xr:uid="{D4827561-2FB6-49A1-8A0F-79411E0146FE}"/>
    <cellStyle name="Comma 7 2 2 2" xfId="28467" xr:uid="{B715EC58-EEE2-4B3A-A580-3253052A561A}"/>
    <cellStyle name="Comma 7 2 2 2 2" xfId="57246" xr:uid="{F2B6C6E0-D2A7-4D92-BD31-88D5AF18C478}"/>
    <cellStyle name="Comma 7 2 2 3" xfId="57245" xr:uid="{5CCA0089-A598-4BA1-A5EE-F9378B40796D}"/>
    <cellStyle name="Comma 7 2 3" xfId="20762" xr:uid="{54CF2922-E214-4B4D-8413-8DA13F3BB26A}"/>
    <cellStyle name="Comma 7 2 3 2" xfId="57247" xr:uid="{6E72650A-F48E-4130-9CFE-B3644DB95003}"/>
    <cellStyle name="Comma 7 2 4" xfId="57244" xr:uid="{3B5F5BB8-003D-4237-B342-E1E6C26FA10B}"/>
    <cellStyle name="Comma 7 3" xfId="9328" xr:uid="{F687E366-7EEE-442B-9BDD-061225DC4815}"/>
    <cellStyle name="Comma 7 3 2" xfId="24741" xr:uid="{B25850FB-BF62-4E38-B9A3-1397C646A682}"/>
    <cellStyle name="Comma 7 3 2 2" xfId="57249" xr:uid="{CC36328C-B4A2-4FB7-B2D9-86CF0EAF7E7D}"/>
    <cellStyle name="Comma 7 3 3" xfId="57248" xr:uid="{1173F4EB-0BD3-4B56-A6EE-0FC133F3A773}"/>
    <cellStyle name="Comma 7 4" xfId="17036" xr:uid="{3337994E-A8B8-43BF-8BEE-7FD157722651}"/>
    <cellStyle name="Comma 7 4 2" xfId="57250" xr:uid="{2F8B3744-2A9C-42B5-A083-3A0744FE500A}"/>
    <cellStyle name="Comma 7 5" xfId="57243" xr:uid="{2AAAE88B-5927-4765-A73A-D3A4DEB95A94}"/>
    <cellStyle name="Comma 8" xfId="3892" xr:uid="{E6AFD1F2-7417-4F82-975D-E81808CE3E93}"/>
    <cellStyle name="Comma 8 2" xfId="11601" xr:uid="{5656B7BD-EFCA-4223-B6A2-BC2DBD960C1E}"/>
    <cellStyle name="Comma 8 2 2" xfId="27013" xr:uid="{A0CE7057-9ECB-4F25-9C93-A53CD6FA4E3E}"/>
    <cellStyle name="Comma 8 2 2 2" xfId="57253" xr:uid="{4E3FD245-E49D-4012-92E2-1C00049CC0CF}"/>
    <cellStyle name="Comma 8 2 3" xfId="57252" xr:uid="{8E2B035C-0E45-4FF5-BB1C-4583BF665491}"/>
    <cellStyle name="Comma 8 3" xfId="19308" xr:uid="{6EF02C15-5F89-4A91-A81F-457F2548AD5B}"/>
    <cellStyle name="Comma 8 3 2" xfId="57254" xr:uid="{CC07C2B0-4985-454C-A1E2-994A64AF6B45}"/>
    <cellStyle name="Comma 8 4" xfId="57251" xr:uid="{6ADE8A4C-4A9F-49AF-9289-254A75D3C6F8}"/>
    <cellStyle name="Comma 9" xfId="7807" xr:uid="{DE5841DB-CBF7-45DD-84B6-F2944B79DD50}"/>
    <cellStyle name="Comma 9 2" xfId="15515" xr:uid="{9E636C51-CD58-4E7D-95D6-452A53A38EDF}"/>
    <cellStyle name="Comma 9 2 2" xfId="30927" xr:uid="{AF9D1C63-2F14-42D8-AB32-AF18A756ECB3}"/>
    <cellStyle name="Comma 9 2 2 2" xfId="57257" xr:uid="{2545C627-89D7-47A6-8F57-E6BD8AA556E1}"/>
    <cellStyle name="Comma 9 2 3" xfId="57256" xr:uid="{738BF2B8-13D0-447B-94CE-DFDF4E9752ED}"/>
    <cellStyle name="Comma 9 3" xfId="23222" xr:uid="{38DB8EC2-F245-4C5F-8A0E-EBB3F1AA01B2}"/>
    <cellStyle name="Comma 9 3 2" xfId="57258" xr:uid="{DA452FA1-9285-4C88-AAF0-578C31F3E6F1}"/>
    <cellStyle name="Comma 9 4" xfId="57255" xr:uid="{57EBBAEE-9DD1-43C5-83AE-B8C235A423F6}"/>
    <cellStyle name="Currency 2" xfId="67" xr:uid="{3940A9BF-2A82-4EA8-A722-4102EA3BBA8C}"/>
    <cellStyle name="Currency 2 2" xfId="69" xr:uid="{D83CA78A-4580-4659-9632-18CCCC3954D1}"/>
    <cellStyle name="Currency 2 2 2" xfId="864" xr:uid="{08231EA9-1049-42BD-A31A-207FB74FB110}"/>
    <cellStyle name="Currency 2 2 2 2" xfId="4601" xr:uid="{64CCAC59-5206-43D0-A6A5-C1240431749E}"/>
    <cellStyle name="Currency 2 2 2 2 2" xfId="12309" xr:uid="{9FC9AAC9-F1B8-41DF-AD92-358FACEC894D}"/>
    <cellStyle name="Currency 2 2 2 2 2 2" xfId="27721" xr:uid="{87DD65E9-318C-449B-94E5-295E3665E8A2}"/>
    <cellStyle name="Currency 2 2 2 2 2 2 2" xfId="57264" xr:uid="{8396FFB2-1E84-484B-BB17-EA5BF8256941}"/>
    <cellStyle name="Currency 2 2 2 2 2 3" xfId="57263" xr:uid="{76D503C8-7639-4F80-94EB-BC75F68BC135}"/>
    <cellStyle name="Currency 2 2 2 2 3" xfId="20016" xr:uid="{210E5A72-8F88-46D7-8D8E-CBA43EE46C96}"/>
    <cellStyle name="Currency 2 2 2 2 3 2" xfId="57265" xr:uid="{791040D0-B4AE-4B79-8F66-B5F54409D7D3}"/>
    <cellStyle name="Currency 2 2 2 2 4" xfId="57262" xr:uid="{E87A7FB5-D377-4000-ACE9-6933EE38A495}"/>
    <cellStyle name="Currency 2 2 2 3" xfId="57261" xr:uid="{F9D9D328-B1E7-439A-AB60-F250DF8B4EF8}"/>
    <cellStyle name="Currency 2 2 3" xfId="3949" xr:uid="{38E9A4AE-B05F-4A1B-B7C5-A3B3FFEB35FC}"/>
    <cellStyle name="Currency 2 2 3 2" xfId="11657" xr:uid="{5CB23D9F-2892-430C-B095-1669F6B15E53}"/>
    <cellStyle name="Currency 2 2 3 2 2" xfId="27069" xr:uid="{BB63768E-83D4-47F5-A867-3EB57A4ED1A8}"/>
    <cellStyle name="Currency 2 2 3 2 2 2" xfId="57268" xr:uid="{E7DD4CEF-9A3D-4120-B76E-451A98E18137}"/>
    <cellStyle name="Currency 2 2 3 2 3" xfId="57267" xr:uid="{18AB9361-6682-4028-B92C-7F9360B89D01}"/>
    <cellStyle name="Currency 2 2 3 3" xfId="19364" xr:uid="{DFEFF5E0-B80E-4103-8D76-4681F930C89F}"/>
    <cellStyle name="Currency 2 2 3 3 2" xfId="57269" xr:uid="{F5894B08-6933-4D9F-BAD6-EFCEC6772B80}"/>
    <cellStyle name="Currency 2 2 3 4" xfId="57266" xr:uid="{B04A14CB-9982-4020-A480-8C70B90A3600}"/>
    <cellStyle name="Currency 2 2 4" xfId="57260" xr:uid="{8DCD5CDF-5AF7-4432-9055-D27CBFBDAD50}"/>
    <cellStyle name="Currency 2 2 5" xfId="198" xr:uid="{C41EB876-B345-4251-99E0-1D9A734E62A2}"/>
    <cellStyle name="Currency 2 3" xfId="802" xr:uid="{252EF0BC-5BB7-4D67-88D8-F41059B7098C}"/>
    <cellStyle name="Currency 2 3 2" xfId="4544" xr:uid="{6A3DBD2D-B690-4BE2-8FAE-27B1DEDDA9F7}"/>
    <cellStyle name="Currency 2 3 2 2" xfId="12252" xr:uid="{FDE6AEBC-EC00-4B57-ABA3-0226E2B58EDE}"/>
    <cellStyle name="Currency 2 3 2 2 2" xfId="27664" xr:uid="{70EA28CC-D1E3-4318-8DCE-C1E38996C166}"/>
    <cellStyle name="Currency 2 3 2 2 2 2" xfId="57273" xr:uid="{C41E56F1-D6E7-4A0B-BE54-52FF375D2500}"/>
    <cellStyle name="Currency 2 3 2 2 3" xfId="57272" xr:uid="{16941823-6312-46B0-A580-1AC349F5A53D}"/>
    <cellStyle name="Currency 2 3 2 3" xfId="19959" xr:uid="{DA3E20F9-4F7A-41DD-B677-2AF98B452879}"/>
    <cellStyle name="Currency 2 3 2 3 2" xfId="57274" xr:uid="{703E3466-3428-4215-A75C-4F2869E3671C}"/>
    <cellStyle name="Currency 2 3 2 4" xfId="57271" xr:uid="{14B5165E-25AC-484B-A413-F15C2D85C174}"/>
    <cellStyle name="Currency 2 3 3" xfId="57270" xr:uid="{AAA8FD3C-2BE2-4CF0-8067-C114AAC78DE4}"/>
    <cellStyle name="Currency 2 4" xfId="3891" xr:uid="{60814779-216A-4FB5-8240-776451A0155F}"/>
    <cellStyle name="Currency 2 4 2" xfId="11600" xr:uid="{428D30A7-BFAA-4DA7-8209-A6F25B02B5DF}"/>
    <cellStyle name="Currency 2 4 2 2" xfId="27012" xr:uid="{A4D2E42A-A216-48E4-8406-5C5F2100D1B9}"/>
    <cellStyle name="Currency 2 4 2 2 2" xfId="57277" xr:uid="{BE16F193-6EC3-4A6B-A2BB-689634C80336}"/>
    <cellStyle name="Currency 2 4 2 3" xfId="57276" xr:uid="{D716E097-83DB-4EB7-9866-195D4BB1B3F4}"/>
    <cellStyle name="Currency 2 4 3" xfId="19307" xr:uid="{3B872530-6462-4E81-8341-5533397F4F30}"/>
    <cellStyle name="Currency 2 4 3 2" xfId="57278" xr:uid="{31E1BD8B-A8D4-4B41-8951-7F8E07C14A6B}"/>
    <cellStyle name="Currency 2 4 4" xfId="57275" xr:uid="{C421358C-C671-490C-8C82-325E86A6940C}"/>
    <cellStyle name="Currency 2 5" xfId="57259" xr:uid="{3B14AF8C-CCC5-487D-BB70-AE2279CE845E}"/>
    <cellStyle name="Currency 2 6" xfId="106" xr:uid="{134E249F-E6DC-4B26-BF42-842B1F3D6A9C}"/>
    <cellStyle name="Currency 3" xfId="371" xr:uid="{766EDAC5-287F-4362-9AFA-972E3F201FCD}"/>
    <cellStyle name="Currency 3 2" xfId="1033" xr:uid="{089C12C5-0797-4DCD-A8A5-FAD0696F7F78}"/>
    <cellStyle name="Currency 3 2 2" xfId="4770" xr:uid="{400A14FE-7DEA-4FD6-A800-12D36FF79A16}"/>
    <cellStyle name="Currency 3 2 2 2" xfId="12478" xr:uid="{FAAC2804-2A8F-4406-8953-8EF5AAF63B82}"/>
    <cellStyle name="Currency 3 2 2 2 2" xfId="27890" xr:uid="{1951B3B4-9D01-4C41-A0A7-C6897C002774}"/>
    <cellStyle name="Currency 3 2 2 2 2 2" xfId="57283" xr:uid="{AFC70538-C27F-4253-B0A5-2C46D5383184}"/>
    <cellStyle name="Currency 3 2 2 2 3" xfId="57282" xr:uid="{6B34EB9E-A400-4B37-AB4E-9B715976FF6B}"/>
    <cellStyle name="Currency 3 2 2 3" xfId="20185" xr:uid="{E4AAF7F9-3827-4597-8548-5F1E8797EBD5}"/>
    <cellStyle name="Currency 3 2 2 3 2" xfId="57284" xr:uid="{6F543B0D-4D99-4436-BEF8-555ADB46A663}"/>
    <cellStyle name="Currency 3 2 2 4" xfId="57281" xr:uid="{8AD55ADD-9BAC-4CF3-8234-1B7C8EB8F785}"/>
    <cellStyle name="Currency 3 2 3" xfId="57280" xr:uid="{E2D9D956-C0E5-4DF3-BE92-70570C9F2FE1}"/>
    <cellStyle name="Currency 3 3" xfId="4118" xr:uid="{9B59D91B-552D-4893-A474-158003FB3192}"/>
    <cellStyle name="Currency 3 3 2" xfId="11826" xr:uid="{E0E27A7B-2CAB-4158-942D-78047E164C72}"/>
    <cellStyle name="Currency 3 3 2 2" xfId="27238" xr:uid="{650FEE2A-1F6C-4EE6-874D-AD46AEA11BEF}"/>
    <cellStyle name="Currency 3 3 2 2 2" xfId="57287" xr:uid="{38C9C8A4-BFBF-43EC-AFAF-79B3F7B7A27A}"/>
    <cellStyle name="Currency 3 3 2 3" xfId="57286" xr:uid="{6E28E3A9-7D6A-47C4-9A7C-89BC527F4DA9}"/>
    <cellStyle name="Currency 3 3 3" xfId="19533" xr:uid="{59FC7551-C004-4A49-8162-D51ED4AC2A8F}"/>
    <cellStyle name="Currency 3 3 3 2" xfId="57288" xr:uid="{C23E31B6-CB4F-4400-88E8-9C99AF34887E}"/>
    <cellStyle name="Currency 3 3 4" xfId="57285" xr:uid="{E99B05BD-3EC9-436E-B4A8-BE3B75ABAF7C}"/>
    <cellStyle name="Currency 3 4" xfId="57279" xr:uid="{EF43E219-D300-47F7-A75B-6F7B3B997756}"/>
    <cellStyle name="Currency 4" xfId="1665" xr:uid="{AC96FB0F-7F59-4E7C-BA9C-A5B55B09BD84}"/>
    <cellStyle name="Currency 4 2" xfId="5397" xr:uid="{D4D65A85-7B4B-4A05-B3B4-AF0EA1DAADB1}"/>
    <cellStyle name="Currency 4 2 2" xfId="13105" xr:uid="{61C89EC7-EFE1-4CB7-96EE-DEABEE9D88B2}"/>
    <cellStyle name="Currency 4 2 2 2" xfId="28517" xr:uid="{3CB4D333-ED35-4E5F-9A44-0A2C7F09FBEF}"/>
    <cellStyle name="Currency 4 2 2 2 2" xfId="57292" xr:uid="{37ABC9F2-88D5-4B29-9CE8-AFE71056E614}"/>
    <cellStyle name="Currency 4 2 2 3" xfId="57291" xr:uid="{6FD5D2D1-8A7E-4020-8166-04895002B7F2}"/>
    <cellStyle name="Currency 4 2 3" xfId="20812" xr:uid="{30B17E62-D6EC-4ED2-B4E1-9F8E103FEF0D}"/>
    <cellStyle name="Currency 4 2 3 2" xfId="57293" xr:uid="{95F0A313-5155-498A-BF1F-5C9BFAA33D72}"/>
    <cellStyle name="Currency 4 2 4" xfId="57290" xr:uid="{50B0C0B6-906D-420B-A9A9-7686074BA326}"/>
    <cellStyle name="Currency 4 3" xfId="57289" xr:uid="{46F57E07-8EA4-477E-B000-F6FFE323AE8C}"/>
    <cellStyle name="Currency 5" xfId="3913" xr:uid="{8397436E-2A9F-4DD3-AB85-3783182378E1}"/>
    <cellStyle name="Currency 5 2" xfId="11621" xr:uid="{60D52D24-1DFC-4F38-B5B6-E9450D1F7DA2}"/>
    <cellStyle name="Currency 5 2 2" xfId="27033" xr:uid="{38428F35-222B-4DC2-B50A-C677CBB573FA}"/>
    <cellStyle name="Currency 5 2 2 2" xfId="57296" xr:uid="{45F7E417-FDAF-4BDC-AFC8-CFD533DD3020}"/>
    <cellStyle name="Currency 5 2 3" xfId="57295" xr:uid="{F1DF854E-7476-4EFC-9018-F3E6F55EE821}"/>
    <cellStyle name="Currency 5 3" xfId="19328" xr:uid="{39D0E1C3-93E0-4B5F-AD19-843907229D80}"/>
    <cellStyle name="Currency 5 3 2" xfId="57297" xr:uid="{9552DE8A-E75F-4B5A-8068-1DA2378B217C}"/>
    <cellStyle name="Currency 5 4" xfId="57294" xr:uid="{6B1659C1-707F-4F4E-BD91-28DFC1C7564C}"/>
    <cellStyle name="Currency 6" xfId="154" xr:uid="{CDDCFCD5-1AA7-4A8E-9225-E84908C3CD48}"/>
    <cellStyle name="Encabezado 1" xfId="11" builtinId="16" customBuiltin="1"/>
    <cellStyle name="Encabezado 4" xfId="13" builtinId="19" customBuiltin="1"/>
    <cellStyle name="Encabezado 4 2" xfId="161" xr:uid="{333AAB38-66C5-4689-9B65-A27366EF7DFC}"/>
    <cellStyle name="Encabezado 4 2 2" xfId="57299" xr:uid="{BB9EFA04-DB36-4E0A-B551-EE72327DD3E0}"/>
    <cellStyle name="Encabezado 4 3" xfId="803" xr:uid="{CB9EB626-0C76-4642-88E1-77EDCE925189}"/>
    <cellStyle name="Encabezado 4 3 2" xfId="57300" xr:uid="{F1AE8168-114D-4A5C-8F0E-28C4525C455A}"/>
    <cellStyle name="Encabezado 4 4" xfId="57298" xr:uid="{FF72725A-D716-4C06-9160-06ED64EA49FC}"/>
    <cellStyle name="Encabezado 4 5" xfId="62073" xr:uid="{936DD5E8-E94A-4D91-8BB2-375CCC447FDE}"/>
    <cellStyle name="Énfasis1" xfId="6" builtinId="29" customBuiltin="1"/>
    <cellStyle name="Énfasis2" xfId="7" builtinId="33" customBuiltin="1"/>
    <cellStyle name="Énfasis3" xfId="27" builtinId="37" customBuiltin="1"/>
    <cellStyle name="Énfasis4" xfId="29" builtinId="41" customBuiltin="1"/>
    <cellStyle name="Énfasis5" xfId="32" builtinId="45" customBuiltin="1"/>
    <cellStyle name="Énfasis6" xfId="35" builtinId="49" customBuiltin="1"/>
    <cellStyle name="Entrada" xfId="15" builtinId="20" customBuiltin="1"/>
    <cellStyle name="Entrada 2" xfId="163" xr:uid="{EE97307C-9F7B-4389-BA01-C3585DE363BC}"/>
    <cellStyle name="Entrada 2 2" xfId="57302" xr:uid="{5AC3CDED-CFB6-4A7B-93F6-4383F2FCC7F1}"/>
    <cellStyle name="Entrada 3" xfId="804" xr:uid="{FCB79657-F149-42D0-A8FD-1F180639F674}"/>
    <cellStyle name="Entrada 3 2" xfId="57303" xr:uid="{290203C0-38C1-4487-8D20-38DA5F8E7863}"/>
    <cellStyle name="Entrada 4" xfId="57301" xr:uid="{5D8CA1CD-A447-4413-8991-AAC8AF6E1CBF}"/>
    <cellStyle name="Entrada 5" xfId="62074" xr:uid="{60E72D34-59AF-4806-8F3B-37E46127A893}"/>
    <cellStyle name="Euro" xfId="9" xr:uid="{0CBD924C-3FE6-4D50-835C-7161852759D7}"/>
    <cellStyle name="Explanatory Text 2" xfId="107" xr:uid="{3F7D4B5C-612C-415B-B7D7-66D9B4444FBC}"/>
    <cellStyle name="Explanatory Text 2 2" xfId="57304" xr:uid="{7E8E1EE3-4121-452E-B8D6-D2568E044B67}"/>
    <cellStyle name="Good 2" xfId="108" xr:uid="{D28D6A3B-2416-488B-97A4-39A3B788A6F4}"/>
    <cellStyle name="Good 2 2" xfId="57305" xr:uid="{94FBDA5C-55C8-479F-8231-15B4F710B675}"/>
    <cellStyle name="Heading 1 2" xfId="109" xr:uid="{B7A17314-1A87-498E-B92C-0A3120901051}"/>
    <cellStyle name="Heading 1 2 2" xfId="57306" xr:uid="{BE57A1AC-100E-4D30-97A9-6E239B181FB9}"/>
    <cellStyle name="Heading 2 2" xfId="110" xr:uid="{401FA4D2-2077-422E-A502-0F24AEE007A1}"/>
    <cellStyle name="Heading 2 2 2" xfId="57307" xr:uid="{70661E48-F394-4169-830C-A38098216077}"/>
    <cellStyle name="Heading 3 2" xfId="111" xr:uid="{06A64A4C-9EFF-42B8-978B-AA508121409F}"/>
    <cellStyle name="Heading 3 2 2" xfId="57308" xr:uid="{60321AA2-1238-4BED-94E8-D1E600FB5D22}"/>
    <cellStyle name="Heading 4 2" xfId="112" xr:uid="{F01B39FB-A0D1-42B4-99B5-5E5B03156A2C}"/>
    <cellStyle name="Heading 4 2 2" xfId="57309" xr:uid="{C237C5D1-0E11-4AA0-BB25-614BF3B65C0A}"/>
    <cellStyle name="Hipervínculo" xfId="1" builtinId="8"/>
    <cellStyle name="Hipervínculo 2" xfId="64" xr:uid="{F1FD4C5D-C0C6-4D75-A2B2-C764628896FC}"/>
    <cellStyle name="Hyperlink 2" xfId="73" xr:uid="{8AB980BA-21C4-467A-A8E5-F5E31DF05D41}"/>
    <cellStyle name="Hyperlink 2 2" xfId="57310" xr:uid="{A74185AA-FB99-45BD-9AE6-2797EB541F43}"/>
    <cellStyle name="Hyperlink 2 3" xfId="113" xr:uid="{01827283-6A91-44AA-BCE8-FE322B60F2D8}"/>
    <cellStyle name="Hyperlink 3" xfId="1644" xr:uid="{29E98B3A-1A9A-434A-837B-61BEE8CF82E6}"/>
    <cellStyle name="Hyperlink 3 2" xfId="57311" xr:uid="{28159543-2991-45E2-A122-8833BBB2069A}"/>
    <cellStyle name="Hyperlink 4" xfId="1612" xr:uid="{308B1435-42FD-4CF8-AC3A-03BD613168AF}"/>
    <cellStyle name="Hyperlink 4 2" xfId="57312" xr:uid="{87D1DA5E-E166-486A-9A9C-4AC0D40CA260}"/>
    <cellStyle name="Incorrecto" xfId="14" builtinId="27" customBuiltin="1"/>
    <cellStyle name="Input 2" xfId="114" xr:uid="{4542DD7F-EABD-4A70-BEDB-4B1F3D926791}"/>
    <cellStyle name="Input 2 2" xfId="57313" xr:uid="{BDC096C9-455F-4457-B0E7-B9EC54723992}"/>
    <cellStyle name="Linked Cell 2" xfId="115" xr:uid="{E18AC350-270E-43F8-A66B-2A137AB47C83}"/>
    <cellStyle name="Linked Cell 2 2" xfId="57314" xr:uid="{B016738D-211A-4AF8-B688-0CFFB60D03DF}"/>
    <cellStyle name="Millares" xfId="3" builtinId="3"/>
    <cellStyle name="Millares 10" xfId="62102" xr:uid="{CA08D070-9CF2-498E-917F-87929B283CED}"/>
    <cellStyle name="Millares 11" xfId="62104" xr:uid="{BF5DE928-6FE0-45A0-A107-DF9FAF19B15A}"/>
    <cellStyle name="Millares 12" xfId="62109" xr:uid="{5857FE03-59EB-4811-89BC-642FAC6366A9}"/>
    <cellStyle name="Millares 13" xfId="62110" xr:uid="{91511CAB-F050-4B7B-BCDE-E8D8442AC934}"/>
    <cellStyle name="Millares 14" xfId="54" xr:uid="{2F5AFB6E-4A57-4F5D-9B2F-C42619013081}"/>
    <cellStyle name="Millares 2" xfId="59" xr:uid="{50CF6D59-BF41-4971-A2D3-E6A751C52187}"/>
    <cellStyle name="Millares 2 2" xfId="159" xr:uid="{87E418A5-EF35-4F87-A83B-50BB68BAB04A}"/>
    <cellStyle name="Millares 2 2 2" xfId="221" xr:uid="{D676791B-BD1B-4773-B892-C3C39C8A4CF3}"/>
    <cellStyle name="Millares 2 2 2 2" xfId="425" xr:uid="{5584011C-C96C-4A89-BF25-D861B06755D7}"/>
    <cellStyle name="Millares 2 2 2 2 2" xfId="1087" xr:uid="{2D7D9AF8-BC47-403B-A88A-DE6C4E6CD9B5}"/>
    <cellStyle name="Millares 2 2 2 2 2 2" xfId="2555" xr:uid="{7101DAE2-E489-4AB3-B6A7-ED76E1F9F7CB}"/>
    <cellStyle name="Millares 2 2 2 2 2 2 2" xfId="6287" xr:uid="{FDCC2FB1-CC3E-45DC-9101-E7F4753A91F2}"/>
    <cellStyle name="Millares 2 2 2 2 2 2 2 2" xfId="13995" xr:uid="{6A12C4EC-F479-4DD0-86F0-7978CA8759D7}"/>
    <cellStyle name="Millares 2 2 2 2 2 2 2 2 2" xfId="29407" xr:uid="{46250ECA-4D79-4FAC-BCEA-27385E7162CA}"/>
    <cellStyle name="Millares 2 2 2 2 2 2 2 2 2 2" xfId="57323" xr:uid="{5235B406-E212-45F3-B95C-161041D4556D}"/>
    <cellStyle name="Millares 2 2 2 2 2 2 2 2 3" xfId="57322" xr:uid="{6D913A12-7584-4C6C-9036-7531D8A00E63}"/>
    <cellStyle name="Millares 2 2 2 2 2 2 2 3" xfId="21702" xr:uid="{99FFFBC7-BEB7-4A04-B6A3-6685B9D1C023}"/>
    <cellStyle name="Millares 2 2 2 2 2 2 2 3 2" xfId="57324" xr:uid="{2B8EBEC0-C24B-41BD-86AC-CEB2BDB35306}"/>
    <cellStyle name="Millares 2 2 2 2 2 2 2 4" xfId="57321" xr:uid="{C1281DD3-9F3E-4AEE-A5A1-81B9E0AD06F0}"/>
    <cellStyle name="Millares 2 2 2 2 2 2 3" xfId="10266" xr:uid="{651154E7-2A93-44A8-980A-26F76985BBEC}"/>
    <cellStyle name="Millares 2 2 2 2 2 2 3 2" xfId="25679" xr:uid="{5ADFD8DA-2938-467C-99D7-A658A3012D4C}"/>
    <cellStyle name="Millares 2 2 2 2 2 2 3 2 2" xfId="57326" xr:uid="{B4A35BD6-0F8F-44DA-BE86-E7C014A38D2A}"/>
    <cellStyle name="Millares 2 2 2 2 2 2 3 3" xfId="57325" xr:uid="{16B9B2C9-CA97-492A-96F9-D46160E5CDE8}"/>
    <cellStyle name="Millares 2 2 2 2 2 2 4" xfId="17974" xr:uid="{0C7336AA-65E6-4A03-8AEB-C930DFB87517}"/>
    <cellStyle name="Millares 2 2 2 2 2 2 4 2" xfId="57327" xr:uid="{7A0B6FF7-9B75-4CB7-808F-F35D4B9F4B30}"/>
    <cellStyle name="Millares 2 2 2 2 2 2 5" xfId="57320" xr:uid="{DDED9587-CE4D-4A66-B684-634127F9D010}"/>
    <cellStyle name="Millares 2 2 2 2 2 3" xfId="4824" xr:uid="{2C9E217A-9AFA-416C-968C-57F351799196}"/>
    <cellStyle name="Millares 2 2 2 2 2 3 2" xfId="12532" xr:uid="{43EFEFC7-2EE2-45EE-9334-724853860B24}"/>
    <cellStyle name="Millares 2 2 2 2 2 3 2 2" xfId="27944" xr:uid="{A0021B95-7BAD-4EF2-BEFC-EC0D90A69FAF}"/>
    <cellStyle name="Millares 2 2 2 2 2 3 2 2 2" xfId="57330" xr:uid="{F0E4C976-022D-4512-8595-367E188282D7}"/>
    <cellStyle name="Millares 2 2 2 2 2 3 2 3" xfId="57329" xr:uid="{1730E30D-7F80-4C61-8C0C-FC0D92F4C656}"/>
    <cellStyle name="Millares 2 2 2 2 2 3 3" xfId="20239" xr:uid="{FD9BFBC6-8FEB-495A-AEC6-5953205C1611}"/>
    <cellStyle name="Millares 2 2 2 2 2 3 3 2" xfId="57331" xr:uid="{A8862660-67D9-495A-B39F-F798E4CC5027}"/>
    <cellStyle name="Millares 2 2 2 2 2 3 4" xfId="57328" xr:uid="{AF802957-10D4-4EB5-BD1D-5AC6B2204CAE}"/>
    <cellStyle name="Millares 2 2 2 2 2 4" xfId="8807" xr:uid="{03655838-6F9A-40D8-9FA6-2FDD7D643762}"/>
    <cellStyle name="Millares 2 2 2 2 2 4 2" xfId="24220" xr:uid="{135FB1D7-47E2-4B23-A6E1-09ADA1ADCE79}"/>
    <cellStyle name="Millares 2 2 2 2 2 4 2 2" xfId="57333" xr:uid="{63309B65-AACC-4802-8EC2-33E372E773E3}"/>
    <cellStyle name="Millares 2 2 2 2 2 4 3" xfId="57332" xr:uid="{EA5D36C5-079C-43C5-9860-E745C50986A8}"/>
    <cellStyle name="Millares 2 2 2 2 2 5" xfId="16515" xr:uid="{4A401854-8C0E-4D9F-8EF5-4BC3918328E4}"/>
    <cellStyle name="Millares 2 2 2 2 2 5 2" xfId="57334" xr:uid="{763E52B1-7312-46DC-BB49-8ECD0C758646}"/>
    <cellStyle name="Millares 2 2 2 2 2 6" xfId="57319" xr:uid="{634A17EC-BA4A-45BE-89DD-2FE8700B44A8}"/>
    <cellStyle name="Millares 2 2 2 2 3" xfId="1917" xr:uid="{7B98AB94-841C-4EDE-8EFD-450FC6E97DDA}"/>
    <cellStyle name="Millares 2 2 2 2 3 2" xfId="5649" xr:uid="{BA544AB5-F59A-46F9-94E5-DB540C28F448}"/>
    <cellStyle name="Millares 2 2 2 2 3 2 2" xfId="13357" xr:uid="{B8160FDF-FA35-49A6-A668-35568CA662DA}"/>
    <cellStyle name="Millares 2 2 2 2 3 2 2 2" xfId="28769" xr:uid="{668AD7C1-B7A5-4763-928E-12567DAFB214}"/>
    <cellStyle name="Millares 2 2 2 2 3 2 2 2 2" xfId="57338" xr:uid="{81AA5D9D-2506-4E2B-B042-DFE663D11386}"/>
    <cellStyle name="Millares 2 2 2 2 3 2 2 3" xfId="57337" xr:uid="{87718F45-A58B-482A-8414-B4B74FE4C4A4}"/>
    <cellStyle name="Millares 2 2 2 2 3 2 3" xfId="21064" xr:uid="{C3159F1F-0DE2-4F19-B70A-6B77E86C1716}"/>
    <cellStyle name="Millares 2 2 2 2 3 2 3 2" xfId="57339" xr:uid="{635CB81D-53F9-4FC4-8817-CE428DDE0E91}"/>
    <cellStyle name="Millares 2 2 2 2 3 2 4" xfId="57336" xr:uid="{1AB2AD51-E062-4243-963D-010B4E9189C3}"/>
    <cellStyle name="Millares 2 2 2 2 3 3" xfId="9628" xr:uid="{C5AF0DF4-D253-41F2-8AEA-4C2FC76E2E85}"/>
    <cellStyle name="Millares 2 2 2 2 3 3 2" xfId="25041" xr:uid="{E9D8DFF4-831D-4EB2-9480-359FD94859A2}"/>
    <cellStyle name="Millares 2 2 2 2 3 3 2 2" xfId="57341" xr:uid="{F296BF47-32CE-4045-93A0-E505B7AB979B}"/>
    <cellStyle name="Millares 2 2 2 2 3 3 3" xfId="57340" xr:uid="{959748DA-CA15-45D2-9598-8836ABB197E1}"/>
    <cellStyle name="Millares 2 2 2 2 3 4" xfId="17336" xr:uid="{8146A3DE-B5CC-4089-A4DC-D953FFD5BFC5}"/>
    <cellStyle name="Millares 2 2 2 2 3 4 2" xfId="57342" xr:uid="{658EF728-3734-44FC-ACC9-8FBAB75B2A0A}"/>
    <cellStyle name="Millares 2 2 2 2 3 5" xfId="57335" xr:uid="{DD1EECF1-94A9-4C3E-A363-F175914070CD}"/>
    <cellStyle name="Millares 2 2 2 2 4" xfId="4172" xr:uid="{8351DB88-13B6-4468-8058-C5052484A1FC}"/>
    <cellStyle name="Millares 2 2 2 2 4 2" xfId="11880" xr:uid="{BF01912E-02C5-4F53-A258-5C4260590423}"/>
    <cellStyle name="Millares 2 2 2 2 4 2 2" xfId="27292" xr:uid="{E65DCDED-BDCB-4368-B651-8E0F413FA12E}"/>
    <cellStyle name="Millares 2 2 2 2 4 2 2 2" xfId="57345" xr:uid="{93E63BED-70B9-45B7-B3C2-DE4A887B5755}"/>
    <cellStyle name="Millares 2 2 2 2 4 2 3" xfId="57344" xr:uid="{3D67A059-73DF-4419-B29A-7006F334F88B}"/>
    <cellStyle name="Millares 2 2 2 2 4 3" xfId="19587" xr:uid="{4C63AEF7-D57D-4AF0-A810-19322F6619D2}"/>
    <cellStyle name="Millares 2 2 2 2 4 3 2" xfId="57346" xr:uid="{A2B773FF-70BC-47D2-8330-16AD45E5F934}"/>
    <cellStyle name="Millares 2 2 2 2 4 4" xfId="57343" xr:uid="{FE49A524-C266-4C4B-A7E3-CCD317E02B23}"/>
    <cellStyle name="Millares 2 2 2 2 5" xfId="8169" xr:uid="{868FD384-5C93-4C58-A412-51B659A49F46}"/>
    <cellStyle name="Millares 2 2 2 2 5 2" xfId="23582" xr:uid="{5B5F0228-F9F5-42F5-B290-BDC8442200A5}"/>
    <cellStyle name="Millares 2 2 2 2 5 2 2" xfId="57348" xr:uid="{7C113453-5B19-4C91-9CB9-33AF44D36C40}"/>
    <cellStyle name="Millares 2 2 2 2 5 3" xfId="57347" xr:uid="{507E5983-9271-4E19-B50D-738263DA7E59}"/>
    <cellStyle name="Millares 2 2 2 2 6" xfId="15877" xr:uid="{63896659-1090-45B6-8E96-B58F0D66F14B}"/>
    <cellStyle name="Millares 2 2 2 2 6 2" xfId="57349" xr:uid="{5C7ACB8A-40B1-47A6-AB52-E3516D9A9201}"/>
    <cellStyle name="Millares 2 2 2 2 7" xfId="57318" xr:uid="{01C2EA24-78D1-4B8A-9816-C210C0EAD7D4}"/>
    <cellStyle name="Millares 2 2 2 3" xfId="887" xr:uid="{FE27DC62-463E-42E5-BA0D-64CEB99A6F5A}"/>
    <cellStyle name="Millares 2 2 2 3 2" xfId="2357" xr:uid="{CF0A93B3-F9C6-4087-B10C-8B8E0CCCEBEA}"/>
    <cellStyle name="Millares 2 2 2 3 2 2" xfId="6089" xr:uid="{E1C06EDD-C4C6-4F55-8FDB-08DF8D529373}"/>
    <cellStyle name="Millares 2 2 2 3 2 2 2" xfId="13797" xr:uid="{B0616D93-2D43-44E4-A2E8-92ABCC2BDFE3}"/>
    <cellStyle name="Millares 2 2 2 3 2 2 2 2" xfId="29209" xr:uid="{B18C67AE-C2F0-416A-8BD3-ACCC65E9EE7E}"/>
    <cellStyle name="Millares 2 2 2 3 2 2 2 2 2" xfId="57354" xr:uid="{19A8BFC4-F1CD-4A4D-B695-4C5FE32E40A9}"/>
    <cellStyle name="Millares 2 2 2 3 2 2 2 3" xfId="57353" xr:uid="{8A14666E-B6E8-4F02-86A7-343E41F2FFA4}"/>
    <cellStyle name="Millares 2 2 2 3 2 2 3" xfId="21504" xr:uid="{F36A108D-B6F8-469F-B3FE-407DF5675E22}"/>
    <cellStyle name="Millares 2 2 2 3 2 2 3 2" xfId="57355" xr:uid="{E208F0B5-BD94-495B-86CB-C0A947FC48CF}"/>
    <cellStyle name="Millares 2 2 2 3 2 2 4" xfId="57352" xr:uid="{BC9325EA-67FA-42C5-ADAF-7AC1F50D74C5}"/>
    <cellStyle name="Millares 2 2 2 3 2 3" xfId="10068" xr:uid="{73E67656-597E-4630-B260-111B020295A4}"/>
    <cellStyle name="Millares 2 2 2 3 2 3 2" xfId="25481" xr:uid="{BF7A56D0-7007-419E-96C6-ED032E7FEE74}"/>
    <cellStyle name="Millares 2 2 2 3 2 3 2 2" xfId="57357" xr:uid="{5AA4CC16-570F-4C32-A1F6-0F66F89F8A9B}"/>
    <cellStyle name="Millares 2 2 2 3 2 3 3" xfId="57356" xr:uid="{B08E00BD-4234-4F16-B3FB-D0C3F52BB54A}"/>
    <cellStyle name="Millares 2 2 2 3 2 4" xfId="17776" xr:uid="{F6600FC6-F232-4010-BD91-7D225E14A6FD}"/>
    <cellStyle name="Millares 2 2 2 3 2 4 2" xfId="57358" xr:uid="{454B30C4-9719-4325-BA0C-F69C1437C4D3}"/>
    <cellStyle name="Millares 2 2 2 3 2 5" xfId="57351" xr:uid="{B58020BC-CFEC-465D-93E8-69830DA4CA7E}"/>
    <cellStyle name="Millares 2 2 2 3 3" xfId="4624" xr:uid="{2FA77E39-6AAA-4C78-8AB8-DA754C21F725}"/>
    <cellStyle name="Millares 2 2 2 3 3 2" xfId="12332" xr:uid="{D5E49A3F-E576-4F56-81C7-6F4837CBD284}"/>
    <cellStyle name="Millares 2 2 2 3 3 2 2" xfId="27744" xr:uid="{6F8E4B62-F659-4160-91B2-AB917BA40AD2}"/>
    <cellStyle name="Millares 2 2 2 3 3 2 2 2" xfId="57361" xr:uid="{6FB12941-A51D-412C-B08F-7D39B6D788BE}"/>
    <cellStyle name="Millares 2 2 2 3 3 2 3" xfId="57360" xr:uid="{BCF2A06E-31F5-4017-8A9E-921794D1557B}"/>
    <cellStyle name="Millares 2 2 2 3 3 3" xfId="20039" xr:uid="{B430F418-5D87-488E-BF36-E82FBC859945}"/>
    <cellStyle name="Millares 2 2 2 3 3 3 2" xfId="57362" xr:uid="{D07A10A4-A97E-4F11-96A7-AB1E3F46D31C}"/>
    <cellStyle name="Millares 2 2 2 3 3 4" xfId="57359" xr:uid="{5CC10117-BE4E-4169-894E-BD02066E1707}"/>
    <cellStyle name="Millares 2 2 2 3 4" xfId="8609" xr:uid="{60754F75-31B8-48B2-BA72-3DA9086418BF}"/>
    <cellStyle name="Millares 2 2 2 3 4 2" xfId="24022" xr:uid="{1803C89D-A470-4A56-9CAF-DBDD4C224648}"/>
    <cellStyle name="Millares 2 2 2 3 4 2 2" xfId="57364" xr:uid="{639E9401-3C31-4B49-B5FD-B66EEB567F05}"/>
    <cellStyle name="Millares 2 2 2 3 4 3" xfId="57363" xr:uid="{ADDC3504-1829-477A-AE4F-C8C5915F270D}"/>
    <cellStyle name="Millares 2 2 2 3 5" xfId="16317" xr:uid="{2F77772C-92E2-4C09-B0A1-50E2683746C9}"/>
    <cellStyle name="Millares 2 2 2 3 5 2" xfId="57365" xr:uid="{C686D51A-8217-456B-AC1E-371B117FFE79}"/>
    <cellStyle name="Millares 2 2 2 3 6" xfId="57350" xr:uid="{5ED51977-2CA5-427F-8FEF-C91FC6C4229A}"/>
    <cellStyle name="Millares 2 2 2 4" xfId="1719" xr:uid="{2CE84155-1D30-46AB-B63C-34A410AD2710}"/>
    <cellStyle name="Millares 2 2 2 4 2" xfId="5451" xr:uid="{FE58B5CC-92C9-4E65-A3F8-239BCAA57DAF}"/>
    <cellStyle name="Millares 2 2 2 4 2 2" xfId="13159" xr:uid="{6C1174A6-F2C7-4832-9B7E-13F91D5EF29E}"/>
    <cellStyle name="Millares 2 2 2 4 2 2 2" xfId="28571" xr:uid="{5BFCF148-7B16-4C7C-A44E-3ADA4AD15989}"/>
    <cellStyle name="Millares 2 2 2 4 2 2 2 2" xfId="57369" xr:uid="{3EEFFAB3-D05B-42BA-B21A-B9C9CF3EC6A5}"/>
    <cellStyle name="Millares 2 2 2 4 2 2 3" xfId="57368" xr:uid="{A6FDB210-27DC-462C-80AC-4AA635CB4132}"/>
    <cellStyle name="Millares 2 2 2 4 2 3" xfId="20866" xr:uid="{BF81F373-047D-4301-82CE-AF73D29927EF}"/>
    <cellStyle name="Millares 2 2 2 4 2 3 2" xfId="57370" xr:uid="{874B0A3E-88DC-46FF-8732-8670256F38A5}"/>
    <cellStyle name="Millares 2 2 2 4 2 4" xfId="57367" xr:uid="{C26F59ED-05DD-4D72-A31A-62AAADA79CEA}"/>
    <cellStyle name="Millares 2 2 2 4 3" xfId="9430" xr:uid="{D9A7B9FC-B43E-4D9B-917C-26F8D5D14910}"/>
    <cellStyle name="Millares 2 2 2 4 3 2" xfId="24843" xr:uid="{7BFFF08E-71D4-4DE7-9FC6-22029D9A4F58}"/>
    <cellStyle name="Millares 2 2 2 4 3 2 2" xfId="57372" xr:uid="{3B62C16C-B246-41F4-AF72-F6D8FF8AF091}"/>
    <cellStyle name="Millares 2 2 2 4 3 3" xfId="57371" xr:uid="{C7F124A9-ED82-41AF-804E-605EC66A606C}"/>
    <cellStyle name="Millares 2 2 2 4 4" xfId="17138" xr:uid="{A831C339-C317-41DE-A601-AA20DD68EB7D}"/>
    <cellStyle name="Millares 2 2 2 4 4 2" xfId="57373" xr:uid="{037ACB6E-7321-4C3B-9851-76EEA0576653}"/>
    <cellStyle name="Millares 2 2 2 4 5" xfId="57366" xr:uid="{92104676-3576-4954-87E7-E781CCABD8B0}"/>
    <cellStyle name="Millares 2 2 2 5" xfId="3972" xr:uid="{47D01333-2D19-482D-84BA-35D0D4F194A1}"/>
    <cellStyle name="Millares 2 2 2 5 2" xfId="11680" xr:uid="{57EAAF5F-D242-4330-A732-1074C5718D1D}"/>
    <cellStyle name="Millares 2 2 2 5 2 2" xfId="27092" xr:uid="{B1EA0992-7EEA-4ADD-977A-7C2FDEB7C854}"/>
    <cellStyle name="Millares 2 2 2 5 2 2 2" xfId="57376" xr:uid="{3FCAF2FC-61CB-4340-86CD-432947A26197}"/>
    <cellStyle name="Millares 2 2 2 5 2 3" xfId="57375" xr:uid="{597987B5-A365-413B-BF1B-E74B0484D5AD}"/>
    <cellStyle name="Millares 2 2 2 5 3" xfId="19387" xr:uid="{58DD9924-7046-4BF2-A39B-3176F889DCA1}"/>
    <cellStyle name="Millares 2 2 2 5 3 2" xfId="57377" xr:uid="{3AEE59CD-5469-47C1-AC2C-9939C5189FBC}"/>
    <cellStyle name="Millares 2 2 2 5 4" xfId="57374" xr:uid="{A4F514CD-1EBE-421B-8508-0A96087DF8AF}"/>
    <cellStyle name="Millares 2 2 2 6" xfId="7971" xr:uid="{F58BF79F-2B7B-444E-AE9B-8E035B8328B9}"/>
    <cellStyle name="Millares 2 2 2 6 2" xfId="23384" xr:uid="{41D2774A-116F-47B5-8B86-A9FDA2A1C10D}"/>
    <cellStyle name="Millares 2 2 2 6 2 2" xfId="57379" xr:uid="{B6976D67-5415-4A54-8480-78CFEA2A57ED}"/>
    <cellStyle name="Millares 2 2 2 6 3" xfId="57378" xr:uid="{1A82729C-092B-409E-B5B0-2004A1C05B64}"/>
    <cellStyle name="Millares 2 2 2 7" xfId="15679" xr:uid="{B9942F43-21D7-47D4-AEE8-DBCB9B41B6B2}"/>
    <cellStyle name="Millares 2 2 2 7 2" xfId="57380" xr:uid="{4BD0AA04-674C-4701-8FD7-F911B7BBED5C}"/>
    <cellStyle name="Millares 2 2 2 8" xfId="57317" xr:uid="{8EBF7DE5-16F2-44A8-823B-B1E4DFF3F34F}"/>
    <cellStyle name="Millares 2 2 3" xfId="375" xr:uid="{EB952003-D67D-468E-A318-56AC80A37756}"/>
    <cellStyle name="Millares 2 2 3 2" xfId="1037" xr:uid="{D9BC13F4-AABE-4753-A442-C19A03DD4E11}"/>
    <cellStyle name="Millares 2 2 3 2 2" xfId="2505" xr:uid="{252FE45F-65EB-4396-91EA-E5966EC33D5A}"/>
    <cellStyle name="Millares 2 2 3 2 2 2" xfId="6237" xr:uid="{04076B97-0F97-4F0F-84AD-1B70F764C184}"/>
    <cellStyle name="Millares 2 2 3 2 2 2 2" xfId="13945" xr:uid="{0DDF3C95-DBA0-46E7-8B4A-514F79ECAB67}"/>
    <cellStyle name="Millares 2 2 3 2 2 2 2 2" xfId="29357" xr:uid="{DD87C6B3-088A-4237-BA50-7AFAC67B1A72}"/>
    <cellStyle name="Millares 2 2 3 2 2 2 2 2 2" xfId="57386" xr:uid="{3E468B47-6930-447A-B850-98AFC32031F2}"/>
    <cellStyle name="Millares 2 2 3 2 2 2 2 3" xfId="57385" xr:uid="{F16994D3-1183-4055-8A30-8D33B4D5AAE6}"/>
    <cellStyle name="Millares 2 2 3 2 2 2 3" xfId="21652" xr:uid="{A901C966-D770-4E45-B8F8-2F0D66AE2D3C}"/>
    <cellStyle name="Millares 2 2 3 2 2 2 3 2" xfId="57387" xr:uid="{0B0E08A8-0842-4C76-80AA-7C48C7DCC463}"/>
    <cellStyle name="Millares 2 2 3 2 2 2 4" xfId="57384" xr:uid="{7B85E786-D514-4348-AE11-5C55F610A828}"/>
    <cellStyle name="Millares 2 2 3 2 2 3" xfId="10216" xr:uid="{457C6712-A905-450F-9E9C-4E18F8328823}"/>
    <cellStyle name="Millares 2 2 3 2 2 3 2" xfId="25629" xr:uid="{D89A2890-E4C3-4B40-A4F1-F0F18D4DA7A4}"/>
    <cellStyle name="Millares 2 2 3 2 2 3 2 2" xfId="57389" xr:uid="{E546F5A6-EA2A-4DFA-BA03-B346B5662337}"/>
    <cellStyle name="Millares 2 2 3 2 2 3 3" xfId="57388" xr:uid="{098F6375-3127-48DA-8720-FAC51CAD439C}"/>
    <cellStyle name="Millares 2 2 3 2 2 4" xfId="17924" xr:uid="{04D41856-E530-4500-80C7-6D3AD2153323}"/>
    <cellStyle name="Millares 2 2 3 2 2 4 2" xfId="57390" xr:uid="{4960A1B3-6AB2-4809-8364-9CBB68B27C3F}"/>
    <cellStyle name="Millares 2 2 3 2 2 5" xfId="57383" xr:uid="{24002BD8-24B2-466A-B7A4-8E3BB6D55A42}"/>
    <cellStyle name="Millares 2 2 3 2 3" xfId="4774" xr:uid="{5BC81B7B-20CC-4FB5-BFEF-B75F05485B4F}"/>
    <cellStyle name="Millares 2 2 3 2 3 2" xfId="12482" xr:uid="{414A9CB4-93AE-49B7-AF81-AF7AB5F8865B}"/>
    <cellStyle name="Millares 2 2 3 2 3 2 2" xfId="27894" xr:uid="{A818D83F-2623-45F1-BE6A-16A309E069EE}"/>
    <cellStyle name="Millares 2 2 3 2 3 2 2 2" xfId="57393" xr:uid="{60FFF438-4930-46D4-9577-55D1E1902B0F}"/>
    <cellStyle name="Millares 2 2 3 2 3 2 3" xfId="57392" xr:uid="{74622152-EC4F-4E10-AA03-AF9E382DDCA3}"/>
    <cellStyle name="Millares 2 2 3 2 3 3" xfId="20189" xr:uid="{286417AA-024B-47DD-99A6-45331E29E953}"/>
    <cellStyle name="Millares 2 2 3 2 3 3 2" xfId="57394" xr:uid="{A617AD58-18AA-4729-ABA1-B0F7C3FDE4B5}"/>
    <cellStyle name="Millares 2 2 3 2 3 4" xfId="57391" xr:uid="{0D2CC68B-F10C-4FC8-9E63-6CCCBCD20876}"/>
    <cellStyle name="Millares 2 2 3 2 4" xfId="8757" xr:uid="{B73A0788-DB1E-40D6-8AF8-B5AF52C5AD30}"/>
    <cellStyle name="Millares 2 2 3 2 4 2" xfId="24170" xr:uid="{F5C0E4AF-48AE-41A8-A816-2A2CB7AB9F9D}"/>
    <cellStyle name="Millares 2 2 3 2 4 2 2" xfId="57396" xr:uid="{FA6C6D2D-2AE4-4E5C-AEA2-701B92AE8714}"/>
    <cellStyle name="Millares 2 2 3 2 4 3" xfId="57395" xr:uid="{04BB05D9-62C9-4E9C-9F80-5A8B51F787F5}"/>
    <cellStyle name="Millares 2 2 3 2 5" xfId="16465" xr:uid="{3D311232-8BDA-42D7-B5B6-2362627C1D70}"/>
    <cellStyle name="Millares 2 2 3 2 5 2" xfId="57397" xr:uid="{13054D5A-5470-4805-97D5-090EC1BD4E5C}"/>
    <cellStyle name="Millares 2 2 3 2 6" xfId="57382" xr:uid="{2D53D42D-20DC-464A-8CAD-C921A882BAA0}"/>
    <cellStyle name="Millares 2 2 3 3" xfId="1867" xr:uid="{BB512ABD-8A7C-4D5C-9C51-B8BB19372569}"/>
    <cellStyle name="Millares 2 2 3 3 2" xfId="5599" xr:uid="{60670120-62A2-4182-B3AA-7648FED6A466}"/>
    <cellStyle name="Millares 2 2 3 3 2 2" xfId="13307" xr:uid="{DDF93A46-242A-4B53-9B95-B3B0FAC10B93}"/>
    <cellStyle name="Millares 2 2 3 3 2 2 2" xfId="28719" xr:uid="{1841DEDA-3033-4B8E-AF24-E21C04691C62}"/>
    <cellStyle name="Millares 2 2 3 3 2 2 2 2" xfId="57401" xr:uid="{9F031F8F-1CAE-4004-B049-1FAAAAF2E80A}"/>
    <cellStyle name="Millares 2 2 3 3 2 2 3" xfId="57400" xr:uid="{DFD773F0-2C15-447A-B0F2-6D3C17F179A3}"/>
    <cellStyle name="Millares 2 2 3 3 2 3" xfId="21014" xr:uid="{AEB4D05F-7A61-41A7-B2DC-9A272D88F46C}"/>
    <cellStyle name="Millares 2 2 3 3 2 3 2" xfId="57402" xr:uid="{0B60870B-6A35-490B-95DD-A1ED0AD466BE}"/>
    <cellStyle name="Millares 2 2 3 3 2 4" xfId="57399" xr:uid="{1FF68559-4EDD-46F5-83C6-174B278FC1F8}"/>
    <cellStyle name="Millares 2 2 3 3 3" xfId="9578" xr:uid="{CF2B0E5E-74E1-440B-8487-5FA52514A670}"/>
    <cellStyle name="Millares 2 2 3 3 3 2" xfId="24991" xr:uid="{92364F1A-95D9-4E46-8831-391BF4B11741}"/>
    <cellStyle name="Millares 2 2 3 3 3 2 2" xfId="57404" xr:uid="{98B609E3-6DED-4778-8146-EDB549782AB4}"/>
    <cellStyle name="Millares 2 2 3 3 3 3" xfId="57403" xr:uid="{309F0C1C-FD09-4FE9-A0F8-24957FEBDB50}"/>
    <cellStyle name="Millares 2 2 3 3 4" xfId="17286" xr:uid="{8C2A4063-6ABD-4514-B0B4-2DA627657D66}"/>
    <cellStyle name="Millares 2 2 3 3 4 2" xfId="57405" xr:uid="{440EFCC0-DAF5-4007-8179-E64106B816EF}"/>
    <cellStyle name="Millares 2 2 3 3 5" xfId="57398" xr:uid="{0C74CD5E-F04F-4E27-805B-5A18BC19B7DD}"/>
    <cellStyle name="Millares 2 2 3 4" xfId="4122" xr:uid="{181E056B-8C85-420B-A981-2107D6A1DE38}"/>
    <cellStyle name="Millares 2 2 3 4 2" xfId="11830" xr:uid="{EC10BD8B-9878-4335-814C-4C8857214FD3}"/>
    <cellStyle name="Millares 2 2 3 4 2 2" xfId="27242" xr:uid="{89871301-FBD3-4616-A2F2-37E760C578A5}"/>
    <cellStyle name="Millares 2 2 3 4 2 2 2" xfId="57408" xr:uid="{8EB92964-23E3-4549-A35F-71AECF3F8FB0}"/>
    <cellStyle name="Millares 2 2 3 4 2 3" xfId="57407" xr:uid="{F96549BA-2C45-49DC-90CA-017CBC3AA1C6}"/>
    <cellStyle name="Millares 2 2 3 4 3" xfId="19537" xr:uid="{D4EAAFFD-EF91-434E-A76A-94CC6EC7DB87}"/>
    <cellStyle name="Millares 2 2 3 4 3 2" xfId="57409" xr:uid="{A3CF5597-B726-46B5-A104-0C81E80AFA43}"/>
    <cellStyle name="Millares 2 2 3 4 4" xfId="57406" xr:uid="{964FC6ED-7B80-4DB5-8FF7-5FD138DC886B}"/>
    <cellStyle name="Millares 2 2 3 5" xfId="8119" xr:uid="{9CDD1169-8B33-4C55-984E-A349A6609C3B}"/>
    <cellStyle name="Millares 2 2 3 5 2" xfId="23532" xr:uid="{5CCDDF2F-5CD8-4224-849B-96676B0F1178}"/>
    <cellStyle name="Millares 2 2 3 5 2 2" xfId="57411" xr:uid="{1C3121D0-8F75-46DB-86D8-0C795AA96636}"/>
    <cellStyle name="Millares 2 2 3 5 3" xfId="57410" xr:uid="{43683458-0127-4408-B1A2-0DCA88D14FAA}"/>
    <cellStyle name="Millares 2 2 3 6" xfId="15827" xr:uid="{340C95DC-A212-457D-98A0-AADBC4E5ECB6}"/>
    <cellStyle name="Millares 2 2 3 6 2" xfId="57412" xr:uid="{D969CDDA-E262-460C-B5EA-C80C71E6D435}"/>
    <cellStyle name="Millares 2 2 3 7" xfId="57381" xr:uid="{D3891381-A1CC-4C35-AE6B-7D0A21FD27B6}"/>
    <cellStyle name="Millares 2 2 4" xfId="832" xr:uid="{42CB69DE-5B3E-4F6D-8B6B-5243557FDB81}"/>
    <cellStyle name="Millares 2 2 4 2" xfId="2307" xr:uid="{AFD76CB9-4F44-4B13-A261-3A6A1BE7119E}"/>
    <cellStyle name="Millares 2 2 4 2 2" xfId="6039" xr:uid="{610C3968-1439-4A90-A198-0B07D09F595E}"/>
    <cellStyle name="Millares 2 2 4 2 2 2" xfId="13747" xr:uid="{807E4E54-C433-4662-8469-FDFC71D61A1F}"/>
    <cellStyle name="Millares 2 2 4 2 2 2 2" xfId="29159" xr:uid="{E0D604AD-1980-4ADF-BB1D-4931105084B6}"/>
    <cellStyle name="Millares 2 2 4 2 2 2 2 2" xfId="57417" xr:uid="{7C2E8F4C-9FC7-4421-8984-188C3FF9FBA8}"/>
    <cellStyle name="Millares 2 2 4 2 2 2 3" xfId="57416" xr:uid="{B268E5FC-F47B-4944-B610-524854275054}"/>
    <cellStyle name="Millares 2 2 4 2 2 3" xfId="21454" xr:uid="{1CFC192B-E7A0-464C-B634-1BEAA84C9F78}"/>
    <cellStyle name="Millares 2 2 4 2 2 3 2" xfId="57418" xr:uid="{B6FC50AD-5115-49C4-9ADC-E7E6AB6F1AA3}"/>
    <cellStyle name="Millares 2 2 4 2 2 4" xfId="57415" xr:uid="{15FAE025-D7FD-4907-886B-C1BDCD1E934C}"/>
    <cellStyle name="Millares 2 2 4 2 3" xfId="10018" xr:uid="{46D5EF31-BF13-451D-9CCB-C63CE1220CDD}"/>
    <cellStyle name="Millares 2 2 4 2 3 2" xfId="25431" xr:uid="{C821D856-881C-42B1-A077-4755798C13A1}"/>
    <cellStyle name="Millares 2 2 4 2 3 2 2" xfId="57420" xr:uid="{734E4DE6-B2EC-462B-971B-B4D0B75B4498}"/>
    <cellStyle name="Millares 2 2 4 2 3 3" xfId="57419" xr:uid="{B2EE8921-EDD5-43AE-AA92-0F427D3A8BF2}"/>
    <cellStyle name="Millares 2 2 4 2 4" xfId="17726" xr:uid="{33FDDF58-FAF8-4F7E-90E1-350E19012E75}"/>
    <cellStyle name="Millares 2 2 4 2 4 2" xfId="57421" xr:uid="{DF2E0FAF-824A-4965-A0F1-3E6A63DAB9EB}"/>
    <cellStyle name="Millares 2 2 4 2 5" xfId="57414" xr:uid="{F4B4EDD3-D4BC-42B9-99B3-DC1ED8270528}"/>
    <cellStyle name="Millares 2 2 4 3" xfId="4569" xr:uid="{8E094029-1571-4BAA-8920-58A6CAE3E7AB}"/>
    <cellStyle name="Millares 2 2 4 3 2" xfId="12277" xr:uid="{5EAA01A3-783F-4CDF-95AB-19B81244C449}"/>
    <cellStyle name="Millares 2 2 4 3 2 2" xfId="27689" xr:uid="{DA0B2779-257F-4093-96A7-7393F29081B0}"/>
    <cellStyle name="Millares 2 2 4 3 2 2 2" xfId="57424" xr:uid="{DF080241-A90F-4889-9357-A5D044149E97}"/>
    <cellStyle name="Millares 2 2 4 3 2 3" xfId="57423" xr:uid="{FB9EBB85-3318-40D7-BA04-AE0291C47956}"/>
    <cellStyle name="Millares 2 2 4 3 3" xfId="19984" xr:uid="{8E719E61-AAD3-48A5-B956-B09D9F9CAC2A}"/>
    <cellStyle name="Millares 2 2 4 3 3 2" xfId="57425" xr:uid="{EA60CFD3-989A-4BB6-B732-C238883EEFC4}"/>
    <cellStyle name="Millares 2 2 4 3 4" xfId="57422" xr:uid="{AED007DA-E6EC-44D0-AE44-4E8F6FF2D100}"/>
    <cellStyle name="Millares 2 2 4 4" xfId="8559" xr:uid="{07FA88B6-5AB6-413B-A104-FC61AD891F65}"/>
    <cellStyle name="Millares 2 2 4 4 2" xfId="23972" xr:uid="{8A71BF2A-600D-4141-B67B-719CB65941F9}"/>
    <cellStyle name="Millares 2 2 4 4 2 2" xfId="57427" xr:uid="{F493B1F7-ECE9-4D1C-8289-A89CB9EF2A2D}"/>
    <cellStyle name="Millares 2 2 4 4 3" xfId="57426" xr:uid="{E5E20486-6208-4A7D-90BF-3A01CE9CF234}"/>
    <cellStyle name="Millares 2 2 4 5" xfId="16267" xr:uid="{337B8978-5CCC-4E90-95CA-4161BDB1A2A1}"/>
    <cellStyle name="Millares 2 2 4 5 2" xfId="57428" xr:uid="{1CEFAEC7-81B9-41C7-8ECC-2351A0098E3E}"/>
    <cellStyle name="Millares 2 2 4 6" xfId="57413" xr:uid="{B75EF02E-C412-499C-9B52-56C4B1974053}"/>
    <cellStyle name="Millares 2 2 5" xfId="1669" xr:uid="{B1904269-FED1-4B2F-B310-09AF0CC0B532}"/>
    <cellStyle name="Millares 2 2 5 2" xfId="5401" xr:uid="{9A9349E0-B7C7-450E-AB0E-498702C4F1A0}"/>
    <cellStyle name="Millares 2 2 5 2 2" xfId="13109" xr:uid="{082586C2-68F4-4BB4-80ED-3841CE82823A}"/>
    <cellStyle name="Millares 2 2 5 2 2 2" xfId="28521" xr:uid="{E67F7ADF-1BE2-4909-8A34-EA3B0B7AE9FE}"/>
    <cellStyle name="Millares 2 2 5 2 2 2 2" xfId="57432" xr:uid="{3F6BE5B3-9187-4E70-A062-4B0ED8E43134}"/>
    <cellStyle name="Millares 2 2 5 2 2 3" xfId="57431" xr:uid="{75D94E31-12B8-470A-9445-14D1AEFE0E6D}"/>
    <cellStyle name="Millares 2 2 5 2 3" xfId="20816" xr:uid="{1C6A81C2-DEFF-4D37-B911-1B8B6F8AD5BB}"/>
    <cellStyle name="Millares 2 2 5 2 3 2" xfId="57433" xr:uid="{E4F892BA-6CD5-4EB3-923F-70EAB61C5409}"/>
    <cellStyle name="Millares 2 2 5 2 4" xfId="57430" xr:uid="{FAA93C6E-D50C-4119-8031-82CCB126885D}"/>
    <cellStyle name="Millares 2 2 5 3" xfId="9380" xr:uid="{AB8970F3-A4FC-47D6-ACCC-8DF6AFF3B468}"/>
    <cellStyle name="Millares 2 2 5 3 2" xfId="24793" xr:uid="{4652008E-5A6A-4D28-893C-9A446D751638}"/>
    <cellStyle name="Millares 2 2 5 3 2 2" xfId="57435" xr:uid="{42609AFE-AE99-43DE-81E1-3DD66D158D2B}"/>
    <cellStyle name="Millares 2 2 5 3 3" xfId="57434" xr:uid="{1E812DEF-5FDB-45AA-B0C2-BFEA5C2F98FA}"/>
    <cellStyle name="Millares 2 2 5 4" xfId="17088" xr:uid="{871F4FC0-C44B-43B9-BD59-7DE1CC2893F1}"/>
    <cellStyle name="Millares 2 2 5 4 2" xfId="57436" xr:uid="{7A82EBB1-AC80-481B-A508-F5F994466358}"/>
    <cellStyle name="Millares 2 2 5 5" xfId="57429" xr:uid="{7B1336FF-B515-4CDA-A55F-1C455EA8CB34}"/>
    <cellStyle name="Millares 2 2 6" xfId="3917" xr:uid="{305DA65E-E6FE-445D-8ED9-4849B19109DB}"/>
    <cellStyle name="Millares 2 2 6 2" xfId="11625" xr:uid="{09D404E3-4C61-4A1A-8102-13F3FE196D03}"/>
    <cellStyle name="Millares 2 2 6 2 2" xfId="27037" xr:uid="{D770AEF0-3873-4EF6-9603-B095EEDF835C}"/>
    <cellStyle name="Millares 2 2 6 2 2 2" xfId="57439" xr:uid="{14DFCD42-F332-4F57-A880-31A4B4F8CB86}"/>
    <cellStyle name="Millares 2 2 6 2 3" xfId="57438" xr:uid="{306E3F67-EE20-41B9-990F-B988C028BFCB}"/>
    <cellStyle name="Millares 2 2 6 3" xfId="19332" xr:uid="{616343EC-7BBF-4B1C-AAFC-34D268EF8535}"/>
    <cellStyle name="Millares 2 2 6 3 2" xfId="57440" xr:uid="{79D68F11-1694-4C4E-B907-0379D351792C}"/>
    <cellStyle name="Millares 2 2 6 4" xfId="57437" xr:uid="{4BACFBAD-D359-42FA-98F6-852D89FA2BA8}"/>
    <cellStyle name="Millares 2 2 7" xfId="7903" xr:uid="{C01CC352-04BF-4BAC-A037-78D60677D47F}"/>
    <cellStyle name="Millares 2 2 7 2" xfId="23316" xr:uid="{DCBE4E1A-1746-44E4-BAC5-A81A14139DDC}"/>
    <cellStyle name="Millares 2 2 7 2 2" xfId="57442" xr:uid="{F1283042-2812-4464-A3A0-A2D4F72FEB0B}"/>
    <cellStyle name="Millares 2 2 7 3" xfId="57441" xr:uid="{DAC9D326-D468-42E6-A765-24A6EC628E50}"/>
    <cellStyle name="Millares 2 2 8" xfId="15611" xr:uid="{605DC007-4A8F-4906-BC40-4F21EFBCEED6}"/>
    <cellStyle name="Millares 2 2 8 2" xfId="57443" xr:uid="{8A487E19-FFAB-49CA-8BB3-8C9CDA2B632F}"/>
    <cellStyle name="Millares 2 2 9" xfId="57316" xr:uid="{A0200F55-ED16-4640-91D5-79C31F4D8A01}"/>
    <cellStyle name="Millares 2 3" xfId="214" xr:uid="{CC486BF0-6140-4204-9061-1F15CA53CCC8}"/>
    <cellStyle name="Millares 2 3 2" xfId="880" xr:uid="{94D95CFC-A1D8-4408-9F90-50F9B1E3CCE7}"/>
    <cellStyle name="Millares 2 3 2 2" xfId="4617" xr:uid="{18C71DB0-D01F-4707-8D2F-E589F3E35791}"/>
    <cellStyle name="Millares 2 3 2 2 2" xfId="12325" xr:uid="{BBFB2C06-DA95-4045-B18B-01CC73A821D1}"/>
    <cellStyle name="Millares 2 3 2 2 2 2" xfId="27737" xr:uid="{F910DD43-677C-49E5-9E79-34E48478B6A2}"/>
    <cellStyle name="Millares 2 3 2 2 2 2 2" xfId="57448" xr:uid="{3A92137B-0419-4805-942E-CBE8A4795F86}"/>
    <cellStyle name="Millares 2 3 2 2 2 3" xfId="57447" xr:uid="{EBB0551E-5551-4B7D-A8B2-BD70C0F670E9}"/>
    <cellStyle name="Millares 2 3 2 2 3" xfId="20032" xr:uid="{A1E91388-FEF7-42CB-85E7-AEE0C24285D1}"/>
    <cellStyle name="Millares 2 3 2 2 3 2" xfId="57449" xr:uid="{36936321-C159-4BBD-9E4F-DBCFA9DE116F}"/>
    <cellStyle name="Millares 2 3 2 2 4" xfId="57446" xr:uid="{853B4D13-B3CD-4187-8DBE-AFC5E7223F43}"/>
    <cellStyle name="Millares 2 3 2 3" xfId="57445" xr:uid="{5393FD03-64DC-4EEF-B727-6F56EB1FA85C}"/>
    <cellStyle name="Millares 2 3 3" xfId="3965" xr:uid="{563C4D07-8645-466C-B11D-75604A73827C}"/>
    <cellStyle name="Millares 2 3 3 2" xfId="11673" xr:uid="{F1ADD192-98D6-4CE4-8837-A490980B688D}"/>
    <cellStyle name="Millares 2 3 3 2 2" xfId="27085" xr:uid="{6AC64A89-B956-48C5-8838-B7E139D9E227}"/>
    <cellStyle name="Millares 2 3 3 2 2 2" xfId="57452" xr:uid="{6BC34B84-E934-44D3-90E7-0D6965305E0C}"/>
    <cellStyle name="Millares 2 3 3 2 3" xfId="57451" xr:uid="{0694B614-2ED8-457F-83AC-EC82DD660D49}"/>
    <cellStyle name="Millares 2 3 3 3" xfId="19380" xr:uid="{44BA0AA5-DACD-40A9-A60D-8BBC96A683F4}"/>
    <cellStyle name="Millares 2 3 3 3 2" xfId="57453" xr:uid="{C43CAEB7-F1C6-403B-83C9-112039E3C5FD}"/>
    <cellStyle name="Millares 2 3 3 4" xfId="57450" xr:uid="{B23DD439-D562-4B6C-A3D2-63E6D5D2AAB4}"/>
    <cellStyle name="Millares 2 3 4" xfId="57444" xr:uid="{B888BEE3-6C52-4991-8BDE-1249A334C039}"/>
    <cellStyle name="Millares 2 4" xfId="261" xr:uid="{8DE6F809-73F8-4450-AFD9-6BE526943E59}"/>
    <cellStyle name="Millares 2 4 2" xfId="464" xr:uid="{3B72117C-AE75-4E8F-8568-4E85EE8F8624}"/>
    <cellStyle name="Millares 2 4 2 2" xfId="1125" xr:uid="{FF199E6D-4562-49EF-8CEB-3F614C26F609}"/>
    <cellStyle name="Millares 2 4 2 2 2" xfId="2593" xr:uid="{7CB416E8-0C8F-4128-AC8C-A945FB20B088}"/>
    <cellStyle name="Millares 2 4 2 2 2 2" xfId="6325" xr:uid="{7F08955D-5857-403A-B3E2-61827A26881C}"/>
    <cellStyle name="Millares 2 4 2 2 2 2 2" xfId="14033" xr:uid="{2A0D1DDA-9967-4776-AB2A-E46603719F0B}"/>
    <cellStyle name="Millares 2 4 2 2 2 2 2 2" xfId="29445" xr:uid="{F9903B0D-2329-4BE9-8BB1-4234D3CEBC05}"/>
    <cellStyle name="Millares 2 4 2 2 2 2 2 2 2" xfId="57460" xr:uid="{8EE3B6C9-8BC0-4D14-AA9B-3B62C1B04761}"/>
    <cellStyle name="Millares 2 4 2 2 2 2 2 3" xfId="57459" xr:uid="{53F60B7A-45F5-4BDC-B3C0-9B9BACC0856E}"/>
    <cellStyle name="Millares 2 4 2 2 2 2 3" xfId="21740" xr:uid="{E5E6F48B-D55E-4484-A1A9-2C299DE5BFAF}"/>
    <cellStyle name="Millares 2 4 2 2 2 2 3 2" xfId="57461" xr:uid="{0C5E2BF1-1C7D-42DF-81E4-5C74756728CC}"/>
    <cellStyle name="Millares 2 4 2 2 2 2 4" xfId="57458" xr:uid="{F139A3A9-20F7-4B2D-94BB-7AFF67F2C4A1}"/>
    <cellStyle name="Millares 2 4 2 2 2 3" xfId="10304" xr:uid="{2295538E-4523-49C5-BAF0-0C1ABCF1E463}"/>
    <cellStyle name="Millares 2 4 2 2 2 3 2" xfId="25717" xr:uid="{0CFCDB98-57AD-4809-89CE-B675C2E500C0}"/>
    <cellStyle name="Millares 2 4 2 2 2 3 2 2" xfId="57463" xr:uid="{1A72E3DD-FCDB-4676-A477-2431AEDE3B48}"/>
    <cellStyle name="Millares 2 4 2 2 2 3 3" xfId="57462" xr:uid="{BD5F6D41-28E3-4995-9D90-922AD0AA04A8}"/>
    <cellStyle name="Millares 2 4 2 2 2 4" xfId="18012" xr:uid="{07EDD488-60DC-4414-AE96-1E1641886ADA}"/>
    <cellStyle name="Millares 2 4 2 2 2 4 2" xfId="57464" xr:uid="{27B8C49E-DDAF-47D6-83BB-61BD1AD3BB55}"/>
    <cellStyle name="Millares 2 4 2 2 2 5" xfId="57457" xr:uid="{03BB5E79-EA45-4B62-857A-EF0137ED22B6}"/>
    <cellStyle name="Millares 2 4 2 2 3" xfId="4862" xr:uid="{DC67C33B-BFC8-4AB8-B3C5-92775E642F1C}"/>
    <cellStyle name="Millares 2 4 2 2 3 2" xfId="12570" xr:uid="{D7A2746E-5564-4A93-8680-005A44FA9EE1}"/>
    <cellStyle name="Millares 2 4 2 2 3 2 2" xfId="27982" xr:uid="{57D5983B-4258-4444-9015-CF1685D86F5E}"/>
    <cellStyle name="Millares 2 4 2 2 3 2 2 2" xfId="57467" xr:uid="{50B3157D-480F-462D-A842-2AA5BE50B99E}"/>
    <cellStyle name="Millares 2 4 2 2 3 2 3" xfId="57466" xr:uid="{9C4D605B-A813-4DFE-B520-D5B014F881CA}"/>
    <cellStyle name="Millares 2 4 2 2 3 3" xfId="20277" xr:uid="{F178D464-EFC4-447E-9298-165CDE6B9E62}"/>
    <cellStyle name="Millares 2 4 2 2 3 3 2" xfId="57468" xr:uid="{3488AAFB-8E67-458C-8A5C-FA29A5629AAD}"/>
    <cellStyle name="Millares 2 4 2 2 3 4" xfId="57465" xr:uid="{F79B500C-D5BF-43A7-8D73-42B4B666ED32}"/>
    <cellStyle name="Millares 2 4 2 2 4" xfId="8845" xr:uid="{6878E454-D676-4993-BF96-541BFA1A3B7C}"/>
    <cellStyle name="Millares 2 4 2 2 4 2" xfId="24258" xr:uid="{66406EE9-39BC-4256-8CE2-EC41E3D0DBE8}"/>
    <cellStyle name="Millares 2 4 2 2 4 2 2" xfId="57470" xr:uid="{C6DA4232-BC20-46CA-BB58-55D20D588CDE}"/>
    <cellStyle name="Millares 2 4 2 2 4 3" xfId="57469" xr:uid="{5F3FDE48-EA9F-4717-BF95-E754B0D8DFDD}"/>
    <cellStyle name="Millares 2 4 2 2 5" xfId="16553" xr:uid="{3B41FED8-8444-440A-AE43-E60B1221A78E}"/>
    <cellStyle name="Millares 2 4 2 2 5 2" xfId="57471" xr:uid="{9E14CAC5-207E-4AD5-9088-F084F0B42511}"/>
    <cellStyle name="Millares 2 4 2 2 6" xfId="57456" xr:uid="{FEEED33B-6AED-42DA-AC5B-78CA8D6BD36E}"/>
    <cellStyle name="Millares 2 4 2 3" xfId="1955" xr:uid="{44F977E2-6ED5-4149-8689-6DD447FE9F1C}"/>
    <cellStyle name="Millares 2 4 2 3 2" xfId="5687" xr:uid="{8BBF671A-70A8-4C17-AE6F-51A6C4378B37}"/>
    <cellStyle name="Millares 2 4 2 3 2 2" xfId="13395" xr:uid="{823877DC-CA70-4905-A01C-AA01C3638340}"/>
    <cellStyle name="Millares 2 4 2 3 2 2 2" xfId="28807" xr:uid="{245E999E-735F-4AA3-A41C-BF61E74C1FE9}"/>
    <cellStyle name="Millares 2 4 2 3 2 2 2 2" xfId="57475" xr:uid="{74F99D43-072E-4696-AF46-BE6503103DE5}"/>
    <cellStyle name="Millares 2 4 2 3 2 2 3" xfId="57474" xr:uid="{B35AEBAA-3AD3-4979-A3BC-2F2F61664C60}"/>
    <cellStyle name="Millares 2 4 2 3 2 3" xfId="21102" xr:uid="{3AB8AB88-F928-468C-983E-07E373E87D16}"/>
    <cellStyle name="Millares 2 4 2 3 2 3 2" xfId="57476" xr:uid="{270C6FA3-5395-4E3F-8CA8-865AC32A833F}"/>
    <cellStyle name="Millares 2 4 2 3 2 4" xfId="57473" xr:uid="{AD96D055-8161-42FD-8503-FBE770277EBF}"/>
    <cellStyle name="Millares 2 4 2 3 3" xfId="9666" xr:uid="{A993C79C-A5F7-49BB-B597-E0E67051F69F}"/>
    <cellStyle name="Millares 2 4 2 3 3 2" xfId="25079" xr:uid="{9AAE1B94-A5EF-4645-AEE3-7A201C25E20F}"/>
    <cellStyle name="Millares 2 4 2 3 3 2 2" xfId="57478" xr:uid="{57D7C311-B7F5-4D41-A875-4314AC9BE729}"/>
    <cellStyle name="Millares 2 4 2 3 3 3" xfId="57477" xr:uid="{19E5AD69-119A-4567-8E89-D84D4F320239}"/>
    <cellStyle name="Millares 2 4 2 3 4" xfId="17374" xr:uid="{0C7AA609-3395-40D3-92BB-E6D094B7EFB3}"/>
    <cellStyle name="Millares 2 4 2 3 4 2" xfId="57479" xr:uid="{B560927E-7462-4A80-B333-D80394BECB92}"/>
    <cellStyle name="Millares 2 4 2 3 5" xfId="57472" xr:uid="{99E8F550-9296-48BC-8F53-7EDE0D29A79F}"/>
    <cellStyle name="Millares 2 4 2 4" xfId="4210" xr:uid="{9F97D507-8952-43A6-A36D-7C2C0A27C2EB}"/>
    <cellStyle name="Millares 2 4 2 4 2" xfId="11918" xr:uid="{FB71D10C-077F-4B16-8888-81A155350E11}"/>
    <cellStyle name="Millares 2 4 2 4 2 2" xfId="27330" xr:uid="{CABD22EB-89A9-4BFE-A3E7-D524B0A0D95A}"/>
    <cellStyle name="Millares 2 4 2 4 2 2 2" xfId="57482" xr:uid="{C1ADA227-7257-4A72-BEFE-81AE30D505A0}"/>
    <cellStyle name="Millares 2 4 2 4 2 3" xfId="57481" xr:uid="{39FC0A9A-E011-4501-95FA-D71E35CAC403}"/>
    <cellStyle name="Millares 2 4 2 4 3" xfId="19625" xr:uid="{F019CB25-A2DB-4D1C-9EBF-508DC01F8E34}"/>
    <cellStyle name="Millares 2 4 2 4 3 2" xfId="57483" xr:uid="{E08B9039-BB70-4EA0-9D83-696D7F2A1F28}"/>
    <cellStyle name="Millares 2 4 2 4 4" xfId="57480" xr:uid="{187A6754-C034-4760-B87B-89A84F0760D3}"/>
    <cellStyle name="Millares 2 4 2 5" xfId="8207" xr:uid="{97B75243-F20F-488E-85E4-F7141246398D}"/>
    <cellStyle name="Millares 2 4 2 5 2" xfId="23620" xr:uid="{51CC124F-844E-4ABF-819E-A3A6583D2E02}"/>
    <cellStyle name="Millares 2 4 2 5 2 2" xfId="57485" xr:uid="{1BD4FDC6-B839-45D0-80B8-DFA9F58BFD38}"/>
    <cellStyle name="Millares 2 4 2 5 3" xfId="57484" xr:uid="{3C9E6A7C-6ACD-4055-9C25-C49715A9CFEA}"/>
    <cellStyle name="Millares 2 4 2 6" xfId="15915" xr:uid="{1E91F6A7-4D0C-44CF-BF03-BCC8F4A123A3}"/>
    <cellStyle name="Millares 2 4 2 6 2" xfId="57486" xr:uid="{A8CFD9FA-E4EF-4056-96F8-C98B1A80994D}"/>
    <cellStyle name="Millares 2 4 2 7" xfId="57455" xr:uid="{039C079E-8705-4D1B-8656-2DAE19C95125}"/>
    <cellStyle name="Millares 2 4 3" xfId="925" xr:uid="{C0EA7963-4CE8-4BBF-8CA1-ABBE105E62CF}"/>
    <cellStyle name="Millares 2 4 3 2" xfId="2395" xr:uid="{57574B74-B173-4D53-85B6-51253F4B7F8D}"/>
    <cellStyle name="Millares 2 4 3 2 2" xfId="6127" xr:uid="{1150D105-1DA4-4C8A-AA46-6C515F6413D1}"/>
    <cellStyle name="Millares 2 4 3 2 2 2" xfId="13835" xr:uid="{86DF5090-6414-4A1E-AADD-298FA622CA29}"/>
    <cellStyle name="Millares 2 4 3 2 2 2 2" xfId="29247" xr:uid="{B63EF14B-938D-40DB-95CD-F60EF92C86A2}"/>
    <cellStyle name="Millares 2 4 3 2 2 2 2 2" xfId="57491" xr:uid="{69C24FB3-B1D1-4E21-B80D-F6918112FF5A}"/>
    <cellStyle name="Millares 2 4 3 2 2 2 3" xfId="57490" xr:uid="{10F850C4-E5B5-4106-9785-0C1BB7D85796}"/>
    <cellStyle name="Millares 2 4 3 2 2 3" xfId="21542" xr:uid="{04957145-6F4F-4F07-B18C-2954FFF42E96}"/>
    <cellStyle name="Millares 2 4 3 2 2 3 2" xfId="57492" xr:uid="{F342D78B-DBC9-4D73-A975-588C2850C5AD}"/>
    <cellStyle name="Millares 2 4 3 2 2 4" xfId="57489" xr:uid="{3DADA715-6B19-480C-BB0E-4066D6D9108B}"/>
    <cellStyle name="Millares 2 4 3 2 3" xfId="10106" xr:uid="{1A65A33C-88B8-4894-99B3-8777843100AC}"/>
    <cellStyle name="Millares 2 4 3 2 3 2" xfId="25519" xr:uid="{AA806619-4018-41D9-9846-BF9075AC3F54}"/>
    <cellStyle name="Millares 2 4 3 2 3 2 2" xfId="57494" xr:uid="{4A26B3CA-301C-411A-944E-A41BFE79B20A}"/>
    <cellStyle name="Millares 2 4 3 2 3 3" xfId="57493" xr:uid="{C464E2C4-AD05-411C-B299-68F155881F18}"/>
    <cellStyle name="Millares 2 4 3 2 4" xfId="17814" xr:uid="{B226752F-389D-4B5E-9C9D-6366E53D3316}"/>
    <cellStyle name="Millares 2 4 3 2 4 2" xfId="57495" xr:uid="{ADEFB5F1-4244-4F3E-A8E4-94DF8C3EEEFE}"/>
    <cellStyle name="Millares 2 4 3 2 5" xfId="57488" xr:uid="{225FA48B-6923-4CD6-BC82-EA0D61A2FE31}"/>
    <cellStyle name="Millares 2 4 3 3" xfId="4662" xr:uid="{3389227B-6709-48C0-B587-21C73E2903FE}"/>
    <cellStyle name="Millares 2 4 3 3 2" xfId="12370" xr:uid="{098B4CD2-EEAA-4570-9002-9578006F8FCF}"/>
    <cellStyle name="Millares 2 4 3 3 2 2" xfId="27782" xr:uid="{371D10C8-F030-4E0D-BF98-C768CCE6D817}"/>
    <cellStyle name="Millares 2 4 3 3 2 2 2" xfId="57498" xr:uid="{2DC50771-B728-4D93-8C64-74F21870B123}"/>
    <cellStyle name="Millares 2 4 3 3 2 3" xfId="57497" xr:uid="{5D8FAB4C-E09C-45B1-9A60-2EB8273FF829}"/>
    <cellStyle name="Millares 2 4 3 3 3" xfId="20077" xr:uid="{D092AF31-9512-4487-B48D-8C603609007A}"/>
    <cellStyle name="Millares 2 4 3 3 3 2" xfId="57499" xr:uid="{434818CB-C052-4DA4-9548-1A3DA21D7F61}"/>
    <cellStyle name="Millares 2 4 3 3 4" xfId="57496" xr:uid="{A567647C-56D3-41A7-8E60-582EF8CDD671}"/>
    <cellStyle name="Millares 2 4 3 4" xfId="8647" xr:uid="{5250111C-320A-431B-A858-874C7E964EB4}"/>
    <cellStyle name="Millares 2 4 3 4 2" xfId="24060" xr:uid="{71FCA21D-D32B-42F7-910C-AA6F1F592E24}"/>
    <cellStyle name="Millares 2 4 3 4 2 2" xfId="57501" xr:uid="{1F0D73F7-9B89-4705-B58C-500B16D6CD61}"/>
    <cellStyle name="Millares 2 4 3 4 3" xfId="57500" xr:uid="{0C28522A-AF3C-4516-B0E2-EBB71CBFA09E}"/>
    <cellStyle name="Millares 2 4 3 5" xfId="16355" xr:uid="{50D2922E-2941-4D93-91E9-0A5003527883}"/>
    <cellStyle name="Millares 2 4 3 5 2" xfId="57502" xr:uid="{0FB75234-7431-45E0-B415-DFF4940C05C3}"/>
    <cellStyle name="Millares 2 4 3 6" xfId="57487" xr:uid="{3875DD83-4FF4-40CF-82A8-3EFB868A6492}"/>
    <cellStyle name="Millares 2 4 4" xfId="1757" xr:uid="{373538A1-57D3-4CDE-8197-06E67CDEE62F}"/>
    <cellStyle name="Millares 2 4 4 2" xfId="5489" xr:uid="{08E40984-5A93-44C6-8246-DB948610CD1A}"/>
    <cellStyle name="Millares 2 4 4 2 2" xfId="13197" xr:uid="{851148CF-65E7-430C-ABD6-BE124516DDAB}"/>
    <cellStyle name="Millares 2 4 4 2 2 2" xfId="28609" xr:uid="{0CF7C35E-D186-40E2-B634-DE8BC7A3D5BA}"/>
    <cellStyle name="Millares 2 4 4 2 2 2 2" xfId="57506" xr:uid="{288DFDF0-01FB-4FCD-AFDF-4A4B4C6595FF}"/>
    <cellStyle name="Millares 2 4 4 2 2 3" xfId="57505" xr:uid="{B2440F94-F844-4735-9FA1-BCCA730FA680}"/>
    <cellStyle name="Millares 2 4 4 2 3" xfId="20904" xr:uid="{9D3365E8-32F3-4B93-85AE-CA7A39342372}"/>
    <cellStyle name="Millares 2 4 4 2 3 2" xfId="57507" xr:uid="{4120CFF8-D368-4C2D-8B69-46C3381446AE}"/>
    <cellStyle name="Millares 2 4 4 2 4" xfId="57504" xr:uid="{5C92277F-0AA3-4B62-BB3F-A67F6FC1E36F}"/>
    <cellStyle name="Millares 2 4 4 3" xfId="9468" xr:uid="{C48B18B7-A63A-4851-BFE3-FB165BC2AE00}"/>
    <cellStyle name="Millares 2 4 4 3 2" xfId="24881" xr:uid="{5C6D0193-D9BB-41DE-A91B-899413DC986B}"/>
    <cellStyle name="Millares 2 4 4 3 2 2" xfId="57509" xr:uid="{C7CDEC8D-EC18-4207-8C23-F88422D0928E}"/>
    <cellStyle name="Millares 2 4 4 3 3" xfId="57508" xr:uid="{2226AFD4-863F-4D13-B684-C309E40B5B1F}"/>
    <cellStyle name="Millares 2 4 4 4" xfId="17176" xr:uid="{BEE10F41-0B0C-48E8-8387-18C88E224F26}"/>
    <cellStyle name="Millares 2 4 4 4 2" xfId="57510" xr:uid="{56E1B15A-4B25-4D4E-A8DF-933285928B83}"/>
    <cellStyle name="Millares 2 4 4 5" xfId="57503" xr:uid="{BD843DD4-0C9E-4C5D-9D32-F5FA458AC087}"/>
    <cellStyle name="Millares 2 4 5" xfId="4010" xr:uid="{D2281514-20DC-47F0-85FB-FB892F52E5AE}"/>
    <cellStyle name="Millares 2 4 5 2" xfId="11718" xr:uid="{671B57C0-F94A-403C-973C-84381E1300EB}"/>
    <cellStyle name="Millares 2 4 5 2 2" xfId="27130" xr:uid="{612FDE1D-53E6-4051-B3B7-0FDFED0CE65D}"/>
    <cellStyle name="Millares 2 4 5 2 2 2" xfId="57513" xr:uid="{FEF68A54-7B28-4D56-BA2D-4076F2F2BE30}"/>
    <cellStyle name="Millares 2 4 5 2 3" xfId="57512" xr:uid="{3BE887CF-81D4-498D-B213-F2DA35D2250E}"/>
    <cellStyle name="Millares 2 4 5 3" xfId="19425" xr:uid="{8C6F12CA-E46D-41EA-B0D4-5BDC1F589040}"/>
    <cellStyle name="Millares 2 4 5 3 2" xfId="57514" xr:uid="{B6DD6702-CE41-4ED6-A032-2A482DE0AEFB}"/>
    <cellStyle name="Millares 2 4 5 4" xfId="57511" xr:uid="{203E6603-ADD1-4BFD-B381-8CF89F37A9E4}"/>
    <cellStyle name="Millares 2 4 6" xfId="8009" xr:uid="{866CAD1A-AF84-4CF9-B572-BF85CDAE304C}"/>
    <cellStyle name="Millares 2 4 6 2" xfId="23422" xr:uid="{D33ABF47-5AE1-4AFA-9110-BD8071E485BE}"/>
    <cellStyle name="Millares 2 4 6 2 2" xfId="57516" xr:uid="{599279EB-ACC2-4901-BAC2-0A4065E05AB0}"/>
    <cellStyle name="Millares 2 4 6 3" xfId="57515" xr:uid="{91629A48-A953-4170-8101-2389A1674D73}"/>
    <cellStyle name="Millares 2 4 7" xfId="15717" xr:uid="{4724CC9D-E1AC-4C24-81B8-3F0A71D10D8A}"/>
    <cellStyle name="Millares 2 4 7 2" xfId="57517" xr:uid="{ABF8B73A-941C-4710-8E8B-0743DE2E9A15}"/>
    <cellStyle name="Millares 2 4 8" xfId="57454" xr:uid="{69E43BB7-FDA7-4BFA-8B12-695C12D978A7}"/>
    <cellStyle name="Millares 2 5" xfId="824" xr:uid="{3DBACDC7-7700-485C-91F3-DF2B378141AD}"/>
    <cellStyle name="Millares 2 5 2" xfId="4561" xr:uid="{CA413286-E1CE-4D8A-BFDA-184687FD8FDE}"/>
    <cellStyle name="Millares 2 5 2 2" xfId="12269" xr:uid="{0F4E8C89-DEBB-4D9F-B192-1C7AAAA0958A}"/>
    <cellStyle name="Millares 2 5 2 2 2" xfId="27681" xr:uid="{A454F505-4FAE-44ED-834D-BFAB374E9171}"/>
    <cellStyle name="Millares 2 5 2 2 2 2" xfId="57521" xr:uid="{06484E73-20D5-47F3-A480-85D2FEB168D1}"/>
    <cellStyle name="Millares 2 5 2 2 3" xfId="57520" xr:uid="{D969CC49-B09A-4167-9360-3FB3969D348F}"/>
    <cellStyle name="Millares 2 5 2 3" xfId="19976" xr:uid="{9259B653-2FE8-4180-B5B6-1342D1E24EC6}"/>
    <cellStyle name="Millares 2 5 2 3 2" xfId="57522" xr:uid="{3F1578AA-33D3-47BD-A4AE-58A5C8B4AFDA}"/>
    <cellStyle name="Millares 2 5 2 4" xfId="57519" xr:uid="{1A6F3C4E-E6C1-4700-BAC6-7379032821F2}"/>
    <cellStyle name="Millares 2 5 3" xfId="57518" xr:uid="{00904929-3B53-4BFE-A7DC-2EB5DDFC265B}"/>
    <cellStyle name="Millares 2 6" xfId="3909" xr:uid="{967E99D8-8B73-4B8C-9984-12B52EEC66E7}"/>
    <cellStyle name="Millares 2 6 2" xfId="11617" xr:uid="{AA680748-7DD8-4432-AD26-1489859DF9FC}"/>
    <cellStyle name="Millares 2 6 2 2" xfId="27029" xr:uid="{D446DD6D-1943-4E74-9674-EEC23918ECC4}"/>
    <cellStyle name="Millares 2 6 2 2 2" xfId="57525" xr:uid="{456A4C73-D3CB-4F15-A1E9-B9D6A2457996}"/>
    <cellStyle name="Millares 2 6 2 3" xfId="57524" xr:uid="{9E77C3F9-6F4F-4853-BDCC-FA46BD7125CF}"/>
    <cellStyle name="Millares 2 6 3" xfId="19324" xr:uid="{AB774AFF-E53B-4E18-B646-6FD437C5FCBE}"/>
    <cellStyle name="Millares 2 6 3 2" xfId="57526" xr:uid="{283783B9-2BB6-4984-881A-5879CEA15FA4}"/>
    <cellStyle name="Millares 2 6 4" xfId="57523" xr:uid="{25961A44-49AB-4B05-A2B7-607DE867FA93}"/>
    <cellStyle name="Millares 2 7" xfId="57315" xr:uid="{23185642-FDF6-48CF-84FA-7698C1279EB8}"/>
    <cellStyle name="Millares 3" xfId="156" xr:uid="{D2E01D2F-AE9A-4644-9ACD-DB06B839692D}"/>
    <cellStyle name="Millares 3 2" xfId="219" xr:uid="{5A1FF884-91C6-4D7C-A298-52B58C79A8AD}"/>
    <cellStyle name="Millares 3 2 2" xfId="423" xr:uid="{142934E9-0F51-4A0D-8102-39A7F0B0BBAC}"/>
    <cellStyle name="Millares 3 2 2 2" xfId="1085" xr:uid="{5459CEF6-42E8-469F-BE8A-6B789D28291D}"/>
    <cellStyle name="Millares 3 2 2 2 2" xfId="2553" xr:uid="{26981F4A-78A5-4292-847E-387F0302E8CE}"/>
    <cellStyle name="Millares 3 2 2 2 2 2" xfId="6285" xr:uid="{1DBAA655-F971-451E-810F-CD129FA306F8}"/>
    <cellStyle name="Millares 3 2 2 2 2 2 2" xfId="13993" xr:uid="{3AE1274F-A03C-4C91-B2AD-0F08D33F31CF}"/>
    <cellStyle name="Millares 3 2 2 2 2 2 2 2" xfId="29405" xr:uid="{DAEAFF76-5E5D-40A7-A4FD-C777C04BE9A5}"/>
    <cellStyle name="Millares 3 2 2 2 2 2 2 2 2" xfId="57534" xr:uid="{906DC86F-CF49-406C-8139-BB3201C30EBD}"/>
    <cellStyle name="Millares 3 2 2 2 2 2 2 3" xfId="57533" xr:uid="{1EC4442C-06FD-4386-BCD6-51F7E72C15E8}"/>
    <cellStyle name="Millares 3 2 2 2 2 2 3" xfId="21700" xr:uid="{4CB46144-4059-420E-88A2-33D4BE1ADF77}"/>
    <cellStyle name="Millares 3 2 2 2 2 2 3 2" xfId="57535" xr:uid="{7ADE5547-884A-4164-86BB-BC378C356509}"/>
    <cellStyle name="Millares 3 2 2 2 2 2 4" xfId="57532" xr:uid="{34F45BA2-107B-46F4-A953-FF823DD48185}"/>
    <cellStyle name="Millares 3 2 2 2 2 3" xfId="10264" xr:uid="{29441A9E-4585-4576-B6AF-61DE660DF1C9}"/>
    <cellStyle name="Millares 3 2 2 2 2 3 2" xfId="25677" xr:uid="{BEE91576-C593-4EBA-842D-88B655881DE1}"/>
    <cellStyle name="Millares 3 2 2 2 2 3 2 2" xfId="57537" xr:uid="{05E999AA-2521-4DD6-83D9-E66CD0CD1600}"/>
    <cellStyle name="Millares 3 2 2 2 2 3 3" xfId="57536" xr:uid="{D219A1AD-8913-40F6-ADA8-64F56456766E}"/>
    <cellStyle name="Millares 3 2 2 2 2 4" xfId="17972" xr:uid="{A4D036F4-307F-46F6-8C90-ACAC0C760DE2}"/>
    <cellStyle name="Millares 3 2 2 2 2 4 2" xfId="57538" xr:uid="{56CE928B-719D-4C7A-985C-3D844562AE8B}"/>
    <cellStyle name="Millares 3 2 2 2 2 5" xfId="57531" xr:uid="{67FA6F92-B951-4E38-A91C-2F62F24CE27E}"/>
    <cellStyle name="Millares 3 2 2 2 3" xfId="4822" xr:uid="{54ED9A7A-CA7F-4802-A220-C34E598AC0AB}"/>
    <cellStyle name="Millares 3 2 2 2 3 2" xfId="12530" xr:uid="{E1BC0B54-D942-433D-B594-BB1534D1CFB4}"/>
    <cellStyle name="Millares 3 2 2 2 3 2 2" xfId="27942" xr:uid="{2977E60D-535C-42CA-B6A9-8E2A84BB64D0}"/>
    <cellStyle name="Millares 3 2 2 2 3 2 2 2" xfId="57541" xr:uid="{9F47FFDF-B566-407E-B8E6-F137E7F4CB3A}"/>
    <cellStyle name="Millares 3 2 2 2 3 2 3" xfId="57540" xr:uid="{2371FF28-32CE-47DD-8917-4997C7734787}"/>
    <cellStyle name="Millares 3 2 2 2 3 3" xfId="20237" xr:uid="{6C27BEFB-8328-4E2D-A3D3-4251876B19F2}"/>
    <cellStyle name="Millares 3 2 2 2 3 3 2" xfId="57542" xr:uid="{B091899A-7C51-4C38-8744-CBCD18649CB9}"/>
    <cellStyle name="Millares 3 2 2 2 3 4" xfId="57539" xr:uid="{80B56429-DAC3-42DC-8957-9DCB995D9173}"/>
    <cellStyle name="Millares 3 2 2 2 4" xfId="8805" xr:uid="{AD37EE9C-7A2B-45C9-89AF-EE7B0F6C9995}"/>
    <cellStyle name="Millares 3 2 2 2 4 2" xfId="24218" xr:uid="{F63907ED-6FCC-45E0-9708-E55539BEDD7A}"/>
    <cellStyle name="Millares 3 2 2 2 4 2 2" xfId="57544" xr:uid="{2A276F5A-EA8E-484A-86FA-3FCE581E3416}"/>
    <cellStyle name="Millares 3 2 2 2 4 3" xfId="57543" xr:uid="{BBB77E7C-EBC2-4A5B-8459-A3849333454B}"/>
    <cellStyle name="Millares 3 2 2 2 5" xfId="16513" xr:uid="{1042BDCA-9022-4A52-88A9-9BE9F5FCE78A}"/>
    <cellStyle name="Millares 3 2 2 2 5 2" xfId="57545" xr:uid="{DB6513DC-6663-4A47-B10E-4E90D9358CDA}"/>
    <cellStyle name="Millares 3 2 2 2 6" xfId="57530" xr:uid="{8D1B4D1C-4AA4-4AB2-AA57-D831158E86BB}"/>
    <cellStyle name="Millares 3 2 2 3" xfId="1915" xr:uid="{7488549D-56B6-4AD5-891E-E424AD61C104}"/>
    <cellStyle name="Millares 3 2 2 3 2" xfId="5647" xr:uid="{92955CBE-2E3A-48AC-88A8-A7667002D65A}"/>
    <cellStyle name="Millares 3 2 2 3 2 2" xfId="13355" xr:uid="{FFE4B5F9-A9E7-4C26-B307-1B49DF6D7143}"/>
    <cellStyle name="Millares 3 2 2 3 2 2 2" xfId="28767" xr:uid="{DBAFBB0A-A1E3-47F0-8609-9BDF3BD0BD08}"/>
    <cellStyle name="Millares 3 2 2 3 2 2 2 2" xfId="57549" xr:uid="{CE6CE77F-916B-4199-8B40-C39F08C49ACB}"/>
    <cellStyle name="Millares 3 2 2 3 2 2 3" xfId="57548" xr:uid="{DC181DE8-9CEF-4E29-88BF-F88B3CC27C03}"/>
    <cellStyle name="Millares 3 2 2 3 2 3" xfId="21062" xr:uid="{D7B41EBD-7AA4-4B98-888D-2F84C53B7D56}"/>
    <cellStyle name="Millares 3 2 2 3 2 3 2" xfId="57550" xr:uid="{1BC4DD0B-43A1-43F8-8CA9-50BFFE58A8AC}"/>
    <cellStyle name="Millares 3 2 2 3 2 4" xfId="57547" xr:uid="{E122F226-4354-4850-BF95-BD4333D3B1D9}"/>
    <cellStyle name="Millares 3 2 2 3 3" xfId="9626" xr:uid="{865BB1AC-6FB8-4060-90D6-C7549608F735}"/>
    <cellStyle name="Millares 3 2 2 3 3 2" xfId="25039" xr:uid="{175934AF-5FE9-4AB8-8776-CB3FA6A82DD9}"/>
    <cellStyle name="Millares 3 2 2 3 3 2 2" xfId="57552" xr:uid="{7202E9EE-F958-441D-AF35-A37ACECCFB5C}"/>
    <cellStyle name="Millares 3 2 2 3 3 3" xfId="57551" xr:uid="{CFE9F178-7B32-4F89-B437-218503147730}"/>
    <cellStyle name="Millares 3 2 2 3 4" xfId="17334" xr:uid="{32B037DF-CA60-4295-B83A-1B4FC63AF414}"/>
    <cellStyle name="Millares 3 2 2 3 4 2" xfId="57553" xr:uid="{6FE399CB-15CE-45EA-AC02-356499F2B4AB}"/>
    <cellStyle name="Millares 3 2 2 3 5" xfId="57546" xr:uid="{F7AF0648-306A-4381-B251-156189A9AB15}"/>
    <cellStyle name="Millares 3 2 2 4" xfId="4170" xr:uid="{FA095D11-DBFB-4717-839F-37B9C1C2F7A4}"/>
    <cellStyle name="Millares 3 2 2 4 2" xfId="11878" xr:uid="{FAADD87F-3BA7-487C-8106-52285C581DAC}"/>
    <cellStyle name="Millares 3 2 2 4 2 2" xfId="27290" xr:uid="{DFDA8C17-161E-460D-823D-D50280748A95}"/>
    <cellStyle name="Millares 3 2 2 4 2 2 2" xfId="57556" xr:uid="{3ACA8C17-C04B-417C-9CDB-0CC508FEDD89}"/>
    <cellStyle name="Millares 3 2 2 4 2 3" xfId="57555" xr:uid="{9583182B-4D20-498A-9133-884BE751CA80}"/>
    <cellStyle name="Millares 3 2 2 4 3" xfId="19585" xr:uid="{22A99B30-E594-4C8E-A37A-8955B72D5DAD}"/>
    <cellStyle name="Millares 3 2 2 4 3 2" xfId="57557" xr:uid="{A024EF55-9998-487E-857F-71F24D922E81}"/>
    <cellStyle name="Millares 3 2 2 4 4" xfId="57554" xr:uid="{832D7C76-AB79-43B8-BAC2-C6DC51F0B572}"/>
    <cellStyle name="Millares 3 2 2 5" xfId="8167" xr:uid="{1BD55BE7-E6F5-4F43-AE5D-3EF3BC99EEF6}"/>
    <cellStyle name="Millares 3 2 2 5 2" xfId="23580" xr:uid="{6B056D14-E695-44E2-BC91-AE8E233C37CF}"/>
    <cellStyle name="Millares 3 2 2 5 2 2" xfId="57559" xr:uid="{BE510BC2-D5A2-4983-996A-F8BBBE78359C}"/>
    <cellStyle name="Millares 3 2 2 5 3" xfId="57558" xr:uid="{DE70CC3B-7A71-4918-89F0-2E7E8B285F68}"/>
    <cellStyle name="Millares 3 2 2 6" xfId="15875" xr:uid="{3B661F6D-FC4A-483A-AB59-4187C7F61FE6}"/>
    <cellStyle name="Millares 3 2 2 6 2" xfId="57560" xr:uid="{D3BAA87D-3A07-4081-80E4-B7221B2151BD}"/>
    <cellStyle name="Millares 3 2 2 7" xfId="57529" xr:uid="{C87797DC-E82D-462E-B1B4-18805F7C7F3B}"/>
    <cellStyle name="Millares 3 2 3" xfId="885" xr:uid="{8E583E7F-AAFC-4007-BC37-650B7088D771}"/>
    <cellStyle name="Millares 3 2 3 2" xfId="2355" xr:uid="{B3001EDE-3E56-46DF-9957-B0373C17AF93}"/>
    <cellStyle name="Millares 3 2 3 2 2" xfId="6087" xr:uid="{0A7C9961-6221-47BF-9276-8ED7884CA1A3}"/>
    <cellStyle name="Millares 3 2 3 2 2 2" xfId="13795" xr:uid="{5860F282-B135-4117-83AB-A223CDA977FB}"/>
    <cellStyle name="Millares 3 2 3 2 2 2 2" xfId="29207" xr:uid="{B3BE8E84-5845-43D5-8DC6-62A85546F288}"/>
    <cellStyle name="Millares 3 2 3 2 2 2 2 2" xfId="57565" xr:uid="{6C04E0A6-A852-4646-B83E-ADD60139EA9E}"/>
    <cellStyle name="Millares 3 2 3 2 2 2 3" xfId="57564" xr:uid="{34E9DD71-1045-46F5-9C38-23AEFEED769F}"/>
    <cellStyle name="Millares 3 2 3 2 2 3" xfId="21502" xr:uid="{A43FAD0B-AB0C-481C-915F-5D79C809678E}"/>
    <cellStyle name="Millares 3 2 3 2 2 3 2" xfId="57566" xr:uid="{2C3A1462-8B7C-415F-AC47-F01CBF556AB5}"/>
    <cellStyle name="Millares 3 2 3 2 2 4" xfId="57563" xr:uid="{08ABF68E-24A1-4A6B-BD43-37B92998B833}"/>
    <cellStyle name="Millares 3 2 3 2 3" xfId="10066" xr:uid="{BAC1393D-4D6F-497B-8BD7-4BBD17A2C866}"/>
    <cellStyle name="Millares 3 2 3 2 3 2" xfId="25479" xr:uid="{F6BBB65F-B63E-453E-AB93-1B0E3E3CEB77}"/>
    <cellStyle name="Millares 3 2 3 2 3 2 2" xfId="57568" xr:uid="{258243B5-6557-4088-BA0F-F8AB7CB15F88}"/>
    <cellStyle name="Millares 3 2 3 2 3 3" xfId="57567" xr:uid="{22165186-B4D2-4A5A-A4CE-AE22B2435F34}"/>
    <cellStyle name="Millares 3 2 3 2 4" xfId="17774" xr:uid="{6614496D-61D3-44BE-925E-A19A8A3B4E5E}"/>
    <cellStyle name="Millares 3 2 3 2 4 2" xfId="57569" xr:uid="{B121A56C-09F8-4099-8DE3-BA6C57BC3E94}"/>
    <cellStyle name="Millares 3 2 3 2 5" xfId="57562" xr:uid="{29FC5087-6F4A-490D-8A44-E814833CBF65}"/>
    <cellStyle name="Millares 3 2 3 3" xfId="4622" xr:uid="{3DAF92B4-3057-4F5E-B0E9-DDF3C480C488}"/>
    <cellStyle name="Millares 3 2 3 3 2" xfId="12330" xr:uid="{C57EE11C-9028-4983-AF75-EF1A6BDD3C29}"/>
    <cellStyle name="Millares 3 2 3 3 2 2" xfId="27742" xr:uid="{7655C8FE-B320-4643-911B-95B1C7266F83}"/>
    <cellStyle name="Millares 3 2 3 3 2 2 2" xfId="57572" xr:uid="{B9BA07C4-AA4C-458D-BBD4-E1D3A25D4BC9}"/>
    <cellStyle name="Millares 3 2 3 3 2 3" xfId="57571" xr:uid="{5DE1ACC7-7428-403B-A835-6708B244E6CD}"/>
    <cellStyle name="Millares 3 2 3 3 3" xfId="20037" xr:uid="{B554C1DD-46D9-4F1E-8334-FD117ABDA1D8}"/>
    <cellStyle name="Millares 3 2 3 3 3 2" xfId="57573" xr:uid="{74B30E94-A7CF-4F7F-862A-57AE1D51CABF}"/>
    <cellStyle name="Millares 3 2 3 3 4" xfId="57570" xr:uid="{8657A8F1-7B21-430D-A813-67D319E8660C}"/>
    <cellStyle name="Millares 3 2 3 4" xfId="8607" xr:uid="{5172E67F-62C8-41FE-AC77-7840298EF467}"/>
    <cellStyle name="Millares 3 2 3 4 2" xfId="24020" xr:uid="{570D711A-BA84-4314-B8D9-E94384C9C0DA}"/>
    <cellStyle name="Millares 3 2 3 4 2 2" xfId="57575" xr:uid="{79617B83-92DD-4996-8997-5B7BE79BC16E}"/>
    <cellStyle name="Millares 3 2 3 4 3" xfId="57574" xr:uid="{97B6FF33-55C3-4CFD-8A46-A428BF2B8BF8}"/>
    <cellStyle name="Millares 3 2 3 5" xfId="16315" xr:uid="{E51B1E39-C130-45D4-80C5-1B3C59A1190A}"/>
    <cellStyle name="Millares 3 2 3 5 2" xfId="57576" xr:uid="{E87EDD2F-67A6-4442-96DD-8CF16CB3D90B}"/>
    <cellStyle name="Millares 3 2 3 6" xfId="57561" xr:uid="{18ED0535-CC08-4DB3-BBD8-A5060CBA8D26}"/>
    <cellStyle name="Millares 3 2 4" xfId="1717" xr:uid="{D6BE32EC-1C54-4909-A2B2-8F34807CD9C7}"/>
    <cellStyle name="Millares 3 2 4 2" xfId="5449" xr:uid="{6516D8E8-CEB5-49EA-8F6B-8F718E28A115}"/>
    <cellStyle name="Millares 3 2 4 2 2" xfId="13157" xr:uid="{F4A9BA37-91BC-499A-9562-728F7B197140}"/>
    <cellStyle name="Millares 3 2 4 2 2 2" xfId="28569" xr:uid="{EDB1EA62-37A8-4237-8091-106D32A98C0D}"/>
    <cellStyle name="Millares 3 2 4 2 2 2 2" xfId="57580" xr:uid="{6E66AF2E-5266-4460-BD62-3BECBBE0BF0B}"/>
    <cellStyle name="Millares 3 2 4 2 2 3" xfId="57579" xr:uid="{BC0563C1-49F6-49A7-AD80-ABD66ADBD4D5}"/>
    <cellStyle name="Millares 3 2 4 2 3" xfId="20864" xr:uid="{DD681402-4CB8-4F3B-A042-05E95C491477}"/>
    <cellStyle name="Millares 3 2 4 2 3 2" xfId="57581" xr:uid="{09EA2A23-D23A-4FC7-B17B-991A4B7A0FF2}"/>
    <cellStyle name="Millares 3 2 4 2 4" xfId="57578" xr:uid="{91FA341A-BB22-43D0-97E6-7FC32A9EA605}"/>
    <cellStyle name="Millares 3 2 4 3" xfId="9428" xr:uid="{C0042DE4-4679-460D-81CF-98B1B9660C82}"/>
    <cellStyle name="Millares 3 2 4 3 2" xfId="24841" xr:uid="{C45D2415-EDCE-47D6-ADA0-92C8502B3905}"/>
    <cellStyle name="Millares 3 2 4 3 2 2" xfId="57583" xr:uid="{910D7834-7A88-44A7-A7C9-B6CCA164E39F}"/>
    <cellStyle name="Millares 3 2 4 3 3" xfId="57582" xr:uid="{3D3DE050-C0C4-40E1-8815-0ABD46F762FE}"/>
    <cellStyle name="Millares 3 2 4 4" xfId="17136" xr:uid="{903B5BAC-016B-46AE-882F-55F194A3366B}"/>
    <cellStyle name="Millares 3 2 4 4 2" xfId="57584" xr:uid="{0D04F6E1-21C3-4CE0-B6D3-E276D7E428CF}"/>
    <cellStyle name="Millares 3 2 4 5" xfId="57577" xr:uid="{8D7CAC8E-B9B7-44A8-919C-1C3AD17986AC}"/>
    <cellStyle name="Millares 3 2 5" xfId="3970" xr:uid="{53407717-7047-4807-AB4B-124937214BC9}"/>
    <cellStyle name="Millares 3 2 5 2" xfId="11678" xr:uid="{649E5792-3226-4121-87B3-36DE6E33CE87}"/>
    <cellStyle name="Millares 3 2 5 2 2" xfId="27090" xr:uid="{6DF86C02-5BDE-434A-98B5-EE6657A44304}"/>
    <cellStyle name="Millares 3 2 5 2 2 2" xfId="57587" xr:uid="{7D435C0A-7D25-455E-81DC-F025FDC6DD8A}"/>
    <cellStyle name="Millares 3 2 5 2 3" xfId="57586" xr:uid="{0B0DAA32-E723-4BFB-97AE-3AD022DFC5E8}"/>
    <cellStyle name="Millares 3 2 5 3" xfId="19385" xr:uid="{FAED3798-9E4D-4950-ABBF-65310F8B4964}"/>
    <cellStyle name="Millares 3 2 5 3 2" xfId="57588" xr:uid="{A6B58563-E76E-4E38-8AB1-0B93FCD66F09}"/>
    <cellStyle name="Millares 3 2 5 4" xfId="57585" xr:uid="{B05E8EA6-EB14-453B-84E7-B66240B18EA0}"/>
    <cellStyle name="Millares 3 2 6" xfId="7969" xr:uid="{5E69F517-9A32-4BC7-8FEA-B104AC98E55F}"/>
    <cellStyle name="Millares 3 2 6 2" xfId="23382" xr:uid="{3B07583C-5593-49FD-B5A9-830FF4307F08}"/>
    <cellStyle name="Millares 3 2 6 2 2" xfId="57590" xr:uid="{1DC81464-E9A4-475B-86F0-A91C1EDEA7D3}"/>
    <cellStyle name="Millares 3 2 6 3" xfId="57589" xr:uid="{93FA88BB-0F0D-40B2-BA41-AEB71261E209}"/>
    <cellStyle name="Millares 3 2 7" xfId="15677" xr:uid="{99D689F7-59E9-4E02-A9ED-25B5C460784E}"/>
    <cellStyle name="Millares 3 2 7 2" xfId="57591" xr:uid="{F296D06D-ABB1-442B-9280-5E075ED6C4EA}"/>
    <cellStyle name="Millares 3 2 8" xfId="57528" xr:uid="{412B8BA8-3457-448C-B5D3-A508BA624EBD}"/>
    <cellStyle name="Millares 3 3" xfId="373" xr:uid="{6C83F219-FCE4-4034-99F7-CC6C0FACDDB9}"/>
    <cellStyle name="Millares 3 3 2" xfId="1035" xr:uid="{F2E46093-1152-4476-B3C6-7806E59FB249}"/>
    <cellStyle name="Millares 3 3 2 2" xfId="2503" xr:uid="{593F1525-DF01-4394-AA29-28F9793C8E57}"/>
    <cellStyle name="Millares 3 3 2 2 2" xfId="6235" xr:uid="{C20F5E51-189C-41F0-ABB8-8EF8A45B303B}"/>
    <cellStyle name="Millares 3 3 2 2 2 2" xfId="13943" xr:uid="{CF971CCF-742F-4F65-AFCB-794A21679D45}"/>
    <cellStyle name="Millares 3 3 2 2 2 2 2" xfId="29355" xr:uid="{803CC620-FD63-4BC0-98FC-8769AF6255A6}"/>
    <cellStyle name="Millares 3 3 2 2 2 2 2 2" xfId="57597" xr:uid="{8E7EF24C-90E1-4647-9FC6-C4306D411BC0}"/>
    <cellStyle name="Millares 3 3 2 2 2 2 3" xfId="57596" xr:uid="{E969080F-21FA-4D78-87FB-5D11AE6A0E86}"/>
    <cellStyle name="Millares 3 3 2 2 2 3" xfId="21650" xr:uid="{6A76770D-A553-4FE2-82DB-AA57EEB42FBE}"/>
    <cellStyle name="Millares 3 3 2 2 2 3 2" xfId="57598" xr:uid="{8043C55C-6914-4FC0-8FDB-AAFE2C888CDA}"/>
    <cellStyle name="Millares 3 3 2 2 2 4" xfId="57595" xr:uid="{E9A78BC8-C571-4AF8-AB7D-C94EE0CAFE4B}"/>
    <cellStyle name="Millares 3 3 2 2 3" xfId="10214" xr:uid="{596276DA-5B3E-47A9-B436-DC081B99573F}"/>
    <cellStyle name="Millares 3 3 2 2 3 2" xfId="25627" xr:uid="{A5A49C1D-A89C-43B7-907C-743F46CCCC9B}"/>
    <cellStyle name="Millares 3 3 2 2 3 2 2" xfId="57600" xr:uid="{9A2B49EE-4FB3-4959-A35C-F153B34705D6}"/>
    <cellStyle name="Millares 3 3 2 2 3 3" xfId="57599" xr:uid="{7261B940-8DC8-4A59-831D-E7D3458CF247}"/>
    <cellStyle name="Millares 3 3 2 2 4" xfId="17922" xr:uid="{B29E7792-CF25-4BBF-9577-A08E4940C968}"/>
    <cellStyle name="Millares 3 3 2 2 4 2" xfId="57601" xr:uid="{E0EE50B4-6A97-485D-9EDA-F49831D7FCC8}"/>
    <cellStyle name="Millares 3 3 2 2 5" xfId="57594" xr:uid="{9D5DB5A5-B759-4C4D-B1F7-74681F385007}"/>
    <cellStyle name="Millares 3 3 2 3" xfId="4772" xr:uid="{5D20B7C2-274A-427E-B9AB-56BF919EC802}"/>
    <cellStyle name="Millares 3 3 2 3 2" xfId="12480" xr:uid="{D0A1497F-E35F-4794-B0BC-DAC7D1CAEA94}"/>
    <cellStyle name="Millares 3 3 2 3 2 2" xfId="27892" xr:uid="{E67C96E6-946D-429A-8EB9-7A812B530090}"/>
    <cellStyle name="Millares 3 3 2 3 2 2 2" xfId="57604" xr:uid="{9091F037-110D-4829-BFB8-926B89220D5C}"/>
    <cellStyle name="Millares 3 3 2 3 2 3" xfId="57603" xr:uid="{B97328B8-1E10-40C0-B960-F2271A35E7BE}"/>
    <cellStyle name="Millares 3 3 2 3 3" xfId="20187" xr:uid="{571374E7-EBA4-415A-B86E-871B426363FF}"/>
    <cellStyle name="Millares 3 3 2 3 3 2" xfId="57605" xr:uid="{16F9A639-F393-4372-A9DD-78D0F4D98A9A}"/>
    <cellStyle name="Millares 3 3 2 3 4" xfId="57602" xr:uid="{1289CD9D-E20C-48D0-8590-B6C67432E75D}"/>
    <cellStyle name="Millares 3 3 2 4" xfId="8755" xr:uid="{40842762-71D1-42AE-8D1A-B9BFB34802F5}"/>
    <cellStyle name="Millares 3 3 2 4 2" xfId="24168" xr:uid="{E556B215-E3B2-4295-BBC2-B8A39BB53F8A}"/>
    <cellStyle name="Millares 3 3 2 4 2 2" xfId="57607" xr:uid="{3A93DA3F-33E9-4D4B-9E2C-0B4B0102F622}"/>
    <cellStyle name="Millares 3 3 2 4 3" xfId="57606" xr:uid="{23B8500D-9368-49F3-BD1F-7338E4E72E2A}"/>
    <cellStyle name="Millares 3 3 2 5" xfId="16463" xr:uid="{2F2F36AB-67FE-435E-8031-E73B940B4C13}"/>
    <cellStyle name="Millares 3 3 2 5 2" xfId="57608" xr:uid="{2BC906C7-B0E4-488A-95E8-54AD38AE4733}"/>
    <cellStyle name="Millares 3 3 2 6" xfId="57593" xr:uid="{D9326AE2-680F-4A82-B29C-1DD8EAC9885C}"/>
    <cellStyle name="Millares 3 3 3" xfId="1865" xr:uid="{4F59B30B-3843-4C72-AA1F-52258CFDBD65}"/>
    <cellStyle name="Millares 3 3 3 2" xfId="5597" xr:uid="{C120F1F3-E963-4C12-9CC0-9335F729E0AA}"/>
    <cellStyle name="Millares 3 3 3 2 2" xfId="13305" xr:uid="{B3F90148-DAE0-4242-8F01-00CA943C1D7E}"/>
    <cellStyle name="Millares 3 3 3 2 2 2" xfId="28717" xr:uid="{C470A0B5-0E84-40C0-A57E-81667BE8549C}"/>
    <cellStyle name="Millares 3 3 3 2 2 2 2" xfId="57612" xr:uid="{E5EB9EE6-FF2B-4292-AD90-312A9D0E453A}"/>
    <cellStyle name="Millares 3 3 3 2 2 3" xfId="57611" xr:uid="{D741A53A-EAE3-4221-8E29-F6C5335A85AE}"/>
    <cellStyle name="Millares 3 3 3 2 3" xfId="21012" xr:uid="{7640A5B5-5BEB-4F57-A22D-8EC35022C0A4}"/>
    <cellStyle name="Millares 3 3 3 2 3 2" xfId="57613" xr:uid="{D050D737-A7A6-4BA4-8E67-4091998F1F67}"/>
    <cellStyle name="Millares 3 3 3 2 4" xfId="57610" xr:uid="{07579ACA-E07F-4B32-B0B7-61C68F266DD2}"/>
    <cellStyle name="Millares 3 3 3 3" xfId="9576" xr:uid="{FC5A807F-C3CE-4923-985B-241CE424818D}"/>
    <cellStyle name="Millares 3 3 3 3 2" xfId="24989" xr:uid="{17AFBAA5-72F4-455F-9735-F47565936E32}"/>
    <cellStyle name="Millares 3 3 3 3 2 2" xfId="57615" xr:uid="{ED5DA9DC-8FE4-4A73-83A4-87565A94FDE8}"/>
    <cellStyle name="Millares 3 3 3 3 3" xfId="57614" xr:uid="{1A2DE6EB-1099-4D02-92B2-9F0BE2D564E4}"/>
    <cellStyle name="Millares 3 3 3 4" xfId="17284" xr:uid="{5E523980-E2FE-43F1-80BE-B0628BF37C26}"/>
    <cellStyle name="Millares 3 3 3 4 2" xfId="57616" xr:uid="{692D27D6-8FBA-4676-88F4-C9E5F8CDFD21}"/>
    <cellStyle name="Millares 3 3 3 5" xfId="57609" xr:uid="{E2E3CF89-340D-4D1E-A67C-AF89C231F3A9}"/>
    <cellStyle name="Millares 3 3 4" xfId="4120" xr:uid="{A8B5078C-0E6A-4A16-ABA4-D3179A8EDD12}"/>
    <cellStyle name="Millares 3 3 4 2" xfId="11828" xr:uid="{99AC63DB-27C0-42BB-A6DA-4B50BCF60BF6}"/>
    <cellStyle name="Millares 3 3 4 2 2" xfId="27240" xr:uid="{40E700DD-CE65-4D87-850C-D879DEDF78CC}"/>
    <cellStyle name="Millares 3 3 4 2 2 2" xfId="57619" xr:uid="{1C1745AD-6198-48E1-B58C-C07141B3B335}"/>
    <cellStyle name="Millares 3 3 4 2 3" xfId="57618" xr:uid="{4D426B27-4DD3-44D1-BE41-B536DB1253EC}"/>
    <cellStyle name="Millares 3 3 4 3" xfId="19535" xr:uid="{8A447EDD-87E5-485E-95AA-F8E2D25C17F2}"/>
    <cellStyle name="Millares 3 3 4 3 2" xfId="57620" xr:uid="{00C57648-35BE-45DB-A847-40FE1C993AAE}"/>
    <cellStyle name="Millares 3 3 4 4" xfId="57617" xr:uid="{01E14431-254E-4F32-BE32-31A814FE6C3D}"/>
    <cellStyle name="Millares 3 3 5" xfId="8117" xr:uid="{F654CABE-A2FB-42A6-9EB4-09DF6051E423}"/>
    <cellStyle name="Millares 3 3 5 2" xfId="23530" xr:uid="{A453B85C-0DFD-444D-9E68-7805E40D187A}"/>
    <cellStyle name="Millares 3 3 5 2 2" xfId="57622" xr:uid="{55867828-4C04-4321-85EC-07D6FC522BC4}"/>
    <cellStyle name="Millares 3 3 5 3" xfId="57621" xr:uid="{A3EEFA7B-52E4-4975-82AA-61014B8FBEDA}"/>
    <cellStyle name="Millares 3 3 6" xfId="15825" xr:uid="{D75376AA-C2EB-4541-B78F-C1D6E2413952}"/>
    <cellStyle name="Millares 3 3 6 2" xfId="57623" xr:uid="{05D5EB1D-990C-436B-9BAA-A77392814064}"/>
    <cellStyle name="Millares 3 3 7" xfId="57592" xr:uid="{55113537-8A8A-49CE-80DD-FB2944913788}"/>
    <cellStyle name="Millares 3 4" xfId="830" xr:uid="{D44163DD-4C42-4C7B-ABE3-0BD72C4CC23D}"/>
    <cellStyle name="Millares 3 4 2" xfId="2305" xr:uid="{F99CEFA1-84B1-491C-BD63-CF0607B3FEB8}"/>
    <cellStyle name="Millares 3 4 2 2" xfId="6037" xr:uid="{336DE2DF-BCAF-4B51-99B7-1AEC1814187C}"/>
    <cellStyle name="Millares 3 4 2 2 2" xfId="13745" xr:uid="{B3069C43-8FF4-487F-AE31-1E1E77152862}"/>
    <cellStyle name="Millares 3 4 2 2 2 2" xfId="29157" xr:uid="{CECA1C0A-E01B-4CDF-864A-BBE385363651}"/>
    <cellStyle name="Millares 3 4 2 2 2 2 2" xfId="57628" xr:uid="{EDAD2B40-D75F-44E5-A503-27972F747428}"/>
    <cellStyle name="Millares 3 4 2 2 2 3" xfId="57627" xr:uid="{13069130-3CC1-4A42-87EA-FCC01D2188D0}"/>
    <cellStyle name="Millares 3 4 2 2 3" xfId="21452" xr:uid="{9083D113-9EA4-4BB4-BF95-DB5A1AA98888}"/>
    <cellStyle name="Millares 3 4 2 2 3 2" xfId="57629" xr:uid="{961A02BD-4C21-42DA-AC19-5110C0ABB18A}"/>
    <cellStyle name="Millares 3 4 2 2 4" xfId="57626" xr:uid="{648BB15B-5A18-45C7-95E4-045A0EC6659D}"/>
    <cellStyle name="Millares 3 4 2 3" xfId="10016" xr:uid="{854B066D-B55C-40B0-8AA8-9D804100F93C}"/>
    <cellStyle name="Millares 3 4 2 3 2" xfId="25429" xr:uid="{51163810-633F-46AC-9F78-7E9BC7E54A41}"/>
    <cellStyle name="Millares 3 4 2 3 2 2" xfId="57631" xr:uid="{306FE882-7B6B-427E-90E7-09038FE52F92}"/>
    <cellStyle name="Millares 3 4 2 3 3" xfId="57630" xr:uid="{874B4788-C489-4D34-9F15-94847639FC40}"/>
    <cellStyle name="Millares 3 4 2 4" xfId="17724" xr:uid="{DF705964-B29A-4BAD-BFB3-0BA35A75EFEE}"/>
    <cellStyle name="Millares 3 4 2 4 2" xfId="57632" xr:uid="{D8F192E1-04FD-4998-8EDB-2E9BC4A4E073}"/>
    <cellStyle name="Millares 3 4 2 5" xfId="57625" xr:uid="{ED75927F-345F-4E9B-BAD1-9AF30E670D1B}"/>
    <cellStyle name="Millares 3 4 3" xfId="4567" xr:uid="{E6CEEAD7-1EA4-4BB8-AC35-EA9E24FC52D1}"/>
    <cellStyle name="Millares 3 4 3 2" xfId="12275" xr:uid="{69638F43-151E-4BBF-8EB0-56BAB0003ABD}"/>
    <cellStyle name="Millares 3 4 3 2 2" xfId="27687" xr:uid="{71486EA8-BC74-4015-9D83-C90D50DCCB84}"/>
    <cellStyle name="Millares 3 4 3 2 2 2" xfId="57635" xr:uid="{2624453B-36B8-4178-8140-A486992838C6}"/>
    <cellStyle name="Millares 3 4 3 2 3" xfId="57634" xr:uid="{91909BC2-C4A7-4964-ABF8-AE7510F80495}"/>
    <cellStyle name="Millares 3 4 3 3" xfId="19982" xr:uid="{C568CCA8-35E8-43DC-80AD-941D72D59C07}"/>
    <cellStyle name="Millares 3 4 3 3 2" xfId="57636" xr:uid="{E5F741AC-8F9E-40AB-8961-28EF3E189BEE}"/>
    <cellStyle name="Millares 3 4 3 4" xfId="57633" xr:uid="{E79DA8CF-D21B-48D0-BCA2-17C6C102A9D0}"/>
    <cellStyle name="Millares 3 4 4" xfId="8557" xr:uid="{7257FA3D-B51A-439D-B4D2-5BB8265DBF96}"/>
    <cellStyle name="Millares 3 4 4 2" xfId="23970" xr:uid="{8B85F82D-B418-4A29-A247-5C63733BA6AF}"/>
    <cellStyle name="Millares 3 4 4 2 2" xfId="57638" xr:uid="{99EFE45D-9AB1-4C14-9A5D-9075DBA85A1E}"/>
    <cellStyle name="Millares 3 4 4 3" xfId="57637" xr:uid="{43C07DD6-482D-4ADB-A90B-553F4467BF41}"/>
    <cellStyle name="Millares 3 4 5" xfId="16265" xr:uid="{1C46A06D-2597-4123-8E0D-6BB516FE3D65}"/>
    <cellStyle name="Millares 3 4 5 2" xfId="57639" xr:uid="{F2A8088C-6954-4145-BF78-7D8E80BBEA3C}"/>
    <cellStyle name="Millares 3 4 6" xfId="57624" xr:uid="{B79B2029-DBED-4036-A2E4-DB1A40E1B97E}"/>
    <cellStyle name="Millares 3 5" xfId="1667" xr:uid="{C4C553C0-6C65-49C4-8EAB-750FE7CD4DE1}"/>
    <cellStyle name="Millares 3 5 2" xfId="5399" xr:uid="{401BB43F-1A74-45FC-856B-A44FFBE86FBE}"/>
    <cellStyle name="Millares 3 5 2 2" xfId="13107" xr:uid="{0BC70DED-82AD-4EC4-9D7D-C567CA5E0E2E}"/>
    <cellStyle name="Millares 3 5 2 2 2" xfId="28519" xr:uid="{4B0CBC4B-5539-4C65-86C9-DC2AB5C8EE2B}"/>
    <cellStyle name="Millares 3 5 2 2 2 2" xfId="57643" xr:uid="{448D2D6F-CA03-4894-97DA-F297AD38A0C6}"/>
    <cellStyle name="Millares 3 5 2 2 3" xfId="57642" xr:uid="{51396599-85CB-4E4B-A881-03A1749AB487}"/>
    <cellStyle name="Millares 3 5 2 3" xfId="20814" xr:uid="{D6F798DC-4446-4AEE-BA46-BC9255555CC4}"/>
    <cellStyle name="Millares 3 5 2 3 2" xfId="57644" xr:uid="{BAE0CA0E-1642-4957-950E-4EBDED4E31AF}"/>
    <cellStyle name="Millares 3 5 2 4" xfId="57641" xr:uid="{7E717BDB-E178-4073-B1D5-F0E86142C8FF}"/>
    <cellStyle name="Millares 3 5 3" xfId="9378" xr:uid="{1F190845-5DED-4C6C-A7BF-9EB00F816A24}"/>
    <cellStyle name="Millares 3 5 3 2" xfId="24791" xr:uid="{DA0D6220-82F5-4932-A82F-30D453DB1509}"/>
    <cellStyle name="Millares 3 5 3 2 2" xfId="57646" xr:uid="{0BAE8C4B-0A82-4D3A-B865-5378E1EFD158}"/>
    <cellStyle name="Millares 3 5 3 3" xfId="57645" xr:uid="{3C2C6A0D-A736-4D38-9C14-C4FE6C496B93}"/>
    <cellStyle name="Millares 3 5 4" xfId="17086" xr:uid="{B4090DC8-2D7B-4D1A-9EB5-D6083AE0F47E}"/>
    <cellStyle name="Millares 3 5 4 2" xfId="57647" xr:uid="{26C65D34-AFD2-4FEC-8352-B57B7552B373}"/>
    <cellStyle name="Millares 3 5 5" xfId="57640" xr:uid="{99DC442D-8DA9-4903-8905-79D1FF955DB8}"/>
    <cellStyle name="Millares 3 6" xfId="3915" xr:uid="{8782870C-DA7C-4512-81BD-C49216D9B48A}"/>
    <cellStyle name="Millares 3 6 2" xfId="11623" xr:uid="{25B0D5CA-2E5C-4B75-AB5A-B5A51B79A988}"/>
    <cellStyle name="Millares 3 6 2 2" xfId="27035" xr:uid="{BCB38542-C6E3-4CE5-8550-BD44C16E984D}"/>
    <cellStyle name="Millares 3 6 2 2 2" xfId="57650" xr:uid="{E0C55248-0B5E-49FA-9AC8-48E3201CAA01}"/>
    <cellStyle name="Millares 3 6 2 3" xfId="57649" xr:uid="{E71047CA-C0D9-4030-B835-508DF465BEB4}"/>
    <cellStyle name="Millares 3 6 3" xfId="19330" xr:uid="{773483C1-0E2B-434B-9064-8DF29CE9AFF7}"/>
    <cellStyle name="Millares 3 6 3 2" xfId="57651" xr:uid="{A35CF166-087D-4225-A577-B38D248449D4}"/>
    <cellStyle name="Millares 3 6 4" xfId="57648" xr:uid="{B78959C7-F778-421C-9331-E763B9E80792}"/>
    <cellStyle name="Millares 3 7" xfId="7901" xr:uid="{33595AB9-4206-4916-84B4-2703931A4523}"/>
    <cellStyle name="Millares 3 7 2" xfId="23314" xr:uid="{0E24E3AD-AED5-4DD8-8554-6578F31E83B3}"/>
    <cellStyle name="Millares 3 7 2 2" xfId="57653" xr:uid="{E714F22B-2D6D-47C0-9D47-2F769E1F4A04}"/>
    <cellStyle name="Millares 3 7 3" xfId="57652" xr:uid="{9B235DF5-34FF-475F-9F11-C40E2118264F}"/>
    <cellStyle name="Millares 3 8" xfId="15609" xr:uid="{D253B0B7-78B1-4A14-ADD5-C8EB4FE1E10A}"/>
    <cellStyle name="Millares 3 8 2" xfId="57654" xr:uid="{C7FFF674-374E-41A4-8372-F65525270897}"/>
    <cellStyle name="Millares 3 9" xfId="57527" xr:uid="{97A17E05-3EBD-483C-B804-5F21180A3835}"/>
    <cellStyle name="Millares 4" xfId="234" xr:uid="{BD39137E-0C85-42B8-AF1F-C596999EF4D7}"/>
    <cellStyle name="Millares 4 2" xfId="436" xr:uid="{1F58F3CB-9B11-447F-AA08-A43BD86206C9}"/>
    <cellStyle name="Millares 4 2 2" xfId="1098" xr:uid="{2E65DB8A-F728-4ABF-8666-74725C24CE76}"/>
    <cellStyle name="Millares 4 2 2 2" xfId="2566" xr:uid="{097DE55F-53C8-4E95-8BE4-F666BDD6919D}"/>
    <cellStyle name="Millares 4 2 2 2 2" xfId="6298" xr:uid="{22B7D9AF-D984-40F6-96BF-B5B9B4B04E80}"/>
    <cellStyle name="Millares 4 2 2 2 2 2" xfId="14006" xr:uid="{7FCD05C5-4A2E-409E-8D94-67C755895102}"/>
    <cellStyle name="Millares 4 2 2 2 2 2 2" xfId="29418" xr:uid="{96C72666-22A6-4285-AD37-E32B77C4DF0E}"/>
    <cellStyle name="Millares 4 2 2 2 2 2 2 2" xfId="57661" xr:uid="{45D4A033-A922-4CF2-B0D6-C174E397BD0C}"/>
    <cellStyle name="Millares 4 2 2 2 2 2 3" xfId="57660" xr:uid="{A316D0AC-B9D9-4588-9F2C-549CE9309E01}"/>
    <cellStyle name="Millares 4 2 2 2 2 3" xfId="21713" xr:uid="{6CE7E6C4-6E3D-4394-B013-669D128CE86F}"/>
    <cellStyle name="Millares 4 2 2 2 2 3 2" xfId="57662" xr:uid="{B4CC2E95-DE36-4C9C-B69C-D2E3C0DFC61E}"/>
    <cellStyle name="Millares 4 2 2 2 2 4" xfId="57659" xr:uid="{83376204-6165-400E-A3F1-70038799DA43}"/>
    <cellStyle name="Millares 4 2 2 2 3" xfId="10277" xr:uid="{42ABFCC5-44CC-406A-A946-AE14F54D4F29}"/>
    <cellStyle name="Millares 4 2 2 2 3 2" xfId="25690" xr:uid="{33149741-CC2F-4D9B-B5C2-07C055ADC4F2}"/>
    <cellStyle name="Millares 4 2 2 2 3 2 2" xfId="57664" xr:uid="{7B6282C7-A4C2-4995-9C42-C2B095B3FF59}"/>
    <cellStyle name="Millares 4 2 2 2 3 3" xfId="57663" xr:uid="{AA3BBB98-9865-404C-B8AE-6A126A0C944E}"/>
    <cellStyle name="Millares 4 2 2 2 4" xfId="17985" xr:uid="{893AB4CE-80FE-4373-AF67-645910961113}"/>
    <cellStyle name="Millares 4 2 2 2 4 2" xfId="57665" xr:uid="{7F4C764D-D53D-4178-B03F-09EE1303F8A8}"/>
    <cellStyle name="Millares 4 2 2 2 5" xfId="57658" xr:uid="{7E945AB3-DE93-4104-B7A2-92280050945D}"/>
    <cellStyle name="Millares 4 2 2 3" xfId="4835" xr:uid="{0F954E0E-10A8-4060-B075-049DE8DF9DD1}"/>
    <cellStyle name="Millares 4 2 2 3 2" xfId="12543" xr:uid="{AF319744-9189-4082-A7F8-16FAE209929D}"/>
    <cellStyle name="Millares 4 2 2 3 2 2" xfId="27955" xr:uid="{698FA85B-9EDB-418A-B139-688A56569C88}"/>
    <cellStyle name="Millares 4 2 2 3 2 2 2" xfId="57668" xr:uid="{0B5C7BBE-28A9-4E22-848A-C0D4DDE0B293}"/>
    <cellStyle name="Millares 4 2 2 3 2 3" xfId="57667" xr:uid="{C40BD26B-7586-4367-978F-B523C558A50D}"/>
    <cellStyle name="Millares 4 2 2 3 3" xfId="20250" xr:uid="{E01BC18C-E440-4CDC-A183-6935F3A9B316}"/>
    <cellStyle name="Millares 4 2 2 3 3 2" xfId="57669" xr:uid="{720C828B-E01B-45E1-9CD7-A18252656F4B}"/>
    <cellStyle name="Millares 4 2 2 3 4" xfId="57666" xr:uid="{E967257A-C7CA-4611-B758-235328299FD3}"/>
    <cellStyle name="Millares 4 2 2 4" xfId="8818" xr:uid="{A1975D3B-EE5A-4C4D-B233-4F9E646C5513}"/>
    <cellStyle name="Millares 4 2 2 4 2" xfId="24231" xr:uid="{BAB0BBC8-1D79-4E8F-AE1F-AB33AD9E48F7}"/>
    <cellStyle name="Millares 4 2 2 4 2 2" xfId="57671" xr:uid="{897501A7-853C-46E0-8DAB-6CD361DEEB56}"/>
    <cellStyle name="Millares 4 2 2 4 3" xfId="57670" xr:uid="{058CE317-F87B-4034-8DAF-DC45AB56777A}"/>
    <cellStyle name="Millares 4 2 2 5" xfId="16526" xr:uid="{001618A2-DE91-4A0F-88B8-F59095F9FD03}"/>
    <cellStyle name="Millares 4 2 2 5 2" xfId="57672" xr:uid="{6E8947C5-00E4-4437-8441-C9EE1584D5C3}"/>
    <cellStyle name="Millares 4 2 2 6" xfId="57657" xr:uid="{9E322DCC-C6A6-4790-B010-7E49349DF7A8}"/>
    <cellStyle name="Millares 4 2 3" xfId="1928" xr:uid="{49D30044-8FD0-47C0-A7D0-6C79A3512FA4}"/>
    <cellStyle name="Millares 4 2 3 2" xfId="5660" xr:uid="{A13AE9E6-735E-40CD-A19B-54596466E13A}"/>
    <cellStyle name="Millares 4 2 3 2 2" xfId="13368" xr:uid="{9D7F57EE-0652-4BBC-9F6C-15F8941616FB}"/>
    <cellStyle name="Millares 4 2 3 2 2 2" xfId="28780" xr:uid="{973FB000-1C6F-4DFD-AFF3-B7A08E316E35}"/>
    <cellStyle name="Millares 4 2 3 2 2 2 2" xfId="57676" xr:uid="{11E5CC5F-AC79-4B6C-A7FF-05FC71268A6F}"/>
    <cellStyle name="Millares 4 2 3 2 2 3" xfId="57675" xr:uid="{A5C29A42-E3E6-45F6-9EEB-05A09CAD455D}"/>
    <cellStyle name="Millares 4 2 3 2 3" xfId="21075" xr:uid="{3617C117-3543-41A5-8CEA-4375A5425423}"/>
    <cellStyle name="Millares 4 2 3 2 3 2" xfId="57677" xr:uid="{2575B4FD-6964-4113-ABEF-31D6B5E48C8B}"/>
    <cellStyle name="Millares 4 2 3 2 4" xfId="57674" xr:uid="{B9CBAE28-DEC4-41CF-A9DA-9C18D969EE4D}"/>
    <cellStyle name="Millares 4 2 3 3" xfId="9639" xr:uid="{2112E828-615D-46BD-A7EE-61127041F44A}"/>
    <cellStyle name="Millares 4 2 3 3 2" xfId="25052" xr:uid="{140769F7-97E5-4869-85E5-565B6554B8A9}"/>
    <cellStyle name="Millares 4 2 3 3 2 2" xfId="57679" xr:uid="{E6CAFC8B-68A8-430E-9736-A1F6BBB86304}"/>
    <cellStyle name="Millares 4 2 3 3 3" xfId="57678" xr:uid="{E067D1B7-81E2-44EE-A6DA-F54733CCC99E}"/>
    <cellStyle name="Millares 4 2 3 4" xfId="17347" xr:uid="{E9043B5E-9450-43A7-8C36-4F55E87A1084}"/>
    <cellStyle name="Millares 4 2 3 4 2" xfId="57680" xr:uid="{3C4F26BE-70B2-480B-8FC6-E875D256DAF4}"/>
    <cellStyle name="Millares 4 2 3 5" xfId="57673" xr:uid="{1ABD050F-D8DF-4D80-A863-809805F4D509}"/>
    <cellStyle name="Millares 4 2 4" xfId="4183" xr:uid="{7DA80472-2C73-46C1-954D-2C6587906E4F}"/>
    <cellStyle name="Millares 4 2 4 2" xfId="11891" xr:uid="{61626417-00DD-4CAB-8F6C-B9F0A0F5E169}"/>
    <cellStyle name="Millares 4 2 4 2 2" xfId="27303" xr:uid="{887D7628-20D5-421A-BB85-A55D0316AEF7}"/>
    <cellStyle name="Millares 4 2 4 2 2 2" xfId="57683" xr:uid="{2087CAEF-7ADD-49B7-B83A-FF30B304CA16}"/>
    <cellStyle name="Millares 4 2 4 2 3" xfId="57682" xr:uid="{5A9812FA-2487-4872-BED9-1BFA4A3AB253}"/>
    <cellStyle name="Millares 4 2 4 3" xfId="19598" xr:uid="{C36F2F3B-C960-48DD-94A1-1DF17B941C8E}"/>
    <cellStyle name="Millares 4 2 4 3 2" xfId="57684" xr:uid="{93080A44-4405-426B-B0A7-6FFB08014743}"/>
    <cellStyle name="Millares 4 2 4 4" xfId="57681" xr:uid="{8CE6CD01-470F-4D6A-BD74-437140665A99}"/>
    <cellStyle name="Millares 4 2 5" xfId="8180" xr:uid="{76BD35D9-2CB1-4B0F-8B86-F9180CEF5690}"/>
    <cellStyle name="Millares 4 2 5 2" xfId="23593" xr:uid="{374EE6A9-7EAE-419F-821E-455833686B70}"/>
    <cellStyle name="Millares 4 2 5 2 2" xfId="57686" xr:uid="{5E23B07C-100F-420D-97CA-2E15B824CC21}"/>
    <cellStyle name="Millares 4 2 5 3" xfId="57685" xr:uid="{1B39A16A-7279-4974-9373-6462B0511439}"/>
    <cellStyle name="Millares 4 2 6" xfId="15888" xr:uid="{40038D21-A1C2-4CD7-98F1-58647955113B}"/>
    <cellStyle name="Millares 4 2 6 2" xfId="57687" xr:uid="{F32642A4-51D7-4803-97CB-E33B99122E4B}"/>
    <cellStyle name="Millares 4 2 7" xfId="57656" xr:uid="{A8FB41E2-CDE8-470B-84A2-48D469C87B06}"/>
    <cellStyle name="Millares 4 3" xfId="898" xr:uid="{A1523062-7EC4-4B8C-9E58-34C2ED1A4CCC}"/>
    <cellStyle name="Millares 4 3 2" xfId="2368" xr:uid="{08D0DE40-D9AE-4E18-A206-1887DCC1E8D5}"/>
    <cellStyle name="Millares 4 3 2 2" xfId="6100" xr:uid="{94098B10-D20A-4B61-9496-7ACBB1638840}"/>
    <cellStyle name="Millares 4 3 2 2 2" xfId="13808" xr:uid="{94168ACE-A072-4035-BF7A-BEB66EE2FF92}"/>
    <cellStyle name="Millares 4 3 2 2 2 2" xfId="29220" xr:uid="{DE7F1C0B-F80E-4620-84A3-2928EC5C12E9}"/>
    <cellStyle name="Millares 4 3 2 2 2 2 2" xfId="57692" xr:uid="{8A28A10C-422C-4375-ACF3-8411B8E5659A}"/>
    <cellStyle name="Millares 4 3 2 2 2 3" xfId="57691" xr:uid="{A6FCAB5D-0218-4ED0-91D3-6173C07A9717}"/>
    <cellStyle name="Millares 4 3 2 2 3" xfId="21515" xr:uid="{AD9C99E6-2F9D-4468-9E8F-04A960756989}"/>
    <cellStyle name="Millares 4 3 2 2 3 2" xfId="57693" xr:uid="{A6C50F0D-5CCE-4849-ADA4-076EA355493D}"/>
    <cellStyle name="Millares 4 3 2 2 4" xfId="57690" xr:uid="{E5C87F3C-A230-40DF-8668-39C40D7CD409}"/>
    <cellStyle name="Millares 4 3 2 3" xfId="10079" xr:uid="{6916851D-FDD4-4D48-AE1F-F08F55B5A564}"/>
    <cellStyle name="Millares 4 3 2 3 2" xfId="25492" xr:uid="{2D99C8A5-81DA-4610-A9C7-FC877B432077}"/>
    <cellStyle name="Millares 4 3 2 3 2 2" xfId="57695" xr:uid="{52B77ABF-BD9F-4F84-8E0B-064F27157C76}"/>
    <cellStyle name="Millares 4 3 2 3 3" xfId="57694" xr:uid="{A7BD85AC-B2EB-4291-BD16-A08323D3676E}"/>
    <cellStyle name="Millares 4 3 2 4" xfId="17787" xr:uid="{D06A5909-5802-4369-8A6A-81F945DDDC56}"/>
    <cellStyle name="Millares 4 3 2 4 2" xfId="57696" xr:uid="{84281ECE-EE64-471B-88EB-AA762A08E59A}"/>
    <cellStyle name="Millares 4 3 2 5" xfId="57689" xr:uid="{822F0418-EA61-4AD4-8A6D-F5060CE8F0FF}"/>
    <cellStyle name="Millares 4 3 3" xfId="4635" xr:uid="{705F25D1-44F6-445D-91DD-8463CADCCC05}"/>
    <cellStyle name="Millares 4 3 3 2" xfId="12343" xr:uid="{6CDFAFF5-AD4B-4418-BDEC-74995D80A03D}"/>
    <cellStyle name="Millares 4 3 3 2 2" xfId="27755" xr:uid="{C3E4ACE8-C9EB-4514-819D-F0E50C775246}"/>
    <cellStyle name="Millares 4 3 3 2 2 2" xfId="57699" xr:uid="{AC1B415C-A11E-4BE0-8D4F-EFA9E36C429E}"/>
    <cellStyle name="Millares 4 3 3 2 3" xfId="57698" xr:uid="{C34EDE8D-09D6-469E-9D66-728BE4B5C7BC}"/>
    <cellStyle name="Millares 4 3 3 3" xfId="20050" xr:uid="{34F110F5-4986-44FD-9616-5AC939622746}"/>
    <cellStyle name="Millares 4 3 3 3 2" xfId="57700" xr:uid="{3C491081-A556-4AA5-ADF4-5F4375289919}"/>
    <cellStyle name="Millares 4 3 3 4" xfId="57697" xr:uid="{3AA56221-D930-415F-A614-39B7F898A401}"/>
    <cellStyle name="Millares 4 3 4" xfId="8620" xr:uid="{783965CB-8261-4A12-8557-95529A474E07}"/>
    <cellStyle name="Millares 4 3 4 2" xfId="24033" xr:uid="{57042B5B-57BD-4F82-8DE7-F28A8C4DC453}"/>
    <cellStyle name="Millares 4 3 4 2 2" xfId="57702" xr:uid="{9384AF2D-EA10-40D3-9E96-5B76E1E5F02F}"/>
    <cellStyle name="Millares 4 3 4 3" xfId="57701" xr:uid="{0C432F5F-8F3D-4C12-83E6-78335D992B15}"/>
    <cellStyle name="Millares 4 3 5" xfId="16328" xr:uid="{6AC86D5D-F5E0-4D3A-BEE7-0E84D84E6D9E}"/>
    <cellStyle name="Millares 4 3 5 2" xfId="57703" xr:uid="{E50A4BB0-3E35-454E-A709-F2E5265B3AE2}"/>
    <cellStyle name="Millares 4 3 6" xfId="57688" xr:uid="{C8F3C9D2-7005-460E-A9E2-96C89DB1D6E6}"/>
    <cellStyle name="Millares 4 4" xfId="1730" xr:uid="{94124970-557C-4080-9051-465E450299A6}"/>
    <cellStyle name="Millares 4 4 2" xfId="5462" xr:uid="{46BD4C0B-2397-441E-93EB-4550C9DCF7A3}"/>
    <cellStyle name="Millares 4 4 2 2" xfId="13170" xr:uid="{78541D17-D0A9-48EE-A3EE-81034136DC7A}"/>
    <cellStyle name="Millares 4 4 2 2 2" xfId="28582" xr:uid="{E6A4D7EB-B88B-43CF-A3E0-751803B280D9}"/>
    <cellStyle name="Millares 4 4 2 2 2 2" xfId="57707" xr:uid="{912D67FB-B4F8-4F7D-AE86-86E1E74999BA}"/>
    <cellStyle name="Millares 4 4 2 2 3" xfId="57706" xr:uid="{7B7FDE3D-7165-4F3A-9045-93C929FFCEF9}"/>
    <cellStyle name="Millares 4 4 2 3" xfId="20877" xr:uid="{9BB8B01B-088E-403E-A568-105029247676}"/>
    <cellStyle name="Millares 4 4 2 3 2" xfId="57708" xr:uid="{B1A2E106-363B-4372-98C6-7808BB13E694}"/>
    <cellStyle name="Millares 4 4 2 4" xfId="57705" xr:uid="{B019B5D8-30A8-4F92-992A-CBB0424EE183}"/>
    <cellStyle name="Millares 4 4 3" xfId="9441" xr:uid="{E6C1F8F4-92F4-4BD8-9EB2-CF54499D8992}"/>
    <cellStyle name="Millares 4 4 3 2" xfId="24854" xr:uid="{76E8A796-F182-4FAF-86A0-50D3B8117A22}"/>
    <cellStyle name="Millares 4 4 3 2 2" xfId="57710" xr:uid="{8DB8E25A-3F1F-4685-A444-3C496901D4F0}"/>
    <cellStyle name="Millares 4 4 3 3" xfId="57709" xr:uid="{478CEF75-6C04-4204-80F0-1ABE3336880A}"/>
    <cellStyle name="Millares 4 4 4" xfId="17149" xr:uid="{87B9436E-EDC7-4DEE-ADED-DEAA36B84C35}"/>
    <cellStyle name="Millares 4 4 4 2" xfId="57711" xr:uid="{F2987B96-8C38-4030-AA11-C90317D0FFCB}"/>
    <cellStyle name="Millares 4 4 5" xfId="57704" xr:uid="{7D99B196-2078-476E-9EDE-5022AE7D9FE8}"/>
    <cellStyle name="Millares 4 5" xfId="3983" xr:uid="{1204FB69-399A-4E89-9261-60F215AF63E3}"/>
    <cellStyle name="Millares 4 5 2" xfId="11691" xr:uid="{22EE77BF-60EF-4491-81DA-544B47644141}"/>
    <cellStyle name="Millares 4 5 2 2" xfId="27103" xr:uid="{2B03BB70-A423-4196-B0C9-C94C1C6ACE0D}"/>
    <cellStyle name="Millares 4 5 2 2 2" xfId="57714" xr:uid="{3B8DF0CB-CA48-4503-B4D3-8CCB9EC1FCFB}"/>
    <cellStyle name="Millares 4 5 2 3" xfId="57713" xr:uid="{7EF1BDE4-1518-48B5-B4F0-4903E0E2AD86}"/>
    <cellStyle name="Millares 4 5 3" xfId="19398" xr:uid="{E2C9D5CA-208F-4605-AFC6-39C6B0E66A3B}"/>
    <cellStyle name="Millares 4 5 3 2" xfId="57715" xr:uid="{2849D21B-69B4-4C4C-9B82-BD3D9461DDA6}"/>
    <cellStyle name="Millares 4 5 4" xfId="57712" xr:uid="{91DEE6E9-F971-4459-8E41-68C6A3BD8844}"/>
    <cellStyle name="Millares 4 6" xfId="7982" xr:uid="{E26C23B5-D8F0-4C81-AECC-C5CD80AB9C8A}"/>
    <cellStyle name="Millares 4 6 2" xfId="23395" xr:uid="{2509E40E-FB82-4576-AFFF-81C6B482987F}"/>
    <cellStyle name="Millares 4 6 2 2" xfId="57717" xr:uid="{9BA8F49B-DE08-4A88-87D6-194BE1BCE7A3}"/>
    <cellStyle name="Millares 4 6 3" xfId="57716" xr:uid="{E672BE08-D3DE-4041-B851-93BC46BD7C50}"/>
    <cellStyle name="Millares 4 7" xfId="15690" xr:uid="{7AF9511A-56AC-49D3-8575-916F66A8D642}"/>
    <cellStyle name="Millares 4 7 2" xfId="57718" xr:uid="{E2C80F32-FAA0-45FD-BBD4-97EBFA13D685}"/>
    <cellStyle name="Millares 4 8" xfId="57655" xr:uid="{26532817-DC18-47CC-B3E6-ABCFAC515224}"/>
    <cellStyle name="Millares 5" xfId="257" xr:uid="{801B9FC3-EDA4-4060-9224-7AB77F0E2F80}"/>
    <cellStyle name="Millares 5 2" xfId="459" xr:uid="{DC244F0D-C602-4467-8000-1FC918E3B004}"/>
    <cellStyle name="Millares 5 2 2" xfId="1120" xr:uid="{E91EED66-DD71-4188-A73E-33E78DAE2B4C}"/>
    <cellStyle name="Millares 5 2 2 2" xfId="2588" xr:uid="{4EAF9BBE-768A-4017-BB16-AFC3D7DF6938}"/>
    <cellStyle name="Millares 5 2 2 2 2" xfId="6320" xr:uid="{34EB8FBA-67F3-45E8-9FDE-A199DB6B92E7}"/>
    <cellStyle name="Millares 5 2 2 2 2 2" xfId="14028" xr:uid="{C1141E43-0FB5-46F7-9414-F515915889BE}"/>
    <cellStyle name="Millares 5 2 2 2 2 2 2" xfId="29440" xr:uid="{04F08D5E-839A-407A-876C-3A9F2DFBB5B0}"/>
    <cellStyle name="Millares 5 2 2 2 2 2 2 2" xfId="57725" xr:uid="{3D448D8B-2375-494E-BD84-B05434177A5C}"/>
    <cellStyle name="Millares 5 2 2 2 2 2 3" xfId="57724" xr:uid="{B2F6D05C-8D10-4526-940A-A9359C51356A}"/>
    <cellStyle name="Millares 5 2 2 2 2 3" xfId="21735" xr:uid="{B0657B78-5CDB-42B8-992E-6083B22EB67A}"/>
    <cellStyle name="Millares 5 2 2 2 2 3 2" xfId="57726" xr:uid="{7E90715E-A3AD-4220-88DF-D696FA7F4DCF}"/>
    <cellStyle name="Millares 5 2 2 2 2 4" xfId="57723" xr:uid="{1AE5E2C2-3F71-46C8-9F9F-6B6C0B7F739D}"/>
    <cellStyle name="Millares 5 2 2 2 3" xfId="10299" xr:uid="{A2F86391-B3FD-4423-BCEE-BF8856DF63B3}"/>
    <cellStyle name="Millares 5 2 2 2 3 2" xfId="25712" xr:uid="{13A8F621-62C5-42A6-9DC8-A83EE05B62A9}"/>
    <cellStyle name="Millares 5 2 2 2 3 2 2" xfId="57728" xr:uid="{9642B038-EA09-44CB-9B6E-DB21C626E32C}"/>
    <cellStyle name="Millares 5 2 2 2 3 3" xfId="57727" xr:uid="{2C3C319D-C6F2-481F-B0E6-78CD2A8362A4}"/>
    <cellStyle name="Millares 5 2 2 2 4" xfId="18007" xr:uid="{0DB7B6A7-409A-4E17-89F5-CD69F44937D4}"/>
    <cellStyle name="Millares 5 2 2 2 4 2" xfId="57729" xr:uid="{B0551B43-3495-4100-A877-0B6C62329E9E}"/>
    <cellStyle name="Millares 5 2 2 2 5" xfId="57722" xr:uid="{7EB5EEF6-2CA1-4C17-B448-BBA733B0E30D}"/>
    <cellStyle name="Millares 5 2 2 3" xfId="4857" xr:uid="{C3D2656B-988C-469A-9847-CA37B5BDDC7A}"/>
    <cellStyle name="Millares 5 2 2 3 2" xfId="12565" xr:uid="{7C0311B2-EDA6-44C1-9A65-F75224B351AE}"/>
    <cellStyle name="Millares 5 2 2 3 2 2" xfId="27977" xr:uid="{87D496C1-BF1D-4BB1-96D2-B4BABC173F6C}"/>
    <cellStyle name="Millares 5 2 2 3 2 2 2" xfId="57732" xr:uid="{C2348251-39A7-45F3-91EF-F28504493C4F}"/>
    <cellStyle name="Millares 5 2 2 3 2 3" xfId="57731" xr:uid="{5D893F23-8378-4A7E-87F2-F109A82EF4A5}"/>
    <cellStyle name="Millares 5 2 2 3 3" xfId="20272" xr:uid="{9F6E3999-D4CF-4A71-942D-25606C678C63}"/>
    <cellStyle name="Millares 5 2 2 3 3 2" xfId="57733" xr:uid="{6BDF0478-12FC-41C4-913F-46A666F530DC}"/>
    <cellStyle name="Millares 5 2 2 3 4" xfId="57730" xr:uid="{F46F0A3E-201A-4BF6-BED1-FD40A8AB6657}"/>
    <cellStyle name="Millares 5 2 2 4" xfId="8840" xr:uid="{3B674CD9-C1BA-4593-97E1-6D146333285E}"/>
    <cellStyle name="Millares 5 2 2 4 2" xfId="24253" xr:uid="{F627B197-6962-43F6-8EB1-D36238FE9A14}"/>
    <cellStyle name="Millares 5 2 2 4 2 2" xfId="57735" xr:uid="{11C38015-09FD-4355-9822-AF0E065B7D46}"/>
    <cellStyle name="Millares 5 2 2 4 3" xfId="57734" xr:uid="{357D7B47-3341-4EB1-B72F-EEBA6B3C1F18}"/>
    <cellStyle name="Millares 5 2 2 5" xfId="16548" xr:uid="{E3525054-E4F6-4270-8762-5DFFFDD7F150}"/>
    <cellStyle name="Millares 5 2 2 5 2" xfId="57736" xr:uid="{E2FC065A-5A5A-4884-9E3F-8C96F22DAD6B}"/>
    <cellStyle name="Millares 5 2 2 6" xfId="57721" xr:uid="{1A85D2CF-4830-4F07-A4F8-05D59D65911D}"/>
    <cellStyle name="Millares 5 2 3" xfId="1950" xr:uid="{7ECAFCC8-7C7F-4EFD-8762-7D52A090598A}"/>
    <cellStyle name="Millares 5 2 3 2" xfId="5682" xr:uid="{829AC2BA-99B0-49AE-82DE-F6741C6F174B}"/>
    <cellStyle name="Millares 5 2 3 2 2" xfId="13390" xr:uid="{391A9BB0-6699-410E-8879-6C7FA7753039}"/>
    <cellStyle name="Millares 5 2 3 2 2 2" xfId="28802" xr:uid="{7E3C1E1C-FFFE-4581-89E1-B95E6F09106E}"/>
    <cellStyle name="Millares 5 2 3 2 2 2 2" xfId="57740" xr:uid="{29F58822-2C1A-4AFB-93B0-9B50CF15DB1D}"/>
    <cellStyle name="Millares 5 2 3 2 2 3" xfId="57739" xr:uid="{02FCD0C3-8B6F-4740-8C1F-997E90A0B708}"/>
    <cellStyle name="Millares 5 2 3 2 3" xfId="21097" xr:uid="{8D7E60B8-83F4-458A-A362-0C216644249D}"/>
    <cellStyle name="Millares 5 2 3 2 3 2" xfId="57741" xr:uid="{8001A361-25AF-427A-8049-8E6BACAD3092}"/>
    <cellStyle name="Millares 5 2 3 2 4" xfId="57738" xr:uid="{A6D1606A-1575-419A-B020-4D8D4AD62BAE}"/>
    <cellStyle name="Millares 5 2 3 3" xfId="9661" xr:uid="{C34F6EB6-A634-4AEB-AEB8-709BF3627368}"/>
    <cellStyle name="Millares 5 2 3 3 2" xfId="25074" xr:uid="{68E0709A-E63A-4F21-BAFE-B11FC0BB6D6E}"/>
    <cellStyle name="Millares 5 2 3 3 2 2" xfId="57743" xr:uid="{2F39D572-6BC6-44DA-A54D-2072A2B3AE06}"/>
    <cellStyle name="Millares 5 2 3 3 3" xfId="57742" xr:uid="{56CCD3E9-C041-499F-91FA-E65483451090}"/>
    <cellStyle name="Millares 5 2 3 4" xfId="17369" xr:uid="{D8AD81AD-9D32-482B-8067-47F1FCDFB4F6}"/>
    <cellStyle name="Millares 5 2 3 4 2" xfId="57744" xr:uid="{468B3BFF-2F55-48B0-B803-F8F17250AA29}"/>
    <cellStyle name="Millares 5 2 3 5" xfId="57737" xr:uid="{CB70D621-B0B2-411F-AB6A-70775594A906}"/>
    <cellStyle name="Millares 5 2 4" xfId="4205" xr:uid="{DCAB0F8A-8197-4EFE-853A-823A25459CAE}"/>
    <cellStyle name="Millares 5 2 4 2" xfId="11913" xr:uid="{C3F3CCDD-1E0A-4CEF-9EB3-917110E3C173}"/>
    <cellStyle name="Millares 5 2 4 2 2" xfId="27325" xr:uid="{5696FE9B-A4B6-481B-9EAC-FB0A3C897679}"/>
    <cellStyle name="Millares 5 2 4 2 2 2" xfId="57747" xr:uid="{AD84B97C-0007-41EB-BA3C-02433C477CF0}"/>
    <cellStyle name="Millares 5 2 4 2 3" xfId="57746" xr:uid="{B1F20038-8947-4870-BB36-960E516406A6}"/>
    <cellStyle name="Millares 5 2 4 3" xfId="19620" xr:uid="{382648C6-9FA2-4878-9B45-A1613B9E1D7A}"/>
    <cellStyle name="Millares 5 2 4 3 2" xfId="57748" xr:uid="{DA255A80-DC86-40AB-9DFC-D727252083D0}"/>
    <cellStyle name="Millares 5 2 4 4" xfId="57745" xr:uid="{5D53936A-F297-4B8B-88BC-F8DF43AE263C}"/>
    <cellStyle name="Millares 5 2 5" xfId="8202" xr:uid="{EAECBA43-6F8D-4008-9B83-A27BF253B32E}"/>
    <cellStyle name="Millares 5 2 5 2" xfId="23615" xr:uid="{7BB5FDEA-B337-4839-BAE4-A111416086AE}"/>
    <cellStyle name="Millares 5 2 5 2 2" xfId="57750" xr:uid="{8CED11A6-1560-42D6-9094-49CCAD19E91C}"/>
    <cellStyle name="Millares 5 2 5 3" xfId="57749" xr:uid="{3880FC84-DFF0-4CAC-9AF1-8F3C6D96A759}"/>
    <cellStyle name="Millares 5 2 6" xfId="15910" xr:uid="{FB76D20A-06AF-4908-8EC6-C00CFEF8E389}"/>
    <cellStyle name="Millares 5 2 6 2" xfId="57751" xr:uid="{FFC9629A-5C6B-4405-AA89-25EA9AE370B9}"/>
    <cellStyle name="Millares 5 2 7" xfId="57720" xr:uid="{39968E34-451F-449B-BE13-0A5EBA9D8C14}"/>
    <cellStyle name="Millares 5 3" xfId="920" xr:uid="{6806F2B3-EE61-41A0-96A3-1439336C532C}"/>
    <cellStyle name="Millares 5 3 2" xfId="2390" xr:uid="{168FA7BD-EF7B-4863-B029-974D05D21943}"/>
    <cellStyle name="Millares 5 3 2 2" xfId="6122" xr:uid="{782EDB8F-32BD-4AF3-9CDF-E9955C976372}"/>
    <cellStyle name="Millares 5 3 2 2 2" xfId="13830" xr:uid="{3CE2DC1D-7588-43B8-B233-F60F24777BA1}"/>
    <cellStyle name="Millares 5 3 2 2 2 2" xfId="29242" xr:uid="{9B5D18F1-C46E-46FD-B8AE-9068AB79DF72}"/>
    <cellStyle name="Millares 5 3 2 2 2 2 2" xfId="57756" xr:uid="{E6695352-3758-48B1-90B7-9EAB4664278F}"/>
    <cellStyle name="Millares 5 3 2 2 2 3" xfId="57755" xr:uid="{015E1CB0-7877-475A-8DCC-6CC70A63FBE5}"/>
    <cellStyle name="Millares 5 3 2 2 3" xfId="21537" xr:uid="{3C991B5D-C58B-4760-9C32-CF64B5C8A188}"/>
    <cellStyle name="Millares 5 3 2 2 3 2" xfId="57757" xr:uid="{8BC0AEC1-3F49-408E-B873-11D9E1579C04}"/>
    <cellStyle name="Millares 5 3 2 2 4" xfId="57754" xr:uid="{ADA2851E-9B6D-4D3B-B2AB-56570AE698F8}"/>
    <cellStyle name="Millares 5 3 2 3" xfId="10101" xr:uid="{0D3302A2-7B04-43CA-B6CB-31B36C38A700}"/>
    <cellStyle name="Millares 5 3 2 3 2" xfId="25514" xr:uid="{D117FF8A-D7AE-4AFC-B3A6-C3B16594ADFB}"/>
    <cellStyle name="Millares 5 3 2 3 2 2" xfId="57759" xr:uid="{A12DB8D8-0608-439B-AE1F-CCEE4132B283}"/>
    <cellStyle name="Millares 5 3 2 3 3" xfId="57758" xr:uid="{65B2DE62-9B40-4055-A634-A1A4A37741CE}"/>
    <cellStyle name="Millares 5 3 2 4" xfId="17809" xr:uid="{CE474189-0C81-4A6F-A710-393855A782EF}"/>
    <cellStyle name="Millares 5 3 2 4 2" xfId="57760" xr:uid="{6F936ED3-30F4-4F76-8E09-70956D7AB533}"/>
    <cellStyle name="Millares 5 3 2 5" xfId="57753" xr:uid="{C891D6D4-34BD-4A47-AF89-2477420D2080}"/>
    <cellStyle name="Millares 5 3 3" xfId="4657" xr:uid="{5BF91EC4-D632-4211-B27E-E2A7CD8EE733}"/>
    <cellStyle name="Millares 5 3 3 2" xfId="12365" xr:uid="{25A2F10B-BC1A-4A54-8D30-601ADFD88B95}"/>
    <cellStyle name="Millares 5 3 3 2 2" xfId="27777" xr:uid="{B9C73F89-5D55-4DE5-B511-8AC755120B37}"/>
    <cellStyle name="Millares 5 3 3 2 2 2" xfId="57763" xr:uid="{66278C09-9666-40F7-BEF6-5A32297C5C91}"/>
    <cellStyle name="Millares 5 3 3 2 3" xfId="57762" xr:uid="{23CC4DD6-F441-4D65-A24A-544BD485D76F}"/>
    <cellStyle name="Millares 5 3 3 3" xfId="20072" xr:uid="{615E2734-935C-47AE-849D-0ED503D1D505}"/>
    <cellStyle name="Millares 5 3 3 3 2" xfId="57764" xr:uid="{0093E364-F7C1-42E1-99D2-F0334D39C209}"/>
    <cellStyle name="Millares 5 3 3 4" xfId="57761" xr:uid="{31B0C2E6-22AC-4758-8702-6082EF4A41B5}"/>
    <cellStyle name="Millares 5 3 4" xfId="8642" xr:uid="{0E83B6B1-7129-4569-BA5A-0E41624A6533}"/>
    <cellStyle name="Millares 5 3 4 2" xfId="24055" xr:uid="{48AE5CDB-7416-453E-B147-725F1D7A1A4F}"/>
    <cellStyle name="Millares 5 3 4 2 2" xfId="57766" xr:uid="{178C59EF-3D5B-4A62-964B-9330CBFCCD3A}"/>
    <cellStyle name="Millares 5 3 4 3" xfId="57765" xr:uid="{7BD6997C-F233-48C4-B100-BF91B51418B9}"/>
    <cellStyle name="Millares 5 3 5" xfId="16350" xr:uid="{B1D67063-DF5E-461B-8446-B430A71D65CC}"/>
    <cellStyle name="Millares 5 3 5 2" xfId="57767" xr:uid="{A4CAAEF2-7050-425B-8F71-B2D8A2384DD7}"/>
    <cellStyle name="Millares 5 3 6" xfId="57752" xr:uid="{C1938DB4-DF16-463C-93F1-78494BBCA85E}"/>
    <cellStyle name="Millares 5 4" xfId="1752" xr:uid="{9700773A-AA39-43D9-845B-F1D2FEE9CB29}"/>
    <cellStyle name="Millares 5 4 2" xfId="5484" xr:uid="{DD66C789-C5E4-484F-8DFE-F5B7844434A5}"/>
    <cellStyle name="Millares 5 4 2 2" xfId="13192" xr:uid="{EB17A26C-526A-4867-B972-591423E50AF9}"/>
    <cellStyle name="Millares 5 4 2 2 2" xfId="28604" xr:uid="{3BF5B2E5-4C58-4BE0-B01C-ACB8C91D3145}"/>
    <cellStyle name="Millares 5 4 2 2 2 2" xfId="57771" xr:uid="{3C7E8F41-7DAF-41E3-B08F-56F0048477BD}"/>
    <cellStyle name="Millares 5 4 2 2 3" xfId="57770" xr:uid="{6DBE36D4-BE6F-44FD-A696-F77DB1AB9F90}"/>
    <cellStyle name="Millares 5 4 2 3" xfId="20899" xr:uid="{D752D63F-126A-408C-A7AF-D7916695F041}"/>
    <cellStyle name="Millares 5 4 2 3 2" xfId="57772" xr:uid="{D20B0FAA-AC7D-4EBF-9878-3A008E72C734}"/>
    <cellStyle name="Millares 5 4 2 4" xfId="57769" xr:uid="{52FED895-CC6B-4A3C-817B-92B39D105452}"/>
    <cellStyle name="Millares 5 4 3" xfId="9463" xr:uid="{32551925-0A6B-4264-9734-A4BCC1082953}"/>
    <cellStyle name="Millares 5 4 3 2" xfId="24876" xr:uid="{E5EC77AF-54ED-45E5-B82D-023FD3F357AE}"/>
    <cellStyle name="Millares 5 4 3 2 2" xfId="57774" xr:uid="{8440A677-E3BC-4A52-9AF1-C1F939C497D4}"/>
    <cellStyle name="Millares 5 4 3 3" xfId="57773" xr:uid="{8ED4E30C-09A6-4BFA-A84B-17298CB2CFDC}"/>
    <cellStyle name="Millares 5 4 4" xfId="17171" xr:uid="{B17ED681-5E52-4837-AAB2-8A42D204D698}"/>
    <cellStyle name="Millares 5 4 4 2" xfId="57775" xr:uid="{A97ACCCE-EEE1-4EF0-A164-E09210B78FB7}"/>
    <cellStyle name="Millares 5 4 5" xfId="57768" xr:uid="{E36CE750-1EE8-4DAA-B614-FCCA8643622D}"/>
    <cellStyle name="Millares 5 5" xfId="4005" xr:uid="{5CE46EB5-81D1-4AD8-81FA-592FF3832AEA}"/>
    <cellStyle name="Millares 5 5 2" xfId="11713" xr:uid="{DD848FE9-65AF-4683-8DF4-AFE76C43AAE9}"/>
    <cellStyle name="Millares 5 5 2 2" xfId="27125" xr:uid="{2A7947F3-FDC3-45E8-8AC6-1510ADBD5369}"/>
    <cellStyle name="Millares 5 5 2 2 2" xfId="57778" xr:uid="{30299899-EAF8-464B-8F50-549D7AF8FEB9}"/>
    <cellStyle name="Millares 5 5 2 3" xfId="57777" xr:uid="{7B0957D9-48BE-446A-9778-2F8A84A8AD51}"/>
    <cellStyle name="Millares 5 5 3" xfId="19420" xr:uid="{4AAF50FC-4C32-4CD3-A720-EF01422DC7A5}"/>
    <cellStyle name="Millares 5 5 3 2" xfId="57779" xr:uid="{E92F9E3F-A6F0-4205-8573-274AE3C86D45}"/>
    <cellStyle name="Millares 5 5 4" xfId="57776" xr:uid="{C0262D10-0DE7-4EB5-98EE-EA79D845F74E}"/>
    <cellStyle name="Millares 5 6" xfId="8004" xr:uid="{DEE0D72B-873D-4341-B188-6B5A31FD3F4E}"/>
    <cellStyle name="Millares 5 6 2" xfId="23417" xr:uid="{97A7BE14-7D35-4D11-A36B-0501B2AF175A}"/>
    <cellStyle name="Millares 5 6 2 2" xfId="57781" xr:uid="{0B6597C4-75B5-4B36-BE44-2CE4D7FF1255}"/>
    <cellStyle name="Millares 5 6 3" xfId="57780" xr:uid="{640F980D-A0AD-4752-BD89-CD884B38BC2E}"/>
    <cellStyle name="Millares 5 7" xfId="15712" xr:uid="{130592E9-6DC3-4CF4-A05A-12FBB4C96509}"/>
    <cellStyle name="Millares 5 7 2" xfId="57782" xr:uid="{76660973-9E6C-497B-838E-64C5B100812C}"/>
    <cellStyle name="Millares 5 8" xfId="57719" xr:uid="{AFC2E779-6F3C-4629-B062-CEF2487D42E8}"/>
    <cellStyle name="Millares 6" xfId="805" xr:uid="{8950EB53-28E9-4E71-96F3-7C729E957A64}"/>
    <cellStyle name="Millares 6 2" xfId="1426" xr:uid="{D4278ECA-15BD-4C13-B0AF-BC2295D19ECF}"/>
    <cellStyle name="Millares 6 2 2" xfId="5162" xr:uid="{2B6AD958-5808-4182-AB30-CBC02B68D85F}"/>
    <cellStyle name="Millares 6 2 2 2" xfId="12870" xr:uid="{AC07C5BE-3C6B-4F28-9344-CACF87986F92}"/>
    <cellStyle name="Millares 6 2 2 2 2" xfId="28282" xr:uid="{1E49F607-0334-410E-98FE-CC6248D779FD}"/>
    <cellStyle name="Millares 6 2 2 2 2 2" xfId="57787" xr:uid="{6CB2F446-D16A-4355-A523-B5A7AB3C4225}"/>
    <cellStyle name="Millares 6 2 2 2 3" xfId="57786" xr:uid="{027BD770-D87F-42A9-AFEC-7D440A267613}"/>
    <cellStyle name="Millares 6 2 2 3" xfId="20577" xr:uid="{D8FCE3AA-D2CA-4BAE-9159-BD6F28D0466C}"/>
    <cellStyle name="Millares 6 2 2 3 2" xfId="57788" xr:uid="{97B23090-A9E7-4269-961A-BC130625C3BD}"/>
    <cellStyle name="Millares 6 2 2 4" xfId="57785" xr:uid="{7856D5CA-072C-48B6-BFFF-563A4FBEFBFF}"/>
    <cellStyle name="Millares 6 2 3" xfId="57784" xr:uid="{F73F8E02-557D-4D38-8E6A-9C0A2600EF50}"/>
    <cellStyle name="Millares 6 3" xfId="4545" xr:uid="{B202912D-6625-4A47-B0EC-2F577E708AA4}"/>
    <cellStyle name="Millares 6 3 2" xfId="12253" xr:uid="{6F800848-6668-44ED-B1A1-40317FB3F80D}"/>
    <cellStyle name="Millares 6 3 2 2" xfId="27665" xr:uid="{DEE4B888-42E0-4F66-8E57-4313F066A515}"/>
    <cellStyle name="Millares 6 3 2 2 2" xfId="57791" xr:uid="{DA85F088-1119-4CF6-AB54-A3FDB9F5BE7A}"/>
    <cellStyle name="Millares 6 3 2 3" xfId="57790" xr:uid="{C4628512-3786-4505-8FD0-89009CC6DB38}"/>
    <cellStyle name="Millares 6 3 3" xfId="19960" xr:uid="{E8F9994B-4067-47FA-96F0-92521FCE52D9}"/>
    <cellStyle name="Millares 6 3 3 2" xfId="57792" xr:uid="{797A1F8B-7D46-41AC-A291-8A56829270EA}"/>
    <cellStyle name="Millares 6 3 4" xfId="57789" xr:uid="{5C8C0BE7-B118-404D-B1F0-27C5FF0606E6}"/>
    <cellStyle name="Millares 6 4" xfId="57783" xr:uid="{4A00A44F-220F-435A-850D-37FD32E89093}"/>
    <cellStyle name="Millares 7" xfId="62051" xr:uid="{1D76A732-919F-4958-8BD5-2B529FD32624}"/>
    <cellStyle name="Millares 8" xfId="62099" xr:uid="{C4E0FCA3-3829-42C4-9189-E04425162EAD}"/>
    <cellStyle name="Millares 9" xfId="62100" xr:uid="{AB24EC07-29BC-47DE-AA33-4BF04584F1F3}"/>
    <cellStyle name="Moneda 2" xfId="68" xr:uid="{AEF33E28-6E1E-4C10-9D8C-1B0848CE9616}"/>
    <cellStyle name="Moneda 2 2" xfId="463" xr:uid="{3AE8E494-2887-4B16-A356-B2EB9FC6BB00}"/>
    <cellStyle name="Moneda 2 2 2" xfId="1124" xr:uid="{2D29DF9A-3266-4E6A-8F0F-85576A16B423}"/>
    <cellStyle name="Moneda 2 2 2 2" xfId="2592" xr:uid="{BC2743C0-0FEA-4487-B0AF-D18F6CEDE585}"/>
    <cellStyle name="Moneda 2 2 2 2 2" xfId="6324" xr:uid="{CF6EC2B0-16EB-4E76-B208-66B1426914FB}"/>
    <cellStyle name="Moneda 2 2 2 2 2 2" xfId="14032" xr:uid="{C819DF20-AF38-4DB0-ABEB-8FA75D84144C}"/>
    <cellStyle name="Moneda 2 2 2 2 2 2 2" xfId="29444" xr:uid="{4E0520AC-C703-4201-87D3-0482597B4D76}"/>
    <cellStyle name="Moneda 2 2 2 2 2 2 2 2" xfId="57799" xr:uid="{BC02BFE6-A4F7-4D34-B7C2-868509FC76DF}"/>
    <cellStyle name="Moneda 2 2 2 2 2 2 3" xfId="57798" xr:uid="{79963438-C0BE-4E49-816D-562A6EB93747}"/>
    <cellStyle name="Moneda 2 2 2 2 2 3" xfId="21739" xr:uid="{1821DCD7-A64B-4449-9CAD-6958EE30710B}"/>
    <cellStyle name="Moneda 2 2 2 2 2 3 2" xfId="57800" xr:uid="{C5FDC3D3-A214-425A-A11E-D91F18A070E7}"/>
    <cellStyle name="Moneda 2 2 2 2 2 4" xfId="57797" xr:uid="{5F092FC5-7A9F-44C3-BF47-9302E5538426}"/>
    <cellStyle name="Moneda 2 2 2 2 3" xfId="10303" xr:uid="{CCF77ACC-4D75-4BBA-A63F-A15668B80E5B}"/>
    <cellStyle name="Moneda 2 2 2 2 3 2" xfId="25716" xr:uid="{A7BFA60E-5EAC-4B81-8917-53DD5F45D6C5}"/>
    <cellStyle name="Moneda 2 2 2 2 3 2 2" xfId="57802" xr:uid="{9AD620E3-E094-4744-8BD9-9F7551E3CF93}"/>
    <cellStyle name="Moneda 2 2 2 2 3 3" xfId="57801" xr:uid="{CB98CBD0-60AE-4CEA-860C-E1378221C9BC}"/>
    <cellStyle name="Moneda 2 2 2 2 4" xfId="18011" xr:uid="{7E3556FD-6495-4F7F-A837-BFA98DC45107}"/>
    <cellStyle name="Moneda 2 2 2 2 4 2" xfId="57803" xr:uid="{FC215F1D-5B97-4A15-850C-4E8EED1DCD98}"/>
    <cellStyle name="Moneda 2 2 2 2 5" xfId="57796" xr:uid="{198D9F0E-DDA6-4F5C-B34B-8F818CAC1F72}"/>
    <cellStyle name="Moneda 2 2 2 3" xfId="4861" xr:uid="{53B7546A-D090-43A4-8D3C-E552BF18AE54}"/>
    <cellStyle name="Moneda 2 2 2 3 2" xfId="12569" xr:uid="{674085EA-59E8-4DC1-BF7F-94E82BD1B244}"/>
    <cellStyle name="Moneda 2 2 2 3 2 2" xfId="27981" xr:uid="{09D667CE-C045-4702-8218-60C65CF7508F}"/>
    <cellStyle name="Moneda 2 2 2 3 2 2 2" xfId="57806" xr:uid="{FD5AE11F-8A78-43FB-880E-3D2BF6A2C8EE}"/>
    <cellStyle name="Moneda 2 2 2 3 2 3" xfId="57805" xr:uid="{76709901-CD0B-418B-A42D-A51B4D92E2D7}"/>
    <cellStyle name="Moneda 2 2 2 3 3" xfId="20276" xr:uid="{A3C7CF41-4372-4EEF-8707-986C5CBE1555}"/>
    <cellStyle name="Moneda 2 2 2 3 3 2" xfId="57807" xr:uid="{9456C93A-7270-44AB-B238-C29B4347D3BD}"/>
    <cellStyle name="Moneda 2 2 2 3 4" xfId="57804" xr:uid="{33CF451F-9289-4526-84B3-18C9EDEC3254}"/>
    <cellStyle name="Moneda 2 2 2 4" xfId="8844" xr:uid="{3E49CF81-BAAC-437E-987C-2FBE150948AF}"/>
    <cellStyle name="Moneda 2 2 2 4 2" xfId="24257" xr:uid="{D248715F-74D2-43C1-8081-1309455C1CE4}"/>
    <cellStyle name="Moneda 2 2 2 4 2 2" xfId="57809" xr:uid="{DC4D5EEF-80AA-4563-92B9-570957D469FC}"/>
    <cellStyle name="Moneda 2 2 2 4 3" xfId="57808" xr:uid="{0B37A383-2483-472B-827F-35D12F1F10DB}"/>
    <cellStyle name="Moneda 2 2 2 5" xfId="16552" xr:uid="{4D5E5523-85AD-420C-9ACA-86F175099668}"/>
    <cellStyle name="Moneda 2 2 2 5 2" xfId="57810" xr:uid="{98D3C9B7-E90B-4455-96A3-18FC90178378}"/>
    <cellStyle name="Moneda 2 2 2 6" xfId="57795" xr:uid="{50318655-D0BE-4277-9941-686C399B842C}"/>
    <cellStyle name="Moneda 2 2 3" xfId="1954" xr:uid="{50BE5CF2-BAD3-4F29-B925-73D53CA4A059}"/>
    <cellStyle name="Moneda 2 2 3 2" xfId="5686" xr:uid="{39C05E50-5F15-40B3-B678-6D31595C7903}"/>
    <cellStyle name="Moneda 2 2 3 2 2" xfId="13394" xr:uid="{760C2CA2-19EA-41D7-B8D9-A6431794766F}"/>
    <cellStyle name="Moneda 2 2 3 2 2 2" xfId="28806" xr:uid="{674A41F6-AD9C-40BA-A4B0-553CECBC34A8}"/>
    <cellStyle name="Moneda 2 2 3 2 2 2 2" xfId="57814" xr:uid="{3C015D7F-760E-473A-83CE-AC6957E10467}"/>
    <cellStyle name="Moneda 2 2 3 2 2 3" xfId="57813" xr:uid="{B96D7508-F5E0-4906-8B75-849053CFCF4E}"/>
    <cellStyle name="Moneda 2 2 3 2 3" xfId="21101" xr:uid="{70EAD1AF-5FB6-4BA3-BEB7-445C1C8CF2B4}"/>
    <cellStyle name="Moneda 2 2 3 2 3 2" xfId="57815" xr:uid="{18B85FD4-9F6C-4B44-BC18-F8697889910C}"/>
    <cellStyle name="Moneda 2 2 3 2 4" xfId="57812" xr:uid="{8B8503F9-AA36-4BCA-9211-75CE8130C2C2}"/>
    <cellStyle name="Moneda 2 2 3 3" xfId="9665" xr:uid="{012AABA7-984E-4AFD-8400-984338EE6D43}"/>
    <cellStyle name="Moneda 2 2 3 3 2" xfId="25078" xr:uid="{ED5B80B0-FC39-47C5-A33E-81EE9B5B6197}"/>
    <cellStyle name="Moneda 2 2 3 3 2 2" xfId="57817" xr:uid="{5811A857-6FC8-4034-B6D0-CDEDEE1EB892}"/>
    <cellStyle name="Moneda 2 2 3 3 3" xfId="57816" xr:uid="{6EB1CF11-BF76-45DB-AA27-06DBF4AF1B86}"/>
    <cellStyle name="Moneda 2 2 3 4" xfId="17373" xr:uid="{412BAEA8-2F8F-411F-9157-48058C02C786}"/>
    <cellStyle name="Moneda 2 2 3 4 2" xfId="57818" xr:uid="{55E41F88-F6F9-447D-BD11-2C32D8E6E3F1}"/>
    <cellStyle name="Moneda 2 2 3 5" xfId="57811" xr:uid="{6FDFD9A5-A540-4517-BC19-0F9FB0965941}"/>
    <cellStyle name="Moneda 2 2 4" xfId="4209" xr:uid="{3060D81F-80F1-46DF-B577-64498A7A4934}"/>
    <cellStyle name="Moneda 2 2 4 2" xfId="11917" xr:uid="{6F0791CE-61EA-4FDC-9936-ECF35A1DC39E}"/>
    <cellStyle name="Moneda 2 2 4 2 2" xfId="27329" xr:uid="{E344BE53-BA62-4DA7-9035-4AA0BB65230C}"/>
    <cellStyle name="Moneda 2 2 4 2 2 2" xfId="57821" xr:uid="{85A5F990-8F21-4231-86FB-614E6A0C11D6}"/>
    <cellStyle name="Moneda 2 2 4 2 3" xfId="57820" xr:uid="{97843BA7-4DE7-4C10-8A38-EFD02F916066}"/>
    <cellStyle name="Moneda 2 2 4 3" xfId="19624" xr:uid="{628B34D9-34C5-419E-A25D-8067C23CE994}"/>
    <cellStyle name="Moneda 2 2 4 3 2" xfId="57822" xr:uid="{8B19D2B3-7D36-4E3B-B8D2-399389F280CC}"/>
    <cellStyle name="Moneda 2 2 4 4" xfId="57819" xr:uid="{CB43C227-FC06-4674-9B18-C1DBE7519B27}"/>
    <cellStyle name="Moneda 2 2 5" xfId="8206" xr:uid="{98019145-74D4-4448-BCEA-20DB91B60DF2}"/>
    <cellStyle name="Moneda 2 2 5 2" xfId="23619" xr:uid="{B626E62C-0454-499B-AF06-6FCB4976F3BA}"/>
    <cellStyle name="Moneda 2 2 5 2 2" xfId="57824" xr:uid="{EE766359-22C3-4CA3-9A26-4CF1A92F7B05}"/>
    <cellStyle name="Moneda 2 2 5 3" xfId="57823" xr:uid="{F7C4F74A-6394-406F-A994-ECE62A4E2DF9}"/>
    <cellStyle name="Moneda 2 2 6" xfId="15914" xr:uid="{861C1403-620F-453E-89AB-133E76BBC2C7}"/>
    <cellStyle name="Moneda 2 2 6 2" xfId="57825" xr:uid="{DFBDF454-F671-4863-AC6E-65A1B1FC2D6A}"/>
    <cellStyle name="Moneda 2 2 7" xfId="57794" xr:uid="{D6138974-2541-4924-B68E-997E03C45EC4}"/>
    <cellStyle name="Moneda 2 3" xfId="924" xr:uid="{95EC49B5-B19D-4FCD-8259-5C1394F626FA}"/>
    <cellStyle name="Moneda 2 3 2" xfId="2394" xr:uid="{554BBDC0-C5D8-4C77-80A6-27C6422875D2}"/>
    <cellStyle name="Moneda 2 3 2 2" xfId="6126" xr:uid="{BFE2AD00-9E32-454A-8321-6129D73AB2BA}"/>
    <cellStyle name="Moneda 2 3 2 2 2" xfId="13834" xr:uid="{E0376CC8-7DDE-481B-BBAC-48B7492BD6F3}"/>
    <cellStyle name="Moneda 2 3 2 2 2 2" xfId="29246" xr:uid="{DBFEDF90-6D71-4F1A-92E6-D17EC6A03C60}"/>
    <cellStyle name="Moneda 2 3 2 2 2 2 2" xfId="57830" xr:uid="{A63142DC-D07D-4E31-8CD2-6BB607721359}"/>
    <cellStyle name="Moneda 2 3 2 2 2 3" xfId="57829" xr:uid="{2D114087-84A7-45AB-9A57-BD59838FD2D0}"/>
    <cellStyle name="Moneda 2 3 2 2 3" xfId="21541" xr:uid="{94838D49-53B8-45C3-8354-B9FAF72B2183}"/>
    <cellStyle name="Moneda 2 3 2 2 3 2" xfId="57831" xr:uid="{C3154F67-866B-4E57-990E-A095EC32AD5F}"/>
    <cellStyle name="Moneda 2 3 2 2 4" xfId="57828" xr:uid="{1C6CAE0D-5E2E-47C3-BB55-548D8C634B66}"/>
    <cellStyle name="Moneda 2 3 2 3" xfId="10105" xr:uid="{432C74A6-3753-42BB-AC7F-9BE9A25B9A2E}"/>
    <cellStyle name="Moneda 2 3 2 3 2" xfId="25518" xr:uid="{F22356DB-9BD2-498C-995A-43A7846468FC}"/>
    <cellStyle name="Moneda 2 3 2 3 2 2" xfId="57833" xr:uid="{6E2EEA27-319A-4466-ADE1-023C6B911614}"/>
    <cellStyle name="Moneda 2 3 2 3 3" xfId="57832" xr:uid="{1C2F8874-8F40-40B3-8157-26D5FBA968DE}"/>
    <cellStyle name="Moneda 2 3 2 4" xfId="17813" xr:uid="{D99494BC-1A66-4F31-B64A-16D0D00B4D9D}"/>
    <cellStyle name="Moneda 2 3 2 4 2" xfId="57834" xr:uid="{136F6AD7-CB55-4252-B511-60961E3D6D04}"/>
    <cellStyle name="Moneda 2 3 2 5" xfId="57827" xr:uid="{79FB7D62-8A96-4A8A-A886-76FDE0EA1A65}"/>
    <cellStyle name="Moneda 2 3 3" xfId="4661" xr:uid="{3D66728B-4FEC-4BF8-B35C-CF71B2433142}"/>
    <cellStyle name="Moneda 2 3 3 2" xfId="12369" xr:uid="{0EC96AE4-C0BC-4066-84D3-8FEA3B940579}"/>
    <cellStyle name="Moneda 2 3 3 2 2" xfId="27781" xr:uid="{E2ED7384-9C23-4B1B-A0B3-036B9C398A76}"/>
    <cellStyle name="Moneda 2 3 3 2 2 2" xfId="57837" xr:uid="{44DBF300-F08C-43CE-AEAF-99FF6CD72A1C}"/>
    <cellStyle name="Moneda 2 3 3 2 3" xfId="57836" xr:uid="{BE2234B0-405A-4C9C-AC93-6B6A41D1BF73}"/>
    <cellStyle name="Moneda 2 3 3 3" xfId="20076" xr:uid="{EA337D2B-7541-44DC-8FE7-93291BD681F0}"/>
    <cellStyle name="Moneda 2 3 3 3 2" xfId="57838" xr:uid="{712F0948-02BC-44BA-99C7-A8721BE50C43}"/>
    <cellStyle name="Moneda 2 3 3 4" xfId="57835" xr:uid="{B69DB5C4-65FE-44F7-B2AA-C87A28443AD4}"/>
    <cellStyle name="Moneda 2 3 4" xfId="8646" xr:uid="{4F231114-D60C-40B8-97A7-DB93E0F27626}"/>
    <cellStyle name="Moneda 2 3 4 2" xfId="24059" xr:uid="{A6C7D3AE-30B1-4104-AA7A-661CC72B4F9F}"/>
    <cellStyle name="Moneda 2 3 4 2 2" xfId="57840" xr:uid="{802A08EE-C9F9-4399-94A4-EA039B3C4D57}"/>
    <cellStyle name="Moneda 2 3 4 3" xfId="57839" xr:uid="{866BCC7B-2ED4-43C2-85A4-B6ADCED8291D}"/>
    <cellStyle name="Moneda 2 3 5" xfId="16354" xr:uid="{7E807A3D-6005-471F-8939-D73EFACCA2E3}"/>
    <cellStyle name="Moneda 2 3 5 2" xfId="57841" xr:uid="{443BFB7A-855E-4D9B-BA28-A561D224852E}"/>
    <cellStyle name="Moneda 2 3 6" xfId="57826" xr:uid="{766281B0-E277-4DF2-8DBA-5DB821A11E8C}"/>
    <cellStyle name="Moneda 2 4" xfId="1756" xr:uid="{0B7C8873-63CA-4CA1-8A6D-261B1E468DF5}"/>
    <cellStyle name="Moneda 2 4 2" xfId="5488" xr:uid="{426F56F3-AC5F-448E-B062-5D3629600E18}"/>
    <cellStyle name="Moneda 2 4 2 2" xfId="13196" xr:uid="{81DEC882-A6D9-4EA9-8E11-21C7E4C7E68B}"/>
    <cellStyle name="Moneda 2 4 2 2 2" xfId="28608" xr:uid="{E3859BBB-B043-41FD-804B-6364E6CEBAA3}"/>
    <cellStyle name="Moneda 2 4 2 2 2 2" xfId="57845" xr:uid="{69E0A7C6-74C6-43FC-92AF-0696F8089BBE}"/>
    <cellStyle name="Moneda 2 4 2 2 3" xfId="57844" xr:uid="{41A6E22C-A001-4CB7-A3B3-AD9A1462949C}"/>
    <cellStyle name="Moneda 2 4 2 3" xfId="20903" xr:uid="{16BB32A8-341A-4F38-9E55-8BF51F7D3621}"/>
    <cellStyle name="Moneda 2 4 2 3 2" xfId="57846" xr:uid="{09E26657-EE82-450B-B3F1-EDA87CA77E09}"/>
    <cellStyle name="Moneda 2 4 2 4" xfId="57843" xr:uid="{63BD2405-4F5D-4345-B85F-F66FD4786F91}"/>
    <cellStyle name="Moneda 2 4 3" xfId="9467" xr:uid="{2DD068EE-352A-4311-8092-29B3685293B8}"/>
    <cellStyle name="Moneda 2 4 3 2" xfId="24880" xr:uid="{1B73967B-92F7-403E-BE37-3B18C7D334BF}"/>
    <cellStyle name="Moneda 2 4 3 2 2" xfId="57848" xr:uid="{65642BAE-C958-4A20-8FDF-712FDCAFA7D6}"/>
    <cellStyle name="Moneda 2 4 3 3" xfId="57847" xr:uid="{710922DC-F507-4DDD-8E13-BAE51B212AEE}"/>
    <cellStyle name="Moneda 2 4 4" xfId="17175" xr:uid="{EEB578D7-71B5-452E-AE4D-A88682986124}"/>
    <cellStyle name="Moneda 2 4 4 2" xfId="57849" xr:uid="{659ADEFB-20E0-4E41-84F0-438553D8984F}"/>
    <cellStyle name="Moneda 2 4 5" xfId="57842" xr:uid="{D75A657A-20EF-4F3C-8D82-417FE15F19BB}"/>
    <cellStyle name="Moneda 2 5" xfId="4009" xr:uid="{D1BAC32F-5212-460E-B1A5-B806591C90E4}"/>
    <cellStyle name="Moneda 2 5 2" xfId="11717" xr:uid="{9709B71E-F838-4EC2-A442-ADD8382CA631}"/>
    <cellStyle name="Moneda 2 5 2 2" xfId="27129" xr:uid="{A7A67705-DBC6-4BD9-860C-9AC90245D1B7}"/>
    <cellStyle name="Moneda 2 5 2 2 2" xfId="57852" xr:uid="{EBBA5B87-3170-446A-9CB6-5AADE52BAF52}"/>
    <cellStyle name="Moneda 2 5 2 3" xfId="57851" xr:uid="{D04AE241-0298-4FAC-8156-F161F8E511ED}"/>
    <cellStyle name="Moneda 2 5 3" xfId="19424" xr:uid="{2495EF7B-41BC-4248-A990-481395AA1AF4}"/>
    <cellStyle name="Moneda 2 5 3 2" xfId="57853" xr:uid="{9AA71299-39B4-4ADB-A9C1-1CF9AA6C45D7}"/>
    <cellStyle name="Moneda 2 5 4" xfId="57850" xr:uid="{1DEBBBCF-EB1F-4420-ACDB-1D4C289AAC95}"/>
    <cellStyle name="Moneda 2 6" xfId="8008" xr:uid="{5AE4F3C4-D26A-4362-8FEA-3B93C03ED2D5}"/>
    <cellStyle name="Moneda 2 6 2" xfId="23421" xr:uid="{C6559FE8-9404-48F3-918C-17C24E3AE043}"/>
    <cellStyle name="Moneda 2 6 2 2" xfId="57855" xr:uid="{2C826A24-DA77-4383-9A70-EB5B6903D6B3}"/>
    <cellStyle name="Moneda 2 6 3" xfId="57854" xr:uid="{F309D7C2-C12A-4B80-9AA0-2B1AA3A21238}"/>
    <cellStyle name="Moneda 2 7" xfId="15716" xr:uid="{30532408-48E9-49EB-8471-167985DEA44E}"/>
    <cellStyle name="Moneda 2 7 2" xfId="57856" xr:uid="{3A4DBC72-D533-45DE-89F7-1A521BC99CB4}"/>
    <cellStyle name="Moneda 2 8" xfId="57793" xr:uid="{69DAA463-A1B9-4176-A5CD-2CC674176EF9}"/>
    <cellStyle name="Moneda 3" xfId="70" xr:uid="{9ACECA1E-9529-41FF-98C3-D816633FCF76}"/>
    <cellStyle name="Moneda 3 2" xfId="1427" xr:uid="{85940889-DB55-4194-A394-F4BFE1FBFC0A}"/>
    <cellStyle name="Moneda 3 2 2" xfId="5163" xr:uid="{7DB3D02F-A199-4FE4-8CBB-BEEB67E83ED9}"/>
    <cellStyle name="Moneda 3 2 2 2" xfId="12871" xr:uid="{82F4A82B-E1E9-43C2-844F-495C375413FA}"/>
    <cellStyle name="Moneda 3 2 2 2 2" xfId="28283" xr:uid="{60E252CE-4C23-4179-9BCF-B6B35C84FFC3}"/>
    <cellStyle name="Moneda 3 2 2 2 2 2" xfId="57861" xr:uid="{9AF614CC-DBEB-4926-AE78-2BDB7E7DDB05}"/>
    <cellStyle name="Moneda 3 2 2 2 3" xfId="57860" xr:uid="{28D7D9C5-B694-4B97-A61C-01CFF2D0D38F}"/>
    <cellStyle name="Moneda 3 2 2 3" xfId="20578" xr:uid="{84A2C686-DA43-4F2F-8C07-3A3491E7750D}"/>
    <cellStyle name="Moneda 3 2 2 3 2" xfId="57862" xr:uid="{A507888E-A43B-452E-B4A8-EE7A06956A8E}"/>
    <cellStyle name="Moneda 3 2 2 4" xfId="57859" xr:uid="{F2558E9D-1697-4F03-9E5B-3E48363EA9DB}"/>
    <cellStyle name="Moneda 3 2 3" xfId="57858" xr:uid="{56E2C8ED-A36E-4589-B15A-B1B54D8AFFC3}"/>
    <cellStyle name="Moneda 3 3" xfId="4565" xr:uid="{C55AFFE2-9F29-487F-9876-2D67B3389DD5}"/>
    <cellStyle name="Moneda 3 3 2" xfId="12273" xr:uid="{DF03479B-96C0-4A41-B623-257EEA310234}"/>
    <cellStyle name="Moneda 3 3 2 2" xfId="27685" xr:uid="{A1C48FE9-B8BA-4639-9753-2CDA0C8EBFE2}"/>
    <cellStyle name="Moneda 3 3 2 2 2" xfId="57865" xr:uid="{38B765D3-9A65-4FCD-8C8E-D94B0BA446CD}"/>
    <cellStyle name="Moneda 3 3 2 3" xfId="57864" xr:uid="{C6B44D63-FCDD-4E0C-B606-9594D5349ECE}"/>
    <cellStyle name="Moneda 3 3 3" xfId="19980" xr:uid="{F7A87647-27C5-434A-A49F-E48CA400154A}"/>
    <cellStyle name="Moneda 3 3 3 2" xfId="57866" xr:uid="{B1159F4F-D8D7-4A21-8C20-5FD5281C3417}"/>
    <cellStyle name="Moneda 3 3 4" xfId="57863" xr:uid="{C7CE9C1A-F0C4-417A-91B8-D940EBDBA6DF}"/>
    <cellStyle name="Moneda 3 4" xfId="57857" xr:uid="{5D2B7177-911B-473F-8B51-8ABA36222223}"/>
    <cellStyle name="Moneda 3 5" xfId="828" xr:uid="{7C6CAEA2-58A6-49F0-BBE8-67F356533449}"/>
    <cellStyle name="Neutral" xfId="47" builtinId="28" customBuiltin="1"/>
    <cellStyle name="Neutral 2" xfId="44" xr:uid="{41CDE749-1B2D-4C74-9EAE-BE9D3386B83A}"/>
    <cellStyle name="Neutral 2 2" xfId="57867" xr:uid="{E646D09D-9660-44DA-AA22-03ADEACAFA9C}"/>
    <cellStyle name="Neutral 3" xfId="222" xr:uid="{47936328-63B7-4C9D-BBCE-6BEAC1941BF2}"/>
    <cellStyle name="Neutral 3 2" xfId="57868" xr:uid="{94469A59-E4CC-4794-A4E9-019BC8A1D649}"/>
    <cellStyle name="Normal" xfId="0" builtinId="0"/>
    <cellStyle name="Normal 10" xfId="116" xr:uid="{63BA9CB5-99F6-4C96-8E39-DBB11AA8D746}"/>
    <cellStyle name="Normal 10 10" xfId="57869" xr:uid="{994073FF-530B-4917-BCB3-52C3BA8055DA}"/>
    <cellStyle name="Normal 10 2" xfId="151" xr:uid="{9B2D60EA-730D-4BC4-9E4E-7E1572D8F33A}"/>
    <cellStyle name="Normal 10 2 2" xfId="215" xr:uid="{10A18A9C-F10B-47B6-B419-378AA14C11A0}"/>
    <cellStyle name="Normal 10 2 2 2" xfId="419" xr:uid="{E50ECD0C-FA2F-4277-B9E1-05CA666B9005}"/>
    <cellStyle name="Normal 10 2 2 2 2" xfId="1081" xr:uid="{67192483-CF0E-4A9E-99EA-16BDDABCBE53}"/>
    <cellStyle name="Normal 10 2 2 2 2 2" xfId="2549" xr:uid="{D746E08A-1C73-4163-8669-F374E877619E}"/>
    <cellStyle name="Normal 10 2 2 2 2 2 2" xfId="6281" xr:uid="{31ACC97D-5017-4997-B294-47A53DEA3334}"/>
    <cellStyle name="Normal 10 2 2 2 2 2 2 2" xfId="13989" xr:uid="{176A4BDB-F76E-470A-BA97-8777BD01DEA5}"/>
    <cellStyle name="Normal 10 2 2 2 2 2 2 2 2" xfId="29401" xr:uid="{3B0F701C-531C-4F30-B531-C36AD101CA15}"/>
    <cellStyle name="Normal 10 2 2 2 2 2 2 2 2 2" xfId="57877" xr:uid="{B67AF2BF-265E-4686-B8EE-016E821F632A}"/>
    <cellStyle name="Normal 10 2 2 2 2 2 2 2 3" xfId="57876" xr:uid="{8646DEC5-6F9F-4B6D-A17B-CFEB0E7AED47}"/>
    <cellStyle name="Normal 10 2 2 2 2 2 2 3" xfId="21696" xr:uid="{9B569CB3-4197-4CBE-AAE9-F2C37E01EC82}"/>
    <cellStyle name="Normal 10 2 2 2 2 2 2 3 2" xfId="57878" xr:uid="{A18E94FD-0449-49C7-9EE2-DBC1A2E528F1}"/>
    <cellStyle name="Normal 10 2 2 2 2 2 2 4" xfId="57875" xr:uid="{24145E4D-F339-4BA6-9BA4-9316547D760C}"/>
    <cellStyle name="Normal 10 2 2 2 2 2 3" xfId="10260" xr:uid="{E054C1B0-D84B-418A-B05F-176CD2138B89}"/>
    <cellStyle name="Normal 10 2 2 2 2 2 3 2" xfId="25673" xr:uid="{9A0B76D7-E383-4055-AD5F-D3CDD4A8731A}"/>
    <cellStyle name="Normal 10 2 2 2 2 2 3 2 2" xfId="57880" xr:uid="{5027B07B-47A0-4826-BB95-4ADEB44761DE}"/>
    <cellStyle name="Normal 10 2 2 2 2 2 3 3" xfId="57879" xr:uid="{181AF3C2-999F-43C6-B17B-8C8F00A828A9}"/>
    <cellStyle name="Normal 10 2 2 2 2 2 4" xfId="17968" xr:uid="{3D504170-DBCA-410B-8CD1-3BDA4A0F4457}"/>
    <cellStyle name="Normal 10 2 2 2 2 2 4 2" xfId="57881" xr:uid="{F7B2533B-758A-4B5A-B5CB-11E805CAB3C0}"/>
    <cellStyle name="Normal 10 2 2 2 2 2 5" xfId="57874" xr:uid="{0F0A3B70-C810-40FE-85BF-988CEB3176F5}"/>
    <cellStyle name="Normal 10 2 2 2 2 3" xfId="4818" xr:uid="{5948E078-DA68-4963-948D-3FFDFD4401C9}"/>
    <cellStyle name="Normal 10 2 2 2 2 3 2" xfId="12526" xr:uid="{CB024D1B-F1E9-4D5B-8183-10CDE1EDF28C}"/>
    <cellStyle name="Normal 10 2 2 2 2 3 2 2" xfId="27938" xr:uid="{15BDD234-DFC1-4CB6-9F15-5D3C3C383836}"/>
    <cellStyle name="Normal 10 2 2 2 2 3 2 2 2" xfId="57884" xr:uid="{F099F83B-BFDF-46D6-88D5-67F8FF3465A9}"/>
    <cellStyle name="Normal 10 2 2 2 2 3 2 3" xfId="57883" xr:uid="{D11B0ADB-C187-4AED-91E1-02A424D309CB}"/>
    <cellStyle name="Normal 10 2 2 2 2 3 3" xfId="20233" xr:uid="{D756C3BA-7334-4AB3-AFBB-A2962CE5EA75}"/>
    <cellStyle name="Normal 10 2 2 2 2 3 3 2" xfId="57885" xr:uid="{251EA7A4-25CA-402F-A2CF-D442B4B7A49A}"/>
    <cellStyle name="Normal 10 2 2 2 2 3 4" xfId="57882" xr:uid="{671BBE39-DFD4-4AE1-843F-2BFC1A0C89E9}"/>
    <cellStyle name="Normal 10 2 2 2 2 4" xfId="8801" xr:uid="{698C728A-2F40-4234-AF79-CF62153F5636}"/>
    <cellStyle name="Normal 10 2 2 2 2 4 2" xfId="24214" xr:uid="{7C06A0DD-B13B-443A-A4A5-AAAADEA3477A}"/>
    <cellStyle name="Normal 10 2 2 2 2 4 2 2" xfId="57887" xr:uid="{DF3EF8E9-F0C7-4FD4-B110-6F8555BB7596}"/>
    <cellStyle name="Normal 10 2 2 2 2 4 3" xfId="57886" xr:uid="{F98B672A-349E-4514-8F8D-CB34DFE6C502}"/>
    <cellStyle name="Normal 10 2 2 2 2 5" xfId="16509" xr:uid="{3E2BF824-B48F-4D4A-91C9-D6FA6777D6BA}"/>
    <cellStyle name="Normal 10 2 2 2 2 5 2" xfId="57888" xr:uid="{15D97448-0444-4CF4-B395-EA6920600490}"/>
    <cellStyle name="Normal 10 2 2 2 2 6" xfId="57873" xr:uid="{D77051AD-EF1E-43C4-877B-3EC88DF10FE4}"/>
    <cellStyle name="Normal 10 2 2 2 3" xfId="1911" xr:uid="{98C49EC0-DC1E-4E63-8C9E-D4C5E97E9CE9}"/>
    <cellStyle name="Normal 10 2 2 2 3 2" xfId="5643" xr:uid="{B2396D80-15A6-4031-BEB4-0B8B0342FC5A}"/>
    <cellStyle name="Normal 10 2 2 2 3 2 2" xfId="13351" xr:uid="{09E304A1-6785-4AD8-8EB2-6811AE7E616E}"/>
    <cellStyle name="Normal 10 2 2 2 3 2 2 2" xfId="28763" xr:uid="{6BD0F77B-D6D4-4725-B8FF-848290B06A37}"/>
    <cellStyle name="Normal 10 2 2 2 3 2 2 2 2" xfId="57892" xr:uid="{3967BADF-45E2-4587-9F18-F217E638A73F}"/>
    <cellStyle name="Normal 10 2 2 2 3 2 2 3" xfId="57891" xr:uid="{EDD59F25-3663-4841-9900-4D871CFDF71D}"/>
    <cellStyle name="Normal 10 2 2 2 3 2 3" xfId="21058" xr:uid="{BAFC2AD7-6A3F-42F2-9CB6-9D7C7A2B7F51}"/>
    <cellStyle name="Normal 10 2 2 2 3 2 3 2" xfId="57893" xr:uid="{9E1842DC-3D42-421C-AA23-45B575BAA220}"/>
    <cellStyle name="Normal 10 2 2 2 3 2 4" xfId="57890" xr:uid="{5DAFD5E2-6249-4B30-9FA4-0F847CA270FD}"/>
    <cellStyle name="Normal 10 2 2 2 3 3" xfId="9622" xr:uid="{DAF96474-E594-4933-845D-6960CD036040}"/>
    <cellStyle name="Normal 10 2 2 2 3 3 2" xfId="25035" xr:uid="{1B00FB5D-A686-45AF-9FDD-30DE970CAA07}"/>
    <cellStyle name="Normal 10 2 2 2 3 3 2 2" xfId="57895" xr:uid="{FCDF41ED-8631-494D-BFF3-C816B7F97172}"/>
    <cellStyle name="Normal 10 2 2 2 3 3 3" xfId="57894" xr:uid="{AB568728-E5C0-44EB-90CE-D5621ADB2AB0}"/>
    <cellStyle name="Normal 10 2 2 2 3 4" xfId="17330" xr:uid="{4432FC89-9C3F-4C42-A901-732842C14A6E}"/>
    <cellStyle name="Normal 10 2 2 2 3 4 2" xfId="57896" xr:uid="{951BE899-18C8-44E6-B709-7B3389E4E6BB}"/>
    <cellStyle name="Normal 10 2 2 2 3 5" xfId="57889" xr:uid="{AB848F0D-2EB5-41CE-9684-75F31A4B00D6}"/>
    <cellStyle name="Normal 10 2 2 2 4" xfId="4166" xr:uid="{F013D42A-1532-4DA4-B652-1EFED4D1EF37}"/>
    <cellStyle name="Normal 10 2 2 2 4 2" xfId="11874" xr:uid="{78E15462-B434-442B-A308-F294448E5E5D}"/>
    <cellStyle name="Normal 10 2 2 2 4 2 2" xfId="27286" xr:uid="{0132B8C9-31BB-4030-8FFA-90BD1276F6CB}"/>
    <cellStyle name="Normal 10 2 2 2 4 2 2 2" xfId="57899" xr:uid="{E9A878B0-ACAA-4367-94FF-DA0374F89FF7}"/>
    <cellStyle name="Normal 10 2 2 2 4 2 3" xfId="57898" xr:uid="{C7C9F1CB-481C-4511-B97B-4EFF1F0939ED}"/>
    <cellStyle name="Normal 10 2 2 2 4 3" xfId="19581" xr:uid="{53DE595C-77B3-4CAB-B389-A50C057F4E19}"/>
    <cellStyle name="Normal 10 2 2 2 4 3 2" xfId="57900" xr:uid="{ED1EBEF9-8F43-4DE2-AFA2-95387A66456F}"/>
    <cellStyle name="Normal 10 2 2 2 4 4" xfId="57897" xr:uid="{2C53359B-495E-4E9F-8AEC-A5CBDA81A579}"/>
    <cellStyle name="Normal 10 2 2 2 5" xfId="8163" xr:uid="{346174B2-2A5A-4485-876E-03BDFE3DCC0A}"/>
    <cellStyle name="Normal 10 2 2 2 5 2" xfId="23576" xr:uid="{715D12E1-CF2C-481B-884F-B57E926DE4D2}"/>
    <cellStyle name="Normal 10 2 2 2 5 2 2" xfId="57902" xr:uid="{A962895A-5830-4577-AFD7-EDAC490107B1}"/>
    <cellStyle name="Normal 10 2 2 2 5 3" xfId="57901" xr:uid="{DE70EEE3-1B77-4B27-88D5-E99F3B1A9BB3}"/>
    <cellStyle name="Normal 10 2 2 2 6" xfId="15871" xr:uid="{997C32CF-33AB-4BBF-9EB0-865590B6C4AE}"/>
    <cellStyle name="Normal 10 2 2 2 6 2" xfId="57903" xr:uid="{93455F8C-A281-485B-9A83-4661C287980A}"/>
    <cellStyle name="Normal 10 2 2 2 7" xfId="57872" xr:uid="{00EA227A-33F8-477B-8399-D793243F3B99}"/>
    <cellStyle name="Normal 10 2 2 3" xfId="881" xr:uid="{1D8737A9-A3D1-4E97-A361-55C9DB5BB6A5}"/>
    <cellStyle name="Normal 10 2 2 3 2" xfId="2351" xr:uid="{B44E4338-E289-4F36-9D50-B35229B4D477}"/>
    <cellStyle name="Normal 10 2 2 3 2 2" xfId="6083" xr:uid="{9B3C30A6-8285-430C-84CD-14E8441375D0}"/>
    <cellStyle name="Normal 10 2 2 3 2 2 2" xfId="13791" xr:uid="{0D887445-0D9C-402E-90FD-5746C36677C3}"/>
    <cellStyle name="Normal 10 2 2 3 2 2 2 2" xfId="29203" xr:uid="{35F3C850-AAE7-436C-BF87-E1FC93F7164F}"/>
    <cellStyle name="Normal 10 2 2 3 2 2 2 2 2" xfId="57908" xr:uid="{F4B0DE84-6AB1-42F4-8729-47698FBB7AD8}"/>
    <cellStyle name="Normal 10 2 2 3 2 2 2 3" xfId="57907" xr:uid="{7CEC0CA3-F546-4E4B-A4F6-9C185ADAE351}"/>
    <cellStyle name="Normal 10 2 2 3 2 2 3" xfId="21498" xr:uid="{919DE443-6274-4793-B735-A76CA9693948}"/>
    <cellStyle name="Normal 10 2 2 3 2 2 3 2" xfId="57909" xr:uid="{97350B3A-EE96-41D9-A924-86AACC0B68E6}"/>
    <cellStyle name="Normal 10 2 2 3 2 2 4" xfId="57906" xr:uid="{A2094A97-DE5F-402D-B298-3130DEC6A2D3}"/>
    <cellStyle name="Normal 10 2 2 3 2 3" xfId="10062" xr:uid="{3D3DF18A-6E67-4496-BD0F-1145C6B9DB84}"/>
    <cellStyle name="Normal 10 2 2 3 2 3 2" xfId="25475" xr:uid="{483DA2A1-5B1F-4272-A877-6C125C9DA2DB}"/>
    <cellStyle name="Normal 10 2 2 3 2 3 2 2" xfId="57911" xr:uid="{8D12353E-842A-4F4C-8C9D-F0881BF5C8F7}"/>
    <cellStyle name="Normal 10 2 2 3 2 3 3" xfId="57910" xr:uid="{121499C1-1B8C-45A4-8683-3CB52B9CF109}"/>
    <cellStyle name="Normal 10 2 2 3 2 4" xfId="17770" xr:uid="{106CD7BA-E20B-4CA3-8009-FB35A9C1E7C8}"/>
    <cellStyle name="Normal 10 2 2 3 2 4 2" xfId="57912" xr:uid="{7998DDF7-9F45-45B1-BCBD-F8B20FCF0930}"/>
    <cellStyle name="Normal 10 2 2 3 2 5" xfId="57905" xr:uid="{A2556761-AED5-40A7-ACB8-72647B7AC695}"/>
    <cellStyle name="Normal 10 2 2 3 3" xfId="4618" xr:uid="{48D8CE71-D47A-4BD4-B891-89EC1D3360AA}"/>
    <cellStyle name="Normal 10 2 2 3 3 2" xfId="12326" xr:uid="{75D6D6FE-3FA9-4E11-883C-14277B4DD15F}"/>
    <cellStyle name="Normal 10 2 2 3 3 2 2" xfId="27738" xr:uid="{7DB0DA84-8C3D-447A-9FBA-81EFF2AF07F2}"/>
    <cellStyle name="Normal 10 2 2 3 3 2 2 2" xfId="57915" xr:uid="{C68B8172-5DAD-4F8A-BDCD-1F613997C6F6}"/>
    <cellStyle name="Normal 10 2 2 3 3 2 3" xfId="57914" xr:uid="{8FE102DD-A306-4461-A873-9980E1FE2AA9}"/>
    <cellStyle name="Normal 10 2 2 3 3 3" xfId="20033" xr:uid="{0C556182-03D0-465C-8EFA-16C459515BC1}"/>
    <cellStyle name="Normal 10 2 2 3 3 3 2" xfId="57916" xr:uid="{2B73FD1A-1DB1-4309-95C4-27BB551C4D86}"/>
    <cellStyle name="Normal 10 2 2 3 3 4" xfId="57913" xr:uid="{2FF0421B-23D9-4AE3-9679-76E4D055CD0B}"/>
    <cellStyle name="Normal 10 2 2 3 4" xfId="8603" xr:uid="{61DCD85B-FFBC-4B68-BD6A-60770A3FA922}"/>
    <cellStyle name="Normal 10 2 2 3 4 2" xfId="24016" xr:uid="{04DC7C57-C580-48B7-9EEC-27D8F2B7A9E6}"/>
    <cellStyle name="Normal 10 2 2 3 4 2 2" xfId="57918" xr:uid="{B12B424E-1036-42D5-9487-5531D0F82552}"/>
    <cellStyle name="Normal 10 2 2 3 4 3" xfId="57917" xr:uid="{3C4348AD-CC4D-41D8-9469-68254AC24FCD}"/>
    <cellStyle name="Normal 10 2 2 3 5" xfId="16311" xr:uid="{CFA78EEA-0CAA-4E8D-8026-91DFDF3A1BCD}"/>
    <cellStyle name="Normal 10 2 2 3 5 2" xfId="57919" xr:uid="{72DFE95D-ECB3-4AD7-A924-74699742B666}"/>
    <cellStyle name="Normal 10 2 2 3 6" xfId="57904" xr:uid="{ACC09745-CD9A-4A87-A5AD-FEC05117D624}"/>
    <cellStyle name="Normal 10 2 2 4" xfId="1713" xr:uid="{47392DC2-68C9-4586-9322-A94C7C3886D7}"/>
    <cellStyle name="Normal 10 2 2 4 2" xfId="5445" xr:uid="{979A198A-E7A5-4870-A272-EA7D2542A6AA}"/>
    <cellStyle name="Normal 10 2 2 4 2 2" xfId="13153" xr:uid="{0EB38F73-DCCD-4B2D-AF48-5D1B3B07FDFB}"/>
    <cellStyle name="Normal 10 2 2 4 2 2 2" xfId="28565" xr:uid="{E9ED8629-480C-4433-BCA0-D72FBCF4FFD4}"/>
    <cellStyle name="Normal 10 2 2 4 2 2 2 2" xfId="57923" xr:uid="{3E19C729-0377-4E52-9EB2-FCEEE1E20FE1}"/>
    <cellStyle name="Normal 10 2 2 4 2 2 3" xfId="57922" xr:uid="{83E4BFD6-A3E8-487E-8601-928A5C867424}"/>
    <cellStyle name="Normal 10 2 2 4 2 3" xfId="20860" xr:uid="{BEB24A2C-22D7-4326-8BC8-1CF1D42B0C3A}"/>
    <cellStyle name="Normal 10 2 2 4 2 3 2" xfId="57924" xr:uid="{D457C86D-3BDC-45B5-ADC8-3812009154C7}"/>
    <cellStyle name="Normal 10 2 2 4 2 4" xfId="57921" xr:uid="{B9D98138-EA2D-4661-9443-725356CE95A7}"/>
    <cellStyle name="Normal 10 2 2 4 3" xfId="9424" xr:uid="{B5535798-BE0A-4545-833B-AA925E0D0299}"/>
    <cellStyle name="Normal 10 2 2 4 3 2" xfId="24837" xr:uid="{09F55D18-75DA-4D4C-B175-6442765A4C16}"/>
    <cellStyle name="Normal 10 2 2 4 3 2 2" xfId="57926" xr:uid="{515AD46F-C7A3-4278-8C21-E1CACA29C1F0}"/>
    <cellStyle name="Normal 10 2 2 4 3 3" xfId="57925" xr:uid="{C72D7A00-FE9C-4D9D-B6F5-AD0D2E6303B9}"/>
    <cellStyle name="Normal 10 2 2 4 4" xfId="17132" xr:uid="{5663D5D8-2D42-42CB-A6DD-505AD424A06A}"/>
    <cellStyle name="Normal 10 2 2 4 4 2" xfId="57927" xr:uid="{24911C9F-1E84-4BC1-B9BC-F220505F6D3A}"/>
    <cellStyle name="Normal 10 2 2 4 5" xfId="57920" xr:uid="{08C26EC2-E491-4F83-AA84-15C27CF4E451}"/>
    <cellStyle name="Normal 10 2 2 5" xfId="3966" xr:uid="{DEBE4C24-88D6-4544-AEDE-1122BE6FA49E}"/>
    <cellStyle name="Normal 10 2 2 5 2" xfId="11674" xr:uid="{FF867CED-3078-49D7-A658-AD45B1F191C8}"/>
    <cellStyle name="Normal 10 2 2 5 2 2" xfId="27086" xr:uid="{161353B4-AC0A-420D-9026-8EE59712AEAC}"/>
    <cellStyle name="Normal 10 2 2 5 2 2 2" xfId="57930" xr:uid="{2D3218B6-E564-401D-AC89-F5482A64785E}"/>
    <cellStyle name="Normal 10 2 2 5 2 3" xfId="57929" xr:uid="{67F90A05-26B1-487D-8F0D-D195CEC7B592}"/>
    <cellStyle name="Normal 10 2 2 5 3" xfId="19381" xr:uid="{2D87783E-BD03-4197-8065-E240CC9DC514}"/>
    <cellStyle name="Normal 10 2 2 5 3 2" xfId="57931" xr:uid="{DD0561F8-F9E1-4512-BDEB-17188D3C51EB}"/>
    <cellStyle name="Normal 10 2 2 5 4" xfId="57928" xr:uid="{14DFB3A3-1E16-4F7D-B5FD-7C7365431926}"/>
    <cellStyle name="Normal 10 2 2 6" xfId="7965" xr:uid="{B8392119-C944-4570-8721-EF951665FED5}"/>
    <cellStyle name="Normal 10 2 2 6 2" xfId="23378" xr:uid="{6488EEAE-B2B1-4146-8FA5-37C77E3C822F}"/>
    <cellStyle name="Normal 10 2 2 6 2 2" xfId="57933" xr:uid="{BCB4FC60-6E22-436C-83B3-58EAD029C44C}"/>
    <cellStyle name="Normal 10 2 2 6 3" xfId="57932" xr:uid="{9B181137-6F61-46AE-9634-1084A164033C}"/>
    <cellStyle name="Normal 10 2 2 7" xfId="15673" xr:uid="{76145824-4B13-418D-AC41-9381D90E97E7}"/>
    <cellStyle name="Normal 10 2 2 7 2" xfId="57934" xr:uid="{11457FC9-44E4-4059-AAFD-59628CD60E2F}"/>
    <cellStyle name="Normal 10 2 2 8" xfId="57871" xr:uid="{D1A55029-FCF0-4306-9815-91DB30E3CCAE}"/>
    <cellStyle name="Normal 10 2 3" xfId="368" xr:uid="{BEB86956-11A1-4CDD-B548-3E09581D4C8B}"/>
    <cellStyle name="Normal 10 2 3 2" xfId="1030" xr:uid="{5E43C595-C4C5-4906-A71D-B7A34AD80483}"/>
    <cellStyle name="Normal 10 2 3 2 2" xfId="2499" xr:uid="{744FA531-2B9B-4D9F-9B80-9323DFDD8DCF}"/>
    <cellStyle name="Normal 10 2 3 2 2 2" xfId="6231" xr:uid="{369A8D47-26F2-4336-8311-5F25D9936804}"/>
    <cellStyle name="Normal 10 2 3 2 2 2 2" xfId="13939" xr:uid="{76E30710-ECBC-4000-9C16-D2D3D3C9FD1B}"/>
    <cellStyle name="Normal 10 2 3 2 2 2 2 2" xfId="29351" xr:uid="{A3D8D31F-B2A2-4452-B225-DDBFECC36EAF}"/>
    <cellStyle name="Normal 10 2 3 2 2 2 2 2 2" xfId="57940" xr:uid="{4FB10936-4C2E-44C5-9AB0-8E2CAE8F8C98}"/>
    <cellStyle name="Normal 10 2 3 2 2 2 2 3" xfId="57939" xr:uid="{3F55BA7A-B933-4C16-AA78-C724BE620C33}"/>
    <cellStyle name="Normal 10 2 3 2 2 2 3" xfId="21646" xr:uid="{47B401BF-3960-4DAF-A990-241D4F49F917}"/>
    <cellStyle name="Normal 10 2 3 2 2 2 3 2" xfId="57941" xr:uid="{08E2F940-CDD8-4560-8262-3753874A9B43}"/>
    <cellStyle name="Normal 10 2 3 2 2 2 4" xfId="57938" xr:uid="{2954D0B4-802D-49E0-AF83-8FB43D64701A}"/>
    <cellStyle name="Normal 10 2 3 2 2 3" xfId="10210" xr:uid="{B717D06F-938B-402F-A9FB-7FF352E69E2F}"/>
    <cellStyle name="Normal 10 2 3 2 2 3 2" xfId="25623" xr:uid="{48BD67D1-4DE1-4AF2-A842-05769942145D}"/>
    <cellStyle name="Normal 10 2 3 2 2 3 2 2" xfId="57943" xr:uid="{115661FE-B1B3-40F2-A804-B451AF916B68}"/>
    <cellStyle name="Normal 10 2 3 2 2 3 3" xfId="57942" xr:uid="{3E15C6DF-2B46-4B89-A3B4-456AF566A4EA}"/>
    <cellStyle name="Normal 10 2 3 2 2 4" xfId="17918" xr:uid="{4576A1DC-AFD9-46CB-9C00-086F4FCF15B3}"/>
    <cellStyle name="Normal 10 2 3 2 2 4 2" xfId="57944" xr:uid="{B007217B-27E4-4DF0-99FB-220ECE65D36D}"/>
    <cellStyle name="Normal 10 2 3 2 2 5" xfId="57937" xr:uid="{CD84A1E1-44F2-4030-8373-9F91DA2E477D}"/>
    <cellStyle name="Normal 10 2 3 2 3" xfId="4767" xr:uid="{44240E22-BFE3-4A3A-ABA7-FA0128CB07D1}"/>
    <cellStyle name="Normal 10 2 3 2 3 2" xfId="12475" xr:uid="{3B5661CA-709A-46A9-9179-6D8E8DD233C0}"/>
    <cellStyle name="Normal 10 2 3 2 3 2 2" xfId="27887" xr:uid="{44B3E3D6-9B38-433D-A9F5-6A666610E7A8}"/>
    <cellStyle name="Normal 10 2 3 2 3 2 2 2" xfId="57947" xr:uid="{EB702A7A-344D-417B-BACF-2DE95F8529D4}"/>
    <cellStyle name="Normal 10 2 3 2 3 2 3" xfId="57946" xr:uid="{1A676354-3EFA-4B37-9DB8-EF1F3DA7C5BC}"/>
    <cellStyle name="Normal 10 2 3 2 3 3" xfId="20182" xr:uid="{2CA8B5BC-1FD7-4AAD-B3B0-C1E4C0C4E155}"/>
    <cellStyle name="Normal 10 2 3 2 3 3 2" xfId="57948" xr:uid="{1047CA98-C3D7-4545-ADC5-D1248A965A81}"/>
    <cellStyle name="Normal 10 2 3 2 3 4" xfId="57945" xr:uid="{3A10412C-C479-489F-BE11-5C1C653E9EF7}"/>
    <cellStyle name="Normal 10 2 3 2 4" xfId="8751" xr:uid="{D6725E48-A0BD-4F37-90BF-D6181D8185D5}"/>
    <cellStyle name="Normal 10 2 3 2 4 2" xfId="24164" xr:uid="{01A0BA89-B5E0-408F-BAA9-F751E5D429E7}"/>
    <cellStyle name="Normal 10 2 3 2 4 2 2" xfId="57950" xr:uid="{0385AFEB-30C0-4523-98E8-2A7721E0AEB0}"/>
    <cellStyle name="Normal 10 2 3 2 4 3" xfId="57949" xr:uid="{8C94A1CC-5C93-4F17-BEE1-16C8EAF9001E}"/>
    <cellStyle name="Normal 10 2 3 2 5" xfId="16459" xr:uid="{92279875-CE10-45AA-BCBD-C5CB9FAFDD4E}"/>
    <cellStyle name="Normal 10 2 3 2 5 2" xfId="57951" xr:uid="{7BBD2303-721B-48B1-8C49-F64E0A62225C}"/>
    <cellStyle name="Normal 10 2 3 2 6" xfId="57936" xr:uid="{A7F828A6-2468-494C-9AAC-6CEDA9DFCEFA}"/>
    <cellStyle name="Normal 10 2 3 3" xfId="1861" xr:uid="{02C34DC7-50AA-488E-A2BA-04AF01D86A3D}"/>
    <cellStyle name="Normal 10 2 3 3 2" xfId="5593" xr:uid="{BC75C604-12DA-43C1-9F66-58A6C7991751}"/>
    <cellStyle name="Normal 10 2 3 3 2 2" xfId="13301" xr:uid="{C21DB337-3A68-4572-A60D-40A34572B696}"/>
    <cellStyle name="Normal 10 2 3 3 2 2 2" xfId="28713" xr:uid="{89372E9C-2492-4630-9911-15636DA5CFA8}"/>
    <cellStyle name="Normal 10 2 3 3 2 2 2 2" xfId="57955" xr:uid="{64BFEE43-60F1-42C9-B274-9BFAC0943A4F}"/>
    <cellStyle name="Normal 10 2 3 3 2 2 3" xfId="57954" xr:uid="{52859670-866E-42D8-B975-0BCB2F6AED55}"/>
    <cellStyle name="Normal 10 2 3 3 2 3" xfId="21008" xr:uid="{6940C5F0-F482-404A-A9E1-DB58D314499A}"/>
    <cellStyle name="Normal 10 2 3 3 2 3 2" xfId="57956" xr:uid="{1DB5987F-FDAC-4CFE-9020-A359D79034F3}"/>
    <cellStyle name="Normal 10 2 3 3 2 4" xfId="57953" xr:uid="{AA9AF7DF-20B6-4305-86F3-C7E0A24B6C17}"/>
    <cellStyle name="Normal 10 2 3 3 3" xfId="9572" xr:uid="{C52A7BD9-FCA5-4A57-AEE8-6BE84414AB11}"/>
    <cellStyle name="Normal 10 2 3 3 3 2" xfId="24985" xr:uid="{27C43B01-DBDB-419D-B0EF-59A444F38EAC}"/>
    <cellStyle name="Normal 10 2 3 3 3 2 2" xfId="57958" xr:uid="{490F804B-7D0E-4E83-95CF-B57D8172E37C}"/>
    <cellStyle name="Normal 10 2 3 3 3 3" xfId="57957" xr:uid="{9960C902-006E-4FE8-8477-3BFAD9161DCE}"/>
    <cellStyle name="Normal 10 2 3 3 4" xfId="17280" xr:uid="{1ECBA90F-8366-45F8-BBEA-A0CD9E14616D}"/>
    <cellStyle name="Normal 10 2 3 3 4 2" xfId="57959" xr:uid="{3676E63F-04D6-4EF5-87A7-CF680BECCD3F}"/>
    <cellStyle name="Normal 10 2 3 3 5" xfId="57952" xr:uid="{D4D3A230-F1D8-4499-94B9-BED98373AD9C}"/>
    <cellStyle name="Normal 10 2 3 4" xfId="4115" xr:uid="{598CA83D-34DB-4947-9C24-AED7E54416C1}"/>
    <cellStyle name="Normal 10 2 3 4 2" xfId="11823" xr:uid="{6E1E985C-EDBA-4E8F-A03E-378DC3530D83}"/>
    <cellStyle name="Normal 10 2 3 4 2 2" xfId="27235" xr:uid="{D939CB83-8D73-4EB7-8A5E-B9D8D84B101E}"/>
    <cellStyle name="Normal 10 2 3 4 2 2 2" xfId="57962" xr:uid="{73EF1F71-4D20-4AC4-8299-E84A6D61F6EC}"/>
    <cellStyle name="Normal 10 2 3 4 2 3" xfId="57961" xr:uid="{87033038-9264-4740-A45B-61EA9886516E}"/>
    <cellStyle name="Normal 10 2 3 4 3" xfId="19530" xr:uid="{A98CAA01-FE77-46CD-9F6B-3FE3597BFFF0}"/>
    <cellStyle name="Normal 10 2 3 4 3 2" xfId="57963" xr:uid="{9CC47B66-040C-49BC-864E-C41CD6D062FE}"/>
    <cellStyle name="Normal 10 2 3 4 4" xfId="57960" xr:uid="{FB958D65-3925-42E9-90D8-C61510612CE6}"/>
    <cellStyle name="Normal 10 2 3 5" xfId="8113" xr:uid="{AF40E84C-CCE3-46BB-BC7B-D87B939FAD2F}"/>
    <cellStyle name="Normal 10 2 3 5 2" xfId="23526" xr:uid="{ABD553FF-DE47-4032-B2BD-EEA290714846}"/>
    <cellStyle name="Normal 10 2 3 5 2 2" xfId="57965" xr:uid="{F44CF963-603B-4C39-ADE7-8C9F3E41517F}"/>
    <cellStyle name="Normal 10 2 3 5 3" xfId="57964" xr:uid="{E55E4B76-4088-44B9-B4BA-01DF74BE33E8}"/>
    <cellStyle name="Normal 10 2 3 6" xfId="15821" xr:uid="{2781A222-459B-4FC9-939E-60A308EE3F45}"/>
    <cellStyle name="Normal 10 2 3 6 2" xfId="57966" xr:uid="{3E94A63E-4F79-428E-B96B-DB76DB2FAA44}"/>
    <cellStyle name="Normal 10 2 3 7" xfId="57935" xr:uid="{890E4138-7B21-4EB3-B26C-C41B14CDCFB7}"/>
    <cellStyle name="Normal 10 2 4" xfId="825" xr:uid="{2E87136E-5F76-4478-8776-A94F9AA24C28}"/>
    <cellStyle name="Normal 10 2 4 2" xfId="2301" xr:uid="{EF37B692-1540-48B1-9DEE-8CF9EAF98BDC}"/>
    <cellStyle name="Normal 10 2 4 2 2" xfId="6033" xr:uid="{191A60D7-049C-4129-AFBE-577FBC6F8293}"/>
    <cellStyle name="Normal 10 2 4 2 2 2" xfId="13741" xr:uid="{02495BCB-083E-46E0-80CF-34991B30F4C7}"/>
    <cellStyle name="Normal 10 2 4 2 2 2 2" xfId="29153" xr:uid="{CB0F2521-5AA2-4C2D-B02A-C35836358A1B}"/>
    <cellStyle name="Normal 10 2 4 2 2 2 2 2" xfId="57971" xr:uid="{0C8543D0-ABE1-49A0-8C0B-C0FB1209A550}"/>
    <cellStyle name="Normal 10 2 4 2 2 2 3" xfId="57970" xr:uid="{42203322-CB1E-414F-9CF8-1D618E4FB2A5}"/>
    <cellStyle name="Normal 10 2 4 2 2 3" xfId="21448" xr:uid="{3403AA0E-D16B-444A-8A13-316650A3F231}"/>
    <cellStyle name="Normal 10 2 4 2 2 3 2" xfId="57972" xr:uid="{F7D2A9A5-F953-4A95-9433-9B1D8261633A}"/>
    <cellStyle name="Normal 10 2 4 2 2 4" xfId="57969" xr:uid="{754B3868-429D-4360-9AA7-7A0392E6D2B3}"/>
    <cellStyle name="Normal 10 2 4 2 3" xfId="10012" xr:uid="{CCBB6145-1800-4C18-A812-68426FA2F23B}"/>
    <cellStyle name="Normal 10 2 4 2 3 2" xfId="25425" xr:uid="{7FDDBE44-4501-4217-B472-53C94084C5CF}"/>
    <cellStyle name="Normal 10 2 4 2 3 2 2" xfId="57974" xr:uid="{E7210923-9642-41BA-AC34-D441FF3B09A1}"/>
    <cellStyle name="Normal 10 2 4 2 3 3" xfId="57973" xr:uid="{E3C49DA7-5851-4066-AFAB-D918885D8D28}"/>
    <cellStyle name="Normal 10 2 4 2 4" xfId="17720" xr:uid="{05CDB1BC-9F32-4168-8340-FB15B8B0AA11}"/>
    <cellStyle name="Normal 10 2 4 2 4 2" xfId="57975" xr:uid="{C21DB939-B12E-48F8-90A3-81C59DF0445F}"/>
    <cellStyle name="Normal 10 2 4 2 5" xfId="57968" xr:uid="{10AD11A3-EB2A-439A-B4F9-5CCAB304B971}"/>
    <cellStyle name="Normal 10 2 4 3" xfId="4562" xr:uid="{94CA0923-C21D-4DF8-90B9-AD51D38CC672}"/>
    <cellStyle name="Normal 10 2 4 3 2" xfId="12270" xr:uid="{2C123B19-ED34-4CAB-B249-7D83ADB5434E}"/>
    <cellStyle name="Normal 10 2 4 3 2 2" xfId="27682" xr:uid="{38525B6E-7921-47E6-A6CD-965EC20EA597}"/>
    <cellStyle name="Normal 10 2 4 3 2 2 2" xfId="57978" xr:uid="{3F783EAC-6BC3-4FFE-8F0E-49C9C3B09530}"/>
    <cellStyle name="Normal 10 2 4 3 2 3" xfId="57977" xr:uid="{710F8BDA-AABC-4C18-9AAC-6A4BF1E7B655}"/>
    <cellStyle name="Normal 10 2 4 3 3" xfId="19977" xr:uid="{5ECB2A52-91D1-4D2E-98CF-F1D388A65A0D}"/>
    <cellStyle name="Normal 10 2 4 3 3 2" xfId="57979" xr:uid="{222FE8C6-C0BC-493C-BD09-D97A96D85644}"/>
    <cellStyle name="Normal 10 2 4 3 4" xfId="57976" xr:uid="{07135B3A-3D4C-4EC2-9BED-A7A9D074BF20}"/>
    <cellStyle name="Normal 10 2 4 4" xfId="8553" xr:uid="{42B2F24A-341D-4B71-898A-37209FD8B487}"/>
    <cellStyle name="Normal 10 2 4 4 2" xfId="23966" xr:uid="{8989C7D3-4790-47A1-B2E4-087B67237B03}"/>
    <cellStyle name="Normal 10 2 4 4 2 2" xfId="57981" xr:uid="{671A729D-0F6D-434F-B2EE-0ECE613B8B32}"/>
    <cellStyle name="Normal 10 2 4 4 3" xfId="57980" xr:uid="{38DA78D0-FD37-4D5F-8091-BA1B13BE9482}"/>
    <cellStyle name="Normal 10 2 4 5" xfId="16261" xr:uid="{8779AE5C-6E31-4A47-9795-54D5A683EDB1}"/>
    <cellStyle name="Normal 10 2 4 5 2" xfId="57982" xr:uid="{05D559B6-B702-4ED3-8E2F-C7A285020B12}"/>
    <cellStyle name="Normal 10 2 4 6" xfId="57967" xr:uid="{BCA63820-F394-4CBA-89EE-4043DE4171DE}"/>
    <cellStyle name="Normal 10 2 5" xfId="1662" xr:uid="{6225522A-1768-446E-B258-6E6694641FB1}"/>
    <cellStyle name="Normal 10 2 5 2" xfId="5394" xr:uid="{326639BA-8406-4761-91B2-CEC439B5061F}"/>
    <cellStyle name="Normal 10 2 5 2 2" xfId="13102" xr:uid="{5C4CC6DA-7A12-4FFC-8A62-E18DE8759C3B}"/>
    <cellStyle name="Normal 10 2 5 2 2 2" xfId="28514" xr:uid="{8AF99EA4-1D68-475D-A38D-33012E86D1FD}"/>
    <cellStyle name="Normal 10 2 5 2 2 2 2" xfId="57986" xr:uid="{404F7DBB-A3C0-4A38-A4DD-4C68061DAB45}"/>
    <cellStyle name="Normal 10 2 5 2 2 3" xfId="57985" xr:uid="{41AE8D7F-77A1-445F-863C-04823D118935}"/>
    <cellStyle name="Normal 10 2 5 2 3" xfId="20809" xr:uid="{328463B3-6382-4426-8B5D-FFAD5E74A8A2}"/>
    <cellStyle name="Normal 10 2 5 2 3 2" xfId="57987" xr:uid="{76A4D987-4D14-462E-BC58-53C403F57FD0}"/>
    <cellStyle name="Normal 10 2 5 2 4" xfId="57984" xr:uid="{B6782A18-89E3-49E9-AAFA-D120379F303B}"/>
    <cellStyle name="Normal 10 2 5 3" xfId="9374" xr:uid="{CA57F743-81A1-476E-9404-1DBB190053CB}"/>
    <cellStyle name="Normal 10 2 5 3 2" xfId="24787" xr:uid="{E0932918-3ED8-4F54-9AD8-2584538F024A}"/>
    <cellStyle name="Normal 10 2 5 3 2 2" xfId="57989" xr:uid="{A5628A88-8B98-4987-9BF3-7FECD6C697E1}"/>
    <cellStyle name="Normal 10 2 5 3 3" xfId="57988" xr:uid="{D12F8363-8BB9-4BCD-BF47-B7A8C252C46F}"/>
    <cellStyle name="Normal 10 2 5 4" xfId="17082" xr:uid="{19505546-F2E8-428C-B10D-9B4F808CF21A}"/>
    <cellStyle name="Normal 10 2 5 4 2" xfId="57990" xr:uid="{8525DDD7-21C9-4255-9C93-6ACD0798A970}"/>
    <cellStyle name="Normal 10 2 5 5" xfId="57983" xr:uid="{14699867-B7A4-47AA-82D6-79BA77DCD64E}"/>
    <cellStyle name="Normal 10 2 6" xfId="3910" xr:uid="{1A5EDC92-BD81-48C2-BBAD-C9C346C38D09}"/>
    <cellStyle name="Normal 10 2 6 2" xfId="11618" xr:uid="{77CA81B2-C069-492A-B9E8-E56811E2882D}"/>
    <cellStyle name="Normal 10 2 6 2 2" xfId="27030" xr:uid="{452495BF-7D22-48C9-8D26-F6B638C4EA68}"/>
    <cellStyle name="Normal 10 2 6 2 2 2" xfId="57993" xr:uid="{0042D558-3E09-475A-B448-023B2EA54353}"/>
    <cellStyle name="Normal 10 2 6 2 3" xfId="57992" xr:uid="{D202E388-93A6-41FA-94C0-F2EFAAAF5026}"/>
    <cellStyle name="Normal 10 2 6 3" xfId="19325" xr:uid="{F5AE2B09-7502-40AE-A227-FAB6449B7051}"/>
    <cellStyle name="Normal 10 2 6 3 2" xfId="57994" xr:uid="{E13D6795-FB3B-4801-953B-FCD60B8065DE}"/>
    <cellStyle name="Normal 10 2 6 4" xfId="57991" xr:uid="{18B4944E-0B8A-4244-A97B-553D4211B898}"/>
    <cellStyle name="Normal 10 2 7" xfId="7897" xr:uid="{E5D639DA-C312-4B52-8E32-A3A8FE37DDC6}"/>
    <cellStyle name="Normal 10 2 7 2" xfId="23310" xr:uid="{550A839C-5C59-46DC-940E-673D73D46891}"/>
    <cellStyle name="Normal 10 2 7 2 2" xfId="57996" xr:uid="{D3A1111C-FDCD-440B-91A9-83711BD45C77}"/>
    <cellStyle name="Normal 10 2 7 3" xfId="57995" xr:uid="{032A343A-F7AF-464D-AD07-0768C174F2DE}"/>
    <cellStyle name="Normal 10 2 8" xfId="15605" xr:uid="{47F61999-4CA9-4FD2-A01B-629812360F0C}"/>
    <cellStyle name="Normal 10 2 8 2" xfId="57997" xr:uid="{3102AF0E-C0A7-4B3F-8A43-2DCE1D39DA3D}"/>
    <cellStyle name="Normal 10 2 9" xfId="57870" xr:uid="{42FDF451-8089-4DCC-A1C0-E237B0900E7F}"/>
    <cellStyle name="Normal 10 3" xfId="199" xr:uid="{A60E6098-5F27-4C25-BA31-E266A85E828A}"/>
    <cellStyle name="Normal 10 3 2" xfId="404" xr:uid="{17F036B7-EBDD-4B5B-BC1A-38B5E94652DA}"/>
    <cellStyle name="Normal 10 3 2 2" xfId="1066" xr:uid="{619D4D28-A454-4FE6-A313-68CAB8488F19}"/>
    <cellStyle name="Normal 10 3 2 2 2" xfId="2534" xr:uid="{0F748DB0-240B-4008-8AFF-7F8BD0B512BD}"/>
    <cellStyle name="Normal 10 3 2 2 2 2" xfId="6266" xr:uid="{0C9B5B1D-2F21-4233-92D5-0B462CF984AB}"/>
    <cellStyle name="Normal 10 3 2 2 2 2 2" xfId="13974" xr:uid="{12DE429B-B77A-4698-B78E-90F89586AF59}"/>
    <cellStyle name="Normal 10 3 2 2 2 2 2 2" xfId="29386" xr:uid="{B0DEBD76-8931-4177-98E7-ACD3C9F8B4BF}"/>
    <cellStyle name="Normal 10 3 2 2 2 2 2 2 2" xfId="58004" xr:uid="{C8390C3B-7F8B-489D-8E6F-A2E5BEDEED5B}"/>
    <cellStyle name="Normal 10 3 2 2 2 2 2 3" xfId="58003" xr:uid="{DB0F05BD-73E0-4166-814D-FCB28C904F47}"/>
    <cellStyle name="Normal 10 3 2 2 2 2 3" xfId="21681" xr:uid="{8E124B2C-34E7-4794-848C-EC90AB335288}"/>
    <cellStyle name="Normal 10 3 2 2 2 2 3 2" xfId="58005" xr:uid="{850C5F96-25C9-4AF5-B17C-99751A79C5DA}"/>
    <cellStyle name="Normal 10 3 2 2 2 2 4" xfId="58002" xr:uid="{53881E17-3846-4CF1-AD3E-0458E6793ECD}"/>
    <cellStyle name="Normal 10 3 2 2 2 3" xfId="10245" xr:uid="{7985F514-7BC0-46FB-98E3-9F1AA5CCAC2B}"/>
    <cellStyle name="Normal 10 3 2 2 2 3 2" xfId="25658" xr:uid="{762F036F-2B94-4904-92E9-68DB8F1309CA}"/>
    <cellStyle name="Normal 10 3 2 2 2 3 2 2" xfId="58007" xr:uid="{DCA4DA53-F2D4-41CE-A490-75C8597C3CFB}"/>
    <cellStyle name="Normal 10 3 2 2 2 3 3" xfId="58006" xr:uid="{4607E800-E656-4570-A4DE-319578E07B43}"/>
    <cellStyle name="Normal 10 3 2 2 2 4" xfId="17953" xr:uid="{A6F6459A-040F-48BD-985C-64CE2D084928}"/>
    <cellStyle name="Normal 10 3 2 2 2 4 2" xfId="58008" xr:uid="{B24394C0-F58A-48D3-9CDC-73F251FFEEC7}"/>
    <cellStyle name="Normal 10 3 2 2 2 5" xfId="58001" xr:uid="{31F6B36B-5F7E-4D33-8452-F74617C35AE2}"/>
    <cellStyle name="Normal 10 3 2 2 3" xfId="4803" xr:uid="{492D5D11-1333-4E27-9D10-325BD9DB6F4A}"/>
    <cellStyle name="Normal 10 3 2 2 3 2" xfId="12511" xr:uid="{85F4F387-E352-41A9-B459-41312CBC0F21}"/>
    <cellStyle name="Normal 10 3 2 2 3 2 2" xfId="27923" xr:uid="{F1B69D73-BAC4-485D-8991-AA240AAD3AA2}"/>
    <cellStyle name="Normal 10 3 2 2 3 2 2 2" xfId="58011" xr:uid="{AE9DA826-6176-4A04-9B62-9BD3E4410CC1}"/>
    <cellStyle name="Normal 10 3 2 2 3 2 3" xfId="58010" xr:uid="{F145A26D-CCF8-462B-928A-86686AE11DF0}"/>
    <cellStyle name="Normal 10 3 2 2 3 3" xfId="20218" xr:uid="{DF092FFD-E89B-4AC0-8118-B039D85701CE}"/>
    <cellStyle name="Normal 10 3 2 2 3 3 2" xfId="58012" xr:uid="{41F8F087-4730-43A9-AC86-22FD70D8199C}"/>
    <cellStyle name="Normal 10 3 2 2 3 4" xfId="58009" xr:uid="{3510A216-F5A4-41E0-863B-27035C04664A}"/>
    <cellStyle name="Normal 10 3 2 2 4" xfId="8786" xr:uid="{CEC238BB-97D0-4D73-9508-FC8D8A92F7D1}"/>
    <cellStyle name="Normal 10 3 2 2 4 2" xfId="24199" xr:uid="{6D4B05C5-61DD-40BC-8A9B-DCEF5042569B}"/>
    <cellStyle name="Normal 10 3 2 2 4 2 2" xfId="58014" xr:uid="{62E9BD18-9032-47B3-8628-CBDD95415E32}"/>
    <cellStyle name="Normal 10 3 2 2 4 3" xfId="58013" xr:uid="{94ABD7C5-033C-47AA-9AA8-C5CD19136BC6}"/>
    <cellStyle name="Normal 10 3 2 2 5" xfId="16494" xr:uid="{F03EBD1D-9399-4D9D-AB7D-D4BE319BB279}"/>
    <cellStyle name="Normal 10 3 2 2 5 2" xfId="58015" xr:uid="{8297FCB1-8915-4BD6-9D1D-210C02B88D95}"/>
    <cellStyle name="Normal 10 3 2 2 6" xfId="58000" xr:uid="{9C015068-242D-4501-B2B5-8C99FCD4CA0F}"/>
    <cellStyle name="Normal 10 3 2 3" xfId="1896" xr:uid="{C1A8230C-83DB-4314-ABD6-03DC61629458}"/>
    <cellStyle name="Normal 10 3 2 3 2" xfId="5628" xr:uid="{3CC9F14A-C01D-41FE-9839-D25BDF800E43}"/>
    <cellStyle name="Normal 10 3 2 3 2 2" xfId="13336" xr:uid="{42A34264-C321-4E3A-9885-76288D698720}"/>
    <cellStyle name="Normal 10 3 2 3 2 2 2" xfId="28748" xr:uid="{430E1A2B-B1EA-49FF-9A6B-9138D9861C38}"/>
    <cellStyle name="Normal 10 3 2 3 2 2 2 2" xfId="58019" xr:uid="{15305A68-20B1-4A8B-A10C-03CCAF5AFA27}"/>
    <cellStyle name="Normal 10 3 2 3 2 2 3" xfId="58018" xr:uid="{55F8ED7B-E2DC-4668-BE02-8CF5E0A3F2EE}"/>
    <cellStyle name="Normal 10 3 2 3 2 3" xfId="21043" xr:uid="{659AB524-7A33-4D96-AE3A-922310E16B95}"/>
    <cellStyle name="Normal 10 3 2 3 2 3 2" xfId="58020" xr:uid="{79CFC789-3BEA-4E14-8A45-38B3DD429310}"/>
    <cellStyle name="Normal 10 3 2 3 2 4" xfId="58017" xr:uid="{5878796F-B90A-47B4-A7A5-E5DE5B5B29D8}"/>
    <cellStyle name="Normal 10 3 2 3 3" xfId="9607" xr:uid="{6DB08310-B7F3-444D-B558-E3921085881D}"/>
    <cellStyle name="Normal 10 3 2 3 3 2" xfId="25020" xr:uid="{0C09DF81-21C7-4AFF-8FC2-AA25FDE0839C}"/>
    <cellStyle name="Normal 10 3 2 3 3 2 2" xfId="58022" xr:uid="{AC85B7F9-29A3-4F89-A8A1-F83A7A856091}"/>
    <cellStyle name="Normal 10 3 2 3 3 3" xfId="58021" xr:uid="{44E33A04-E3B5-4680-AFB7-695FB3079A6F}"/>
    <cellStyle name="Normal 10 3 2 3 4" xfId="17315" xr:uid="{2DA1D31D-10D8-476E-9074-DEACFB38A41E}"/>
    <cellStyle name="Normal 10 3 2 3 4 2" xfId="58023" xr:uid="{D1CB3A4C-70F3-4DC3-ACD1-DC89098304CD}"/>
    <cellStyle name="Normal 10 3 2 3 5" xfId="58016" xr:uid="{F0DC01E8-AC07-4A51-8F59-916F868F89DA}"/>
    <cellStyle name="Normal 10 3 2 4" xfId="4151" xr:uid="{1E07A9C7-F7EA-442A-902E-57348F83E99F}"/>
    <cellStyle name="Normal 10 3 2 4 2" xfId="11859" xr:uid="{0887D35B-EE9C-4555-9FA1-FC025DC8F53D}"/>
    <cellStyle name="Normal 10 3 2 4 2 2" xfId="27271" xr:uid="{5E376964-C8A5-438E-8C51-08C3CB09ED2B}"/>
    <cellStyle name="Normal 10 3 2 4 2 2 2" xfId="58026" xr:uid="{59807AF4-BC5C-4712-8354-DADF3D0231C3}"/>
    <cellStyle name="Normal 10 3 2 4 2 3" xfId="58025" xr:uid="{11241939-CAC3-4289-BC63-CFD0B40EAF4D}"/>
    <cellStyle name="Normal 10 3 2 4 3" xfId="19566" xr:uid="{9F3435BD-764F-4BF5-BD26-CF5F9C4A4E15}"/>
    <cellStyle name="Normal 10 3 2 4 3 2" xfId="58027" xr:uid="{364AB866-C732-4A44-99AC-421A0BE0566B}"/>
    <cellStyle name="Normal 10 3 2 4 4" xfId="58024" xr:uid="{BE6FD9B4-46EA-46A6-81EB-D3BED92914FE}"/>
    <cellStyle name="Normal 10 3 2 5" xfId="8148" xr:uid="{F68C3CCF-6254-4A07-9808-E34BF4D232C3}"/>
    <cellStyle name="Normal 10 3 2 5 2" xfId="23561" xr:uid="{5D56477B-D811-4778-970D-39F45F1E9C4A}"/>
    <cellStyle name="Normal 10 3 2 5 2 2" xfId="58029" xr:uid="{1CEE8348-7641-4F35-AF0F-5D0A5F4F9F87}"/>
    <cellStyle name="Normal 10 3 2 5 3" xfId="58028" xr:uid="{6790F2CF-1AC7-4BC0-A3AC-4FDC44211582}"/>
    <cellStyle name="Normal 10 3 2 6" xfId="15856" xr:uid="{EE0BF53F-40FB-4AB4-9B93-651772A90556}"/>
    <cellStyle name="Normal 10 3 2 6 2" xfId="58030" xr:uid="{11188C40-D2B6-4A5B-A7C0-41800CF6478D}"/>
    <cellStyle name="Normal 10 3 2 7" xfId="57999" xr:uid="{5CA8B780-C377-40FA-9C37-25B6F2D29732}"/>
    <cellStyle name="Normal 10 3 3" xfId="865" xr:uid="{C56F5D6A-1463-46CA-874E-DC3DC8D54008}"/>
    <cellStyle name="Normal 10 3 3 2" xfId="2336" xr:uid="{932992B7-9F56-48F1-85E0-A296DB9F2E1D}"/>
    <cellStyle name="Normal 10 3 3 2 2" xfId="6068" xr:uid="{7F5F49E6-1C48-42D2-8849-76A2270D8909}"/>
    <cellStyle name="Normal 10 3 3 2 2 2" xfId="13776" xr:uid="{EE6BB838-6A8D-41CD-97F7-F7CADE467670}"/>
    <cellStyle name="Normal 10 3 3 2 2 2 2" xfId="29188" xr:uid="{FE5AB344-BB6B-4DDE-B355-8DC4CE57036F}"/>
    <cellStyle name="Normal 10 3 3 2 2 2 2 2" xfId="58035" xr:uid="{8903976A-A13A-4488-ACBD-CE5717BD392D}"/>
    <cellStyle name="Normal 10 3 3 2 2 2 3" xfId="58034" xr:uid="{85799EB8-2F44-4845-84EF-92C3DFBFA389}"/>
    <cellStyle name="Normal 10 3 3 2 2 3" xfId="21483" xr:uid="{3D4A5A79-F5CF-4AF2-B078-9CD6B2A83239}"/>
    <cellStyle name="Normal 10 3 3 2 2 3 2" xfId="58036" xr:uid="{78912B63-1662-403E-B3F3-9606F0B9393C}"/>
    <cellStyle name="Normal 10 3 3 2 2 4" xfId="58033" xr:uid="{19B1DCB6-405A-4E18-A85E-7267834F9E98}"/>
    <cellStyle name="Normal 10 3 3 2 3" xfId="10047" xr:uid="{6AE1AA29-DBCC-4713-ABCB-01D72BD23A43}"/>
    <cellStyle name="Normal 10 3 3 2 3 2" xfId="25460" xr:uid="{6EA51A22-446D-4CF5-B74E-CEEB4A42469F}"/>
    <cellStyle name="Normal 10 3 3 2 3 2 2" xfId="58038" xr:uid="{C99E9FBB-F690-4EE8-BF01-F470EEA415A4}"/>
    <cellStyle name="Normal 10 3 3 2 3 3" xfId="58037" xr:uid="{644C2758-A5B2-48E1-92D7-8C606BCB2C63}"/>
    <cellStyle name="Normal 10 3 3 2 4" xfId="17755" xr:uid="{64FEC18E-3096-49F3-AD0A-2A0BDCFC8CDE}"/>
    <cellStyle name="Normal 10 3 3 2 4 2" xfId="58039" xr:uid="{42166E53-93AD-46DB-B844-0407E6849CAF}"/>
    <cellStyle name="Normal 10 3 3 2 5" xfId="58032" xr:uid="{A7DA9111-8FE9-45E3-BFC6-EFF79FA3AC91}"/>
    <cellStyle name="Normal 10 3 3 3" xfId="4602" xr:uid="{748DBCAA-78B2-4BD5-81D6-EDA10304B2C1}"/>
    <cellStyle name="Normal 10 3 3 3 2" xfId="12310" xr:uid="{C177BDB5-0BED-4903-95DF-290573FF592E}"/>
    <cellStyle name="Normal 10 3 3 3 2 2" xfId="27722" xr:uid="{82A6F5D1-8013-4C2C-B114-3426FD09CCB7}"/>
    <cellStyle name="Normal 10 3 3 3 2 2 2" xfId="58042" xr:uid="{0E431166-2E43-4493-BD2E-10EB412CBDBC}"/>
    <cellStyle name="Normal 10 3 3 3 2 3" xfId="58041" xr:uid="{D28AAE87-A86B-418E-91E5-611DA0661DE4}"/>
    <cellStyle name="Normal 10 3 3 3 3" xfId="20017" xr:uid="{46A17331-77B1-4DCE-8107-74F93CE7BE96}"/>
    <cellStyle name="Normal 10 3 3 3 3 2" xfId="58043" xr:uid="{82383BB9-D57B-42EB-B17E-D5D580918A23}"/>
    <cellStyle name="Normal 10 3 3 3 4" xfId="58040" xr:uid="{41F5E2DE-FBC1-4215-BE12-7FD0EFBC3E02}"/>
    <cellStyle name="Normal 10 3 3 4" xfId="8588" xr:uid="{C3853FA3-5B3C-4124-9126-DCB096E98FB2}"/>
    <cellStyle name="Normal 10 3 3 4 2" xfId="24001" xr:uid="{72F089C4-0FCE-4A93-8F40-C0C73C30727C}"/>
    <cellStyle name="Normal 10 3 3 4 2 2" xfId="58045" xr:uid="{ACE7FF90-E2C2-46D2-BE79-3321E8B0DD67}"/>
    <cellStyle name="Normal 10 3 3 4 3" xfId="58044" xr:uid="{DE3BB2B1-3EF6-494D-82C2-6AF452724B10}"/>
    <cellStyle name="Normal 10 3 3 5" xfId="16296" xr:uid="{4957B463-844F-4BC7-BB86-FFF6AECDDEB5}"/>
    <cellStyle name="Normal 10 3 3 5 2" xfId="58046" xr:uid="{DFC5F766-D431-44A7-9DB0-00EE17967D1C}"/>
    <cellStyle name="Normal 10 3 3 6" xfId="58031" xr:uid="{5523631E-F098-4D2C-A526-F3FE9B670ABF}"/>
    <cellStyle name="Normal 10 3 4" xfId="1698" xr:uid="{4ECFA44F-9681-4396-A604-146ED69E1E83}"/>
    <cellStyle name="Normal 10 3 4 2" xfId="5430" xr:uid="{B2CA2065-DDC9-42E1-A5C2-CF93E23DC5B1}"/>
    <cellStyle name="Normal 10 3 4 2 2" xfId="13138" xr:uid="{4635624F-F5C1-4461-8565-F7FE1403A165}"/>
    <cellStyle name="Normal 10 3 4 2 2 2" xfId="28550" xr:uid="{E2748740-8BC1-4613-A341-82EB2647C1EC}"/>
    <cellStyle name="Normal 10 3 4 2 2 2 2" xfId="58050" xr:uid="{58A27029-49D5-4098-B158-4D2603B80210}"/>
    <cellStyle name="Normal 10 3 4 2 2 3" xfId="58049" xr:uid="{1A359952-BB15-4141-970E-A601D311E5E5}"/>
    <cellStyle name="Normal 10 3 4 2 3" xfId="20845" xr:uid="{EBF6EF55-AB8B-46B0-8A1E-F6E1FBA42D8F}"/>
    <cellStyle name="Normal 10 3 4 2 3 2" xfId="58051" xr:uid="{B233DFFF-5A30-49A9-A5C2-52267BBCAEC8}"/>
    <cellStyle name="Normal 10 3 4 2 4" xfId="58048" xr:uid="{06894779-1C4D-4429-91DC-414060CC028E}"/>
    <cellStyle name="Normal 10 3 4 3" xfId="9409" xr:uid="{C94E0B82-60BC-49C9-8B50-8AB84F95B381}"/>
    <cellStyle name="Normal 10 3 4 3 2" xfId="24822" xr:uid="{40C49C9B-A52D-4D9F-B5CF-8A2DFD50A4FD}"/>
    <cellStyle name="Normal 10 3 4 3 2 2" xfId="58053" xr:uid="{519D8007-3C37-4229-AF7B-60396BEEDCE9}"/>
    <cellStyle name="Normal 10 3 4 3 3" xfId="58052" xr:uid="{0F7E281A-89BF-4F9E-98B1-2EE24BF79B66}"/>
    <cellStyle name="Normal 10 3 4 4" xfId="17117" xr:uid="{464A3A37-CC03-40C6-9D8C-137F1A3E7E7F}"/>
    <cellStyle name="Normal 10 3 4 4 2" xfId="58054" xr:uid="{F36C5A8C-D6CD-4978-8BEB-5620084E5BD9}"/>
    <cellStyle name="Normal 10 3 4 5" xfId="58047" xr:uid="{7FDF7916-136F-445C-9A09-D51BBA94931B}"/>
    <cellStyle name="Normal 10 3 5" xfId="3950" xr:uid="{7B5380D2-F1EA-468A-B4D6-0A3ADFFA2E50}"/>
    <cellStyle name="Normal 10 3 5 2" xfId="11658" xr:uid="{AE737AB1-649E-48DF-B77B-50C99941B236}"/>
    <cellStyle name="Normal 10 3 5 2 2" xfId="27070" xr:uid="{3E4F9429-798D-4734-8AF5-3878AC8AB586}"/>
    <cellStyle name="Normal 10 3 5 2 2 2" xfId="58057" xr:uid="{3C6390BE-18BF-4D85-8E32-E9A49DA2D939}"/>
    <cellStyle name="Normal 10 3 5 2 3" xfId="58056" xr:uid="{5F2FCC33-31A7-45FD-BCEB-673D7DB28C08}"/>
    <cellStyle name="Normal 10 3 5 3" xfId="19365" xr:uid="{62B805B2-E525-4139-9575-A10B67954509}"/>
    <cellStyle name="Normal 10 3 5 3 2" xfId="58058" xr:uid="{EF2EC8D2-724F-4F34-8A2B-4B10F94FCF05}"/>
    <cellStyle name="Normal 10 3 5 4" xfId="58055" xr:uid="{DB5A5BAB-65B7-4926-A3AD-FA073B10E922}"/>
    <cellStyle name="Normal 10 3 6" xfId="7950" xr:uid="{65CB69EA-5F32-4937-A0D4-2AD7A4B92ACA}"/>
    <cellStyle name="Normal 10 3 6 2" xfId="23363" xr:uid="{62F70357-B50D-4F86-8DDC-7402A06649DC}"/>
    <cellStyle name="Normal 10 3 6 2 2" xfId="58060" xr:uid="{E1B40057-68E2-475E-A588-59C579F25F37}"/>
    <cellStyle name="Normal 10 3 6 3" xfId="58059" xr:uid="{32C0DFB6-0248-4667-89F0-0BAB2FD0DE75}"/>
    <cellStyle name="Normal 10 3 7" xfId="15658" xr:uid="{029E45FD-52AF-4865-87CC-A7AF781DDACC}"/>
    <cellStyle name="Normal 10 3 7 2" xfId="58061" xr:uid="{7105A8E5-C8CB-4500-A8EC-1A93F8FED09F}"/>
    <cellStyle name="Normal 10 3 8" xfId="57998" xr:uid="{C7F5ACAE-02EB-465E-B22F-5CEB9578C4A0}"/>
    <cellStyle name="Normal 10 4" xfId="352" xr:uid="{0EEF948D-840D-4173-AEFE-1AED0F7729A6}"/>
    <cellStyle name="Normal 10 4 2" xfId="1015" xr:uid="{9EB494F0-008D-46FA-8053-0BC5707D3581}"/>
    <cellStyle name="Normal 10 4 2 2" xfId="2484" xr:uid="{AA32F725-53FF-404C-B734-06B93FE6E725}"/>
    <cellStyle name="Normal 10 4 2 2 2" xfId="6216" xr:uid="{392C144D-F9B8-489F-B7C2-108F38DF5D32}"/>
    <cellStyle name="Normal 10 4 2 2 2 2" xfId="13924" xr:uid="{628BBE4B-14F1-4FD6-B3C4-A28B78F5E46B}"/>
    <cellStyle name="Normal 10 4 2 2 2 2 2" xfId="29336" xr:uid="{1335B7C8-7176-44D5-A26A-11CFF47391CC}"/>
    <cellStyle name="Normal 10 4 2 2 2 2 2 2" xfId="58067" xr:uid="{899B5E62-E1C1-4F31-B738-8CDD72963F4E}"/>
    <cellStyle name="Normal 10 4 2 2 2 2 3" xfId="58066" xr:uid="{2E046371-B76C-48B3-8846-F295E971D870}"/>
    <cellStyle name="Normal 10 4 2 2 2 3" xfId="21631" xr:uid="{083077D5-7EC0-498C-BF73-DA7156A98E04}"/>
    <cellStyle name="Normal 10 4 2 2 2 3 2" xfId="58068" xr:uid="{6DE7E954-51AA-4B88-BB22-6D8E0C87DA32}"/>
    <cellStyle name="Normal 10 4 2 2 2 4" xfId="58065" xr:uid="{5CB7DC9F-665B-429C-8EC9-1D4E63E3DD59}"/>
    <cellStyle name="Normal 10 4 2 2 3" xfId="10195" xr:uid="{333A4764-65D2-47DC-A416-A891AC8D87DD}"/>
    <cellStyle name="Normal 10 4 2 2 3 2" xfId="25608" xr:uid="{8CE80908-5938-402C-9A46-50C29A58162D}"/>
    <cellStyle name="Normal 10 4 2 2 3 2 2" xfId="58070" xr:uid="{3034D1EB-6737-4C14-B128-445375A9B911}"/>
    <cellStyle name="Normal 10 4 2 2 3 3" xfId="58069" xr:uid="{90DA5CB9-1180-40BE-8945-726AFADF5F77}"/>
    <cellStyle name="Normal 10 4 2 2 4" xfId="17903" xr:uid="{E452A6BB-BF5A-4C05-8BD3-74BF4AACB265}"/>
    <cellStyle name="Normal 10 4 2 2 4 2" xfId="58071" xr:uid="{227A9FC2-9EE0-4834-B1F1-5DA93ED2018B}"/>
    <cellStyle name="Normal 10 4 2 2 5" xfId="58064" xr:uid="{E6BED44A-2D59-41E8-AE6C-A71FC503653C}"/>
    <cellStyle name="Normal 10 4 2 3" xfId="4752" xr:uid="{63C5E3DB-4569-4C1E-87AD-DCE6B0C86947}"/>
    <cellStyle name="Normal 10 4 2 3 2" xfId="12460" xr:uid="{CC974EB0-49D1-43B0-B5BA-62209BA1DFFE}"/>
    <cellStyle name="Normal 10 4 2 3 2 2" xfId="27872" xr:uid="{4FD21F24-B3BC-4DEC-B406-F1E1983987D9}"/>
    <cellStyle name="Normal 10 4 2 3 2 2 2" xfId="58074" xr:uid="{C406E410-F9E7-4FDB-88CD-8D16E7828534}"/>
    <cellStyle name="Normal 10 4 2 3 2 3" xfId="58073" xr:uid="{71B10C96-96FD-45FA-BB9B-3BBAC5FAF294}"/>
    <cellStyle name="Normal 10 4 2 3 3" xfId="20167" xr:uid="{DBDA1366-753A-430F-9280-7E70736C24DC}"/>
    <cellStyle name="Normal 10 4 2 3 3 2" xfId="58075" xr:uid="{9C86151F-5590-4C79-9C0E-7620D6C3B1AE}"/>
    <cellStyle name="Normal 10 4 2 3 4" xfId="58072" xr:uid="{11794973-CC67-4032-A71D-F00FE8238370}"/>
    <cellStyle name="Normal 10 4 2 4" xfId="8736" xr:uid="{1CB4E378-D419-47B4-B600-D2183E611CD1}"/>
    <cellStyle name="Normal 10 4 2 4 2" xfId="24149" xr:uid="{C0B88DE3-D508-4324-8187-620B9A1445AC}"/>
    <cellStyle name="Normal 10 4 2 4 2 2" xfId="58077" xr:uid="{57A4E41F-388F-46C0-835A-62CF86B27D89}"/>
    <cellStyle name="Normal 10 4 2 4 3" xfId="58076" xr:uid="{9057947A-0CB3-439C-A613-9AB538A525C7}"/>
    <cellStyle name="Normal 10 4 2 5" xfId="16444" xr:uid="{B8FE9EE9-CCB7-48DC-BCCC-EDBEE55C5F82}"/>
    <cellStyle name="Normal 10 4 2 5 2" xfId="58078" xr:uid="{296FCA9E-8BBF-48EC-92DE-944D73782523}"/>
    <cellStyle name="Normal 10 4 2 6" xfId="58063" xr:uid="{7254986D-7E94-4CC0-8184-603A04FE5218}"/>
    <cellStyle name="Normal 10 4 3" xfId="1846" xr:uid="{6BCF5437-F0E3-4852-84DE-CE8418816F3F}"/>
    <cellStyle name="Normal 10 4 3 2" xfId="5578" xr:uid="{B7910F19-7293-4261-8DDC-5324FF62BE7A}"/>
    <cellStyle name="Normal 10 4 3 2 2" xfId="13286" xr:uid="{4263C9D2-F640-4FD5-95AA-DA316277D674}"/>
    <cellStyle name="Normal 10 4 3 2 2 2" xfId="28698" xr:uid="{8B20CA58-A123-4F20-84AF-4F3C5E01DD28}"/>
    <cellStyle name="Normal 10 4 3 2 2 2 2" xfId="58082" xr:uid="{BF57EDDA-6D64-484A-A628-00512871BC0B}"/>
    <cellStyle name="Normal 10 4 3 2 2 3" xfId="58081" xr:uid="{A6E8637B-6043-4AB6-8F6E-B734EBC4BB00}"/>
    <cellStyle name="Normal 10 4 3 2 3" xfId="20993" xr:uid="{1CDAA340-0064-4906-B054-83F27E4993B4}"/>
    <cellStyle name="Normal 10 4 3 2 3 2" xfId="58083" xr:uid="{AD94D091-5C87-4816-AD18-055F293D7026}"/>
    <cellStyle name="Normal 10 4 3 2 4" xfId="58080" xr:uid="{A9634791-0FDC-46E8-906C-900BADCC9802}"/>
    <cellStyle name="Normal 10 4 3 3" xfId="9557" xr:uid="{B7C466AB-44E0-4F8B-AC6F-3AC201993C7F}"/>
    <cellStyle name="Normal 10 4 3 3 2" xfId="24970" xr:uid="{E27B975B-FEBF-464A-AAC8-C004868468EC}"/>
    <cellStyle name="Normal 10 4 3 3 2 2" xfId="58085" xr:uid="{124507B4-E55C-4732-BE09-F32B36EF0227}"/>
    <cellStyle name="Normal 10 4 3 3 3" xfId="58084" xr:uid="{85E2BFA9-F381-4872-8063-7C96817F70C3}"/>
    <cellStyle name="Normal 10 4 3 4" xfId="17265" xr:uid="{6FA48D7F-00EE-40F1-A4E1-6652A8A6F24E}"/>
    <cellStyle name="Normal 10 4 3 4 2" xfId="58086" xr:uid="{7DFADAF8-F968-415A-8802-51114DCEE214}"/>
    <cellStyle name="Normal 10 4 3 5" xfId="58079" xr:uid="{8D7D45C8-875C-47E0-A1F2-D4DBA9F1F764}"/>
    <cellStyle name="Normal 10 4 4" xfId="4100" xr:uid="{CB86C5E2-BAD9-422E-947B-81BD33B367E3}"/>
    <cellStyle name="Normal 10 4 4 2" xfId="11808" xr:uid="{8C753D33-004F-4845-9614-43299399A1E4}"/>
    <cellStyle name="Normal 10 4 4 2 2" xfId="27220" xr:uid="{1876BCF7-52F3-4A92-B4B2-302D2CCF81F8}"/>
    <cellStyle name="Normal 10 4 4 2 2 2" xfId="58089" xr:uid="{F2FC91B1-37AF-4776-AED6-B43BD07E9008}"/>
    <cellStyle name="Normal 10 4 4 2 3" xfId="58088" xr:uid="{208B30D7-C291-4FAE-A083-B7F0401015C9}"/>
    <cellStyle name="Normal 10 4 4 3" xfId="19515" xr:uid="{FE3B6C03-B129-4056-AC4B-596E89CAFFDD}"/>
    <cellStyle name="Normal 10 4 4 3 2" xfId="58090" xr:uid="{7B415BEA-B28D-4FDB-876A-47974E683550}"/>
    <cellStyle name="Normal 10 4 4 4" xfId="58087" xr:uid="{49769CDB-E301-4F92-AA95-65FB26994F54}"/>
    <cellStyle name="Normal 10 4 5" xfId="8098" xr:uid="{52238326-3D9A-41B5-923C-51AE299D5BAD}"/>
    <cellStyle name="Normal 10 4 5 2" xfId="23511" xr:uid="{F505478E-DABF-4303-AB59-30AB842E0F0F}"/>
    <cellStyle name="Normal 10 4 5 2 2" xfId="58092" xr:uid="{D6C45666-CF87-4FB2-A041-C8BE5E2B112B}"/>
    <cellStyle name="Normal 10 4 5 3" xfId="58091" xr:uid="{BA78B15C-277A-4560-99ED-07DA81735D32}"/>
    <cellStyle name="Normal 10 4 6" xfId="15806" xr:uid="{3A3319B3-25AE-47B0-A42E-9DCA01FECA8C}"/>
    <cellStyle name="Normal 10 4 6 2" xfId="58093" xr:uid="{DA5A37EB-8E47-41F8-B826-E578088D83C0}"/>
    <cellStyle name="Normal 10 4 7" xfId="58062" xr:uid="{4AE36DED-C805-420C-82EE-5143429E2F5B}"/>
    <cellStyle name="Normal 10 5" xfId="806" xr:uid="{15EE73A9-3F9F-4B33-AE78-76A5FD03E3FC}"/>
    <cellStyle name="Normal 10 5 2" xfId="2286" xr:uid="{816EC7E4-50A0-4462-B92A-BDD66B1CC01B}"/>
    <cellStyle name="Normal 10 5 2 2" xfId="6018" xr:uid="{0ABEFA76-4681-4808-BE7D-13383E9E9438}"/>
    <cellStyle name="Normal 10 5 2 2 2" xfId="13726" xr:uid="{B667F400-05AC-427C-B7AD-7D6C9DEB9A9C}"/>
    <cellStyle name="Normal 10 5 2 2 2 2" xfId="29138" xr:uid="{C7878775-48C2-45EE-A185-38A1E8714E22}"/>
    <cellStyle name="Normal 10 5 2 2 2 2 2" xfId="58098" xr:uid="{A4678FE1-C91E-4300-AC7B-CE660D78BAC4}"/>
    <cellStyle name="Normal 10 5 2 2 2 3" xfId="58097" xr:uid="{2ACE9CCC-843A-458D-AA08-3BC02B990AF5}"/>
    <cellStyle name="Normal 10 5 2 2 3" xfId="21433" xr:uid="{1C88AFB6-DDF7-46FA-852A-1A5D538D764B}"/>
    <cellStyle name="Normal 10 5 2 2 3 2" xfId="58099" xr:uid="{13F2868C-6A33-41FB-BC5B-061BA577826D}"/>
    <cellStyle name="Normal 10 5 2 2 4" xfId="58096" xr:uid="{04B59BAD-2CF5-4719-B116-AA31AB08E06E}"/>
    <cellStyle name="Normal 10 5 2 3" xfId="9997" xr:uid="{51E2846B-3B0B-47D3-AF7A-72A8C23B2E81}"/>
    <cellStyle name="Normal 10 5 2 3 2" xfId="25410" xr:uid="{4B6F35D0-20AC-4A56-BC21-8DAA38920AD2}"/>
    <cellStyle name="Normal 10 5 2 3 2 2" xfId="58101" xr:uid="{8F922907-5203-49CF-9E14-4BE5408F7C5D}"/>
    <cellStyle name="Normal 10 5 2 3 3" xfId="58100" xr:uid="{C8269164-206F-4183-AB3C-D838F90243B0}"/>
    <cellStyle name="Normal 10 5 2 4" xfId="17705" xr:uid="{490C2CBA-2BD8-494D-A675-CDB4815401D5}"/>
    <cellStyle name="Normal 10 5 2 4 2" xfId="58102" xr:uid="{979F2329-E145-4ED7-8E28-1AAC932D2CB0}"/>
    <cellStyle name="Normal 10 5 2 5" xfId="58095" xr:uid="{8D29B118-D3B5-454C-9889-C42C64C35E5E}"/>
    <cellStyle name="Normal 10 5 3" xfId="4546" xr:uid="{476D3DA5-9AFE-4DED-94ED-76EDC541CDB8}"/>
    <cellStyle name="Normal 10 5 3 2" xfId="12254" xr:uid="{9081B181-3F72-4332-A67B-863079A3458E}"/>
    <cellStyle name="Normal 10 5 3 2 2" xfId="27666" xr:uid="{6C1F582C-85F8-4740-849B-5762C12C794F}"/>
    <cellStyle name="Normal 10 5 3 2 2 2" xfId="58105" xr:uid="{3F46A801-F834-4CB3-9A38-F84B63BD5F53}"/>
    <cellStyle name="Normal 10 5 3 2 3" xfId="58104" xr:uid="{79116920-464D-4F7C-AEC8-F9B2A3485E4B}"/>
    <cellStyle name="Normal 10 5 3 3" xfId="19961" xr:uid="{2BC579BD-61F8-4D83-8286-A6220FDAE654}"/>
    <cellStyle name="Normal 10 5 3 3 2" xfId="58106" xr:uid="{A6318FF6-384A-4833-8B98-89B74580CD52}"/>
    <cellStyle name="Normal 10 5 3 4" xfId="58103" xr:uid="{F58B166A-ED35-4779-8296-2441C8BF80C0}"/>
    <cellStyle name="Normal 10 5 4" xfId="8538" xr:uid="{6638BFA6-E766-4896-9CB6-D5A0E560941A}"/>
    <cellStyle name="Normal 10 5 4 2" xfId="23951" xr:uid="{7A1A8F05-9D30-4204-82B1-D6127B1B4913}"/>
    <cellStyle name="Normal 10 5 4 2 2" xfId="58108" xr:uid="{0000D1CC-D3F0-4DE5-8C02-90218A7ED3AB}"/>
    <cellStyle name="Normal 10 5 4 3" xfId="58107" xr:uid="{0A373630-A001-44EE-9AD7-0089D14899E1}"/>
    <cellStyle name="Normal 10 5 5" xfId="16246" xr:uid="{F35CFA91-E536-4AAF-8D90-D08F7BD1D4B0}"/>
    <cellStyle name="Normal 10 5 5 2" xfId="58109" xr:uid="{F973514A-BCED-464F-8A32-8F9D7144599F}"/>
    <cellStyle name="Normal 10 5 6" xfId="58094" xr:uid="{A21186F9-1975-4223-B6E7-EEF085B14154}"/>
    <cellStyle name="Normal 10 6" xfId="1646" xr:uid="{FB317596-F5FC-4605-BBED-2C919CD309E9}"/>
    <cellStyle name="Normal 10 6 2" xfId="5379" xr:uid="{888929A0-C12E-4EF6-BE87-4294818B0839}"/>
    <cellStyle name="Normal 10 6 2 2" xfId="13087" xr:uid="{88C07D97-E1EC-4481-BFBF-A151F254684D}"/>
    <cellStyle name="Normal 10 6 2 2 2" xfId="28499" xr:uid="{87E8A2CA-04B5-4186-83EA-246027B2010A}"/>
    <cellStyle name="Normal 10 6 2 2 2 2" xfId="58113" xr:uid="{6C2D2290-C6AC-43BF-AC30-9B2F48C4D2E2}"/>
    <cellStyle name="Normal 10 6 2 2 3" xfId="58112" xr:uid="{CC08EBAB-05B5-406F-BC4B-A6F96863023F}"/>
    <cellStyle name="Normal 10 6 2 3" xfId="20794" xr:uid="{3031DE07-4D35-4FB0-A48C-5E154591C154}"/>
    <cellStyle name="Normal 10 6 2 3 2" xfId="58114" xr:uid="{5E27D8A7-57E4-4177-932E-407A3F051689}"/>
    <cellStyle name="Normal 10 6 2 4" xfId="58111" xr:uid="{438AAA76-2274-4F9A-BAD5-05818FFC93BC}"/>
    <cellStyle name="Normal 10 6 3" xfId="9359" xr:uid="{9412D834-AD97-4079-93F8-F3B7C7939822}"/>
    <cellStyle name="Normal 10 6 3 2" xfId="24772" xr:uid="{EBB2A1BD-FB69-4407-8316-FD63DBDBA50A}"/>
    <cellStyle name="Normal 10 6 3 2 2" xfId="58116" xr:uid="{A226C905-FB84-4A6E-9F82-9C32F3F48065}"/>
    <cellStyle name="Normal 10 6 3 3" xfId="58115" xr:uid="{C2F85B27-2456-45DB-AAC1-E92A3A5515FA}"/>
    <cellStyle name="Normal 10 6 4" xfId="17067" xr:uid="{20F953D9-2C71-47CB-B5E0-5BB0280CCF59}"/>
    <cellStyle name="Normal 10 6 4 2" xfId="58117" xr:uid="{32DA1368-7C22-4B5F-A94B-B4AB34A4D2C2}"/>
    <cellStyle name="Normal 10 6 5" xfId="58110" xr:uid="{A8264F0F-D9B5-4001-93DE-735A873806A6}"/>
    <cellStyle name="Normal 10 7" xfId="3893" xr:uid="{84130A3B-2BF2-405D-9987-560A4209AD3B}"/>
    <cellStyle name="Normal 10 7 2" xfId="11602" xr:uid="{F4BE8707-ABCD-4732-9D9C-B55802B5C618}"/>
    <cellStyle name="Normal 10 7 2 2" xfId="27014" xr:uid="{E4BFC732-B24B-4CE0-841D-C91A3ACD19E8}"/>
    <cellStyle name="Normal 10 7 2 2 2" xfId="58120" xr:uid="{1FA8F6C3-557F-49B5-A400-D9DCBE469DBF}"/>
    <cellStyle name="Normal 10 7 2 3" xfId="58119" xr:uid="{EB6FA9A1-C434-41FD-A73A-CD2D595D83EF}"/>
    <cellStyle name="Normal 10 7 3" xfId="19309" xr:uid="{B365EFA5-EA22-4D83-B73B-E0FD3D27B60F}"/>
    <cellStyle name="Normal 10 7 3 2" xfId="58121" xr:uid="{A5FCFC46-3D93-4C73-9C8D-A02D6FF401FD}"/>
    <cellStyle name="Normal 10 7 4" xfId="58118" xr:uid="{06A2E489-96A4-4B98-A65B-EA8AF418C583}"/>
    <cellStyle name="Normal 10 8" xfId="7882" xr:uid="{1C1207AA-49B0-4629-BE5B-A6D3F33F6AFD}"/>
    <cellStyle name="Normal 10 8 2" xfId="23295" xr:uid="{FE6C63E6-EB71-4680-8672-237DA26AE75B}"/>
    <cellStyle name="Normal 10 8 2 2" xfId="58123" xr:uid="{949A268B-00C0-4705-B9FB-D3E67281746B}"/>
    <cellStyle name="Normal 10 8 3" xfId="58122" xr:uid="{CAAEA1AF-C29B-4F08-A42C-F833DA6F4491}"/>
    <cellStyle name="Normal 10 9" xfId="15590" xr:uid="{4609F023-F42E-42DB-BE80-5B3AF52F8494}"/>
    <cellStyle name="Normal 10 9 2" xfId="58124" xr:uid="{AAA57B64-4C52-451E-BD8C-B627561FFE17}"/>
    <cellStyle name="Normal 100" xfId="7626" xr:uid="{99FD0462-EEE4-4908-99FC-A581065E44C4}"/>
    <cellStyle name="Normal 100 2" xfId="15334" xr:uid="{BB82C8F9-E80B-433C-A8FF-EEE6CFCCA228}"/>
    <cellStyle name="Normal 100 2 2" xfId="30746" xr:uid="{8EE364D8-6D1D-494D-9CCE-36DAAB976212}"/>
    <cellStyle name="Normal 100 2 2 2" xfId="58127" xr:uid="{16054024-9885-438B-BAA8-45DAFE6C0EB9}"/>
    <cellStyle name="Normal 100 2 3" xfId="58126" xr:uid="{18575F4A-5CC0-411E-BAC4-A99DB06E4152}"/>
    <cellStyle name="Normal 100 3" xfId="23041" xr:uid="{6F6B1E28-C01A-4BA8-A047-122A52676A29}"/>
    <cellStyle name="Normal 100 3 2" xfId="58128" xr:uid="{DFEA9019-3710-4A09-B090-23B777F2F2AD}"/>
    <cellStyle name="Normal 100 4" xfId="58125" xr:uid="{1A857B71-3132-4069-B90F-A15B6ACCD5B5}"/>
    <cellStyle name="Normal 101" xfId="7646" xr:uid="{FBE8B4A4-5E67-4A2D-8ABE-5E86213F53F2}"/>
    <cellStyle name="Normal 101 2" xfId="15354" xr:uid="{BB7C9941-8F8F-49D7-A5C9-AC2BB67E12CB}"/>
    <cellStyle name="Normal 101 2 2" xfId="30766" xr:uid="{EB1CD644-88B0-4D1B-B43A-2E91E85C1BF0}"/>
    <cellStyle name="Normal 101 2 2 2" xfId="58131" xr:uid="{6206AC7C-81B7-4CE2-B2BE-AD2FDDE0282F}"/>
    <cellStyle name="Normal 101 2 3" xfId="58130" xr:uid="{1A263D30-F13F-48A5-89A4-F17480CCBE3F}"/>
    <cellStyle name="Normal 101 3" xfId="23061" xr:uid="{9557B2E5-8575-4FCB-B9C3-8851D7EC68A8}"/>
    <cellStyle name="Normal 101 3 2" xfId="58132" xr:uid="{102B8CB4-62D3-4896-9DD4-4E4B62BAA2D3}"/>
    <cellStyle name="Normal 101 4" xfId="58129" xr:uid="{9AC26C92-328A-4488-802F-68A3E2AE6082}"/>
    <cellStyle name="Normal 102" xfId="7666" xr:uid="{8DD1C073-A110-4A18-832E-AACC191BC2CF}"/>
    <cellStyle name="Normal 102 2" xfId="15374" xr:uid="{1A1B120F-F68E-4431-8C29-EAC2483C02B5}"/>
    <cellStyle name="Normal 102 2 2" xfId="30786" xr:uid="{9841A29B-0DA5-46ED-947A-BF7FC005A5C8}"/>
    <cellStyle name="Normal 102 2 2 2" xfId="58135" xr:uid="{0F16D436-C197-4329-B849-312BB77EBFB1}"/>
    <cellStyle name="Normal 102 2 3" xfId="58134" xr:uid="{80A65FDE-2243-42C7-AF98-B62E88E2EDF1}"/>
    <cellStyle name="Normal 102 3" xfId="23081" xr:uid="{418D7D02-014F-4F56-98D8-9A8A3396CE49}"/>
    <cellStyle name="Normal 102 3 2" xfId="58136" xr:uid="{B12DB14B-880C-438F-8C65-04D987AD07EF}"/>
    <cellStyle name="Normal 102 4" xfId="58133" xr:uid="{DFE06617-BEE9-458C-B670-377303BA4B02}"/>
    <cellStyle name="Normal 103" xfId="7686" xr:uid="{486E1D38-B42E-4B9B-8A7E-5077356CFA10}"/>
    <cellStyle name="Normal 103 2" xfId="15394" xr:uid="{8FF69E05-3C9F-4185-93CA-CC9A45A1192A}"/>
    <cellStyle name="Normal 103 2 2" xfId="30806" xr:uid="{551F0CCA-D5AD-44CC-949F-542FA3F9B8A9}"/>
    <cellStyle name="Normal 103 2 2 2" xfId="58139" xr:uid="{E0993B3B-2DA7-4474-83DF-ACBAF7029DB4}"/>
    <cellStyle name="Normal 103 2 3" xfId="58138" xr:uid="{403D0576-CE62-41B8-BF16-21F6BC831C7F}"/>
    <cellStyle name="Normal 103 3" xfId="23101" xr:uid="{BA87AD67-D4BA-4B6B-AA7D-901EA381E07B}"/>
    <cellStyle name="Normal 103 3 2" xfId="58140" xr:uid="{FEA269B1-3950-4EEE-91DF-95CC5E30F5EB}"/>
    <cellStyle name="Normal 103 4" xfId="58137" xr:uid="{7D410126-9AAC-4C1A-8F9D-D531BE32E4F9}"/>
    <cellStyle name="Normal 104" xfId="7706" xr:uid="{EEDFF548-6878-4A6A-A2AA-2CD4562FEA19}"/>
    <cellStyle name="Normal 104 2" xfId="15414" xr:uid="{41CE6812-A1C2-4479-A828-696BC858B7DF}"/>
    <cellStyle name="Normal 104 2 2" xfId="30826" xr:uid="{ABBAF5AE-48FD-4B0F-BCCB-A9C6EBAB9F80}"/>
    <cellStyle name="Normal 104 2 2 2" xfId="58143" xr:uid="{1F19F608-F820-4EE3-87B7-24ACF852CBC8}"/>
    <cellStyle name="Normal 104 2 3" xfId="58142" xr:uid="{97082DCE-BE3E-4909-AAC5-095E7EF33CDF}"/>
    <cellStyle name="Normal 104 3" xfId="23121" xr:uid="{07C5F357-A8A0-4AD9-BA67-36ED80EEB4F0}"/>
    <cellStyle name="Normal 104 3 2" xfId="58144" xr:uid="{0F43858B-DE19-4CA6-BAE5-75D1AE1CB48F}"/>
    <cellStyle name="Normal 104 4" xfId="58141" xr:uid="{653B5078-01C6-42C3-8EF8-1537ACE2E254}"/>
    <cellStyle name="Normal 105" xfId="7726" xr:uid="{BB50E2FF-C750-418F-92C6-7A8F65E94691}"/>
    <cellStyle name="Normal 105 2" xfId="15434" xr:uid="{38A8DEC2-0B59-4E44-B791-FA27C188200A}"/>
    <cellStyle name="Normal 105 2 2" xfId="30846" xr:uid="{3491E3A9-73AC-46BA-B81F-71715C0A2E03}"/>
    <cellStyle name="Normal 105 2 2 2" xfId="58147" xr:uid="{34A6124F-20CC-4A90-B660-1F4BBE4F3EA4}"/>
    <cellStyle name="Normal 105 2 3" xfId="58146" xr:uid="{06C7AD27-893B-4948-982D-5795E77D9B8A}"/>
    <cellStyle name="Normal 105 3" xfId="23141" xr:uid="{BBACABF9-5D69-41F7-9AD5-4C608C6D686C}"/>
    <cellStyle name="Normal 105 3 2" xfId="58148" xr:uid="{8D1A006C-0D6C-4D72-944C-07EFA751C75C}"/>
    <cellStyle name="Normal 105 4" xfId="58145" xr:uid="{53CD6B74-D6C3-4A65-A8C7-131BBC6F9DEB}"/>
    <cellStyle name="Normal 106" xfId="7746" xr:uid="{F7007F22-07BD-4232-B801-B81E90A20CE9}"/>
    <cellStyle name="Normal 106 2" xfId="15454" xr:uid="{2F5CA83F-B77B-4E5E-BD65-2D1E95323A20}"/>
    <cellStyle name="Normal 106 2 2" xfId="30866" xr:uid="{076B6496-38C1-4ADE-BCBE-BD08701C269B}"/>
    <cellStyle name="Normal 106 2 2 2" xfId="58151" xr:uid="{8B0FD4DC-32D1-469F-9F2A-A61D4B70C03A}"/>
    <cellStyle name="Normal 106 2 3" xfId="58150" xr:uid="{3BFCA614-4384-4B2B-9B72-361F6C71337E}"/>
    <cellStyle name="Normal 106 3" xfId="23161" xr:uid="{70AC9EB5-E10D-4143-9375-16AC196DD6B3}"/>
    <cellStyle name="Normal 106 3 2" xfId="58152" xr:uid="{BA1CED30-31E8-46FF-AD29-7267C5E7E071}"/>
    <cellStyle name="Normal 106 4" xfId="58149" xr:uid="{EE077C7B-815B-4EC2-BE7B-A4D0F13CD3E3}"/>
    <cellStyle name="Normal 107" xfId="7766" xr:uid="{09EE6D65-4A5F-4296-89DD-6B0B3FC8D86F}"/>
    <cellStyle name="Normal 107 2" xfId="15474" xr:uid="{C64F4195-262C-4823-B599-B701933BF5D3}"/>
    <cellStyle name="Normal 107 2 2" xfId="30886" xr:uid="{A1222F00-0FBE-437F-B759-03AD26A3BA08}"/>
    <cellStyle name="Normal 107 2 2 2" xfId="58155" xr:uid="{AFD90DCE-E8D9-4A22-8132-85580CDF3129}"/>
    <cellStyle name="Normal 107 2 3" xfId="58154" xr:uid="{4A1FD088-6F89-4479-9A81-22A49FDCA0E8}"/>
    <cellStyle name="Normal 107 3" xfId="23181" xr:uid="{CD035947-83D7-44CE-BFD6-5AFA1D73992C}"/>
    <cellStyle name="Normal 107 3 2" xfId="58156" xr:uid="{DAF93FD5-00DF-4D34-A0BF-256A43BD1CD0}"/>
    <cellStyle name="Normal 107 4" xfId="58153" xr:uid="{AA2DFF29-0F40-483E-AC19-5EA86654128F}"/>
    <cellStyle name="Normal 108" xfId="7786" xr:uid="{CEDA4A78-FF72-4464-BC49-9B4B3C60E5A6}"/>
    <cellStyle name="Normal 108 2" xfId="15494" xr:uid="{55CF965A-5C68-40C5-A44C-84E9654FF9A7}"/>
    <cellStyle name="Normal 108 2 2" xfId="30906" xr:uid="{626C6FFA-1D04-4CEC-A9EF-DE193B35670C}"/>
    <cellStyle name="Normal 108 2 2 2" xfId="58159" xr:uid="{351B16F2-EBF5-4055-B67E-479C25B0975C}"/>
    <cellStyle name="Normal 108 2 3" xfId="58158" xr:uid="{4684DB04-F0B9-4624-B1EE-433C299292E4}"/>
    <cellStyle name="Normal 108 3" xfId="23201" xr:uid="{FEABF8A2-4476-4037-A892-2201C49B88E0}"/>
    <cellStyle name="Normal 108 3 2" xfId="58160" xr:uid="{0F8FE488-9560-4CE5-86EB-FD263C6B20D7}"/>
    <cellStyle name="Normal 108 4" xfId="58157" xr:uid="{D99764F8-875A-4070-807C-DF5DCEEC6C7B}"/>
    <cellStyle name="Normal 109" xfId="7806" xr:uid="{DBD7809C-098E-4FDA-B05F-148497678360}"/>
    <cellStyle name="Normal 109 2" xfId="15514" xr:uid="{C9149BE5-DC68-4D8A-8BBE-E2781D5EB26A}"/>
    <cellStyle name="Normal 109 2 2" xfId="30926" xr:uid="{D0D75933-1F47-41CC-BE5F-3E5400DB4A5A}"/>
    <cellStyle name="Normal 109 2 2 2" xfId="58163" xr:uid="{41D0B3ED-8172-4B9E-8FFA-2FC410FBCD7A}"/>
    <cellStyle name="Normal 109 2 3" xfId="58162" xr:uid="{6034D1F6-BC50-4F74-9DF1-FA0E24A89098}"/>
    <cellStyle name="Normal 109 3" xfId="23221" xr:uid="{A5926052-1F06-44BE-A66C-F52357958985}"/>
    <cellStyle name="Normal 109 3 2" xfId="58164" xr:uid="{2A2AAE6E-FD83-43EE-9178-A68D7D2B458A}"/>
    <cellStyle name="Normal 109 4" xfId="58161" xr:uid="{E4BFBC48-F49E-45A5-99AA-C9A661EE9A06}"/>
    <cellStyle name="Normal 11" xfId="117" xr:uid="{47732AA0-C786-4B32-9D59-8D36C905B50B}"/>
    <cellStyle name="Normal 11 2" xfId="118" xr:uid="{70187065-AA17-468A-AFF9-47E7F50EA0BD}"/>
    <cellStyle name="Normal 11 2 2" xfId="58166" xr:uid="{D889EE76-452F-4F1D-B793-0FD257EE23B7}"/>
    <cellStyle name="Normal 11 3" xfId="58165" xr:uid="{411748A5-FDE0-4A6A-8231-ACA48662EC8B}"/>
    <cellStyle name="Normal 110" xfId="7808" xr:uid="{6513252F-CB55-4784-BB97-C3060F1EBC30}"/>
    <cellStyle name="Normal 110 2" xfId="15516" xr:uid="{64EB9FC0-722E-4B98-A66F-DFB62515D336}"/>
    <cellStyle name="Normal 110 2 2" xfId="30928" xr:uid="{26B98201-91D5-4F69-B278-E3731D9170C5}"/>
    <cellStyle name="Normal 110 2 2 2" xfId="58169" xr:uid="{2CFF411A-16B7-4688-B1A7-9B9F3A7985F3}"/>
    <cellStyle name="Normal 110 2 3" xfId="58168" xr:uid="{0C0A91E5-09A5-4C69-962E-2899366EA725}"/>
    <cellStyle name="Normal 110 3" xfId="23223" xr:uid="{B150E486-2F76-47AE-B063-EADA2C94BF3E}"/>
    <cellStyle name="Normal 110 3 2" xfId="58170" xr:uid="{980AC48F-669B-4EEF-B09D-D6271C488363}"/>
    <cellStyle name="Normal 110 4" xfId="58167" xr:uid="{73BCC21A-4DCD-41DE-8B14-054C8EA9045B}"/>
    <cellStyle name="Normal 111" xfId="7828" xr:uid="{8E2D0622-B341-4A98-883B-6053E0173C74}"/>
    <cellStyle name="Normal 111 2" xfId="15536" xr:uid="{457EB5EF-3A5E-4535-BF32-162ECC314381}"/>
    <cellStyle name="Normal 111 2 2" xfId="58172" xr:uid="{92642967-7769-4280-92B0-2F526D5F9B24}"/>
    <cellStyle name="Normal 111 3" xfId="58171" xr:uid="{7DAE747F-FAE6-4226-AEA2-44DE4158DD73}"/>
    <cellStyle name="Normal 112" xfId="7829" xr:uid="{CBB18EE6-5985-40E2-90E4-07106FE4BCC7}"/>
    <cellStyle name="Normal 112 2" xfId="15537" xr:uid="{B0B07293-78AF-41B5-A2BC-4561F61BBD71}"/>
    <cellStyle name="Normal 112 2 2" xfId="30948" xr:uid="{9C267761-5864-479B-B731-7F9C536601BF}"/>
    <cellStyle name="Normal 112 2 2 2" xfId="58175" xr:uid="{2B819179-B924-4BBB-8906-E01F6BA965EC}"/>
    <cellStyle name="Normal 112 2 3" xfId="58174" xr:uid="{108A1A59-9AE8-4F45-8683-137DFF00A243}"/>
    <cellStyle name="Normal 112 3" xfId="23243" xr:uid="{C96F377C-4F49-4285-AD88-CDBD3C935560}"/>
    <cellStyle name="Normal 112 3 2" xfId="58176" xr:uid="{031DA395-0AD4-426B-B9A1-4F397444DDC6}"/>
    <cellStyle name="Normal 112 4" xfId="58173" xr:uid="{4216B40F-041B-49B6-B8BD-4A568CE1CEB4}"/>
    <cellStyle name="Normal 113" xfId="7849" xr:uid="{1ABF554A-A645-434D-BB00-AC44361EF100}"/>
    <cellStyle name="Normal 113 2" xfId="15557" xr:uid="{BED637BA-3005-49A8-8755-F4671DC4CD73}"/>
    <cellStyle name="Normal 113 2 2" xfId="30968" xr:uid="{1689A26B-C9BF-499A-8A2A-074F484A1E9A}"/>
    <cellStyle name="Normal 113 2 2 2" xfId="58179" xr:uid="{5628CA5A-D403-415D-B940-E84C3FA3EE43}"/>
    <cellStyle name="Normal 113 2 3" xfId="58178" xr:uid="{7F00F0D2-C89A-4B38-BCD3-5B54BACE1591}"/>
    <cellStyle name="Normal 113 3" xfId="23263" xr:uid="{A09CAE70-E7EE-44D5-9AB6-D3A753FC65DA}"/>
    <cellStyle name="Normal 113 3 2" xfId="58180" xr:uid="{E0240CA6-87C8-4047-B9AD-B74FC8472B67}"/>
    <cellStyle name="Normal 113 4" xfId="58177" xr:uid="{EF28F363-B908-4D8E-9090-F9F6A3C1D6EC}"/>
    <cellStyle name="Normal 114" xfId="7869" xr:uid="{912D7A13-08C7-4B10-9D94-1CA74E60DE87}"/>
    <cellStyle name="Normal 114 2" xfId="15577" xr:uid="{EC1B5A49-89E8-44C8-B163-1ED3EF3CB54B}"/>
    <cellStyle name="Normal 114 2 2" xfId="58182" xr:uid="{E564B652-61B2-4FE1-9CD8-BC597A6BED38}"/>
    <cellStyle name="Normal 114 3" xfId="58181" xr:uid="{153B7A97-BA28-4CF1-931D-0A04CD3D7432}"/>
    <cellStyle name="Normal 115" xfId="30988" xr:uid="{7315B9F8-49EF-4A7C-8B95-D935416F1418}"/>
    <cellStyle name="Normal 115 2" xfId="58183" xr:uid="{12A23FBB-C23A-46C4-A5C0-EEAB9CBFC68B}"/>
    <cellStyle name="Normal 116" xfId="60330" xr:uid="{0132055A-B94E-4B79-A99C-7F2958FF6391}"/>
    <cellStyle name="Normal 117" xfId="61988" xr:uid="{616EDC89-795C-44B8-A5BE-5006BB36CAF3}"/>
    <cellStyle name="Normal 118" xfId="62008" xr:uid="{73F4B71D-FBF9-4662-99DF-56079E033CCF}"/>
    <cellStyle name="Normal 119" xfId="62028" xr:uid="{CF386CF3-1755-4716-9C07-BAFFF7ACA2EF}"/>
    <cellStyle name="Normal 12" xfId="155" xr:uid="{9F2B6B86-A8D7-46E0-AA0F-87A3ACB78083}"/>
    <cellStyle name="Normal 12 2" xfId="218" xr:uid="{0A4EC4C3-85A0-4EFE-9466-5E4435EE37DA}"/>
    <cellStyle name="Normal 12 2 2" xfId="422" xr:uid="{D3D2C71D-A4CD-4A8E-A39E-6E50193F617A}"/>
    <cellStyle name="Normal 12 2 2 2" xfId="1084" xr:uid="{CBE5F580-CB77-45C2-9967-6F5344138E9A}"/>
    <cellStyle name="Normal 12 2 2 2 2" xfId="2552" xr:uid="{F0AE2B3D-3046-4C0A-A057-7C8222CA2DA9}"/>
    <cellStyle name="Normal 12 2 2 2 2 2" xfId="6284" xr:uid="{B4726BB8-B39E-4295-B5C9-0D20071C66FD}"/>
    <cellStyle name="Normal 12 2 2 2 2 2 2" xfId="13992" xr:uid="{6B73538D-3736-4960-9BD0-7F6D1F43803B}"/>
    <cellStyle name="Normal 12 2 2 2 2 2 2 2" xfId="29404" xr:uid="{FF4974CA-3C91-4BAE-977C-3ACE321D2503}"/>
    <cellStyle name="Normal 12 2 2 2 2 2 2 2 2" xfId="58191" xr:uid="{E6C3CF59-0905-4894-B935-F7372DEAD6CE}"/>
    <cellStyle name="Normal 12 2 2 2 2 2 2 3" xfId="58190" xr:uid="{44CDBBFF-8372-4786-ACCD-A52FAE4A305C}"/>
    <cellStyle name="Normal 12 2 2 2 2 2 3" xfId="21699" xr:uid="{F943E0DE-981E-4271-983B-8DF5E5953898}"/>
    <cellStyle name="Normal 12 2 2 2 2 2 3 2" xfId="58192" xr:uid="{2C517C45-86EB-4196-8B8A-0946F97F40B1}"/>
    <cellStyle name="Normal 12 2 2 2 2 2 4" xfId="58189" xr:uid="{E5531D20-5FA6-4FB7-BF38-0BE554BF8621}"/>
    <cellStyle name="Normal 12 2 2 2 2 3" xfId="10263" xr:uid="{C86A9DAE-CAE3-4387-B8E5-6A4D0DEF2DD6}"/>
    <cellStyle name="Normal 12 2 2 2 2 3 2" xfId="25676" xr:uid="{2A30489C-FB07-4F2E-ACE2-D04A79094ED4}"/>
    <cellStyle name="Normal 12 2 2 2 2 3 2 2" xfId="58194" xr:uid="{C0BA0575-8D52-45BB-8193-94F35BC4B5F9}"/>
    <cellStyle name="Normal 12 2 2 2 2 3 3" xfId="58193" xr:uid="{456BA593-72DB-49E6-A97A-479F156CAD2B}"/>
    <cellStyle name="Normal 12 2 2 2 2 4" xfId="17971" xr:uid="{CA6E18C0-DBBE-4FE3-A718-4B186019A727}"/>
    <cellStyle name="Normal 12 2 2 2 2 4 2" xfId="58195" xr:uid="{5FB74E19-E6D9-4ED8-BF93-01BDBC60671D}"/>
    <cellStyle name="Normal 12 2 2 2 2 5" xfId="58188" xr:uid="{61C867CF-DF7B-4737-BE47-B6262D47C255}"/>
    <cellStyle name="Normal 12 2 2 2 3" xfId="4821" xr:uid="{61B7DDCB-A36E-4267-A3D0-E1FC005D63A8}"/>
    <cellStyle name="Normal 12 2 2 2 3 2" xfId="12529" xr:uid="{1AD17190-7778-47C8-9679-843423A9BEBA}"/>
    <cellStyle name="Normal 12 2 2 2 3 2 2" xfId="27941" xr:uid="{340FB908-B0DC-4158-BC26-9053B8EABBA8}"/>
    <cellStyle name="Normal 12 2 2 2 3 2 2 2" xfId="58198" xr:uid="{87D5D45A-D61D-4B26-8DD7-1B5ECE689268}"/>
    <cellStyle name="Normal 12 2 2 2 3 2 3" xfId="58197" xr:uid="{1A52E564-84F7-4275-BC6C-B6F0207EF36B}"/>
    <cellStyle name="Normal 12 2 2 2 3 3" xfId="20236" xr:uid="{78598F31-F1D0-49D3-882E-BF36148B55FD}"/>
    <cellStyle name="Normal 12 2 2 2 3 3 2" xfId="58199" xr:uid="{9365971E-B083-4CA5-A02A-0E1D45FD4DCF}"/>
    <cellStyle name="Normal 12 2 2 2 3 4" xfId="58196" xr:uid="{7D933FA0-FC52-4D2D-81E4-360F99E6ACBF}"/>
    <cellStyle name="Normal 12 2 2 2 4" xfId="8804" xr:uid="{FE797586-91F8-4D38-962C-E5F4E8E27E7F}"/>
    <cellStyle name="Normal 12 2 2 2 4 2" xfId="24217" xr:uid="{C82781C8-F810-4C17-9A90-D909ADDC138B}"/>
    <cellStyle name="Normal 12 2 2 2 4 2 2" xfId="58201" xr:uid="{265B85DB-2BDB-4ECC-8457-E45C9ECF1C1F}"/>
    <cellStyle name="Normal 12 2 2 2 4 3" xfId="58200" xr:uid="{C343433D-0E28-49CC-B56D-55656EA7668C}"/>
    <cellStyle name="Normal 12 2 2 2 5" xfId="16512" xr:uid="{FF47B93C-FB8D-4F8B-8596-AB55734C8F55}"/>
    <cellStyle name="Normal 12 2 2 2 5 2" xfId="58202" xr:uid="{AE6A9CD9-E07A-437C-850C-BCFF079F85EF}"/>
    <cellStyle name="Normal 12 2 2 2 6" xfId="58187" xr:uid="{38EC4F26-863B-4BF9-9299-BBEFFB75C11E}"/>
    <cellStyle name="Normal 12 2 2 3" xfId="1914" xr:uid="{F3E84306-1626-4198-B607-129A2F75D7C6}"/>
    <cellStyle name="Normal 12 2 2 3 2" xfId="5646" xr:uid="{94E5C343-297A-4009-9194-78A907795274}"/>
    <cellStyle name="Normal 12 2 2 3 2 2" xfId="13354" xr:uid="{3F5A0286-62CC-4E05-AC17-B435F7626EB1}"/>
    <cellStyle name="Normal 12 2 2 3 2 2 2" xfId="28766" xr:uid="{C1AC5714-4AF1-4F26-9107-8A062AC885B2}"/>
    <cellStyle name="Normal 12 2 2 3 2 2 2 2" xfId="58206" xr:uid="{6591500F-056E-4D27-9A9A-C82CFF8D2E1E}"/>
    <cellStyle name="Normal 12 2 2 3 2 2 3" xfId="58205" xr:uid="{89E5C847-F298-481C-906A-1720D245E959}"/>
    <cellStyle name="Normal 12 2 2 3 2 3" xfId="21061" xr:uid="{439D9D56-4648-4E5D-98F9-55500C34B1F1}"/>
    <cellStyle name="Normal 12 2 2 3 2 3 2" xfId="58207" xr:uid="{AA6060FA-5FFC-47E5-BBFB-B0AD1F75F1BA}"/>
    <cellStyle name="Normal 12 2 2 3 2 4" xfId="58204" xr:uid="{3A1CF078-AD32-4B07-A58C-3439FB4A3B17}"/>
    <cellStyle name="Normal 12 2 2 3 3" xfId="9625" xr:uid="{6A2858D7-853F-4CD7-AB6A-769A201A2907}"/>
    <cellStyle name="Normal 12 2 2 3 3 2" xfId="25038" xr:uid="{9B3A72A3-CAF3-472B-ABF9-4EA8277CECCD}"/>
    <cellStyle name="Normal 12 2 2 3 3 2 2" xfId="58209" xr:uid="{1F7FF1FB-4126-4AC0-8160-A9EADECF018B}"/>
    <cellStyle name="Normal 12 2 2 3 3 3" xfId="58208" xr:uid="{ACC5510D-03FB-48DC-B453-C603D373BFB4}"/>
    <cellStyle name="Normal 12 2 2 3 4" xfId="17333" xr:uid="{70B57F94-7CA1-4A81-B2B7-12970CCCD670}"/>
    <cellStyle name="Normal 12 2 2 3 4 2" xfId="58210" xr:uid="{B98BEB4C-878B-444D-9DEA-D477F317702D}"/>
    <cellStyle name="Normal 12 2 2 3 5" xfId="58203" xr:uid="{65ADD1AE-BE6D-47A9-B688-AA1C309E4D58}"/>
    <cellStyle name="Normal 12 2 2 4" xfId="4169" xr:uid="{07CDC3AE-D074-4385-8586-A5F02D1EDB30}"/>
    <cellStyle name="Normal 12 2 2 4 2" xfId="11877" xr:uid="{E671A6AF-DF61-43A7-8DBF-ECF66874DF4F}"/>
    <cellStyle name="Normal 12 2 2 4 2 2" xfId="27289" xr:uid="{6CEF746F-8C22-4547-A948-FF68A786AF2B}"/>
    <cellStyle name="Normal 12 2 2 4 2 2 2" xfId="58213" xr:uid="{8271700A-152B-498F-AF2F-10B7C38B52FB}"/>
    <cellStyle name="Normal 12 2 2 4 2 3" xfId="58212" xr:uid="{C6D63A8C-F3DD-402D-BA4C-E5FF0CD41613}"/>
    <cellStyle name="Normal 12 2 2 4 3" xfId="19584" xr:uid="{7D511D71-BE6B-400F-98EB-44397D2664AE}"/>
    <cellStyle name="Normal 12 2 2 4 3 2" xfId="58214" xr:uid="{2E95A29C-0670-41DF-8F02-07155611E2B0}"/>
    <cellStyle name="Normal 12 2 2 4 4" xfId="58211" xr:uid="{E15E193E-724D-4132-81D9-23166A5F2827}"/>
    <cellStyle name="Normal 12 2 2 5" xfId="8166" xr:uid="{9E8D03C9-5803-4B6A-934C-E3F20AEA8DB2}"/>
    <cellStyle name="Normal 12 2 2 5 2" xfId="23579" xr:uid="{8FF5C799-6E19-4801-9AF9-E7DBE32C13DC}"/>
    <cellStyle name="Normal 12 2 2 5 2 2" xfId="58216" xr:uid="{B66CE63D-CBA1-446A-B297-021A16925B7D}"/>
    <cellStyle name="Normal 12 2 2 5 3" xfId="58215" xr:uid="{9032E1F1-8F68-4B6E-897D-EC1D158F5142}"/>
    <cellStyle name="Normal 12 2 2 6" xfId="15874" xr:uid="{F25F2A94-3AC1-4D8F-9251-0462A62BD7A4}"/>
    <cellStyle name="Normal 12 2 2 6 2" xfId="58217" xr:uid="{1DA79177-0D2E-420A-888C-CD3EE6B8B644}"/>
    <cellStyle name="Normal 12 2 2 7" xfId="58186" xr:uid="{A2AD384C-A763-449F-A826-51B35ACDD417}"/>
    <cellStyle name="Normal 12 2 3" xfId="884" xr:uid="{07BC4A59-AF39-47D7-A885-7EEF6AA2543A}"/>
    <cellStyle name="Normal 12 2 3 2" xfId="2354" xr:uid="{0C5C8799-D277-4BEC-85BF-6AE825D8D5BE}"/>
    <cellStyle name="Normal 12 2 3 2 2" xfId="6086" xr:uid="{F1BD881D-9716-4CA6-A1AB-4F3628E5733A}"/>
    <cellStyle name="Normal 12 2 3 2 2 2" xfId="13794" xr:uid="{D33C55D0-581D-4097-9AD2-A5B4A916FC5C}"/>
    <cellStyle name="Normal 12 2 3 2 2 2 2" xfId="29206" xr:uid="{A8C25F15-627A-4058-A88E-AF36FBE5141B}"/>
    <cellStyle name="Normal 12 2 3 2 2 2 2 2" xfId="58222" xr:uid="{835E21D1-AC7A-4AEB-80BA-8CB76563A29C}"/>
    <cellStyle name="Normal 12 2 3 2 2 2 3" xfId="58221" xr:uid="{126D2F73-CA1C-4697-9C32-38F0B297B1FA}"/>
    <cellStyle name="Normal 12 2 3 2 2 3" xfId="21501" xr:uid="{0201305F-7CA4-47E6-93F8-01E423FF0FC8}"/>
    <cellStyle name="Normal 12 2 3 2 2 3 2" xfId="58223" xr:uid="{BA3F86BB-3F81-43F8-BE52-C4CF27E3F2E1}"/>
    <cellStyle name="Normal 12 2 3 2 2 4" xfId="58220" xr:uid="{712EB226-C7C5-486D-AC68-2205E00A0EBB}"/>
    <cellStyle name="Normal 12 2 3 2 3" xfId="10065" xr:uid="{B4234656-8350-450F-A043-B41E5EE1793C}"/>
    <cellStyle name="Normal 12 2 3 2 3 2" xfId="25478" xr:uid="{BA6944A8-E3BE-41DD-A68D-245FA8D0D442}"/>
    <cellStyle name="Normal 12 2 3 2 3 2 2" xfId="58225" xr:uid="{4793559B-B1E7-422C-A875-EAB4838749C1}"/>
    <cellStyle name="Normal 12 2 3 2 3 3" xfId="58224" xr:uid="{3F1F0FEF-06B2-4B23-A0EE-7E366F1E773D}"/>
    <cellStyle name="Normal 12 2 3 2 4" xfId="17773" xr:uid="{0A7E426A-127C-400B-AEC1-9406747434FD}"/>
    <cellStyle name="Normal 12 2 3 2 4 2" xfId="58226" xr:uid="{69E26390-6248-4138-9D43-73F8B558AE2A}"/>
    <cellStyle name="Normal 12 2 3 2 5" xfId="58219" xr:uid="{AD726B52-8BE1-4969-B63C-7314FB6B2A4A}"/>
    <cellStyle name="Normal 12 2 3 3" xfId="4621" xr:uid="{89D1C6C7-EAC8-40AB-A97D-9D0339E0A210}"/>
    <cellStyle name="Normal 12 2 3 3 2" xfId="12329" xr:uid="{CBE89DA1-8002-4F04-90DA-2967F610F9AD}"/>
    <cellStyle name="Normal 12 2 3 3 2 2" xfId="27741" xr:uid="{0E9B5C8A-A15E-4C41-AD55-B8BB0979CE11}"/>
    <cellStyle name="Normal 12 2 3 3 2 2 2" xfId="58229" xr:uid="{D7F15BC3-8443-4BE7-82FE-0D596D6D2343}"/>
    <cellStyle name="Normal 12 2 3 3 2 3" xfId="58228" xr:uid="{A39B9A36-6DED-484E-885E-E05C0958B068}"/>
    <cellStyle name="Normal 12 2 3 3 3" xfId="20036" xr:uid="{EF1324D9-91D2-4EC9-971D-348FAEE43E56}"/>
    <cellStyle name="Normal 12 2 3 3 3 2" xfId="58230" xr:uid="{629EB987-3C15-4828-8149-D0C3AE2D6439}"/>
    <cellStyle name="Normal 12 2 3 3 4" xfId="58227" xr:uid="{1302DE94-F1A7-4FBE-9E7A-990AF95AD9FE}"/>
    <cellStyle name="Normal 12 2 3 4" xfId="8606" xr:uid="{8F9CFA2F-D246-42EF-8F1A-DE3DFD85E79E}"/>
    <cellStyle name="Normal 12 2 3 4 2" xfId="24019" xr:uid="{C39FA1D3-0BA0-4F1E-81C0-DE3364C94A31}"/>
    <cellStyle name="Normal 12 2 3 4 2 2" xfId="58232" xr:uid="{2C7F0689-0378-4006-92CB-844B31EC3FD2}"/>
    <cellStyle name="Normal 12 2 3 4 3" xfId="58231" xr:uid="{FA416788-181E-4D6A-9EC2-02B030FBAEBB}"/>
    <cellStyle name="Normal 12 2 3 5" xfId="16314" xr:uid="{C535D5BC-6D7D-4B53-BF9F-85CB12F386D2}"/>
    <cellStyle name="Normal 12 2 3 5 2" xfId="58233" xr:uid="{B3061859-BE31-4A2D-877E-A686E8EBE46A}"/>
    <cellStyle name="Normal 12 2 3 6" xfId="58218" xr:uid="{CE345268-9EE2-498A-AE23-DB1C51035C4C}"/>
    <cellStyle name="Normal 12 2 4" xfId="1716" xr:uid="{B2835F6A-0F01-4CD9-A7B9-E0B5BF72B0AF}"/>
    <cellStyle name="Normal 12 2 4 2" xfId="5448" xr:uid="{585B6AA2-48F6-4373-904A-081DF01C3353}"/>
    <cellStyle name="Normal 12 2 4 2 2" xfId="13156" xr:uid="{38DB54EF-1C65-488C-B484-4E1ABD5C94FB}"/>
    <cellStyle name="Normal 12 2 4 2 2 2" xfId="28568" xr:uid="{1E12FEFE-37FA-4F2B-AD63-9B5948E9D62A}"/>
    <cellStyle name="Normal 12 2 4 2 2 2 2" xfId="58237" xr:uid="{09B26A80-CAE6-4981-B7E9-2E3409A439F2}"/>
    <cellStyle name="Normal 12 2 4 2 2 3" xfId="58236" xr:uid="{267B291B-90E0-4875-A4C8-5A39FF3704A3}"/>
    <cellStyle name="Normal 12 2 4 2 3" xfId="20863" xr:uid="{BC7BB685-3B90-4DAC-933B-E708614AE06E}"/>
    <cellStyle name="Normal 12 2 4 2 3 2" xfId="58238" xr:uid="{7B7198B8-378C-436E-9C05-6FBF4CC1DBE4}"/>
    <cellStyle name="Normal 12 2 4 2 4" xfId="58235" xr:uid="{06B3A344-8CFD-47A4-B665-13968DD4731D}"/>
    <cellStyle name="Normal 12 2 4 3" xfId="9427" xr:uid="{2707F2B1-BEC8-4C77-97E6-335C321F0B3A}"/>
    <cellStyle name="Normal 12 2 4 3 2" xfId="24840" xr:uid="{7B06F941-EF77-44C9-97F9-3DB96A149A73}"/>
    <cellStyle name="Normal 12 2 4 3 2 2" xfId="58240" xr:uid="{1FE59C6B-5E66-4B56-A8AF-70A2D1FD5462}"/>
    <cellStyle name="Normal 12 2 4 3 3" xfId="58239" xr:uid="{61975A64-FA93-4A36-9C23-27CC0C807BA0}"/>
    <cellStyle name="Normal 12 2 4 4" xfId="17135" xr:uid="{B029EBBF-8820-436A-B7CE-88B5B0C5D47B}"/>
    <cellStyle name="Normal 12 2 4 4 2" xfId="58241" xr:uid="{70994392-62C4-4296-BB3C-7CFC56CFBEDD}"/>
    <cellStyle name="Normal 12 2 4 5" xfId="58234" xr:uid="{A403B2CE-67A0-4F53-9F68-9C6EFC653308}"/>
    <cellStyle name="Normal 12 2 5" xfId="3969" xr:uid="{CB8989FA-79BD-4AE4-9149-98B8ED8FB1A3}"/>
    <cellStyle name="Normal 12 2 5 2" xfId="11677" xr:uid="{F9F09395-4A79-47E9-9842-26FD9AB34D55}"/>
    <cellStyle name="Normal 12 2 5 2 2" xfId="27089" xr:uid="{4F4131EE-A280-410B-8348-E9BC3AB593C6}"/>
    <cellStyle name="Normal 12 2 5 2 2 2" xfId="58244" xr:uid="{37E659C0-FCA8-4217-93C8-6B85EB8AAFAF}"/>
    <cellStyle name="Normal 12 2 5 2 3" xfId="58243" xr:uid="{7F1183B8-81DC-4C95-9E5B-11603655FB7D}"/>
    <cellStyle name="Normal 12 2 5 3" xfId="19384" xr:uid="{49724376-ABDE-4A82-A858-53507E4321C9}"/>
    <cellStyle name="Normal 12 2 5 3 2" xfId="58245" xr:uid="{D143F49C-A9BD-4913-A6C5-D240805BCA91}"/>
    <cellStyle name="Normal 12 2 5 4" xfId="58242" xr:uid="{323CB45E-98B1-4B68-B016-83CD9671E84B}"/>
    <cellStyle name="Normal 12 2 6" xfId="7968" xr:uid="{67165273-E5AF-4715-910D-A843328C2A70}"/>
    <cellStyle name="Normal 12 2 6 2" xfId="23381" xr:uid="{0C2E7845-BBAE-4D0F-904B-1FE1501E763F}"/>
    <cellStyle name="Normal 12 2 6 2 2" xfId="58247" xr:uid="{46178A26-DE56-4AAB-A4D7-24495C973ED8}"/>
    <cellStyle name="Normal 12 2 6 3" xfId="58246" xr:uid="{EC4EEC9A-8E45-4BF2-BC95-A0F9B866E142}"/>
    <cellStyle name="Normal 12 2 7" xfId="15676" xr:uid="{59034C75-38D6-4DA1-934E-BC69CFAD2109}"/>
    <cellStyle name="Normal 12 2 7 2" xfId="58248" xr:uid="{E56F3E3F-48D4-4695-B5DC-F79E36B2269D}"/>
    <cellStyle name="Normal 12 2 8" xfId="58185" xr:uid="{EBC07063-D5B3-4FB1-A6C6-53AD42225134}"/>
    <cellStyle name="Normal 12 3" xfId="372" xr:uid="{ED1D5B2A-408E-471E-A3AF-451419EE1DCD}"/>
    <cellStyle name="Normal 12 3 2" xfId="1034" xr:uid="{6D8548E4-9F48-454C-8947-B0A9BE3EC7E5}"/>
    <cellStyle name="Normal 12 3 2 2" xfId="2502" xr:uid="{574671E6-349C-48FC-AA61-05C6F9FAAA18}"/>
    <cellStyle name="Normal 12 3 2 2 2" xfId="6234" xr:uid="{B22CF7D9-8E0A-4653-8DE4-398D1D9BCFCB}"/>
    <cellStyle name="Normal 12 3 2 2 2 2" xfId="13942" xr:uid="{12941F9C-BDC7-463D-965D-B45AFD1444B4}"/>
    <cellStyle name="Normal 12 3 2 2 2 2 2" xfId="29354" xr:uid="{3063DFA9-32DD-48CC-9890-A87927777D84}"/>
    <cellStyle name="Normal 12 3 2 2 2 2 2 2" xfId="58254" xr:uid="{1F91FD24-E0A7-4AFD-86BC-F4E9C0A33BAE}"/>
    <cellStyle name="Normal 12 3 2 2 2 2 3" xfId="58253" xr:uid="{699457FD-BEBD-4276-AE51-113ED32CE1C0}"/>
    <cellStyle name="Normal 12 3 2 2 2 3" xfId="21649" xr:uid="{7FCC41F8-6C63-4FB9-8F26-107CC530C5DC}"/>
    <cellStyle name="Normal 12 3 2 2 2 3 2" xfId="58255" xr:uid="{B01E735C-674D-430E-B6CC-7BB03D2E2C44}"/>
    <cellStyle name="Normal 12 3 2 2 2 4" xfId="58252" xr:uid="{B6DA8C2E-3541-4CE8-872E-A99D3C69585E}"/>
    <cellStyle name="Normal 12 3 2 2 3" xfId="10213" xr:uid="{B9BA679E-02CC-451B-B47E-CA08EBDB4C60}"/>
    <cellStyle name="Normal 12 3 2 2 3 2" xfId="25626" xr:uid="{50B7F124-4389-42F9-8504-CBA6D2680581}"/>
    <cellStyle name="Normal 12 3 2 2 3 2 2" xfId="58257" xr:uid="{4DC6C461-81A1-47C6-A168-0E5A016AA919}"/>
    <cellStyle name="Normal 12 3 2 2 3 3" xfId="58256" xr:uid="{F9CB626E-857F-42EA-9ABA-D1D8527EF0A5}"/>
    <cellStyle name="Normal 12 3 2 2 4" xfId="17921" xr:uid="{570C492E-F28F-4DB4-91AC-420D6028E14D}"/>
    <cellStyle name="Normal 12 3 2 2 4 2" xfId="58258" xr:uid="{AF48EDD3-E4E2-48FB-82F2-CD086A707B77}"/>
    <cellStyle name="Normal 12 3 2 2 5" xfId="58251" xr:uid="{61C0B4E5-BA0F-4618-88ED-0F540A60C0F9}"/>
    <cellStyle name="Normal 12 3 2 3" xfId="4771" xr:uid="{619F4CF3-28D5-44C0-8262-133B635B1769}"/>
    <cellStyle name="Normal 12 3 2 3 2" xfId="12479" xr:uid="{D2F5D619-18A8-42FA-9097-8A85E84571E4}"/>
    <cellStyle name="Normal 12 3 2 3 2 2" xfId="27891" xr:uid="{6C43CE4E-A23C-4B63-BEB7-A8843FC585E5}"/>
    <cellStyle name="Normal 12 3 2 3 2 2 2" xfId="58261" xr:uid="{92E7E30B-9439-4291-9ACE-344125F3B436}"/>
    <cellStyle name="Normal 12 3 2 3 2 3" xfId="58260" xr:uid="{BC020CD1-E66F-4F21-8933-D9ED870360FD}"/>
    <cellStyle name="Normal 12 3 2 3 3" xfId="20186" xr:uid="{11C043DE-7910-4B32-8827-B9B9301DC555}"/>
    <cellStyle name="Normal 12 3 2 3 3 2" xfId="58262" xr:uid="{44429EF1-1EA0-497D-9920-7A084413FCE3}"/>
    <cellStyle name="Normal 12 3 2 3 4" xfId="58259" xr:uid="{FC6E5752-BF58-4692-A6C5-DBC3539C6ADC}"/>
    <cellStyle name="Normal 12 3 2 4" xfId="8754" xr:uid="{E5372EFD-BCB7-4AAC-886E-502521C13411}"/>
    <cellStyle name="Normal 12 3 2 4 2" xfId="24167" xr:uid="{A791BE5C-F4C3-413E-BA86-2A5C456DC2B2}"/>
    <cellStyle name="Normal 12 3 2 4 2 2" xfId="58264" xr:uid="{C71B07AC-4EB3-4FF4-82C5-EEC0EFE765AC}"/>
    <cellStyle name="Normal 12 3 2 4 3" xfId="58263" xr:uid="{D672D01B-DACA-4DB7-9A96-E90EF8FFC7C3}"/>
    <cellStyle name="Normal 12 3 2 5" xfId="16462" xr:uid="{AAEDC400-E883-49FF-B3D8-23274EC3583D}"/>
    <cellStyle name="Normal 12 3 2 5 2" xfId="58265" xr:uid="{AEEFADA4-1E87-4687-8A3E-24C73FBDCF5D}"/>
    <cellStyle name="Normal 12 3 2 6" xfId="58250" xr:uid="{5C9CBA7E-BC71-44DC-9EF0-32F4C9BE3747}"/>
    <cellStyle name="Normal 12 3 3" xfId="1864" xr:uid="{55FA13B5-94D7-4507-B3A9-ACBAB2DE2C17}"/>
    <cellStyle name="Normal 12 3 3 2" xfId="5596" xr:uid="{F96C93A5-734F-4F3D-BB3E-B9CA5DF4EF4D}"/>
    <cellStyle name="Normal 12 3 3 2 2" xfId="13304" xr:uid="{FFB9B68F-C599-488A-8DBD-64A763048054}"/>
    <cellStyle name="Normal 12 3 3 2 2 2" xfId="28716" xr:uid="{ED9F4004-1254-4FC5-9605-49B566A949E0}"/>
    <cellStyle name="Normal 12 3 3 2 2 2 2" xfId="58269" xr:uid="{FF19B683-1843-4EB5-B6C4-4F4EEEFE531B}"/>
    <cellStyle name="Normal 12 3 3 2 2 3" xfId="58268" xr:uid="{59BB6581-8E4E-4FDC-ADC7-6EDB7A139BE1}"/>
    <cellStyle name="Normal 12 3 3 2 3" xfId="21011" xr:uid="{056B3F6E-2867-496E-A7A0-3B0F41111580}"/>
    <cellStyle name="Normal 12 3 3 2 3 2" xfId="58270" xr:uid="{90422510-D5B7-4149-B77F-1DBECC876DB1}"/>
    <cellStyle name="Normal 12 3 3 2 4" xfId="58267" xr:uid="{536E1EAF-5241-4EE5-9B52-81B425C2D890}"/>
    <cellStyle name="Normal 12 3 3 3" xfId="9575" xr:uid="{9C92F174-B0AB-4C7F-9986-5A89104E79AE}"/>
    <cellStyle name="Normal 12 3 3 3 2" xfId="24988" xr:uid="{A5E9B90D-7627-4F11-A819-949D1579A00C}"/>
    <cellStyle name="Normal 12 3 3 3 2 2" xfId="58272" xr:uid="{35B4E102-5B68-41F2-8128-C03EDBA80F12}"/>
    <cellStyle name="Normal 12 3 3 3 3" xfId="58271" xr:uid="{4B1FB8D6-D8BA-4558-A1A1-F09396271323}"/>
    <cellStyle name="Normal 12 3 3 4" xfId="17283" xr:uid="{8E531C79-613F-4584-BA2F-A5DD7089AD32}"/>
    <cellStyle name="Normal 12 3 3 4 2" xfId="58273" xr:uid="{F9962B45-BCE3-413E-A836-C93E2D6642A0}"/>
    <cellStyle name="Normal 12 3 3 5" xfId="58266" xr:uid="{6E085BE6-4888-4930-BAB5-82E6D79B5B87}"/>
    <cellStyle name="Normal 12 3 4" xfId="4119" xr:uid="{78676FB6-A3A5-4DD5-B086-9C2F8A9CF0D8}"/>
    <cellStyle name="Normal 12 3 4 2" xfId="11827" xr:uid="{6CC2815A-A11C-4EE9-9A50-AB40D56E14C6}"/>
    <cellStyle name="Normal 12 3 4 2 2" xfId="27239" xr:uid="{E95165AB-00DB-4034-A1DB-B1D0585C3BD3}"/>
    <cellStyle name="Normal 12 3 4 2 2 2" xfId="58276" xr:uid="{1AD19BAE-F21B-4ABF-A4D0-8E03999EB80F}"/>
    <cellStyle name="Normal 12 3 4 2 3" xfId="58275" xr:uid="{0FD21780-9062-43B9-AF9C-AED5522B6161}"/>
    <cellStyle name="Normal 12 3 4 3" xfId="19534" xr:uid="{23E05B9B-A39A-4D8B-8810-76F9BFCCA4F9}"/>
    <cellStyle name="Normal 12 3 4 3 2" xfId="58277" xr:uid="{EB308936-E63D-4064-AC25-4BE5A9A899E7}"/>
    <cellStyle name="Normal 12 3 4 4" xfId="58274" xr:uid="{96386302-F87C-479A-9E01-23993C4D24EC}"/>
    <cellStyle name="Normal 12 3 5" xfId="8116" xr:uid="{D86C497F-739F-4170-910B-D92FB2DDA3AC}"/>
    <cellStyle name="Normal 12 3 5 2" xfId="23529" xr:uid="{5FB3B255-E260-4433-9596-9D4A9A1740FB}"/>
    <cellStyle name="Normal 12 3 5 2 2" xfId="58279" xr:uid="{C7690E3A-C3E9-4B5B-BEB6-A43E89FF9303}"/>
    <cellStyle name="Normal 12 3 5 3" xfId="58278" xr:uid="{0F9F5353-94CE-44B8-A744-9E70EDEA3B53}"/>
    <cellStyle name="Normal 12 3 6" xfId="15824" xr:uid="{C79A990B-7CDF-48B8-AAE2-BFC1661FFF4C}"/>
    <cellStyle name="Normal 12 3 6 2" xfId="58280" xr:uid="{5D8B75C8-8332-46AA-987D-8831577FECDD}"/>
    <cellStyle name="Normal 12 3 7" xfId="58249" xr:uid="{AB3C60E7-BDC4-40C2-8F3D-CFFB76B6E910}"/>
    <cellStyle name="Normal 12 4" xfId="829" xr:uid="{7D2F4A50-DDE5-4A32-ADD8-8C009E4FA7C2}"/>
    <cellStyle name="Normal 12 4 2" xfId="2304" xr:uid="{E5100FB1-A156-442E-96DF-F9EBF9CF9583}"/>
    <cellStyle name="Normal 12 4 2 2" xfId="6036" xr:uid="{4619BA99-732E-4B0D-AD1D-9757D0591717}"/>
    <cellStyle name="Normal 12 4 2 2 2" xfId="13744" xr:uid="{96A82AFE-96D4-4ED4-94D3-4D01898BE7B9}"/>
    <cellStyle name="Normal 12 4 2 2 2 2" xfId="29156" xr:uid="{17E6D1D0-61BC-4933-A617-402D950CDCB6}"/>
    <cellStyle name="Normal 12 4 2 2 2 2 2" xfId="58285" xr:uid="{5D489E76-582F-4F1A-B82B-3825F8782842}"/>
    <cellStyle name="Normal 12 4 2 2 2 3" xfId="58284" xr:uid="{824F9B47-EAE5-4E15-B9AB-387F7E92DAF0}"/>
    <cellStyle name="Normal 12 4 2 2 3" xfId="21451" xr:uid="{D85F835B-1945-4B75-9E66-785ADF18491E}"/>
    <cellStyle name="Normal 12 4 2 2 3 2" xfId="58286" xr:uid="{D03B41FF-6C22-4834-B5CA-2E55423304EE}"/>
    <cellStyle name="Normal 12 4 2 2 4" xfId="58283" xr:uid="{B7F5F9D8-011D-4E1B-A10F-BC732FABC775}"/>
    <cellStyle name="Normal 12 4 2 3" xfId="10015" xr:uid="{32F898E0-A288-47C9-BB92-BEC34DC7120E}"/>
    <cellStyle name="Normal 12 4 2 3 2" xfId="25428" xr:uid="{0BC4880F-0D34-4F4F-A966-A43D1F73CB44}"/>
    <cellStyle name="Normal 12 4 2 3 2 2" xfId="58288" xr:uid="{AE344EDB-F9DE-42CC-AFD7-FDFA66A197D0}"/>
    <cellStyle name="Normal 12 4 2 3 3" xfId="58287" xr:uid="{F268AB9D-5365-4004-88D8-0E7A69DF0EAE}"/>
    <cellStyle name="Normal 12 4 2 4" xfId="17723" xr:uid="{6C5824F7-13FF-4165-B8B9-EF2821927D99}"/>
    <cellStyle name="Normal 12 4 2 4 2" xfId="58289" xr:uid="{A527E434-4EAC-452B-8D6F-AFAD03AB2E6D}"/>
    <cellStyle name="Normal 12 4 2 5" xfId="58282" xr:uid="{FCA10D39-1DC1-4605-9149-293E3E2C0107}"/>
    <cellStyle name="Normal 12 4 3" xfId="4566" xr:uid="{6FCAD535-207B-4F15-856C-AF37E75152F6}"/>
    <cellStyle name="Normal 12 4 3 2" xfId="12274" xr:uid="{00AD5F26-5612-42EF-807F-A88693383A6D}"/>
    <cellStyle name="Normal 12 4 3 2 2" xfId="27686" xr:uid="{FCFD5008-846E-43BB-A1A0-A6338BA99404}"/>
    <cellStyle name="Normal 12 4 3 2 2 2" xfId="58292" xr:uid="{97D2633F-943A-40E1-AC3F-180314A1D301}"/>
    <cellStyle name="Normal 12 4 3 2 3" xfId="58291" xr:uid="{E9114DF0-351A-4A4E-967A-271F338DEC40}"/>
    <cellStyle name="Normal 12 4 3 3" xfId="19981" xr:uid="{86AACB18-09F5-424D-92C6-55C0DCFE0152}"/>
    <cellStyle name="Normal 12 4 3 3 2" xfId="58293" xr:uid="{99BF4B91-4C74-4D12-8088-BCF0C9199659}"/>
    <cellStyle name="Normal 12 4 3 4" xfId="58290" xr:uid="{B7D44933-52AF-473E-AB27-5A97CE4B4F58}"/>
    <cellStyle name="Normal 12 4 4" xfId="8556" xr:uid="{7C3D019C-FB81-4940-BBAF-FF51638BEBDA}"/>
    <cellStyle name="Normal 12 4 4 2" xfId="23969" xr:uid="{90ABFDE2-FBBA-4385-8B8F-BDB654F6E873}"/>
    <cellStyle name="Normal 12 4 4 2 2" xfId="58295" xr:uid="{0897A131-14EC-4804-8445-E2808562D75C}"/>
    <cellStyle name="Normal 12 4 4 3" xfId="58294" xr:uid="{956606C8-256F-4C53-A71C-C421E7650A9B}"/>
    <cellStyle name="Normal 12 4 5" xfId="16264" xr:uid="{6655828C-DA6F-41C1-BB14-19DA3D198A61}"/>
    <cellStyle name="Normal 12 4 5 2" xfId="58296" xr:uid="{CE49BA1D-055C-48D0-BFF6-CC94729A01EA}"/>
    <cellStyle name="Normal 12 4 6" xfId="58281" xr:uid="{4EDD2809-7E3A-479E-8C95-5886D470FE96}"/>
    <cellStyle name="Normal 12 5" xfId="1666" xr:uid="{987B27E3-F121-4A92-B915-24E9900D0090}"/>
    <cellStyle name="Normal 12 5 2" xfId="5398" xr:uid="{294C77A5-841B-4D33-8F9E-67FEE37607B8}"/>
    <cellStyle name="Normal 12 5 2 2" xfId="13106" xr:uid="{FB0F103F-DB56-496C-AB48-356E84A35623}"/>
    <cellStyle name="Normal 12 5 2 2 2" xfId="28518" xr:uid="{999E3559-B6EE-4F06-8EB6-42E1E6997577}"/>
    <cellStyle name="Normal 12 5 2 2 2 2" xfId="58300" xr:uid="{B7181B10-422A-45C9-85E5-3484BD5A9DAD}"/>
    <cellStyle name="Normal 12 5 2 2 3" xfId="58299" xr:uid="{5AF74EF7-AB26-4CFD-915C-A17A76C97EDD}"/>
    <cellStyle name="Normal 12 5 2 3" xfId="20813" xr:uid="{688396B6-7FC6-4DF7-8B60-D91F372B572F}"/>
    <cellStyle name="Normal 12 5 2 3 2" xfId="58301" xr:uid="{8D3A8326-26E8-4AD6-9895-A49FD8B8E860}"/>
    <cellStyle name="Normal 12 5 2 4" xfId="58298" xr:uid="{E2CE7456-9A68-402A-9C85-65801AE6A7A8}"/>
    <cellStyle name="Normal 12 5 3" xfId="9377" xr:uid="{9EE3DA96-F5BA-487C-B06F-DA6B030EADFE}"/>
    <cellStyle name="Normal 12 5 3 2" xfId="24790" xr:uid="{11317F15-7328-4317-8373-25718562379D}"/>
    <cellStyle name="Normal 12 5 3 2 2" xfId="58303" xr:uid="{DF18BE41-E017-4B2E-9E3E-270E26376419}"/>
    <cellStyle name="Normal 12 5 3 3" xfId="58302" xr:uid="{8C7ADC9D-4D2C-4CBD-8436-501433CCFFCF}"/>
    <cellStyle name="Normal 12 5 4" xfId="17085" xr:uid="{F1A963ED-5063-4F37-A97B-4A36C53B19FD}"/>
    <cellStyle name="Normal 12 5 4 2" xfId="58304" xr:uid="{FD13588A-7011-44F2-9A33-74B40433F152}"/>
    <cellStyle name="Normal 12 5 5" xfId="58297" xr:uid="{9C66ABBE-A7D6-495C-BF78-458E0AAD3346}"/>
    <cellStyle name="Normal 12 6" xfId="3914" xr:uid="{7C88EB6C-4272-497D-9809-4F3AE1A7CD79}"/>
    <cellStyle name="Normal 12 6 2" xfId="11622" xr:uid="{E9E84D83-D41B-4369-B6DD-503E1E2D9CE3}"/>
    <cellStyle name="Normal 12 6 2 2" xfId="27034" xr:uid="{43756C7F-85F3-44BA-B2D2-CEE1A7C4E122}"/>
    <cellStyle name="Normal 12 6 2 2 2" xfId="58307" xr:uid="{257377B6-0C89-47A7-A294-6F7B1D2DE315}"/>
    <cellStyle name="Normal 12 6 2 3" xfId="58306" xr:uid="{F747278C-CED1-4796-A0BC-CC31620E2893}"/>
    <cellStyle name="Normal 12 6 3" xfId="19329" xr:uid="{FC7E7809-CCE4-4EB5-937D-E19EBAA324AF}"/>
    <cellStyle name="Normal 12 6 3 2" xfId="58308" xr:uid="{5DC4E025-77E9-4B3B-92C3-5E2FB5C99BA6}"/>
    <cellStyle name="Normal 12 6 4" xfId="58305" xr:uid="{237146F6-A7DB-42D4-A658-6D99DF083140}"/>
    <cellStyle name="Normal 12 7" xfId="7900" xr:uid="{D6FC175F-7CE5-4BA3-A984-CE17DA3D69F9}"/>
    <cellStyle name="Normal 12 7 2" xfId="23313" xr:uid="{13F6F050-A4F4-4590-8436-E08D61031980}"/>
    <cellStyle name="Normal 12 7 2 2" xfId="58310" xr:uid="{26635F71-29FC-42CA-B656-0F8580E65AB7}"/>
    <cellStyle name="Normal 12 7 3" xfId="58309" xr:uid="{F57D8F28-498C-4987-9F1F-B99075A5427D}"/>
    <cellStyle name="Normal 12 8" xfId="15608" xr:uid="{AFFAB9F4-656A-40D7-A89D-03F165AD5B65}"/>
    <cellStyle name="Normal 12 8 2" xfId="58311" xr:uid="{6A19BA99-4749-46D7-9416-0B029ED7C1C0}"/>
    <cellStyle name="Normal 12 9" xfId="58184" xr:uid="{5AD044CE-064C-4B3C-955C-79FA20762904}"/>
    <cellStyle name="Normal 120" xfId="62047" xr:uid="{AFB1156A-1DCE-4AD5-83B2-1E1CD0944E0E}"/>
    <cellStyle name="Normal 121" xfId="62049" xr:uid="{93575835-706A-4B34-B8C0-A1A6BF40248E}"/>
    <cellStyle name="Normal 121 4" xfId="62106" xr:uid="{A6C9E3FA-56C5-4609-9FBE-E084AD38A7DE}"/>
    <cellStyle name="Normal 122" xfId="62050" xr:uid="{C10EC85C-7E60-4545-8789-C1DA39D7264C}"/>
    <cellStyle name="Normal 123" xfId="62070" xr:uid="{5404591F-DD66-4FA4-B41B-FE92596323EE}"/>
    <cellStyle name="Normal 124" xfId="62077" xr:uid="{ED20188B-64FF-4C78-A3B9-B116C7F64CC5}"/>
    <cellStyle name="Normal 125" xfId="62097" xr:uid="{140BFDE7-83FA-49E2-B4A8-16F673DCFDAC}"/>
    <cellStyle name="Normal 126" xfId="62098" xr:uid="{8C604ACE-0C2B-4F56-935E-A82E5E4F5D89}"/>
    <cellStyle name="Normal 127" xfId="62101" xr:uid="{A6BE7589-53FA-408B-A62E-138FC28047FA}"/>
    <cellStyle name="Normal 128" xfId="62103" xr:uid="{C073FD8E-58F9-440F-8A51-018961379AB1}"/>
    <cellStyle name="Normal 129" xfId="62105" xr:uid="{0E8AC467-DEE2-4E05-84D0-AC6207532608}"/>
    <cellStyle name="Normal 13" xfId="160" xr:uid="{A292C234-6AFD-43EA-8E23-4079F996A03E}"/>
    <cellStyle name="Normal 13 2" xfId="229" xr:uid="{22ABE742-8079-409B-A131-F630BD248BF1}"/>
    <cellStyle name="Normal 13 2 2" xfId="432" xr:uid="{0CDA2806-4CC6-46A9-AA5F-DAD5E29A182E}"/>
    <cellStyle name="Normal 13 2 2 2" xfId="1094" xr:uid="{CE49172A-D173-4EB0-AD8B-9205924D31B5}"/>
    <cellStyle name="Normal 13 2 2 2 2" xfId="2562" xr:uid="{F1753A69-B87B-4A54-95CC-344A2403B5BF}"/>
    <cellStyle name="Normal 13 2 2 2 2 2" xfId="6294" xr:uid="{F3D6240E-4D80-4D1D-8786-A91554F3CF97}"/>
    <cellStyle name="Normal 13 2 2 2 2 2 2" xfId="14002" xr:uid="{16634C1C-9B10-44EB-9870-A15F825136D8}"/>
    <cellStyle name="Normal 13 2 2 2 2 2 2 2" xfId="29414" xr:uid="{D0E8E570-7C57-4377-8682-DA689CE4BCCF}"/>
    <cellStyle name="Normal 13 2 2 2 2 2 2 2 2" xfId="58319" xr:uid="{C8556CF5-65DA-4528-B76B-B0AC67E994D8}"/>
    <cellStyle name="Normal 13 2 2 2 2 2 2 3" xfId="58318" xr:uid="{5E52F2F5-4590-4240-A88F-06A87C12EF2D}"/>
    <cellStyle name="Normal 13 2 2 2 2 2 3" xfId="21709" xr:uid="{2EAE7A26-3D8C-45D5-AA6F-7CB53FE0CF1C}"/>
    <cellStyle name="Normal 13 2 2 2 2 2 3 2" xfId="58320" xr:uid="{3063B838-DD50-4779-9E34-68531B8D188B}"/>
    <cellStyle name="Normal 13 2 2 2 2 2 4" xfId="58317" xr:uid="{6C190B1A-0A8B-48FB-8329-A0701D4C9894}"/>
    <cellStyle name="Normal 13 2 2 2 2 3" xfId="10273" xr:uid="{238658AF-BC3B-42F0-B848-E0B613831415}"/>
    <cellStyle name="Normal 13 2 2 2 2 3 2" xfId="25686" xr:uid="{A8196CF4-EF46-44CC-85DD-15D891ED7773}"/>
    <cellStyle name="Normal 13 2 2 2 2 3 2 2" xfId="58322" xr:uid="{B7C5CF84-2726-44E6-B820-522FA315C534}"/>
    <cellStyle name="Normal 13 2 2 2 2 3 3" xfId="58321" xr:uid="{D424348E-F28C-4233-B3F3-7C80B316A10C}"/>
    <cellStyle name="Normal 13 2 2 2 2 4" xfId="17981" xr:uid="{6017C2D3-3E5B-407E-9DEC-0D8D174F0B52}"/>
    <cellStyle name="Normal 13 2 2 2 2 4 2" xfId="58323" xr:uid="{509CD492-E656-4B1A-AE61-3738A9048393}"/>
    <cellStyle name="Normal 13 2 2 2 2 5" xfId="58316" xr:uid="{D54D735D-8964-4788-AA6F-428660932A90}"/>
    <cellStyle name="Normal 13 2 2 2 3" xfId="4831" xr:uid="{9322AEE2-1314-4FCD-8F2F-CC92ACEBF40F}"/>
    <cellStyle name="Normal 13 2 2 2 3 2" xfId="12539" xr:uid="{5ED622AA-D27C-4B70-BF43-FD0CF15F85A2}"/>
    <cellStyle name="Normal 13 2 2 2 3 2 2" xfId="27951" xr:uid="{A96DD8EC-AB9C-4CDC-AB7F-106E30926D78}"/>
    <cellStyle name="Normal 13 2 2 2 3 2 2 2" xfId="58326" xr:uid="{67001C65-54B9-4553-A2B4-3446985E5CC1}"/>
    <cellStyle name="Normal 13 2 2 2 3 2 3" xfId="58325" xr:uid="{BB121C46-6361-41D9-8403-CCCACB34F5A2}"/>
    <cellStyle name="Normal 13 2 2 2 3 3" xfId="20246" xr:uid="{855A3AC2-F5C2-444E-8EC5-1BB67982E205}"/>
    <cellStyle name="Normal 13 2 2 2 3 3 2" xfId="58327" xr:uid="{59F74066-BE7A-4985-B85A-198AE11BE0C1}"/>
    <cellStyle name="Normal 13 2 2 2 3 4" xfId="58324" xr:uid="{A07E8CA4-9526-4E47-A7AF-8CA23531C303}"/>
    <cellStyle name="Normal 13 2 2 2 4" xfId="8814" xr:uid="{66FE717A-76A2-419C-8B2F-9471579671E4}"/>
    <cellStyle name="Normal 13 2 2 2 4 2" xfId="24227" xr:uid="{95BB69AE-A266-4488-A18D-2581B1C20E99}"/>
    <cellStyle name="Normal 13 2 2 2 4 2 2" xfId="58329" xr:uid="{42A14A98-C4D1-4D4D-B4E5-6FAFF8B5797E}"/>
    <cellStyle name="Normal 13 2 2 2 4 3" xfId="58328" xr:uid="{2C39DE4B-522D-4A13-851E-FEBC9088FEE8}"/>
    <cellStyle name="Normal 13 2 2 2 5" xfId="16522" xr:uid="{E3372345-01A0-4DC5-A248-7BFE0B0E9827}"/>
    <cellStyle name="Normal 13 2 2 2 5 2" xfId="58330" xr:uid="{05ECCABB-4EB9-4FC0-9BC1-B4CC136FDC0C}"/>
    <cellStyle name="Normal 13 2 2 2 6" xfId="58315" xr:uid="{BC08871B-01AE-4DBA-9A51-A580BF179B8D}"/>
    <cellStyle name="Normal 13 2 2 3" xfId="1924" xr:uid="{7A8644EC-C15D-456E-A674-C75412BDE800}"/>
    <cellStyle name="Normal 13 2 2 3 2" xfId="5656" xr:uid="{0885C012-1EA8-4F7B-ACC9-975AA2AD20C1}"/>
    <cellStyle name="Normal 13 2 2 3 2 2" xfId="13364" xr:uid="{435256C3-9EB3-446D-A25A-14F38743D396}"/>
    <cellStyle name="Normal 13 2 2 3 2 2 2" xfId="28776" xr:uid="{FA7DC43F-1ACC-40DC-8AC8-E93C35B5E205}"/>
    <cellStyle name="Normal 13 2 2 3 2 2 2 2" xfId="58334" xr:uid="{C405F2AC-355B-4B51-A01D-6A559D9CE448}"/>
    <cellStyle name="Normal 13 2 2 3 2 2 3" xfId="58333" xr:uid="{E74F9023-1AD2-42E2-849F-6C11A469C2E9}"/>
    <cellStyle name="Normal 13 2 2 3 2 3" xfId="21071" xr:uid="{1EA84B75-1A23-431F-9E0C-19343FD15A38}"/>
    <cellStyle name="Normal 13 2 2 3 2 3 2" xfId="58335" xr:uid="{9D34D150-8882-4F08-85DB-D41EFE7D321E}"/>
    <cellStyle name="Normal 13 2 2 3 2 4" xfId="58332" xr:uid="{B30877B2-E73B-4B0D-8A7B-B569EAC885FC}"/>
    <cellStyle name="Normal 13 2 2 3 3" xfId="9635" xr:uid="{00373153-8F2A-40E9-9643-B660C0F97940}"/>
    <cellStyle name="Normal 13 2 2 3 3 2" xfId="25048" xr:uid="{1B33A7CA-DDDB-4455-AA27-A665C973B26A}"/>
    <cellStyle name="Normal 13 2 2 3 3 2 2" xfId="58337" xr:uid="{3F489797-B223-451C-AD5A-CD9DD938FB28}"/>
    <cellStyle name="Normal 13 2 2 3 3 3" xfId="58336" xr:uid="{B81440EB-8AA1-44FB-BAE5-ECF3E8908449}"/>
    <cellStyle name="Normal 13 2 2 3 4" xfId="17343" xr:uid="{DFCCC0A5-22AE-446B-95E1-3D9BBFD5A7C8}"/>
    <cellStyle name="Normal 13 2 2 3 4 2" xfId="58338" xr:uid="{88414CDC-E805-478F-B507-8A9CDBB3108C}"/>
    <cellStyle name="Normal 13 2 2 3 5" xfId="58331" xr:uid="{A58807A9-1BAF-4CA9-838F-1B1C91059F2E}"/>
    <cellStyle name="Normal 13 2 2 4" xfId="4179" xr:uid="{C7B18827-8BC8-467F-BA2B-9A138A78B26E}"/>
    <cellStyle name="Normal 13 2 2 4 2" xfId="11887" xr:uid="{5879FE86-CAAC-4CA6-8E11-73647987DAB4}"/>
    <cellStyle name="Normal 13 2 2 4 2 2" xfId="27299" xr:uid="{5439DC41-F57D-48DC-A15F-6A2FA239B8B9}"/>
    <cellStyle name="Normal 13 2 2 4 2 2 2" xfId="58341" xr:uid="{EFD52C0C-0A3A-4BDD-97EC-342E134931A7}"/>
    <cellStyle name="Normal 13 2 2 4 2 3" xfId="58340" xr:uid="{DC4E6DC7-AB76-456E-A74D-A2A9ED490F71}"/>
    <cellStyle name="Normal 13 2 2 4 3" xfId="19594" xr:uid="{50074810-22C9-4ECB-AFF5-417BF000CE23}"/>
    <cellStyle name="Normal 13 2 2 4 3 2" xfId="58342" xr:uid="{E8FD8E26-86A8-4F3E-884B-8274E7812703}"/>
    <cellStyle name="Normal 13 2 2 4 4" xfId="58339" xr:uid="{A33FB204-9507-4289-BB7C-0ECDE6CB98DB}"/>
    <cellStyle name="Normal 13 2 2 5" xfId="8176" xr:uid="{A76311EB-4BCF-4FF2-9066-76EF67C419D1}"/>
    <cellStyle name="Normal 13 2 2 5 2" xfId="23589" xr:uid="{6F1D0379-902A-4000-85F6-8B8C22842109}"/>
    <cellStyle name="Normal 13 2 2 5 2 2" xfId="58344" xr:uid="{75675E1C-E25E-4C5C-9467-F3CE370F9E92}"/>
    <cellStyle name="Normal 13 2 2 5 3" xfId="58343" xr:uid="{8D39AA3C-0E32-428B-9464-66FFF15F5F10}"/>
    <cellStyle name="Normal 13 2 2 6" xfId="15884" xr:uid="{476D2D7D-CB54-413F-924F-A64D17BF4668}"/>
    <cellStyle name="Normal 13 2 2 6 2" xfId="58345" xr:uid="{C823CF6F-8532-4536-A724-93C9ED50474C}"/>
    <cellStyle name="Normal 13 2 2 7" xfId="58314" xr:uid="{7B54BF5E-6F5F-46C9-BA20-47B00E29AA9A}"/>
    <cellStyle name="Normal 13 2 3" xfId="894" xr:uid="{F5D4DCB9-1A29-4AC5-A142-ECD6785D660B}"/>
    <cellStyle name="Normal 13 2 3 2" xfId="2364" xr:uid="{B603F3D2-54AA-40C9-9563-D7F74B24C835}"/>
    <cellStyle name="Normal 13 2 3 2 2" xfId="6096" xr:uid="{FB148C28-E4E3-4C3C-8C34-C99B75AD631C}"/>
    <cellStyle name="Normal 13 2 3 2 2 2" xfId="13804" xr:uid="{12AD58E4-6DEB-4337-8225-1CA0F898BEB7}"/>
    <cellStyle name="Normal 13 2 3 2 2 2 2" xfId="29216" xr:uid="{6D1B1B66-3BC6-46DC-B593-FAC21B6B21AB}"/>
    <cellStyle name="Normal 13 2 3 2 2 2 2 2" xfId="58350" xr:uid="{38EF4D0C-B048-4D30-9A10-3E8051DD42D5}"/>
    <cellStyle name="Normal 13 2 3 2 2 2 3" xfId="58349" xr:uid="{D10AD8F2-7631-47D0-94EA-0F4D9F339190}"/>
    <cellStyle name="Normal 13 2 3 2 2 3" xfId="21511" xr:uid="{6FCE1722-C135-4314-A768-5C0E19F7AE1C}"/>
    <cellStyle name="Normal 13 2 3 2 2 3 2" xfId="58351" xr:uid="{23E0D08A-9462-4A3A-800D-8890EBDDDF19}"/>
    <cellStyle name="Normal 13 2 3 2 2 4" xfId="58348" xr:uid="{7596139F-F7BE-41BC-A656-332D5372C932}"/>
    <cellStyle name="Normal 13 2 3 2 3" xfId="10075" xr:uid="{1AC9F000-6AC1-4961-A538-BF7BF3426F6F}"/>
    <cellStyle name="Normal 13 2 3 2 3 2" xfId="25488" xr:uid="{4038F121-8CCD-424D-B811-92621BF43381}"/>
    <cellStyle name="Normal 13 2 3 2 3 2 2" xfId="58353" xr:uid="{D15D5157-8597-4BCC-9CA7-51F8A9B18D40}"/>
    <cellStyle name="Normal 13 2 3 2 3 3" xfId="58352" xr:uid="{77C41722-2AA7-461F-93D7-FD1294FEFB56}"/>
    <cellStyle name="Normal 13 2 3 2 4" xfId="17783" xr:uid="{D12A69AA-F33E-44BA-8E74-650151A55A3A}"/>
    <cellStyle name="Normal 13 2 3 2 4 2" xfId="58354" xr:uid="{FE050819-6F9E-4B9D-BFC7-084E64FF347F}"/>
    <cellStyle name="Normal 13 2 3 2 5" xfId="58347" xr:uid="{D172F73E-FAA7-4C7B-BC49-B958720D32CE}"/>
    <cellStyle name="Normal 13 2 3 3" xfId="4631" xr:uid="{718AAABB-6030-497D-8149-FD62F8A35A38}"/>
    <cellStyle name="Normal 13 2 3 3 2" xfId="12339" xr:uid="{B38DC7CA-B1E9-40DE-8E1C-9F59E433C44E}"/>
    <cellStyle name="Normal 13 2 3 3 2 2" xfId="27751" xr:uid="{72E723A9-0B1A-4D6F-B798-F2349DA2F746}"/>
    <cellStyle name="Normal 13 2 3 3 2 2 2" xfId="58357" xr:uid="{454FEF92-C947-4509-82F8-21F5338A8A38}"/>
    <cellStyle name="Normal 13 2 3 3 2 3" xfId="58356" xr:uid="{E103F65D-C2F4-4835-94A6-7387519F9E11}"/>
    <cellStyle name="Normal 13 2 3 3 3" xfId="20046" xr:uid="{130671BE-9CB5-4952-BF9D-ADF0B5E1A86A}"/>
    <cellStyle name="Normal 13 2 3 3 3 2" xfId="58358" xr:uid="{791A849C-7D27-43CB-AF71-D87B34ABE168}"/>
    <cellStyle name="Normal 13 2 3 3 4" xfId="58355" xr:uid="{003B5B3A-955F-4E31-8D3F-C06284EA1830}"/>
    <cellStyle name="Normal 13 2 3 4" xfId="8616" xr:uid="{DC52BCC9-644C-44CA-8D77-57A3F6E7F071}"/>
    <cellStyle name="Normal 13 2 3 4 2" xfId="24029" xr:uid="{208A7EA2-2496-4080-9FC0-82D0F6186505}"/>
    <cellStyle name="Normal 13 2 3 4 2 2" xfId="58360" xr:uid="{F1FC06FA-63C8-4E85-9FCC-F2655EB8B7F7}"/>
    <cellStyle name="Normal 13 2 3 4 3" xfId="58359" xr:uid="{4EA9AFAB-E7BC-4F52-AC54-DAE3417C79E5}"/>
    <cellStyle name="Normal 13 2 3 5" xfId="16324" xr:uid="{A09856AD-DCB0-4B4E-B655-23C7AF911C1B}"/>
    <cellStyle name="Normal 13 2 3 5 2" xfId="58361" xr:uid="{854B7670-E252-4C62-8465-6BAB15320610}"/>
    <cellStyle name="Normal 13 2 3 6" xfId="58346" xr:uid="{975CF633-2174-4E61-B3E7-A3AA076A772D}"/>
    <cellStyle name="Normal 13 2 4" xfId="1726" xr:uid="{1FC4BE4D-42BE-45BF-89BF-86AB17932D26}"/>
    <cellStyle name="Normal 13 2 4 2" xfId="5458" xr:uid="{4AD04121-E26D-4B6D-9FB0-4EDB31BA4132}"/>
    <cellStyle name="Normal 13 2 4 2 2" xfId="13166" xr:uid="{90C0B415-E93D-4B39-B73B-E90107BB6EF7}"/>
    <cellStyle name="Normal 13 2 4 2 2 2" xfId="28578" xr:uid="{AC4478EE-AC50-4ABA-8997-6923AA9695A3}"/>
    <cellStyle name="Normal 13 2 4 2 2 2 2" xfId="58365" xr:uid="{3EFD8D2B-2C9C-4C1D-AAE8-D38672C3FFA2}"/>
    <cellStyle name="Normal 13 2 4 2 2 3" xfId="58364" xr:uid="{A7EB7F9A-2449-4C41-B0AD-A9CCF965A0FF}"/>
    <cellStyle name="Normal 13 2 4 2 3" xfId="20873" xr:uid="{71F008AC-B565-4EE1-8BD8-39EED795141E}"/>
    <cellStyle name="Normal 13 2 4 2 3 2" xfId="58366" xr:uid="{A044226E-4CAC-4DB7-9AB5-D0854EA96C64}"/>
    <cellStyle name="Normal 13 2 4 2 4" xfId="58363" xr:uid="{8C2939BC-F752-4692-8895-B1EB7E5DDF90}"/>
    <cellStyle name="Normal 13 2 4 3" xfId="9437" xr:uid="{CF6B72DD-14F5-451A-B0F1-0B640186C9E1}"/>
    <cellStyle name="Normal 13 2 4 3 2" xfId="24850" xr:uid="{5DFCD9BA-2ECA-4780-9877-06E6310E6748}"/>
    <cellStyle name="Normal 13 2 4 3 2 2" xfId="58368" xr:uid="{83B6D4E0-80DB-44F9-B7D4-2052682BF256}"/>
    <cellStyle name="Normal 13 2 4 3 3" xfId="58367" xr:uid="{96E1CECB-9A91-44BE-90C4-8FA10BCA39C9}"/>
    <cellStyle name="Normal 13 2 4 4" xfId="17145" xr:uid="{7735E597-97D0-4741-983A-627CA3106C74}"/>
    <cellStyle name="Normal 13 2 4 4 2" xfId="58369" xr:uid="{0C17FCE2-D371-4867-9E05-75F3024B94C2}"/>
    <cellStyle name="Normal 13 2 4 5" xfId="58362" xr:uid="{815EC416-0143-402A-80D0-35323573F5FD}"/>
    <cellStyle name="Normal 13 2 5" xfId="3979" xr:uid="{708288BC-FC55-480B-95B9-8799CF7897E2}"/>
    <cellStyle name="Normal 13 2 5 2" xfId="11687" xr:uid="{AEF43FF8-9A36-4C30-ACF8-980A7416F507}"/>
    <cellStyle name="Normal 13 2 5 2 2" xfId="27099" xr:uid="{28CD6124-45C2-418E-8ADB-A7A2DE9B2BE9}"/>
    <cellStyle name="Normal 13 2 5 2 2 2" xfId="58372" xr:uid="{EA051619-030B-4295-8C1F-98D57EA4AB8C}"/>
    <cellStyle name="Normal 13 2 5 2 3" xfId="58371" xr:uid="{A885D3DB-C822-4F47-B429-91DADD04F46D}"/>
    <cellStyle name="Normal 13 2 5 3" xfId="19394" xr:uid="{4BC52722-8BF3-465C-A0FC-20D22175FEB2}"/>
    <cellStyle name="Normal 13 2 5 3 2" xfId="58373" xr:uid="{BF9C546F-4450-4EAF-9C6B-FDFDFCFA7115}"/>
    <cellStyle name="Normal 13 2 5 4" xfId="58370" xr:uid="{B5D1291A-D84A-4621-9314-DE0EE7E8D3E7}"/>
    <cellStyle name="Normal 13 2 6" xfId="7978" xr:uid="{2A1AA687-0ED2-4EF4-9950-65A61D340F44}"/>
    <cellStyle name="Normal 13 2 6 2" xfId="23391" xr:uid="{2386E4A7-47A0-427D-A80D-4D1BE7225B26}"/>
    <cellStyle name="Normal 13 2 6 2 2" xfId="58375" xr:uid="{3FCBE52A-4FEE-439F-9E11-10C207F70F6C}"/>
    <cellStyle name="Normal 13 2 6 3" xfId="58374" xr:uid="{D180CC25-6364-4B76-8D9A-A5D604EB14BB}"/>
    <cellStyle name="Normal 13 2 7" xfId="15686" xr:uid="{AD43377E-7945-4720-B5BE-C90D7F8531C8}"/>
    <cellStyle name="Normal 13 2 7 2" xfId="58376" xr:uid="{9D57173F-9521-4336-A056-5C47DE0DB3B5}"/>
    <cellStyle name="Normal 13 2 8" xfId="58313" xr:uid="{512F4018-16D2-41FE-85E2-9B5AD645E68F}"/>
    <cellStyle name="Normal 13 3" xfId="376" xr:uid="{33729221-4C6E-49A8-BB4A-DE376F41DFF2}"/>
    <cellStyle name="Normal 13 3 2" xfId="1038" xr:uid="{5EF61AA9-7707-4757-AD1B-1ED3E073E8E6}"/>
    <cellStyle name="Normal 13 3 2 2" xfId="2506" xr:uid="{9893FA9F-06E5-44C3-A469-5D71CFF1FBC3}"/>
    <cellStyle name="Normal 13 3 2 2 2" xfId="6238" xr:uid="{B535B212-DC30-476C-9237-321375823985}"/>
    <cellStyle name="Normal 13 3 2 2 2 2" xfId="13946" xr:uid="{3CDA825A-4A7F-4A70-9262-D2927E69CDC0}"/>
    <cellStyle name="Normal 13 3 2 2 2 2 2" xfId="29358" xr:uid="{3A682538-549A-4F84-B452-531C4753E29A}"/>
    <cellStyle name="Normal 13 3 2 2 2 2 2 2" xfId="58382" xr:uid="{A67D2D97-84D7-4BD3-91A5-6BD556859311}"/>
    <cellStyle name="Normal 13 3 2 2 2 2 3" xfId="58381" xr:uid="{0B175988-4F8A-4D57-B533-5DF61B878A97}"/>
    <cellStyle name="Normal 13 3 2 2 2 3" xfId="21653" xr:uid="{AC2D3011-D35E-4D43-B20E-40247369A0DF}"/>
    <cellStyle name="Normal 13 3 2 2 2 3 2" xfId="58383" xr:uid="{AE6FA828-43EB-4553-94D4-41FF62143723}"/>
    <cellStyle name="Normal 13 3 2 2 2 4" xfId="58380" xr:uid="{2DB11B14-DF5B-4603-B420-4079C1E9EF63}"/>
    <cellStyle name="Normal 13 3 2 2 3" xfId="10217" xr:uid="{2D49EA8D-CA62-4936-96A1-788632BA2AD5}"/>
    <cellStyle name="Normal 13 3 2 2 3 2" xfId="25630" xr:uid="{30FD9100-3A22-4FAB-9C6C-6A10D4810717}"/>
    <cellStyle name="Normal 13 3 2 2 3 2 2" xfId="58385" xr:uid="{56AA3633-CBD9-4B28-937C-B61757809C2E}"/>
    <cellStyle name="Normal 13 3 2 2 3 3" xfId="58384" xr:uid="{820B24F9-86B8-4DE9-A1AF-5B79EE54A5F5}"/>
    <cellStyle name="Normal 13 3 2 2 4" xfId="17925" xr:uid="{4287EADA-2DEE-43F1-9EF1-3096D96E508C}"/>
    <cellStyle name="Normal 13 3 2 2 4 2" xfId="58386" xr:uid="{16097D9F-DE8B-4F3B-9EE7-DC7336774130}"/>
    <cellStyle name="Normal 13 3 2 2 5" xfId="58379" xr:uid="{9B5CBAD4-3128-4C0C-8EB4-93AD081A8013}"/>
    <cellStyle name="Normal 13 3 2 3" xfId="4775" xr:uid="{E595FC2F-8623-4218-8A0D-F1A445D20999}"/>
    <cellStyle name="Normal 13 3 2 3 2" xfId="12483" xr:uid="{A4CAF4CB-F600-4A74-B476-4BFE2D3CE708}"/>
    <cellStyle name="Normal 13 3 2 3 2 2" xfId="27895" xr:uid="{78F97DCD-6120-4D35-9543-FE28BF76D6E8}"/>
    <cellStyle name="Normal 13 3 2 3 2 2 2" xfId="58389" xr:uid="{287B80AD-B01C-4698-9575-B6821BAE855A}"/>
    <cellStyle name="Normal 13 3 2 3 2 3" xfId="58388" xr:uid="{A0600883-F641-4187-8649-1DE75E8BCDB1}"/>
    <cellStyle name="Normal 13 3 2 3 3" xfId="20190" xr:uid="{9869AA8A-D01A-44AA-A2F2-7293AF149980}"/>
    <cellStyle name="Normal 13 3 2 3 3 2" xfId="58390" xr:uid="{A914A7A3-2A1A-4A58-B3B3-9A4FAAEEB299}"/>
    <cellStyle name="Normal 13 3 2 3 4" xfId="58387" xr:uid="{40855962-31EC-479E-B5F1-1E6F01A01AC2}"/>
    <cellStyle name="Normal 13 3 2 4" xfId="8758" xr:uid="{5419B2BD-480F-4394-A00F-4062B0EA495C}"/>
    <cellStyle name="Normal 13 3 2 4 2" xfId="24171" xr:uid="{33605F0D-E1F4-4DD8-AEB2-A8EE0B9B1AFE}"/>
    <cellStyle name="Normal 13 3 2 4 2 2" xfId="58392" xr:uid="{47DC9CF4-254B-49F0-9E52-7B46F3109D82}"/>
    <cellStyle name="Normal 13 3 2 4 3" xfId="58391" xr:uid="{638D9194-F728-4409-B76F-244875DE69C1}"/>
    <cellStyle name="Normal 13 3 2 5" xfId="16466" xr:uid="{E67D44F2-C6D8-4052-8D71-697FA260C95C}"/>
    <cellStyle name="Normal 13 3 2 5 2" xfId="58393" xr:uid="{42418B8D-75A2-4883-A644-1B279E2F4CC2}"/>
    <cellStyle name="Normal 13 3 2 6" xfId="58378" xr:uid="{1B3C7259-3413-44CD-8A68-8EE112A1C041}"/>
    <cellStyle name="Normal 13 3 3" xfId="1868" xr:uid="{D422FCB3-1E41-4FB2-B88A-5B44499B422C}"/>
    <cellStyle name="Normal 13 3 3 2" xfId="5600" xr:uid="{34CE65FD-0C7E-421B-83FF-1F8262D451AC}"/>
    <cellStyle name="Normal 13 3 3 2 2" xfId="13308" xr:uid="{18431E46-D007-4DB0-9AF1-0EE99B5C8752}"/>
    <cellStyle name="Normal 13 3 3 2 2 2" xfId="28720" xr:uid="{839BF748-2E87-4A6D-9156-1C7EB3A7F4F1}"/>
    <cellStyle name="Normal 13 3 3 2 2 2 2" xfId="58397" xr:uid="{53981947-1A4A-4AF5-B4F0-4F1C898287E6}"/>
    <cellStyle name="Normal 13 3 3 2 2 3" xfId="58396" xr:uid="{FE7C2895-6C48-410A-9714-D0BCDA0DBD35}"/>
    <cellStyle name="Normal 13 3 3 2 3" xfId="21015" xr:uid="{BDB5AFCD-A11E-498D-B93D-8624FBC7DE65}"/>
    <cellStyle name="Normal 13 3 3 2 3 2" xfId="58398" xr:uid="{B11AB767-55AC-41E1-A6DF-FA850FDDFA87}"/>
    <cellStyle name="Normal 13 3 3 2 4" xfId="58395" xr:uid="{21CA2AA6-4C44-493B-A2AB-C5FFB6027F49}"/>
    <cellStyle name="Normal 13 3 3 3" xfId="9579" xr:uid="{05F52909-C731-421C-9B50-6E1A674E522A}"/>
    <cellStyle name="Normal 13 3 3 3 2" xfId="24992" xr:uid="{F373294D-A4DE-4A49-ADE1-2FE1CD333417}"/>
    <cellStyle name="Normal 13 3 3 3 2 2" xfId="58400" xr:uid="{B74142B3-BA24-44C2-B9A5-1E6ADDF3969C}"/>
    <cellStyle name="Normal 13 3 3 3 3" xfId="58399" xr:uid="{30FFA58B-61F3-45E1-B7AD-FBA4E2A8C331}"/>
    <cellStyle name="Normal 13 3 3 4" xfId="17287" xr:uid="{67B22D31-2F96-4BAA-8F6D-2E325938883D}"/>
    <cellStyle name="Normal 13 3 3 4 2" xfId="58401" xr:uid="{00675308-9929-454A-8017-21C6044638D8}"/>
    <cellStyle name="Normal 13 3 3 5" xfId="58394" xr:uid="{8C1A588E-1149-45BD-AD40-14BFBA84CEDF}"/>
    <cellStyle name="Normal 13 3 4" xfId="4123" xr:uid="{B2AAB584-3F02-43F7-8FBF-97D2A12533E8}"/>
    <cellStyle name="Normal 13 3 4 2" xfId="11831" xr:uid="{DE0B9AF0-B803-495A-AA56-4E2B9F145B98}"/>
    <cellStyle name="Normal 13 3 4 2 2" xfId="27243" xr:uid="{84367152-1E1E-4068-829B-1BB4CFF86A91}"/>
    <cellStyle name="Normal 13 3 4 2 2 2" xfId="58404" xr:uid="{C9E51402-6DEE-4160-80D8-0295F57D9B5D}"/>
    <cellStyle name="Normal 13 3 4 2 3" xfId="58403" xr:uid="{ADCB46D8-E6B3-49D5-822B-32944EA1FA26}"/>
    <cellStyle name="Normal 13 3 4 3" xfId="19538" xr:uid="{6699E85B-6A75-48AD-92EC-FE65AB162E5D}"/>
    <cellStyle name="Normal 13 3 4 3 2" xfId="58405" xr:uid="{3D81824F-39E1-470A-ABD6-DCC8E29B0C44}"/>
    <cellStyle name="Normal 13 3 4 4" xfId="58402" xr:uid="{EC60AEE2-515A-453F-A4F4-0CD89FD05131}"/>
    <cellStyle name="Normal 13 3 5" xfId="8120" xr:uid="{B4433C81-F979-496F-A236-7AB22DC5DA7B}"/>
    <cellStyle name="Normal 13 3 5 2" xfId="23533" xr:uid="{D92F1A05-5C35-4C16-A7A9-6987A93B1BDE}"/>
    <cellStyle name="Normal 13 3 5 2 2" xfId="58407" xr:uid="{432E4AC7-21B6-4061-845E-4D880FFC6DFD}"/>
    <cellStyle name="Normal 13 3 5 3" xfId="58406" xr:uid="{1F21DF60-F248-4B55-8BD7-829315DD167C}"/>
    <cellStyle name="Normal 13 3 6" xfId="15828" xr:uid="{5259730C-4E04-41D1-BB86-A45181435B28}"/>
    <cellStyle name="Normal 13 3 6 2" xfId="58408" xr:uid="{48F0647D-2990-441F-8B73-D79404B55A2E}"/>
    <cellStyle name="Normal 13 3 7" xfId="58377" xr:uid="{55146061-911A-4CD8-9D39-2FBC14D23B0D}"/>
    <cellStyle name="Normal 13 4" xfId="833" xr:uid="{51FDF237-3179-422F-8210-93CA6F3ABC46}"/>
    <cellStyle name="Normal 13 4 2" xfId="2308" xr:uid="{3BF32E19-2C06-4B23-830C-8EE77F759791}"/>
    <cellStyle name="Normal 13 4 2 2" xfId="6040" xr:uid="{D204C080-A43D-4EE1-9298-2F722275C63E}"/>
    <cellStyle name="Normal 13 4 2 2 2" xfId="13748" xr:uid="{EDED1FD3-1299-44BB-A752-9C9845D6942E}"/>
    <cellStyle name="Normal 13 4 2 2 2 2" xfId="29160" xr:uid="{8D02E962-D795-4005-8C08-B712B37D7E75}"/>
    <cellStyle name="Normal 13 4 2 2 2 2 2" xfId="58413" xr:uid="{47F9579C-EB0B-471C-AA44-55A691FEF7CB}"/>
    <cellStyle name="Normal 13 4 2 2 2 3" xfId="58412" xr:uid="{DC2DEE00-C2B1-4F55-BB42-C9E63D711E08}"/>
    <cellStyle name="Normal 13 4 2 2 3" xfId="21455" xr:uid="{8C0D8370-6032-4DFC-A488-90CAAD3F8D56}"/>
    <cellStyle name="Normal 13 4 2 2 3 2" xfId="58414" xr:uid="{E63AA732-2108-4BFA-9BFD-F7FA31DFF718}"/>
    <cellStyle name="Normal 13 4 2 2 4" xfId="58411" xr:uid="{8D5841A5-63B6-4B3C-9FA1-92569B3D5952}"/>
    <cellStyle name="Normal 13 4 2 3" xfId="10019" xr:uid="{39B14FE1-9554-40E1-96C4-0D6AE3A58C17}"/>
    <cellStyle name="Normal 13 4 2 3 2" xfId="25432" xr:uid="{32EAA184-AB64-46DA-9463-52968F99B724}"/>
    <cellStyle name="Normal 13 4 2 3 2 2" xfId="58416" xr:uid="{861FF75E-A759-4D58-BC4B-CE97C97298B8}"/>
    <cellStyle name="Normal 13 4 2 3 3" xfId="58415" xr:uid="{6D87EB1A-5C31-4A69-A0BC-5DDE1E8B43F7}"/>
    <cellStyle name="Normal 13 4 2 4" xfId="17727" xr:uid="{D74F6DC9-0344-41A2-8B6F-F6A7990E46D3}"/>
    <cellStyle name="Normal 13 4 2 4 2" xfId="58417" xr:uid="{785BD59D-9831-4175-8D45-D086D1E1FA21}"/>
    <cellStyle name="Normal 13 4 2 5" xfId="58410" xr:uid="{BDEF8265-B872-42E7-AE71-395F3E3E28F4}"/>
    <cellStyle name="Normal 13 4 3" xfId="4570" xr:uid="{77091B0A-2CAB-4867-9ED5-96F39F5467E1}"/>
    <cellStyle name="Normal 13 4 3 2" xfId="12278" xr:uid="{5E68AF8A-48E1-471E-B29C-D028464BB54F}"/>
    <cellStyle name="Normal 13 4 3 2 2" xfId="27690" xr:uid="{6D5EDA66-52E3-463B-BA0A-D07B97102FC9}"/>
    <cellStyle name="Normal 13 4 3 2 2 2" xfId="58420" xr:uid="{5C5DF2A0-19ED-4B6C-B8DC-0F0FFE95A45C}"/>
    <cellStyle name="Normal 13 4 3 2 3" xfId="58419" xr:uid="{1FE20909-8FC1-4DB0-B6BE-A1688B636B36}"/>
    <cellStyle name="Normal 13 4 3 3" xfId="19985" xr:uid="{54E36E96-6586-4C63-A0DC-CB1D08734B77}"/>
    <cellStyle name="Normal 13 4 3 3 2" xfId="58421" xr:uid="{1B6544AA-8E92-407E-826F-8B3D5647EF29}"/>
    <cellStyle name="Normal 13 4 3 4" xfId="58418" xr:uid="{9DB922CE-7259-40DD-8369-D2BE39DCDA82}"/>
    <cellStyle name="Normal 13 4 4" xfId="8560" xr:uid="{BDE166F0-898E-44D4-B884-7033313BA285}"/>
    <cellStyle name="Normal 13 4 4 2" xfId="23973" xr:uid="{D6BB86A0-FF03-4A7E-871C-5D84CBB9D7A5}"/>
    <cellStyle name="Normal 13 4 4 2 2" xfId="58423" xr:uid="{10183AD9-08A2-4910-A505-CBFA21DE2C83}"/>
    <cellStyle name="Normal 13 4 4 3" xfId="58422" xr:uid="{A6CF39CD-8887-4D7E-8566-17AA9B440BCA}"/>
    <cellStyle name="Normal 13 4 5" xfId="16268" xr:uid="{DB6B4796-4E07-49B2-9FDB-210E8AA3BE50}"/>
    <cellStyle name="Normal 13 4 5 2" xfId="58424" xr:uid="{E8C24531-2194-4CDF-8AC8-9279CAF125D4}"/>
    <cellStyle name="Normal 13 4 6" xfId="58409" xr:uid="{95B02C00-0436-4EA9-AADC-EDDEA6872487}"/>
    <cellStyle name="Normal 13 5" xfId="1670" xr:uid="{95D13787-035D-4906-838C-02C534409F7E}"/>
    <cellStyle name="Normal 13 5 2" xfId="5402" xr:uid="{835A2A1D-03C9-4FD7-8B8B-3DE3568125A3}"/>
    <cellStyle name="Normal 13 5 2 2" xfId="13110" xr:uid="{6121A365-75D4-4801-B946-299A0F8F4C77}"/>
    <cellStyle name="Normal 13 5 2 2 2" xfId="28522" xr:uid="{E571EDC1-F261-4D1C-A9DB-E0B1DABD477E}"/>
    <cellStyle name="Normal 13 5 2 2 2 2" xfId="58428" xr:uid="{6D12E25E-B7CF-47AF-AED3-8C4B7E630A1F}"/>
    <cellStyle name="Normal 13 5 2 2 3" xfId="58427" xr:uid="{61DB2BD2-98D3-435F-8C9B-7E99F4EEE86D}"/>
    <cellStyle name="Normal 13 5 2 3" xfId="20817" xr:uid="{9E488845-4493-4C94-ACD4-F978F0C163C2}"/>
    <cellStyle name="Normal 13 5 2 3 2" xfId="58429" xr:uid="{3EEF0917-889F-403C-84F7-7E07EA8B55A6}"/>
    <cellStyle name="Normal 13 5 2 4" xfId="58426" xr:uid="{9F10F7FF-D991-4FAA-AFB6-3FD3D7216B09}"/>
    <cellStyle name="Normal 13 5 3" xfId="9381" xr:uid="{C93742A7-6C22-435D-9C3B-86A43A9E08D6}"/>
    <cellStyle name="Normal 13 5 3 2" xfId="24794" xr:uid="{A2C76AD6-CE3C-4819-9D94-4DA5A0656705}"/>
    <cellStyle name="Normal 13 5 3 2 2" xfId="58431" xr:uid="{0793B220-2059-435D-81FA-6C3450A5ACF8}"/>
    <cellStyle name="Normal 13 5 3 3" xfId="58430" xr:uid="{FF78B37D-1F79-48FA-BBB3-2DA3ED9E3F77}"/>
    <cellStyle name="Normal 13 5 4" xfId="17089" xr:uid="{19C78E1D-9C2A-48F3-AF3C-770841AF3115}"/>
    <cellStyle name="Normal 13 5 4 2" xfId="58432" xr:uid="{690A2A9A-59FB-45FB-A2E2-D95C6A1F86AE}"/>
    <cellStyle name="Normal 13 5 5" xfId="58425" xr:uid="{8A3F7E87-925F-495B-8A0D-CF94A3F93121}"/>
    <cellStyle name="Normal 13 6" xfId="3918" xr:uid="{7B56A918-D0F2-4C14-9255-206529B913EB}"/>
    <cellStyle name="Normal 13 6 2" xfId="11626" xr:uid="{6F0E85F9-4B50-49D1-AF6E-3A59569D7C29}"/>
    <cellStyle name="Normal 13 6 2 2" xfId="27038" xr:uid="{409CACD9-DA1B-4F9F-AB30-2C2E1D57C796}"/>
    <cellStyle name="Normal 13 6 2 2 2" xfId="58435" xr:uid="{F0382937-7337-4B6B-87FD-A86E952156BF}"/>
    <cellStyle name="Normal 13 6 2 3" xfId="58434" xr:uid="{0E572414-5949-4C38-BC88-665FB8FFA9A0}"/>
    <cellStyle name="Normal 13 6 3" xfId="19333" xr:uid="{9B324BC4-47AA-4C99-832E-4194117CDF9B}"/>
    <cellStyle name="Normal 13 6 3 2" xfId="58436" xr:uid="{FD642983-67B8-4CC9-82D1-402E835A206F}"/>
    <cellStyle name="Normal 13 6 4" xfId="58433" xr:uid="{F99B95E8-083C-40E5-A5C5-B0943302B306}"/>
    <cellStyle name="Normal 13 7" xfId="7922" xr:uid="{33B98B34-1280-4477-A4BF-4C47901BC6C9}"/>
    <cellStyle name="Normal 13 7 2" xfId="23335" xr:uid="{9CC3D859-BCE7-432D-AA58-1FD6252206B6}"/>
    <cellStyle name="Normal 13 7 2 2" xfId="58438" xr:uid="{AF65269C-18E7-4C31-99C8-959BD3CA43C9}"/>
    <cellStyle name="Normal 13 7 3" xfId="58437" xr:uid="{2D7EE906-0987-4FD0-955F-EE844D51AAE7}"/>
    <cellStyle name="Normal 13 8" xfId="15630" xr:uid="{6FC1B15D-625D-4518-8488-2E0EC7A80F2B}"/>
    <cellStyle name="Normal 13 8 2" xfId="58439" xr:uid="{435A18F2-20D4-4740-B9E4-D81928ECE525}"/>
    <cellStyle name="Normal 13 9" xfId="58312" xr:uid="{BF4D649A-2B7C-4586-96DA-8388893D3D5A}"/>
    <cellStyle name="Normal 130" xfId="62108" xr:uid="{6FEBEF04-0146-4AA9-9659-D475D99B69D4}"/>
    <cellStyle name="Normal 14" xfId="162" xr:uid="{CA9CED42-2185-43CD-A069-C9E381814BC2}"/>
    <cellStyle name="Normal 14 2" xfId="230" xr:uid="{CEF3A2F2-254B-43BB-B12F-B87D4291714B}"/>
    <cellStyle name="Normal 14 2 2" xfId="58441" xr:uid="{E7D1B2D7-E519-4BCB-B211-211668FFB2E8}"/>
    <cellStyle name="Normal 14 3" xfId="58440" xr:uid="{F4ADD656-40EA-4555-B354-1510434D0C07}"/>
    <cellStyle name="Normal 15" xfId="168" xr:uid="{B7192019-979A-4AD7-A38D-1468A8619E44}"/>
    <cellStyle name="Normal 15 2" xfId="232" xr:uid="{CF900574-F6ED-41B6-8EFD-E6D4CF4AD21B}"/>
    <cellStyle name="Normal 15 2 2" xfId="434" xr:uid="{B44D1EEF-AAB9-4C68-9EE1-9F4E957BDCA4}"/>
    <cellStyle name="Normal 15 2 2 2" xfId="1096" xr:uid="{C1361E34-5275-4545-A84A-C271C64D89F2}"/>
    <cellStyle name="Normal 15 2 2 2 2" xfId="2564" xr:uid="{A1B1E7F6-1421-4216-86D6-A5686B763D15}"/>
    <cellStyle name="Normal 15 2 2 2 2 2" xfId="6296" xr:uid="{A862CC09-9260-4CF1-9DBA-FD0CC54F86DF}"/>
    <cellStyle name="Normal 15 2 2 2 2 2 2" xfId="14004" xr:uid="{C12A3AB0-4F92-4092-8094-46552561C4ED}"/>
    <cellStyle name="Normal 15 2 2 2 2 2 2 2" xfId="29416" xr:uid="{D325254C-B171-4103-9CA7-8BF62E303D53}"/>
    <cellStyle name="Normal 15 2 2 2 2 2 2 2 2" xfId="58449" xr:uid="{5A9187E2-9B6D-4F4A-B391-35CAC791CFCE}"/>
    <cellStyle name="Normal 15 2 2 2 2 2 2 3" xfId="58448" xr:uid="{6B591BE8-49E5-4C6B-B999-C052CBBDE8B3}"/>
    <cellStyle name="Normal 15 2 2 2 2 2 3" xfId="21711" xr:uid="{B8C44F90-BC4D-47CD-955D-783A974451A5}"/>
    <cellStyle name="Normal 15 2 2 2 2 2 3 2" xfId="58450" xr:uid="{A8974B65-69F8-469B-94FF-E05C4EA652C6}"/>
    <cellStyle name="Normal 15 2 2 2 2 2 4" xfId="58447" xr:uid="{C4555361-432D-43CB-B615-B7836ABB751F}"/>
    <cellStyle name="Normal 15 2 2 2 2 3" xfId="10275" xr:uid="{88EEDE58-50CF-47FD-A278-DB9409AC84B3}"/>
    <cellStyle name="Normal 15 2 2 2 2 3 2" xfId="25688" xr:uid="{596CEEED-987A-460D-8517-AFB083E543C5}"/>
    <cellStyle name="Normal 15 2 2 2 2 3 2 2" xfId="58452" xr:uid="{A65B0410-B351-4582-99D4-21D7B2B6C8F0}"/>
    <cellStyle name="Normal 15 2 2 2 2 3 3" xfId="58451" xr:uid="{2763516F-39B0-4DD5-A903-FDB010A216C0}"/>
    <cellStyle name="Normal 15 2 2 2 2 4" xfId="17983" xr:uid="{407C1002-EE60-4020-A007-0B5281AEEEA2}"/>
    <cellStyle name="Normal 15 2 2 2 2 4 2" xfId="58453" xr:uid="{5F949533-C794-4615-9F02-D67FAE65B883}"/>
    <cellStyle name="Normal 15 2 2 2 2 5" xfId="58446" xr:uid="{B76CAF79-E852-4BE9-899D-5CE38A2ED86C}"/>
    <cellStyle name="Normal 15 2 2 2 3" xfId="4833" xr:uid="{9DA550C4-9E9B-4E4D-823B-60B1A7724317}"/>
    <cellStyle name="Normal 15 2 2 2 3 2" xfId="12541" xr:uid="{F5215399-64CA-41E0-A538-9E3FD0D45B76}"/>
    <cellStyle name="Normal 15 2 2 2 3 2 2" xfId="27953" xr:uid="{BC189207-CCBA-4FCE-BAB0-9ADCBC38463E}"/>
    <cellStyle name="Normal 15 2 2 2 3 2 2 2" xfId="58456" xr:uid="{8B1809AF-227A-4060-A200-013B0F6E0519}"/>
    <cellStyle name="Normal 15 2 2 2 3 2 3" xfId="58455" xr:uid="{03EFA355-FC4D-42D0-B373-9F9938F7ED4E}"/>
    <cellStyle name="Normal 15 2 2 2 3 3" xfId="20248" xr:uid="{53AB5C39-CEA8-437F-A4D8-67227AB02EC3}"/>
    <cellStyle name="Normal 15 2 2 2 3 3 2" xfId="58457" xr:uid="{E03CE73C-077A-4BC3-988B-BA2968269613}"/>
    <cellStyle name="Normal 15 2 2 2 3 4" xfId="58454" xr:uid="{41A09AF6-7CDB-4BB0-B3AD-EB5919BD0524}"/>
    <cellStyle name="Normal 15 2 2 2 4" xfId="8816" xr:uid="{59F69241-1B51-4BBF-ADEA-FD0396280A6B}"/>
    <cellStyle name="Normal 15 2 2 2 4 2" xfId="24229" xr:uid="{3EE9D928-4E20-4E67-B7A1-A2E6D788F62D}"/>
    <cellStyle name="Normal 15 2 2 2 4 2 2" xfId="58459" xr:uid="{A41D3766-9CDF-44EE-A075-8BB90D6781B9}"/>
    <cellStyle name="Normal 15 2 2 2 4 3" xfId="58458" xr:uid="{C6EC2C94-4802-452E-B14C-EC837B47E413}"/>
    <cellStyle name="Normal 15 2 2 2 5" xfId="16524" xr:uid="{367C1D67-509C-48CC-930F-0F80317206D8}"/>
    <cellStyle name="Normal 15 2 2 2 5 2" xfId="58460" xr:uid="{3A9CE77D-0ECD-4012-8A81-B5459A475B17}"/>
    <cellStyle name="Normal 15 2 2 2 6" xfId="58445" xr:uid="{0B833BBC-4811-46A3-A2A0-815FCA744768}"/>
    <cellStyle name="Normal 15 2 2 3" xfId="1926" xr:uid="{4DB9AA64-84D7-40C4-8708-A2B3498A2888}"/>
    <cellStyle name="Normal 15 2 2 3 2" xfId="5658" xr:uid="{4172464A-AA26-4F98-923E-6FC484D66E2B}"/>
    <cellStyle name="Normal 15 2 2 3 2 2" xfId="13366" xr:uid="{200F0A1E-8DF3-4B14-A05A-246BC806D97D}"/>
    <cellStyle name="Normal 15 2 2 3 2 2 2" xfId="28778" xr:uid="{B48C8D36-C144-4A8C-9E51-4B45647E5FBE}"/>
    <cellStyle name="Normal 15 2 2 3 2 2 2 2" xfId="58464" xr:uid="{FA1D0715-D191-4036-823D-DB0865235A33}"/>
    <cellStyle name="Normal 15 2 2 3 2 2 3" xfId="58463" xr:uid="{C8457BC2-12BF-4FD2-99DA-659EC2765426}"/>
    <cellStyle name="Normal 15 2 2 3 2 3" xfId="21073" xr:uid="{D9DC6725-7CA6-418A-B253-735BF53AB937}"/>
    <cellStyle name="Normal 15 2 2 3 2 3 2" xfId="58465" xr:uid="{DFC43DBC-7F02-4259-9017-EA51ECCEE749}"/>
    <cellStyle name="Normal 15 2 2 3 2 4" xfId="58462" xr:uid="{34FCBBB9-BA90-4FEC-9880-906B72C186A8}"/>
    <cellStyle name="Normal 15 2 2 3 3" xfId="9637" xr:uid="{6E906C2E-1604-4741-AB72-570C90D06377}"/>
    <cellStyle name="Normal 15 2 2 3 3 2" xfId="25050" xr:uid="{AAE3671F-EF23-44B2-AD9E-B17BCD500A99}"/>
    <cellStyle name="Normal 15 2 2 3 3 2 2" xfId="58467" xr:uid="{6A549CE9-0CA3-4533-832E-FE23D1936112}"/>
    <cellStyle name="Normal 15 2 2 3 3 3" xfId="58466" xr:uid="{743AC905-C3E3-4F2A-922E-7503B6BA523B}"/>
    <cellStyle name="Normal 15 2 2 3 4" xfId="17345" xr:uid="{308F74BB-9AE5-4D75-B744-E4D68A47202D}"/>
    <cellStyle name="Normal 15 2 2 3 4 2" xfId="58468" xr:uid="{2F4800C3-B014-42F8-AFF7-408BF3DD20BA}"/>
    <cellStyle name="Normal 15 2 2 3 5" xfId="58461" xr:uid="{2D0F90C0-42D1-4967-9CF5-C1271CDA3B28}"/>
    <cellStyle name="Normal 15 2 2 4" xfId="4181" xr:uid="{2CFDF04B-D112-4E3F-8860-74F4A4609112}"/>
    <cellStyle name="Normal 15 2 2 4 2" xfId="11889" xr:uid="{4708B9BD-E812-44C4-91C1-519C54F358FE}"/>
    <cellStyle name="Normal 15 2 2 4 2 2" xfId="27301" xr:uid="{7169CD50-8D4C-4401-8FA7-0000CE288C1F}"/>
    <cellStyle name="Normal 15 2 2 4 2 2 2" xfId="58471" xr:uid="{DCF63EB4-5064-4FD1-9326-7929B8466395}"/>
    <cellStyle name="Normal 15 2 2 4 2 3" xfId="58470" xr:uid="{61881579-BA5E-4F37-B00D-FBF33E96F604}"/>
    <cellStyle name="Normal 15 2 2 4 3" xfId="19596" xr:uid="{78EE9360-0759-48CF-96F0-19A3EB50EC67}"/>
    <cellStyle name="Normal 15 2 2 4 3 2" xfId="58472" xr:uid="{CE0524E7-8D81-4DA0-9F3E-A84D7412C32A}"/>
    <cellStyle name="Normal 15 2 2 4 4" xfId="58469" xr:uid="{9E9CC8D8-F30C-49B2-A14E-02FB128C21FC}"/>
    <cellStyle name="Normal 15 2 2 5" xfId="8178" xr:uid="{951396E9-C962-4B0C-9575-878A826CF837}"/>
    <cellStyle name="Normal 15 2 2 5 2" xfId="23591" xr:uid="{CFB41000-A3E1-493A-957C-9379FE01FC03}"/>
    <cellStyle name="Normal 15 2 2 5 2 2" xfId="58474" xr:uid="{7598915A-93F6-464F-9636-D9C9855053CE}"/>
    <cellStyle name="Normal 15 2 2 5 3" xfId="58473" xr:uid="{22EA3ADB-A2A8-4A1F-A81F-4142C8418EE0}"/>
    <cellStyle name="Normal 15 2 2 6" xfId="15886" xr:uid="{42E94743-7F8F-43E7-8676-522FC7EC4188}"/>
    <cellStyle name="Normal 15 2 2 6 2" xfId="58475" xr:uid="{62DA070E-62B8-4BEE-9E00-01A9A620CBDA}"/>
    <cellStyle name="Normal 15 2 2 7" xfId="58444" xr:uid="{48FBC0AC-3CF2-429B-A724-0069FF49A52F}"/>
    <cellStyle name="Normal 15 2 3" xfId="896" xr:uid="{81D3C050-5378-4BDE-BC56-D85FB26BEBBA}"/>
    <cellStyle name="Normal 15 2 3 2" xfId="2366" xr:uid="{B039B21E-5EB8-40B3-84D4-C510DEC77BB5}"/>
    <cellStyle name="Normal 15 2 3 2 2" xfId="6098" xr:uid="{10A34294-C6B8-45AD-BE07-4EFA819B375C}"/>
    <cellStyle name="Normal 15 2 3 2 2 2" xfId="13806" xr:uid="{BA7FC9F5-0C9D-4FF7-95E2-64B7CD4E2575}"/>
    <cellStyle name="Normal 15 2 3 2 2 2 2" xfId="29218" xr:uid="{7E22A669-1C2F-497E-9124-20D002ED8DAB}"/>
    <cellStyle name="Normal 15 2 3 2 2 2 2 2" xfId="58480" xr:uid="{84E2DBE9-1B13-418F-AD2A-ED8056FDCEED}"/>
    <cellStyle name="Normal 15 2 3 2 2 2 3" xfId="58479" xr:uid="{0CC4ECDE-056A-442D-B1F4-CCB079CED2AC}"/>
    <cellStyle name="Normal 15 2 3 2 2 3" xfId="21513" xr:uid="{74600DD8-8AF2-40B7-89B4-31EE37F5524C}"/>
    <cellStyle name="Normal 15 2 3 2 2 3 2" xfId="58481" xr:uid="{F663FFFA-2111-4694-848C-2B1FCBB1453A}"/>
    <cellStyle name="Normal 15 2 3 2 2 4" xfId="58478" xr:uid="{8CD3AB76-874A-40C9-A96B-F37C0118A24B}"/>
    <cellStyle name="Normal 15 2 3 2 3" xfId="10077" xr:uid="{C0E8EC3D-473A-49BD-9CAF-96A2F0322A75}"/>
    <cellStyle name="Normal 15 2 3 2 3 2" xfId="25490" xr:uid="{24ADE73F-4143-4AA3-968C-6080885F6E2E}"/>
    <cellStyle name="Normal 15 2 3 2 3 2 2" xfId="58483" xr:uid="{E1B9C67C-6E8A-401E-9940-BB0A3E619F83}"/>
    <cellStyle name="Normal 15 2 3 2 3 3" xfId="58482" xr:uid="{8002B781-DEEE-4EA5-B3D2-07D658CCEE31}"/>
    <cellStyle name="Normal 15 2 3 2 4" xfId="17785" xr:uid="{6FEF1B3D-A118-4A92-B1A6-8058A2A87455}"/>
    <cellStyle name="Normal 15 2 3 2 4 2" xfId="58484" xr:uid="{CD73BE77-FDF1-4266-9EDF-3DE835C4114E}"/>
    <cellStyle name="Normal 15 2 3 2 5" xfId="58477" xr:uid="{BBB9C3A0-57FE-4075-8C03-A12CE8B9E734}"/>
    <cellStyle name="Normal 15 2 3 3" xfId="4633" xr:uid="{C78F1E8B-9C28-4059-BC20-9912EBD0AFEF}"/>
    <cellStyle name="Normal 15 2 3 3 2" xfId="12341" xr:uid="{1582A335-A905-44AB-A967-911789AE399F}"/>
    <cellStyle name="Normal 15 2 3 3 2 2" xfId="27753" xr:uid="{2FE40EB7-B7BB-43B6-8D44-0122AD4F6EBB}"/>
    <cellStyle name="Normal 15 2 3 3 2 2 2" xfId="58487" xr:uid="{B91ADBE3-4DED-449B-A9F6-C2C83320DAF1}"/>
    <cellStyle name="Normal 15 2 3 3 2 3" xfId="58486" xr:uid="{925D71C4-40B4-499F-B385-3849DDC7BEF9}"/>
    <cellStyle name="Normal 15 2 3 3 3" xfId="20048" xr:uid="{1990C6C6-42F8-43F7-9CBF-2AC958998844}"/>
    <cellStyle name="Normal 15 2 3 3 3 2" xfId="58488" xr:uid="{2BC67ED9-3660-4185-8C27-B2C976C0FF0F}"/>
    <cellStyle name="Normal 15 2 3 3 4" xfId="58485" xr:uid="{8F47F4F5-BD7B-4379-AFE3-B3DA82B28480}"/>
    <cellStyle name="Normal 15 2 3 4" xfId="8618" xr:uid="{F7C0B40C-31FF-4D01-AEEE-090C80655776}"/>
    <cellStyle name="Normal 15 2 3 4 2" xfId="24031" xr:uid="{EA23E4EC-712E-4138-A0AB-F713E95780D8}"/>
    <cellStyle name="Normal 15 2 3 4 2 2" xfId="58490" xr:uid="{DA247CA2-B916-4341-978B-AFB5C060A30C}"/>
    <cellStyle name="Normal 15 2 3 4 3" xfId="58489" xr:uid="{B4672939-10B9-4A87-BEE0-6B800652F127}"/>
    <cellStyle name="Normal 15 2 3 5" xfId="16326" xr:uid="{3C686DB3-CB9A-4022-8AE4-12FE473677D6}"/>
    <cellStyle name="Normal 15 2 3 5 2" xfId="58491" xr:uid="{6BF518B0-F86C-4157-8101-084DC6B7E992}"/>
    <cellStyle name="Normal 15 2 3 6" xfId="58476" xr:uid="{1C50CD0C-CDC2-4347-9088-4CEE88D7648D}"/>
    <cellStyle name="Normal 15 2 4" xfId="1728" xr:uid="{86623966-A954-41A9-9249-70519C80851D}"/>
    <cellStyle name="Normal 15 2 4 2" xfId="5460" xr:uid="{1E78E059-062B-40CD-BC11-4B2F27C4EE92}"/>
    <cellStyle name="Normal 15 2 4 2 2" xfId="13168" xr:uid="{B74AD2E2-100B-48B2-B2A2-87D31E33EECD}"/>
    <cellStyle name="Normal 15 2 4 2 2 2" xfId="28580" xr:uid="{BE5A194E-DEA4-45A0-82E1-88BAB686E690}"/>
    <cellStyle name="Normal 15 2 4 2 2 2 2" xfId="58495" xr:uid="{8552466A-9E4E-45FC-BE5B-31BC61C54BA2}"/>
    <cellStyle name="Normal 15 2 4 2 2 3" xfId="58494" xr:uid="{261CAFB6-1A89-4DA4-AD19-221C6FD26F75}"/>
    <cellStyle name="Normal 15 2 4 2 3" xfId="20875" xr:uid="{C850767F-C9A4-44E3-9D36-151F739DDA8E}"/>
    <cellStyle name="Normal 15 2 4 2 3 2" xfId="58496" xr:uid="{FCB26CF0-89F4-430C-934C-273379977804}"/>
    <cellStyle name="Normal 15 2 4 2 4" xfId="58493" xr:uid="{11449EB4-DE6A-4FDB-A1CF-B8339AA7C6EA}"/>
    <cellStyle name="Normal 15 2 4 3" xfId="9439" xr:uid="{A2A8A953-FBEB-457E-B571-FBFEF078A374}"/>
    <cellStyle name="Normal 15 2 4 3 2" xfId="24852" xr:uid="{7C375C72-8759-4929-BE04-1831EC6BB0CF}"/>
    <cellStyle name="Normal 15 2 4 3 2 2" xfId="58498" xr:uid="{D4A10742-D582-48D2-B6D0-BE9DE64B80B6}"/>
    <cellStyle name="Normal 15 2 4 3 3" xfId="58497" xr:uid="{C956A648-FEA1-40DA-981C-2DA6F86E9A09}"/>
    <cellStyle name="Normal 15 2 4 4" xfId="17147" xr:uid="{91842D5F-6557-4B80-A478-91FB85864FE2}"/>
    <cellStyle name="Normal 15 2 4 4 2" xfId="58499" xr:uid="{97989514-7614-4C69-97E0-63675F88B67B}"/>
    <cellStyle name="Normal 15 2 4 5" xfId="58492" xr:uid="{81329146-3C66-4103-9C66-E71930499598}"/>
    <cellStyle name="Normal 15 2 5" xfId="3981" xr:uid="{22AB5FDE-8261-4AE0-A416-A52BCA3929FE}"/>
    <cellStyle name="Normal 15 2 5 2" xfId="11689" xr:uid="{90398BFD-B51E-476C-BEAF-9BAC99D8C30A}"/>
    <cellStyle name="Normal 15 2 5 2 2" xfId="27101" xr:uid="{8A3B35BD-721A-4FEA-9D15-BA17181CF886}"/>
    <cellStyle name="Normal 15 2 5 2 2 2" xfId="58502" xr:uid="{05B33B31-D127-4ADC-91F6-44676C92EDD5}"/>
    <cellStyle name="Normal 15 2 5 2 3" xfId="58501" xr:uid="{1DD6949B-A18A-49B8-B624-21FC50E5B804}"/>
    <cellStyle name="Normal 15 2 5 3" xfId="19396" xr:uid="{71E8D877-55B5-4492-BB95-A0788612D481}"/>
    <cellStyle name="Normal 15 2 5 3 2" xfId="58503" xr:uid="{C85F0D93-7786-496A-8FCB-76C5023C88FF}"/>
    <cellStyle name="Normal 15 2 5 4" xfId="58500" xr:uid="{5FED47B9-4E2A-4F5A-A943-023854057166}"/>
    <cellStyle name="Normal 15 2 6" xfId="7980" xr:uid="{00CEB584-DC80-4739-A19D-A836F468D84C}"/>
    <cellStyle name="Normal 15 2 6 2" xfId="23393" xr:uid="{B2E62560-3C3E-479B-9BA6-706714C0BE24}"/>
    <cellStyle name="Normal 15 2 6 2 2" xfId="58505" xr:uid="{4CFA8741-5B31-44C0-8FFE-BE50A49ADCA6}"/>
    <cellStyle name="Normal 15 2 6 3" xfId="58504" xr:uid="{8765DBB5-C6EE-413D-B4CA-6F614A72A2C4}"/>
    <cellStyle name="Normal 15 2 7" xfId="15688" xr:uid="{6D9928A6-F914-494E-A6E5-C00A5BB8D109}"/>
    <cellStyle name="Normal 15 2 7 2" xfId="58506" xr:uid="{BA714081-72CE-4ACD-BE04-ED40358EE33E}"/>
    <cellStyle name="Normal 15 2 8" xfId="58443" xr:uid="{9617D912-077F-406E-8A81-5E7D9407DA6E}"/>
    <cellStyle name="Normal 15 3" xfId="378" xr:uid="{B0EF3C0E-8B70-4471-A608-AF49BE14D833}"/>
    <cellStyle name="Normal 15 3 2" xfId="1040" xr:uid="{EB2BD97C-70FA-4232-8B48-BA09E8887A4C}"/>
    <cellStyle name="Normal 15 3 2 2" xfId="2508" xr:uid="{2EE72816-B159-457A-8A11-49FB167CFFAC}"/>
    <cellStyle name="Normal 15 3 2 2 2" xfId="6240" xr:uid="{C0122D8A-67DE-4E1E-8804-8B1CC699395C}"/>
    <cellStyle name="Normal 15 3 2 2 2 2" xfId="13948" xr:uid="{5E498E12-1327-4EA8-985D-9BE0BD95E630}"/>
    <cellStyle name="Normal 15 3 2 2 2 2 2" xfId="29360" xr:uid="{8E8CD298-9F82-4B88-B256-60387CD966F6}"/>
    <cellStyle name="Normal 15 3 2 2 2 2 2 2" xfId="58512" xr:uid="{8AD8DB90-766D-4D0C-8BC1-9842202B4197}"/>
    <cellStyle name="Normal 15 3 2 2 2 2 3" xfId="58511" xr:uid="{49985FA3-2180-4BB0-BECA-4FE8D565D396}"/>
    <cellStyle name="Normal 15 3 2 2 2 3" xfId="21655" xr:uid="{4DFC7C7D-E731-46D3-9028-868DC0A07EA0}"/>
    <cellStyle name="Normal 15 3 2 2 2 3 2" xfId="58513" xr:uid="{52105452-DCCD-4AED-8C23-90CFD2E2F8CB}"/>
    <cellStyle name="Normal 15 3 2 2 2 4" xfId="58510" xr:uid="{CB60C274-4BD7-43F5-98E2-4815F6837AAA}"/>
    <cellStyle name="Normal 15 3 2 2 3" xfId="10219" xr:uid="{24B0890E-F96C-4427-B8EE-7609499241DD}"/>
    <cellStyle name="Normal 15 3 2 2 3 2" xfId="25632" xr:uid="{D0A6BD9C-F2F4-4E16-B195-9FCF937EF847}"/>
    <cellStyle name="Normal 15 3 2 2 3 2 2" xfId="58515" xr:uid="{E029A207-066B-43AE-A10E-E73D713AD7B0}"/>
    <cellStyle name="Normal 15 3 2 2 3 3" xfId="58514" xr:uid="{5272C013-2C75-4B30-93FA-CDF9D82FAAE8}"/>
    <cellStyle name="Normal 15 3 2 2 4" xfId="17927" xr:uid="{1D9F7425-33D3-4DAE-9541-F771A875A6B2}"/>
    <cellStyle name="Normal 15 3 2 2 4 2" xfId="58516" xr:uid="{D6438197-187D-4EA1-91FF-2520C3DB46B3}"/>
    <cellStyle name="Normal 15 3 2 2 5" xfId="58509" xr:uid="{31C12AA7-8723-4A77-909B-5962988B7D9F}"/>
    <cellStyle name="Normal 15 3 2 3" xfId="4777" xr:uid="{BEB6E3B7-C871-4A95-9FD1-AFC8B7545F16}"/>
    <cellStyle name="Normal 15 3 2 3 2" xfId="12485" xr:uid="{631D09BA-634A-4049-A59A-1FF2B19F2A04}"/>
    <cellStyle name="Normal 15 3 2 3 2 2" xfId="27897" xr:uid="{8D998371-BE2E-4878-B04F-51A3A5AF88FB}"/>
    <cellStyle name="Normal 15 3 2 3 2 2 2" xfId="58519" xr:uid="{8B132C00-9CB5-442D-9FA0-8802F3335AEA}"/>
    <cellStyle name="Normal 15 3 2 3 2 3" xfId="58518" xr:uid="{8811E706-A42D-4DB2-BAD8-84CEE0561DDA}"/>
    <cellStyle name="Normal 15 3 2 3 3" xfId="20192" xr:uid="{B93D3CBD-8F5D-4418-8468-E35EB676789C}"/>
    <cellStyle name="Normal 15 3 2 3 3 2" xfId="58520" xr:uid="{9BB799D8-B1CF-4E2C-80E7-86A7631AC7D1}"/>
    <cellStyle name="Normal 15 3 2 3 4" xfId="58517" xr:uid="{6B3A8C7F-4A4C-416F-8DBB-C0D19E6256AB}"/>
    <cellStyle name="Normal 15 3 2 4" xfId="8760" xr:uid="{89937009-E608-4A23-9FF0-A775C7A40985}"/>
    <cellStyle name="Normal 15 3 2 4 2" xfId="24173" xr:uid="{1A0E0E6E-38CE-4A63-9787-55754AF34BF6}"/>
    <cellStyle name="Normal 15 3 2 4 2 2" xfId="58522" xr:uid="{F613620A-3CA3-4A3F-BD9D-573D546428FA}"/>
    <cellStyle name="Normal 15 3 2 4 3" xfId="58521" xr:uid="{BC06B90B-53E9-4C40-8998-537F89C6AB85}"/>
    <cellStyle name="Normal 15 3 2 5" xfId="16468" xr:uid="{99132173-77AD-4D3A-A6C6-29ED16200DFB}"/>
    <cellStyle name="Normal 15 3 2 5 2" xfId="58523" xr:uid="{7AE2C9E6-DFD1-46A2-99F5-964A33BCFC6F}"/>
    <cellStyle name="Normal 15 3 2 6" xfId="58508" xr:uid="{2D98D56A-76A6-44FE-9D37-34981D74B7FE}"/>
    <cellStyle name="Normal 15 3 3" xfId="1870" xr:uid="{DB668E20-B611-489A-BF59-31453166DD63}"/>
    <cellStyle name="Normal 15 3 3 2" xfId="5602" xr:uid="{25ECBF1A-47C0-4C5E-9CCA-6312EE8DB134}"/>
    <cellStyle name="Normal 15 3 3 2 2" xfId="13310" xr:uid="{E917EDD5-26AD-45F4-874E-C39F473FAAFD}"/>
    <cellStyle name="Normal 15 3 3 2 2 2" xfId="28722" xr:uid="{06058837-4A59-40D1-A737-4DC733493727}"/>
    <cellStyle name="Normal 15 3 3 2 2 2 2" xfId="58527" xr:uid="{0B4B7013-C7CD-43A6-AA12-3BA1ADE93A2B}"/>
    <cellStyle name="Normal 15 3 3 2 2 3" xfId="58526" xr:uid="{B045D860-5934-49D8-B7AB-7120937377C6}"/>
    <cellStyle name="Normal 15 3 3 2 3" xfId="21017" xr:uid="{115574E8-56A6-44E9-A8EF-D0DBE851CDBE}"/>
    <cellStyle name="Normal 15 3 3 2 3 2" xfId="58528" xr:uid="{98DF6A55-EC9C-475B-8DE3-C3042A7574F1}"/>
    <cellStyle name="Normal 15 3 3 2 4" xfId="58525" xr:uid="{BA374C0A-CEAF-4E55-A1E3-3EBF77E92FF9}"/>
    <cellStyle name="Normal 15 3 3 3" xfId="9581" xr:uid="{185E42D7-3C2C-47B9-B9C5-1E5CFA5939AC}"/>
    <cellStyle name="Normal 15 3 3 3 2" xfId="24994" xr:uid="{107CBAD0-C487-4C98-A78D-1400AC6CCF79}"/>
    <cellStyle name="Normal 15 3 3 3 2 2" xfId="58530" xr:uid="{9DC7CF0F-1B9E-44A1-97B2-54E43F8F7F78}"/>
    <cellStyle name="Normal 15 3 3 3 3" xfId="58529" xr:uid="{F7B30F35-D1D3-42A5-AD2B-DB88ED3B1472}"/>
    <cellStyle name="Normal 15 3 3 4" xfId="17289" xr:uid="{31472662-4534-453D-80DA-A07988C49CE2}"/>
    <cellStyle name="Normal 15 3 3 4 2" xfId="58531" xr:uid="{0F0A8586-4C50-4A7C-9955-EE9186332885}"/>
    <cellStyle name="Normal 15 3 3 5" xfId="58524" xr:uid="{EE1F9235-6ED2-4379-A671-7DE5B5580A0A}"/>
    <cellStyle name="Normal 15 3 4" xfId="4125" xr:uid="{097C5022-3BD3-4F66-8E1D-496011219EF7}"/>
    <cellStyle name="Normal 15 3 4 2" xfId="11833" xr:uid="{B5055415-750C-44B6-8238-9FB9B58C58FC}"/>
    <cellStyle name="Normal 15 3 4 2 2" xfId="27245" xr:uid="{9E923360-F4AE-473A-9B3C-C65B9984AB13}"/>
    <cellStyle name="Normal 15 3 4 2 2 2" xfId="58534" xr:uid="{04AF72C8-6BED-4F21-9AB1-9BA852FE8EFA}"/>
    <cellStyle name="Normal 15 3 4 2 3" xfId="58533" xr:uid="{DC0FE3C4-CA73-4957-AEC5-92CB29DB8501}"/>
    <cellStyle name="Normal 15 3 4 3" xfId="19540" xr:uid="{3E80E82F-0AA1-40BC-A8FA-10B869982A91}"/>
    <cellStyle name="Normal 15 3 4 3 2" xfId="58535" xr:uid="{C30858EF-952B-4EA5-A185-ABE429598368}"/>
    <cellStyle name="Normal 15 3 4 4" xfId="58532" xr:uid="{A924B6A0-0F60-416B-8584-69809A3F157A}"/>
    <cellStyle name="Normal 15 3 5" xfId="8122" xr:uid="{FB70D4C1-694B-4523-95B8-390828DA2C12}"/>
    <cellStyle name="Normal 15 3 5 2" xfId="23535" xr:uid="{8098C76A-1E30-41F2-ACEC-960E5B830207}"/>
    <cellStyle name="Normal 15 3 5 2 2" xfId="58537" xr:uid="{9DF8E8A6-50C8-40BA-AF3A-EDB38A14A9C0}"/>
    <cellStyle name="Normal 15 3 5 3" xfId="58536" xr:uid="{D3CAF4B7-28CB-402A-9CD8-89FD34EDCD3D}"/>
    <cellStyle name="Normal 15 3 6" xfId="15830" xr:uid="{B85A8481-2184-4EB9-B1C3-2DCC08898E4F}"/>
    <cellStyle name="Normal 15 3 6 2" xfId="58538" xr:uid="{4633CEA9-7E3B-462D-B414-93B9E03AA429}"/>
    <cellStyle name="Normal 15 3 7" xfId="58507" xr:uid="{4AD873E6-42F0-4C71-8778-4A2A1E95C3DC}"/>
    <cellStyle name="Normal 15 4" xfId="835" xr:uid="{3E23B77F-A39C-4716-83B4-1BFC385C39F7}"/>
    <cellStyle name="Normal 15 4 2" xfId="2310" xr:uid="{5560491A-98FD-4B43-8937-F6A573394DD0}"/>
    <cellStyle name="Normal 15 4 2 2" xfId="6042" xr:uid="{E13E2D8F-4D82-4CBD-B8C0-A0C7C09AC79F}"/>
    <cellStyle name="Normal 15 4 2 2 2" xfId="13750" xr:uid="{4959AF35-5795-4188-92AF-BC8518A3C6BD}"/>
    <cellStyle name="Normal 15 4 2 2 2 2" xfId="29162" xr:uid="{4B52C74F-8252-4388-946D-D1391C5C3D5E}"/>
    <cellStyle name="Normal 15 4 2 2 2 2 2" xfId="58543" xr:uid="{01F3B176-6F42-411D-9B88-28C40796E169}"/>
    <cellStyle name="Normal 15 4 2 2 2 3" xfId="58542" xr:uid="{B4CA8DAE-0E44-4FF4-BACA-C2A18B54A64D}"/>
    <cellStyle name="Normal 15 4 2 2 3" xfId="21457" xr:uid="{0135555C-926F-4BA0-B3FF-4E6FD5D703D6}"/>
    <cellStyle name="Normal 15 4 2 2 3 2" xfId="58544" xr:uid="{362D0AB4-C9A5-45C2-B571-806EBCBC4EBA}"/>
    <cellStyle name="Normal 15 4 2 2 4" xfId="58541" xr:uid="{BD15A0B4-2A3C-4164-B5D9-E8D1ABBE2D4D}"/>
    <cellStyle name="Normal 15 4 2 3" xfId="10021" xr:uid="{7101D66F-25C6-47A0-8D60-4EF6DC56BA93}"/>
    <cellStyle name="Normal 15 4 2 3 2" xfId="25434" xr:uid="{1324693E-3C78-4A06-A892-CE210DC23043}"/>
    <cellStyle name="Normal 15 4 2 3 2 2" xfId="58546" xr:uid="{2DA30F16-2ED6-449B-B816-692B853929FC}"/>
    <cellStyle name="Normal 15 4 2 3 3" xfId="58545" xr:uid="{5F592282-BB85-4A87-B47A-8B104274D12C}"/>
    <cellStyle name="Normal 15 4 2 4" xfId="17729" xr:uid="{980AFF59-ECCB-46D5-8016-4C96BD1C2A31}"/>
    <cellStyle name="Normal 15 4 2 4 2" xfId="58547" xr:uid="{A5FB0ABD-11B3-4715-8808-0650EF85B2C1}"/>
    <cellStyle name="Normal 15 4 2 5" xfId="58540" xr:uid="{F681F626-A2E2-4301-BB45-9034600EC4B9}"/>
    <cellStyle name="Normal 15 4 3" xfId="4572" xr:uid="{5C00D73B-836C-43A6-8C51-4946A8CF4C33}"/>
    <cellStyle name="Normal 15 4 3 2" xfId="12280" xr:uid="{8D11ACB1-8B67-466A-AC70-95DA4F92BF89}"/>
    <cellStyle name="Normal 15 4 3 2 2" xfId="27692" xr:uid="{FE7DE9A6-C74B-43CC-B5D8-17FAC651F53D}"/>
    <cellStyle name="Normal 15 4 3 2 2 2" xfId="58550" xr:uid="{08916BB4-5991-47F2-8330-EB4ABC88FA39}"/>
    <cellStyle name="Normal 15 4 3 2 3" xfId="58549" xr:uid="{E3964705-508B-4104-ADFB-2743075634FE}"/>
    <cellStyle name="Normal 15 4 3 3" xfId="19987" xr:uid="{B0D180C1-9C16-4D91-818C-0656D982266A}"/>
    <cellStyle name="Normal 15 4 3 3 2" xfId="58551" xr:uid="{4B66799A-F655-4DC6-8B62-32D86BB354E2}"/>
    <cellStyle name="Normal 15 4 3 4" xfId="58548" xr:uid="{8A23DE2B-C57D-4815-9CE1-8DD960AEFB3D}"/>
    <cellStyle name="Normal 15 4 4" xfId="8562" xr:uid="{4A0B8693-0D1E-446A-85D8-409AB86C67B7}"/>
    <cellStyle name="Normal 15 4 4 2" xfId="23975" xr:uid="{DDF5B8FF-1870-4F41-A990-0A04A6B9F310}"/>
    <cellStyle name="Normal 15 4 4 2 2" xfId="58553" xr:uid="{306B9CA7-330C-4115-A613-0833B48629FE}"/>
    <cellStyle name="Normal 15 4 4 3" xfId="58552" xr:uid="{400631D9-F5BA-4E42-86B6-D10B358CAB5C}"/>
    <cellStyle name="Normal 15 4 5" xfId="16270" xr:uid="{9175BF52-93AF-4535-A38B-C3DDDAD8C668}"/>
    <cellStyle name="Normal 15 4 5 2" xfId="58554" xr:uid="{AF8C6A20-CE60-4055-85DD-CD5A51884737}"/>
    <cellStyle name="Normal 15 4 6" xfId="58539" xr:uid="{22469B82-3E41-4819-BEB4-BD1FE628F3E1}"/>
    <cellStyle name="Normal 15 5" xfId="1672" xr:uid="{69CD14D6-087C-47D3-A1A2-8FEC3E2CACEE}"/>
    <cellStyle name="Normal 15 5 2" xfId="5404" xr:uid="{261EAAA0-D1C7-4D15-BE09-D09052E62747}"/>
    <cellStyle name="Normal 15 5 2 2" xfId="13112" xr:uid="{8C09ABA7-3507-40C0-BB52-A088F3AD59BC}"/>
    <cellStyle name="Normal 15 5 2 2 2" xfId="28524" xr:uid="{31E03613-0D19-40E1-B4CA-E5DB2E172F4A}"/>
    <cellStyle name="Normal 15 5 2 2 2 2" xfId="58558" xr:uid="{7C4AD154-F669-4CF5-B714-A057634B1F8F}"/>
    <cellStyle name="Normal 15 5 2 2 3" xfId="58557" xr:uid="{86B688C8-E9B4-4887-BDA0-F89CEFDA2F11}"/>
    <cellStyle name="Normal 15 5 2 3" xfId="20819" xr:uid="{891E9786-7ABB-4638-BCA3-AC2DC5A543FB}"/>
    <cellStyle name="Normal 15 5 2 3 2" xfId="58559" xr:uid="{AD5E6F87-9AFF-4DAD-AF0B-FBA153FEDD4A}"/>
    <cellStyle name="Normal 15 5 2 4" xfId="58556" xr:uid="{54C32972-E629-47C9-8985-9432062677EF}"/>
    <cellStyle name="Normal 15 5 3" xfId="9383" xr:uid="{0B6449B1-CE5C-4AE5-9DD4-2AA480D3A93D}"/>
    <cellStyle name="Normal 15 5 3 2" xfId="24796" xr:uid="{381933D8-E6BB-4FFC-BE8A-35BAD8AD5173}"/>
    <cellStyle name="Normal 15 5 3 2 2" xfId="58561" xr:uid="{3F486079-87BD-441F-BE68-3B08DB8E6D25}"/>
    <cellStyle name="Normal 15 5 3 3" xfId="58560" xr:uid="{DEB5085A-415F-4A80-9BA9-2FEF157C0909}"/>
    <cellStyle name="Normal 15 5 4" xfId="17091" xr:uid="{2E633A74-482A-456F-BB11-B202549188CB}"/>
    <cellStyle name="Normal 15 5 4 2" xfId="58562" xr:uid="{BFC4F2C6-0096-4500-A912-2C5E7C9E003E}"/>
    <cellStyle name="Normal 15 5 5" xfId="58555" xr:uid="{24407472-5E59-4B87-A514-D354F004C1AA}"/>
    <cellStyle name="Normal 15 6" xfId="3920" xr:uid="{9474EC25-8949-4B9E-A907-EDC4405B9E90}"/>
    <cellStyle name="Normal 15 6 2" xfId="11628" xr:uid="{A6648906-70FE-4E26-B077-4067DD9D90A7}"/>
    <cellStyle name="Normal 15 6 2 2" xfId="27040" xr:uid="{3907D43C-B7C2-441E-9B8A-7E2DD719C91A}"/>
    <cellStyle name="Normal 15 6 2 2 2" xfId="58565" xr:uid="{CC9E10CF-F8CD-4C6C-ABD3-1DCEC49FBD2C}"/>
    <cellStyle name="Normal 15 6 2 3" xfId="58564" xr:uid="{E7C1D1EA-E8DB-45B2-B7E2-3781CCA10244}"/>
    <cellStyle name="Normal 15 6 3" xfId="19335" xr:uid="{BA03EBFB-903D-4AA3-A345-5EE17BAE7A6C}"/>
    <cellStyle name="Normal 15 6 3 2" xfId="58566" xr:uid="{D0B0961A-6D3F-4A69-A593-E27DCB7BE66C}"/>
    <cellStyle name="Normal 15 6 4" xfId="58563" xr:uid="{F59DA6D5-BE2F-48B5-940E-C017A42BD3FF}"/>
    <cellStyle name="Normal 15 7" xfId="7924" xr:uid="{D8916ADF-0E83-4B0B-A982-E4BFC6E671DF}"/>
    <cellStyle name="Normal 15 7 2" xfId="23337" xr:uid="{B2486DC7-30F2-47C8-9D3A-62AC5022F47B}"/>
    <cellStyle name="Normal 15 7 2 2" xfId="58568" xr:uid="{31FEE7E5-0AE2-407C-B620-9AF5D21D25EB}"/>
    <cellStyle name="Normal 15 7 3" xfId="58567" xr:uid="{F778AD47-74C0-47E8-8B04-B500FB0806D0}"/>
    <cellStyle name="Normal 15 8" xfId="15632" xr:uid="{45D50A74-B60C-4EF4-846E-7BE67A0208C7}"/>
    <cellStyle name="Normal 15 8 2" xfId="58569" xr:uid="{27609B8F-0D7C-4DB2-B614-08D857DCCA6B}"/>
    <cellStyle name="Normal 15 9" xfId="58442" xr:uid="{6564173D-1AB0-4F0E-AB52-046DB7502158}"/>
    <cellStyle name="Normal 16" xfId="182" xr:uid="{B9CAE957-DFD4-48BA-899E-238B44BB9339}"/>
    <cellStyle name="Normal 16 7" xfId="62107" xr:uid="{DC2B1CC2-2AD2-48C7-A640-FA3BA44FEC2D}"/>
    <cellStyle name="Normal 17" xfId="169" xr:uid="{FF56B0B1-32D6-4AE7-8B93-594AC7CE0E80}"/>
    <cellStyle name="Normal 17 2" xfId="379" xr:uid="{91A22182-A615-4E41-B203-EF2C420F94D3}"/>
    <cellStyle name="Normal 17 2 2" xfId="1041" xr:uid="{172D6679-2AD5-43FB-B95A-9D9033291EB5}"/>
    <cellStyle name="Normal 17 2 2 2" xfId="2509" xr:uid="{5F068BC8-1C63-4836-8695-8C391DA6235C}"/>
    <cellStyle name="Normal 17 2 2 2 2" xfId="6241" xr:uid="{020D4CB0-C45D-4871-BE09-0C85D2136DF7}"/>
    <cellStyle name="Normal 17 2 2 2 2 2" xfId="13949" xr:uid="{A01D0D4A-8F08-47DD-B121-9CEC8A3D1675}"/>
    <cellStyle name="Normal 17 2 2 2 2 2 2" xfId="29361" xr:uid="{56699720-4659-45D5-9083-084D56F1B789}"/>
    <cellStyle name="Normal 17 2 2 2 2 2 2 2" xfId="58576" xr:uid="{4B38B4E6-9A73-4246-8F35-4AC1271148D1}"/>
    <cellStyle name="Normal 17 2 2 2 2 2 3" xfId="58575" xr:uid="{FC4D7B46-459A-4B0F-91E3-9FB113C84DB8}"/>
    <cellStyle name="Normal 17 2 2 2 2 3" xfId="21656" xr:uid="{0B3C3963-293E-4404-8181-63148B202583}"/>
    <cellStyle name="Normal 17 2 2 2 2 3 2" xfId="58577" xr:uid="{27BDB628-0207-4357-81DF-E3BC1B89726E}"/>
    <cellStyle name="Normal 17 2 2 2 2 4" xfId="58574" xr:uid="{4103A714-E97C-4F36-8C65-015F287DED1F}"/>
    <cellStyle name="Normal 17 2 2 2 3" xfId="10220" xr:uid="{893D35EF-D815-4E3D-80E9-0BF6ACBE2BD4}"/>
    <cellStyle name="Normal 17 2 2 2 3 2" xfId="25633" xr:uid="{2361D2C5-EE8B-44C3-A263-B26E1825D215}"/>
    <cellStyle name="Normal 17 2 2 2 3 2 2" xfId="58579" xr:uid="{3947ABE7-E115-432B-9F29-0A8829F48A2B}"/>
    <cellStyle name="Normal 17 2 2 2 3 3" xfId="58578" xr:uid="{D59D5D3F-41EC-4095-8943-D6CEC1705F10}"/>
    <cellStyle name="Normal 17 2 2 2 4" xfId="17928" xr:uid="{E8DC4DA9-3FAA-41FE-91FC-EF65AAC4D27C}"/>
    <cellStyle name="Normal 17 2 2 2 4 2" xfId="58580" xr:uid="{E5D49B9E-467A-46E2-A905-D3CC0E1BE0EE}"/>
    <cellStyle name="Normal 17 2 2 2 5" xfId="58573" xr:uid="{9DFE84CF-86B3-47DE-BEF6-0EBE51BDB7A4}"/>
    <cellStyle name="Normal 17 2 2 3" xfId="4778" xr:uid="{BE9658A6-6380-4F71-A96E-B5D1A1A3E63F}"/>
    <cellStyle name="Normal 17 2 2 3 2" xfId="12486" xr:uid="{59F6D54D-3892-4986-BCC3-A9929FBE0E4E}"/>
    <cellStyle name="Normal 17 2 2 3 2 2" xfId="27898" xr:uid="{E53F3676-45F7-4EB3-9AD0-89A86CA49058}"/>
    <cellStyle name="Normal 17 2 2 3 2 2 2" xfId="58583" xr:uid="{4D5A77B4-F285-4FA4-B1D7-497A92A876BD}"/>
    <cellStyle name="Normal 17 2 2 3 2 3" xfId="58582" xr:uid="{5AC7B3C9-E830-4B6A-B6F5-4F676DE7E565}"/>
    <cellStyle name="Normal 17 2 2 3 3" xfId="20193" xr:uid="{5F68B463-8184-435D-AF37-332BACD88746}"/>
    <cellStyle name="Normal 17 2 2 3 3 2" xfId="58584" xr:uid="{8E05AD8A-E7F3-451E-A0FF-658823F42D7E}"/>
    <cellStyle name="Normal 17 2 2 3 4" xfId="58581" xr:uid="{505CBBFA-9F66-4622-A484-1DDD006EFA4A}"/>
    <cellStyle name="Normal 17 2 2 4" xfId="8761" xr:uid="{63B5376A-1C8D-4568-9658-08FBC20EF4AE}"/>
    <cellStyle name="Normal 17 2 2 4 2" xfId="24174" xr:uid="{A1497EB1-1459-4785-986D-80C7E35C46BF}"/>
    <cellStyle name="Normal 17 2 2 4 2 2" xfId="58586" xr:uid="{5923143F-C6B2-4F26-9959-AE4E667C0498}"/>
    <cellStyle name="Normal 17 2 2 4 3" xfId="58585" xr:uid="{E69D33FE-30D9-48F0-8140-F77C59E7D1D1}"/>
    <cellStyle name="Normal 17 2 2 5" xfId="16469" xr:uid="{F4CEAA0A-5794-4BD0-A78E-666348D02C6C}"/>
    <cellStyle name="Normal 17 2 2 5 2" xfId="58587" xr:uid="{B2A36B8F-19F4-49CD-BFEE-387882F5647B}"/>
    <cellStyle name="Normal 17 2 2 6" xfId="58572" xr:uid="{E43B1830-0AF2-4588-B14E-A70A196CA421}"/>
    <cellStyle name="Normal 17 2 3" xfId="1871" xr:uid="{49DEE54D-9ABB-4D33-8F17-FBA0F27061C5}"/>
    <cellStyle name="Normal 17 2 3 2" xfId="5603" xr:uid="{F049E1CC-778B-4A97-A4C1-B4C7D0F36441}"/>
    <cellStyle name="Normal 17 2 3 2 2" xfId="13311" xr:uid="{301DCB13-D7A5-4C3A-B5D5-E8DF8CB6FBDC}"/>
    <cellStyle name="Normal 17 2 3 2 2 2" xfId="28723" xr:uid="{E658869C-A268-4277-9E3C-78F39BBBD935}"/>
    <cellStyle name="Normal 17 2 3 2 2 2 2" xfId="58591" xr:uid="{1F0F16BD-4B95-40BF-A1EB-58396C4E1D45}"/>
    <cellStyle name="Normal 17 2 3 2 2 3" xfId="58590" xr:uid="{E9E1B1D2-AF5E-4C4A-8413-D655A96F1717}"/>
    <cellStyle name="Normal 17 2 3 2 3" xfId="21018" xr:uid="{9EE1EED3-899F-4327-BCC3-051D69ABA682}"/>
    <cellStyle name="Normal 17 2 3 2 3 2" xfId="58592" xr:uid="{82F48227-9AC1-4AD7-BBD2-C6C37DB41962}"/>
    <cellStyle name="Normal 17 2 3 2 4" xfId="58589" xr:uid="{4C74B81C-F6BC-4219-AE60-A355C3952081}"/>
    <cellStyle name="Normal 17 2 3 3" xfId="9582" xr:uid="{3588E3CC-B4EA-4B7C-AA7F-E65E3F32B873}"/>
    <cellStyle name="Normal 17 2 3 3 2" xfId="24995" xr:uid="{5FC89C12-8692-4300-8ED9-B81B7F7DB080}"/>
    <cellStyle name="Normal 17 2 3 3 2 2" xfId="58594" xr:uid="{B969680F-B62E-49F4-B4A1-580BA12AB222}"/>
    <cellStyle name="Normal 17 2 3 3 3" xfId="58593" xr:uid="{38ED53A1-E1D9-49B7-B742-EA8FAE5A3429}"/>
    <cellStyle name="Normal 17 2 3 4" xfId="17290" xr:uid="{1D0C2693-5026-4E94-B283-3FA03C2DF6F1}"/>
    <cellStyle name="Normal 17 2 3 4 2" xfId="58595" xr:uid="{0B92A48A-62F4-4A1E-BFD0-E5541E725299}"/>
    <cellStyle name="Normal 17 2 3 5" xfId="58588" xr:uid="{F6AC03A0-E17F-412C-9861-2EFB679AEDF5}"/>
    <cellStyle name="Normal 17 2 4" xfId="4126" xr:uid="{65F9BF3F-CCFD-47B4-8479-4E15456EF8F7}"/>
    <cellStyle name="Normal 17 2 4 2" xfId="11834" xr:uid="{862CE5BA-F5E7-48F5-A1A0-78145A5B7104}"/>
    <cellStyle name="Normal 17 2 4 2 2" xfId="27246" xr:uid="{EFFA2BE6-A776-4385-A86F-44D6A26501DC}"/>
    <cellStyle name="Normal 17 2 4 2 2 2" xfId="58598" xr:uid="{834C0130-0EEE-4990-B190-1EBE2DCCDB90}"/>
    <cellStyle name="Normal 17 2 4 2 3" xfId="58597" xr:uid="{CA8BC485-E7FB-4F63-9335-CBDCC348F4EF}"/>
    <cellStyle name="Normal 17 2 4 3" xfId="19541" xr:uid="{C0BB9A5D-A8D7-4224-B661-B90A2A20DB2B}"/>
    <cellStyle name="Normal 17 2 4 3 2" xfId="58599" xr:uid="{39BE6B46-13A3-47ED-AB2F-7B46DE07FCBA}"/>
    <cellStyle name="Normal 17 2 4 4" xfId="58596" xr:uid="{0A34E7A0-A06A-40BC-B329-974B9DE07E1A}"/>
    <cellStyle name="Normal 17 2 5" xfId="8123" xr:uid="{E7B2E93C-6549-4A7E-8E1B-688EEFB6B32C}"/>
    <cellStyle name="Normal 17 2 5 2" xfId="23536" xr:uid="{B6CAFFBA-4340-4BF7-A154-D3D3EED65AF5}"/>
    <cellStyle name="Normal 17 2 5 2 2" xfId="58601" xr:uid="{D8A71A8D-CD39-4074-99A3-225C6C2E9451}"/>
    <cellStyle name="Normal 17 2 5 3" xfId="58600" xr:uid="{CDA32E03-9D5E-4EB5-8C4A-128964A2480A}"/>
    <cellStyle name="Normal 17 2 6" xfId="15831" xr:uid="{CB585217-F070-4791-AA19-76F711474E5E}"/>
    <cellStyle name="Normal 17 2 6 2" xfId="58602" xr:uid="{2FBE4BD2-50B1-425D-B78C-A383065F2F70}"/>
    <cellStyle name="Normal 17 2 7" xfId="58571" xr:uid="{B7CAF34B-DB8E-4280-928B-69CAE891FA63}"/>
    <cellStyle name="Normal 17 3" xfId="836" xr:uid="{E1CC94BC-8469-4A47-B0C3-7262EBA9FF7A}"/>
    <cellStyle name="Normal 17 3 2" xfId="2311" xr:uid="{EAEBA5F7-B3C4-467A-B3EC-57B63AAC270B}"/>
    <cellStyle name="Normal 17 3 2 2" xfId="6043" xr:uid="{750509CA-7BBF-4515-AEA9-13D154B869D0}"/>
    <cellStyle name="Normal 17 3 2 2 2" xfId="13751" xr:uid="{EE7D241A-EC47-4578-AA52-65EFAE2DC2CA}"/>
    <cellStyle name="Normal 17 3 2 2 2 2" xfId="29163" xr:uid="{FA9CC3D5-60A1-458C-87EC-E961CC74C7E2}"/>
    <cellStyle name="Normal 17 3 2 2 2 2 2" xfId="58607" xr:uid="{1AA59B12-2A7E-40A0-B415-03F11EBC487F}"/>
    <cellStyle name="Normal 17 3 2 2 2 3" xfId="58606" xr:uid="{57680A37-F97E-4D2C-B137-3884B2DE3699}"/>
    <cellStyle name="Normal 17 3 2 2 3" xfId="21458" xr:uid="{008B2DC5-1D19-446E-87D5-8A7259E31A98}"/>
    <cellStyle name="Normal 17 3 2 2 3 2" xfId="58608" xr:uid="{3753E786-5AF7-46B6-8E62-CC273F31B4B2}"/>
    <cellStyle name="Normal 17 3 2 2 4" xfId="58605" xr:uid="{5770D8D0-D4BF-48AB-A843-04C1042276BA}"/>
    <cellStyle name="Normal 17 3 2 3" xfId="10022" xr:uid="{30AA54FE-606D-4C98-85CB-3683CBB1ED79}"/>
    <cellStyle name="Normal 17 3 2 3 2" xfId="25435" xr:uid="{510FE421-85C5-4706-8268-565D90DB72BC}"/>
    <cellStyle name="Normal 17 3 2 3 2 2" xfId="58610" xr:uid="{FB358059-6D97-4E40-9861-5622E487C5C2}"/>
    <cellStyle name="Normal 17 3 2 3 3" xfId="58609" xr:uid="{EC67CD11-B31E-4BA0-8538-582E53A6A60E}"/>
    <cellStyle name="Normal 17 3 2 4" xfId="17730" xr:uid="{33B86F4C-2292-4231-B58D-664947C2C1C2}"/>
    <cellStyle name="Normal 17 3 2 4 2" xfId="58611" xr:uid="{31AF9B22-37F3-4D38-A25A-BBEEA82EDB07}"/>
    <cellStyle name="Normal 17 3 2 5" xfId="58604" xr:uid="{7E4860FD-1D01-4991-B8A5-97B17E953EE0}"/>
    <cellStyle name="Normal 17 3 3" xfId="4573" xr:uid="{498D72AC-6F58-4268-A0C9-A804EA8CF7DA}"/>
    <cellStyle name="Normal 17 3 3 2" xfId="12281" xr:uid="{260FC8C2-91FE-4C44-83C5-327171CB180C}"/>
    <cellStyle name="Normal 17 3 3 2 2" xfId="27693" xr:uid="{33125365-E7CA-4B91-A2BE-16D7F7A44EE4}"/>
    <cellStyle name="Normal 17 3 3 2 2 2" xfId="58614" xr:uid="{5E25B4E8-1E92-4F81-9826-D86645DDF93E}"/>
    <cellStyle name="Normal 17 3 3 2 3" xfId="58613" xr:uid="{99CA1555-F462-431C-951F-113D276C63B8}"/>
    <cellStyle name="Normal 17 3 3 3" xfId="19988" xr:uid="{BABDE30F-2BAC-44F6-AEF4-66CC5CD63F34}"/>
    <cellStyle name="Normal 17 3 3 3 2" xfId="58615" xr:uid="{FD2AF681-380F-4EC4-870C-ED49C969658D}"/>
    <cellStyle name="Normal 17 3 3 4" xfId="58612" xr:uid="{97727B78-2B80-4FC2-8D4B-58741BF594C8}"/>
    <cellStyle name="Normal 17 3 4" xfId="8563" xr:uid="{EC05FA39-8743-4D93-9B35-FC4AFCB00109}"/>
    <cellStyle name="Normal 17 3 4 2" xfId="23976" xr:uid="{403BA9D9-10DB-4CAC-80A7-58D55ABAC1A7}"/>
    <cellStyle name="Normal 17 3 4 2 2" xfId="58617" xr:uid="{7B3F43CB-FA57-4DF9-AC72-41969A3A20A9}"/>
    <cellStyle name="Normal 17 3 4 3" xfId="58616" xr:uid="{712406E9-1071-4959-87F0-234B2722591F}"/>
    <cellStyle name="Normal 17 3 5" xfId="16271" xr:uid="{DF7B744D-BAC8-4544-8E05-F714A1DFAEF5}"/>
    <cellStyle name="Normal 17 3 5 2" xfId="58618" xr:uid="{30F2A24D-96E3-49E6-9A6A-447FAE92D576}"/>
    <cellStyle name="Normal 17 3 6" xfId="58603" xr:uid="{CCD62148-9CB9-47EE-8797-609D7637B1A1}"/>
    <cellStyle name="Normal 17 4" xfId="1673" xr:uid="{B5B4FDAF-3E78-42CF-9BFB-6C77CF9B5D52}"/>
    <cellStyle name="Normal 17 4 2" xfId="5405" xr:uid="{75AE4AD7-AC20-4DD8-AA66-36321C32C9D8}"/>
    <cellStyle name="Normal 17 4 2 2" xfId="13113" xr:uid="{2D843327-E6A3-4575-A4D2-7675AF613C1E}"/>
    <cellStyle name="Normal 17 4 2 2 2" xfId="28525" xr:uid="{EDE71CCF-DEDE-4783-B8AB-46AAE23C9D1B}"/>
    <cellStyle name="Normal 17 4 2 2 2 2" xfId="58622" xr:uid="{9EC31864-0E88-4812-8880-BEE9F48200F8}"/>
    <cellStyle name="Normal 17 4 2 2 3" xfId="58621" xr:uid="{C4513DBC-DEFF-4542-AE70-059F636BF54A}"/>
    <cellStyle name="Normal 17 4 2 3" xfId="20820" xr:uid="{0CEB974F-23F9-4B1F-89BE-C79471EF4972}"/>
    <cellStyle name="Normal 17 4 2 3 2" xfId="58623" xr:uid="{93E13469-1EAF-45E7-8667-CAC9A0BEF136}"/>
    <cellStyle name="Normal 17 4 2 4" xfId="58620" xr:uid="{BD92B5D4-C52E-41DD-8BC2-82350874A0CD}"/>
    <cellStyle name="Normal 17 4 3" xfId="9384" xr:uid="{96012DC1-AE1D-469E-8090-F1DEE06BE4C3}"/>
    <cellStyle name="Normal 17 4 3 2" xfId="24797" xr:uid="{103A70D7-D516-4A81-B429-F0E563353AF3}"/>
    <cellStyle name="Normal 17 4 3 2 2" xfId="58625" xr:uid="{0B51E5D9-D662-4990-B106-C67A41F5C6D6}"/>
    <cellStyle name="Normal 17 4 3 3" xfId="58624" xr:uid="{F2D1E74E-BD7C-43D8-8401-CE4F5DCB7611}"/>
    <cellStyle name="Normal 17 4 4" xfId="17092" xr:uid="{6781098F-C08C-4600-9A26-A32DD1FAF9F9}"/>
    <cellStyle name="Normal 17 4 4 2" xfId="58626" xr:uid="{B69BBE08-9447-4ADC-A92E-56879061B0EE}"/>
    <cellStyle name="Normal 17 4 5" xfId="58619" xr:uid="{3E4DBE30-C5E2-4ED4-8202-EA06EFB418B1}"/>
    <cellStyle name="Normal 17 5" xfId="3921" xr:uid="{AE15343C-91A9-48B3-917C-16D679A17342}"/>
    <cellStyle name="Normal 17 5 2" xfId="11629" xr:uid="{69FFD58A-EC0F-4722-A81F-A5E4298CE8BF}"/>
    <cellStyle name="Normal 17 5 2 2" xfId="27041" xr:uid="{EC6361E6-D951-4ECD-A22C-0DB7C4B3DC22}"/>
    <cellStyle name="Normal 17 5 2 2 2" xfId="58629" xr:uid="{C20233C6-2929-4D69-880B-976B240E1598}"/>
    <cellStyle name="Normal 17 5 2 3" xfId="58628" xr:uid="{44EA3329-91BF-4789-9988-FE71F12185C9}"/>
    <cellStyle name="Normal 17 5 3" xfId="19336" xr:uid="{28163A44-D885-4942-8960-30CA4A16416B}"/>
    <cellStyle name="Normal 17 5 3 2" xfId="58630" xr:uid="{4A3ABA5F-3983-4BA3-8F69-D609D55F090D}"/>
    <cellStyle name="Normal 17 5 4" xfId="58627" xr:uid="{683D3940-6E8D-44F8-AB83-88D1D011C340}"/>
    <cellStyle name="Normal 17 6" xfId="7925" xr:uid="{C964B8D1-7C10-4A22-B1DA-3B6D23AE1A3C}"/>
    <cellStyle name="Normal 17 6 2" xfId="23338" xr:uid="{3F1C0C19-434B-4C87-94E3-AC0EC74E6C9E}"/>
    <cellStyle name="Normal 17 6 2 2" xfId="58632" xr:uid="{A95EA916-A8B3-4EE4-A288-7FA0305CEB67}"/>
    <cellStyle name="Normal 17 6 3" xfId="58631" xr:uid="{CDC5447F-8102-4F0E-84D9-ECFC8565367E}"/>
    <cellStyle name="Normal 17 7" xfId="15633" xr:uid="{13FAD6CC-A62D-4E04-9C6C-F9A7D532446B}"/>
    <cellStyle name="Normal 17 7 2" xfId="58633" xr:uid="{26CC9DA0-9B3F-4DD5-90D7-CD0120C550F4}"/>
    <cellStyle name="Normal 17 8" xfId="58570" xr:uid="{69EA530D-CA8C-48D1-84C6-E0F830AAF954}"/>
    <cellStyle name="Normal 18" xfId="233" xr:uid="{C81FAAFD-85DF-4AA4-83F5-5BA8B7D9FEE6}"/>
    <cellStyle name="Normal 18 2" xfId="435" xr:uid="{AC6CD89C-CBB6-41AE-A183-2B4C02E2666B}"/>
    <cellStyle name="Normal 18 2 2" xfId="1097" xr:uid="{E2F4E4E3-68C8-44C7-8AC2-56DFC68FA186}"/>
    <cellStyle name="Normal 18 2 2 2" xfId="2565" xr:uid="{EE55BF15-73E2-46FB-8F27-BD7FC783C5E2}"/>
    <cellStyle name="Normal 18 2 2 2 2" xfId="6297" xr:uid="{F998376E-4B71-42B7-8C20-C49B058620FF}"/>
    <cellStyle name="Normal 18 2 2 2 2 2" xfId="14005" xr:uid="{8FC35401-F546-444C-A30D-7AF1EA8C3DED}"/>
    <cellStyle name="Normal 18 2 2 2 2 2 2" xfId="29417" xr:uid="{CF9AB31C-E5EC-4BC7-B285-A9CBADED7ED4}"/>
    <cellStyle name="Normal 18 2 2 2 2 2 2 2" xfId="58640" xr:uid="{9880A4CB-3CDB-4E3B-BBB0-A247A01FDDC1}"/>
    <cellStyle name="Normal 18 2 2 2 2 2 3" xfId="58639" xr:uid="{BDE4EC05-AD8E-4D20-8CB9-0D5B3B000A6E}"/>
    <cellStyle name="Normal 18 2 2 2 2 3" xfId="21712" xr:uid="{C88E82BA-F8F0-4C42-8B94-6FD71AE354B2}"/>
    <cellStyle name="Normal 18 2 2 2 2 3 2" xfId="58641" xr:uid="{FD02BDBD-0366-4BF6-9462-2AC866F9876D}"/>
    <cellStyle name="Normal 18 2 2 2 2 4" xfId="58638" xr:uid="{E63AE813-A371-4896-8AFA-30D196E05496}"/>
    <cellStyle name="Normal 18 2 2 2 3" xfId="10276" xr:uid="{31210A64-7342-4D16-AD8A-DD45879C4547}"/>
    <cellStyle name="Normal 18 2 2 2 3 2" xfId="25689" xr:uid="{B69F22E7-A5CF-44A0-A2DC-8646096D9917}"/>
    <cellStyle name="Normal 18 2 2 2 3 2 2" xfId="58643" xr:uid="{D8E98A59-84A9-482B-BFE3-E8E0EBBD7EAD}"/>
    <cellStyle name="Normal 18 2 2 2 3 3" xfId="58642" xr:uid="{37F6B3FF-00D3-4F5D-A87F-EAEEE07D1491}"/>
    <cellStyle name="Normal 18 2 2 2 4" xfId="17984" xr:uid="{A941AAAC-5DDD-471D-8E21-A04AC4D2D3C9}"/>
    <cellStyle name="Normal 18 2 2 2 4 2" xfId="58644" xr:uid="{26262DB4-7AE5-49C9-A38B-2CFF879F32D8}"/>
    <cellStyle name="Normal 18 2 2 2 5" xfId="58637" xr:uid="{9B028DF8-2FDE-4082-B4A1-2DD1E2F2E661}"/>
    <cellStyle name="Normal 18 2 2 3" xfId="4834" xr:uid="{BA027F4D-8570-4576-9EEC-35C4BDF679C8}"/>
    <cellStyle name="Normal 18 2 2 3 2" xfId="12542" xr:uid="{999770E1-3E35-44EB-80FF-707A61C78172}"/>
    <cellStyle name="Normal 18 2 2 3 2 2" xfId="27954" xr:uid="{09D15035-D75F-449E-90B5-4AB73031B7C2}"/>
    <cellStyle name="Normal 18 2 2 3 2 2 2" xfId="58647" xr:uid="{BAB09DF4-0851-475B-A731-E2E0230B0C35}"/>
    <cellStyle name="Normal 18 2 2 3 2 3" xfId="58646" xr:uid="{DEEC3F43-6DCB-4E18-BB9D-358A42A75F2F}"/>
    <cellStyle name="Normal 18 2 2 3 3" xfId="20249" xr:uid="{06953871-88F1-4EAD-B889-1B02139B0B2D}"/>
    <cellStyle name="Normal 18 2 2 3 3 2" xfId="58648" xr:uid="{F5FFB328-8A97-4B57-A4A5-55E67B386EF4}"/>
    <cellStyle name="Normal 18 2 2 3 4" xfId="58645" xr:uid="{102F6D73-09AF-4F19-A211-2ECCB6642FFC}"/>
    <cellStyle name="Normal 18 2 2 4" xfId="8817" xr:uid="{BDF3B43B-A81D-42AB-BC16-C8254BAF0CB1}"/>
    <cellStyle name="Normal 18 2 2 4 2" xfId="24230" xr:uid="{15F21864-B53F-4BD5-8FA9-E4EA3F93B616}"/>
    <cellStyle name="Normal 18 2 2 4 2 2" xfId="58650" xr:uid="{321B3732-F736-41C6-B73F-2F140EEE3187}"/>
    <cellStyle name="Normal 18 2 2 4 3" xfId="58649" xr:uid="{EF4D3456-EAA3-43E4-9407-5237C3B29455}"/>
    <cellStyle name="Normal 18 2 2 5" xfId="16525" xr:uid="{2362AF93-D8EE-44D3-8302-8CDE111DE0AA}"/>
    <cellStyle name="Normal 18 2 2 5 2" xfId="58651" xr:uid="{15444FEC-EEF4-438E-B2B2-362246DB4A77}"/>
    <cellStyle name="Normal 18 2 2 6" xfId="58636" xr:uid="{9B369983-B4F2-423F-B5C0-C52D6E0556BD}"/>
    <cellStyle name="Normal 18 2 3" xfId="1927" xr:uid="{14E7B34A-50CB-4693-803C-42AED576F072}"/>
    <cellStyle name="Normal 18 2 3 2" xfId="5659" xr:uid="{11D92BF6-5068-4328-9B91-4C30BB01D6F9}"/>
    <cellStyle name="Normal 18 2 3 2 2" xfId="13367" xr:uid="{A9857384-A15A-494A-86D1-459614FE3D0D}"/>
    <cellStyle name="Normal 18 2 3 2 2 2" xfId="28779" xr:uid="{D3351705-2566-4CEC-A239-FD9A85F7CEC5}"/>
    <cellStyle name="Normal 18 2 3 2 2 2 2" xfId="58655" xr:uid="{6CBD2FEC-D0F3-488D-B979-8659F9F00D50}"/>
    <cellStyle name="Normal 18 2 3 2 2 3" xfId="58654" xr:uid="{26996699-EE86-4C77-9F05-BCAC0A76A2D1}"/>
    <cellStyle name="Normal 18 2 3 2 3" xfId="21074" xr:uid="{1F4227C5-4A01-45CC-A849-7ED9086998E5}"/>
    <cellStyle name="Normal 18 2 3 2 3 2" xfId="58656" xr:uid="{627491B4-0799-4F3E-8A11-249D396D084D}"/>
    <cellStyle name="Normal 18 2 3 2 4" xfId="58653" xr:uid="{E24B3925-15BD-44C5-94E5-525E9E30603B}"/>
    <cellStyle name="Normal 18 2 3 3" xfId="9638" xr:uid="{00CA05E7-FA98-4FF2-82F9-94EB910886DE}"/>
    <cellStyle name="Normal 18 2 3 3 2" xfId="25051" xr:uid="{C65C4794-321C-43DF-94FC-3AFBACC288B6}"/>
    <cellStyle name="Normal 18 2 3 3 2 2" xfId="58658" xr:uid="{F0EA2AEE-3949-4BA2-AED7-E1CB534A6C1F}"/>
    <cellStyle name="Normal 18 2 3 3 3" xfId="58657" xr:uid="{5AAAD62B-5686-4BC1-A083-5667ABF8AF40}"/>
    <cellStyle name="Normal 18 2 3 4" xfId="17346" xr:uid="{6A1B30E9-3284-4502-BB13-610E3024FF29}"/>
    <cellStyle name="Normal 18 2 3 4 2" xfId="58659" xr:uid="{51A3A2FB-3416-40CF-99A1-7C557C288078}"/>
    <cellStyle name="Normal 18 2 3 5" xfId="58652" xr:uid="{EFAF340E-98AD-4155-8BD6-7410496CFFCB}"/>
    <cellStyle name="Normal 18 2 4" xfId="4182" xr:uid="{3D6F3C5A-92EF-475A-8B2A-57357FF031AE}"/>
    <cellStyle name="Normal 18 2 4 2" xfId="11890" xr:uid="{FCD4B820-B5B8-445E-88EF-C93474E58A92}"/>
    <cellStyle name="Normal 18 2 4 2 2" xfId="27302" xr:uid="{BBB43830-34C0-435E-8005-528893CEFFD6}"/>
    <cellStyle name="Normal 18 2 4 2 2 2" xfId="58662" xr:uid="{9F225E85-3545-4E72-B0F5-31DA50F339F2}"/>
    <cellStyle name="Normal 18 2 4 2 3" xfId="58661" xr:uid="{DFC87B87-D979-4A4B-8415-2856B07127E2}"/>
    <cellStyle name="Normal 18 2 4 3" xfId="19597" xr:uid="{BDF39B84-0819-4CA1-B4CA-692F9AE81D43}"/>
    <cellStyle name="Normal 18 2 4 3 2" xfId="58663" xr:uid="{C0229DAD-0FC9-4F1F-B1B3-62A902D35E59}"/>
    <cellStyle name="Normal 18 2 4 4" xfId="58660" xr:uid="{AAE196AC-5F5F-4D5A-BB6A-CD75A5FAB8BF}"/>
    <cellStyle name="Normal 18 2 5" xfId="8179" xr:uid="{D0C4C51F-EFEE-4C33-8A95-54A8FAD53223}"/>
    <cellStyle name="Normal 18 2 5 2" xfId="23592" xr:uid="{1D40E021-7EA9-42CF-BCF4-136AEB9301C4}"/>
    <cellStyle name="Normal 18 2 5 2 2" xfId="58665" xr:uid="{897FF725-83B7-4555-96AA-C7EC7B82E713}"/>
    <cellStyle name="Normal 18 2 5 3" xfId="58664" xr:uid="{17B52EF8-8F46-477D-95BF-67990F9637A5}"/>
    <cellStyle name="Normal 18 2 6" xfId="15887" xr:uid="{6F5E6696-D69C-40A7-92C8-3D2F462EBF70}"/>
    <cellStyle name="Normal 18 2 6 2" xfId="58666" xr:uid="{AD778088-A5FE-4ED7-AFF6-AEF2E155810B}"/>
    <cellStyle name="Normal 18 2 7" xfId="58635" xr:uid="{4EA13B80-D8E9-4066-B2A4-D445B97198A9}"/>
    <cellStyle name="Normal 18 3" xfId="897" xr:uid="{8EB56A50-2760-475F-BA10-76AD64599380}"/>
    <cellStyle name="Normal 18 3 2" xfId="2367" xr:uid="{A0604313-61BA-480F-AC30-8B89309E0545}"/>
    <cellStyle name="Normal 18 3 2 2" xfId="6099" xr:uid="{82BA5F13-D85E-4E32-9A42-3B8C7FED45CB}"/>
    <cellStyle name="Normal 18 3 2 2 2" xfId="13807" xr:uid="{68EADBE0-BBD6-4D5B-8B1D-442BB1EF28D6}"/>
    <cellStyle name="Normal 18 3 2 2 2 2" xfId="29219" xr:uid="{90FD9EFB-0DC8-4536-9240-62D0F89E0789}"/>
    <cellStyle name="Normal 18 3 2 2 2 2 2" xfId="58671" xr:uid="{557CE5D1-20BD-4A07-9C0A-E1A93867D5B2}"/>
    <cellStyle name="Normal 18 3 2 2 2 3" xfId="58670" xr:uid="{26A6EFFF-FBAA-446D-BEA5-C20FF224C59E}"/>
    <cellStyle name="Normal 18 3 2 2 3" xfId="21514" xr:uid="{C4A22232-194A-4539-9FB3-2773A199715A}"/>
    <cellStyle name="Normal 18 3 2 2 3 2" xfId="58672" xr:uid="{28CB896B-03CB-419B-9A79-41A12900377E}"/>
    <cellStyle name="Normal 18 3 2 2 4" xfId="58669" xr:uid="{93CB90F6-8FDD-4AE7-8BA6-06B97AF90176}"/>
    <cellStyle name="Normal 18 3 2 3" xfId="10078" xr:uid="{CB91E868-7021-4F96-BC1E-5754BF48BD2D}"/>
    <cellStyle name="Normal 18 3 2 3 2" xfId="25491" xr:uid="{90461C56-C2AF-4AA6-8783-6952108F8C05}"/>
    <cellStyle name="Normal 18 3 2 3 2 2" xfId="58674" xr:uid="{9407D2F9-9050-40C5-AD81-0A755EA2BA90}"/>
    <cellStyle name="Normal 18 3 2 3 3" xfId="58673" xr:uid="{231D421C-95E7-4E05-930C-132FE4D034BA}"/>
    <cellStyle name="Normal 18 3 2 4" xfId="17786" xr:uid="{8CBBCF42-D104-4D42-9F3B-F3D5843C879D}"/>
    <cellStyle name="Normal 18 3 2 4 2" xfId="58675" xr:uid="{0DCEB82F-5F71-45DF-B4A3-F27431F6C193}"/>
    <cellStyle name="Normal 18 3 2 5" xfId="58668" xr:uid="{D595FD49-DD36-405E-8C32-707DB324B563}"/>
    <cellStyle name="Normal 18 3 3" xfId="4634" xr:uid="{157C73E6-4632-41B3-BDD1-985AC0025E5D}"/>
    <cellStyle name="Normal 18 3 3 2" xfId="12342" xr:uid="{3BA01620-42BC-443E-9A0D-99C5E8189276}"/>
    <cellStyle name="Normal 18 3 3 2 2" xfId="27754" xr:uid="{8EB36C3F-7089-4FB6-AA47-498015067B40}"/>
    <cellStyle name="Normal 18 3 3 2 2 2" xfId="58678" xr:uid="{661D890A-0FBC-4BA0-B7F8-C1584BA639D1}"/>
    <cellStyle name="Normal 18 3 3 2 3" xfId="58677" xr:uid="{F34B20DA-878F-4A47-87D3-4757AFCC9F49}"/>
    <cellStyle name="Normal 18 3 3 3" xfId="20049" xr:uid="{FD2561F7-4C26-4B82-AA9F-9CBBC82DA50F}"/>
    <cellStyle name="Normal 18 3 3 3 2" xfId="58679" xr:uid="{A46535F8-161E-4D38-8A22-DB153FA6828F}"/>
    <cellStyle name="Normal 18 3 3 4" xfId="58676" xr:uid="{94B7DB09-ED3E-497C-AB8D-FE52B0A47475}"/>
    <cellStyle name="Normal 18 3 4" xfId="8619" xr:uid="{770A01A2-B6A8-435C-B72A-8D710BC97396}"/>
    <cellStyle name="Normal 18 3 4 2" xfId="24032" xr:uid="{0581A4D4-3CD6-4796-ACB2-ED5022570AC3}"/>
    <cellStyle name="Normal 18 3 4 2 2" xfId="58681" xr:uid="{8916A638-3133-420E-A017-2AA858C6AA8D}"/>
    <cellStyle name="Normal 18 3 4 3" xfId="58680" xr:uid="{C4F925A3-E1F0-4171-AD6B-842267C45BC0}"/>
    <cellStyle name="Normal 18 3 5" xfId="16327" xr:uid="{79E26629-80E1-43E5-9D78-63C8664F335F}"/>
    <cellStyle name="Normal 18 3 5 2" xfId="58682" xr:uid="{24F4A080-E371-4C35-B511-DF779625749A}"/>
    <cellStyle name="Normal 18 3 6" xfId="58667" xr:uid="{4E478D67-EC6F-466B-836B-8EC6EFFC2364}"/>
    <cellStyle name="Normal 18 4" xfId="1729" xr:uid="{FE81AA6B-4F11-4B2F-BA88-2846FFF808D4}"/>
    <cellStyle name="Normal 18 4 2" xfId="5461" xr:uid="{924DC270-D38A-483B-AF20-EBE96C0DEE16}"/>
    <cellStyle name="Normal 18 4 2 2" xfId="13169" xr:uid="{0E5A5E29-3873-4B01-80DB-7317018D87B6}"/>
    <cellStyle name="Normal 18 4 2 2 2" xfId="28581" xr:uid="{61A7E647-0886-41A9-8C5C-40F580C0627E}"/>
    <cellStyle name="Normal 18 4 2 2 2 2" xfId="58686" xr:uid="{7E8047B2-ECB9-42E0-9EEB-3C6ED26B737B}"/>
    <cellStyle name="Normal 18 4 2 2 3" xfId="58685" xr:uid="{FF38DA10-953C-49A5-871D-768C835F20F1}"/>
    <cellStyle name="Normal 18 4 2 3" xfId="20876" xr:uid="{3228842B-DC13-477D-A719-5B3BE0754C2C}"/>
    <cellStyle name="Normal 18 4 2 3 2" xfId="58687" xr:uid="{571FE4BD-60FA-4AAB-8AF4-BBE0C0BE4974}"/>
    <cellStyle name="Normal 18 4 2 4" xfId="58684" xr:uid="{90AB2F1C-7B86-4CA1-9270-23D82BCE2B97}"/>
    <cellStyle name="Normal 18 4 3" xfId="9440" xr:uid="{7FCAE718-548D-4BF2-9771-16C1C2CA780E}"/>
    <cellStyle name="Normal 18 4 3 2" xfId="24853" xr:uid="{A25FB5D3-C39B-42DB-BA14-E63D700CC09F}"/>
    <cellStyle name="Normal 18 4 3 2 2" xfId="58689" xr:uid="{734F0E0D-0F35-47AC-AD08-2D7B0AD8FB53}"/>
    <cellStyle name="Normal 18 4 3 3" xfId="58688" xr:uid="{E970DA64-1BB5-493B-BA29-5E379A70BE2B}"/>
    <cellStyle name="Normal 18 4 4" xfId="17148" xr:uid="{3A84518F-E675-4FB7-B83D-AFC03B6586D8}"/>
    <cellStyle name="Normal 18 4 4 2" xfId="58690" xr:uid="{89669AFD-C409-4F6C-9328-CD8833AB22B3}"/>
    <cellStyle name="Normal 18 4 5" xfId="58683" xr:uid="{6DCAC7BF-7FEC-4F2B-9266-848B7148B978}"/>
    <cellStyle name="Normal 18 5" xfId="3982" xr:uid="{A70BAA55-2B01-4238-9434-FAD6A17D0014}"/>
    <cellStyle name="Normal 18 5 2" xfId="11690" xr:uid="{8615E6B1-5CF2-47EE-BBAA-87CCFD5EFBB6}"/>
    <cellStyle name="Normal 18 5 2 2" xfId="27102" xr:uid="{0AB9CDFD-E87B-4244-9743-FAF3BCCC92DA}"/>
    <cellStyle name="Normal 18 5 2 2 2" xfId="58693" xr:uid="{6899B51F-B478-4C27-BAD3-74F3DCE1434D}"/>
    <cellStyle name="Normal 18 5 2 3" xfId="58692" xr:uid="{82E8CCDF-4A0C-4EB6-ADAA-7A736B6B2750}"/>
    <cellStyle name="Normal 18 5 3" xfId="19397" xr:uid="{B60E63CC-F14D-49F3-A29C-76A84E79BC2C}"/>
    <cellStyle name="Normal 18 5 3 2" xfId="58694" xr:uid="{A7F78FA7-6D35-449B-9F81-868E5A5EB772}"/>
    <cellStyle name="Normal 18 5 4" xfId="58691" xr:uid="{EEA1E7B8-E8F3-4020-9D70-F3FFA848954C}"/>
    <cellStyle name="Normal 18 6" xfId="7981" xr:uid="{7EE3BFAA-0D7D-4026-BB4F-207B83E03F53}"/>
    <cellStyle name="Normal 18 6 2" xfId="23394" xr:uid="{CBBDD4F2-EF34-42EF-9091-5F5AEC00346A}"/>
    <cellStyle name="Normal 18 6 2 2" xfId="58696" xr:uid="{4E02233E-CB3B-429C-92C6-94DCA1153B46}"/>
    <cellStyle name="Normal 18 6 3" xfId="58695" xr:uid="{40A65721-29E8-4657-9322-27289B066DCF}"/>
    <cellStyle name="Normal 18 7" xfId="15689" xr:uid="{6EEFBFFE-7E0D-4808-8DE1-8CEDA4C3161E}"/>
    <cellStyle name="Normal 18 7 2" xfId="58697" xr:uid="{81C3A7FA-51BE-4F34-A63B-58D35D00AF52}"/>
    <cellStyle name="Normal 18 8" xfId="58634" xr:uid="{14445599-E041-468B-BE4F-30909C5B1910}"/>
    <cellStyle name="Normal 19" xfId="235" xr:uid="{EB17D346-934E-4423-83D1-F12FF7BAF72B}"/>
    <cellStyle name="Normal 19 2" xfId="437" xr:uid="{2483DCCB-714C-4A49-885B-553D7E0CD3B3}"/>
    <cellStyle name="Normal 19 2 2" xfId="58699" xr:uid="{7E4B8953-0290-4198-84FC-E5B786AB6044}"/>
    <cellStyle name="Normal 19 3" xfId="58698" xr:uid="{A1B4A333-E98F-4030-B21C-81927340BDA8}"/>
    <cellStyle name="Normal 2" xfId="10" xr:uid="{DF190F7D-B375-4A43-9A3B-7B9F9E4B4B5D}"/>
    <cellStyle name="Normal 2 2" xfId="120" xr:uid="{C75B5CF6-8084-4267-8081-55D8335A0719}"/>
    <cellStyle name="Normal 2 2 2" xfId="58700" xr:uid="{0486F8B6-1D0D-48BE-98A6-F02434AC5D19}"/>
    <cellStyle name="Normal 2 3" xfId="157" xr:uid="{8E359535-0B55-486E-8F68-EABD7260D0BF}"/>
    <cellStyle name="Normal 2 3 2" xfId="220" xr:uid="{D345F22C-C20C-420F-95C2-0104C18AF2F4}"/>
    <cellStyle name="Normal 2 3 2 2" xfId="424" xr:uid="{7B8EB451-8269-4B11-B190-AB90F7CC1737}"/>
    <cellStyle name="Normal 2 3 2 2 2" xfId="1086" xr:uid="{30AB41CF-62E1-4DBD-9195-C48C300D0F05}"/>
    <cellStyle name="Normal 2 3 2 2 2 2" xfId="2554" xr:uid="{A7C3148A-0E56-466F-B349-8CC560DE1ED2}"/>
    <cellStyle name="Normal 2 3 2 2 2 2 2" xfId="6286" xr:uid="{DE18B65E-17A3-4637-85B3-E7BC2DA3321C}"/>
    <cellStyle name="Normal 2 3 2 2 2 2 2 2" xfId="13994" xr:uid="{BB96EA5B-9CCD-4D28-A79A-DC57E6442932}"/>
    <cellStyle name="Normal 2 3 2 2 2 2 2 2 2" xfId="29406" xr:uid="{D85465D9-FDA7-4C5D-9C58-BD843F66A140}"/>
    <cellStyle name="Normal 2 3 2 2 2 2 2 2 2 2" xfId="58708" xr:uid="{D8EC4D99-92B1-4C75-83C9-74CA74EBB2DF}"/>
    <cellStyle name="Normal 2 3 2 2 2 2 2 2 3" xfId="58707" xr:uid="{2BAA55FA-3101-4382-956C-C2F011098BE6}"/>
    <cellStyle name="Normal 2 3 2 2 2 2 2 3" xfId="21701" xr:uid="{A5E4DA11-C99C-4278-BEE3-8C104211CB36}"/>
    <cellStyle name="Normal 2 3 2 2 2 2 2 3 2" xfId="58709" xr:uid="{BBA1ED8F-1423-400C-9C4C-F02E114BE339}"/>
    <cellStyle name="Normal 2 3 2 2 2 2 2 4" xfId="58706" xr:uid="{4CE98048-A7E1-44C1-8134-8C6B42679F43}"/>
    <cellStyle name="Normal 2 3 2 2 2 2 3" xfId="10265" xr:uid="{49342DCA-EDA4-4F7F-B8BC-E3958AC0A1D5}"/>
    <cellStyle name="Normal 2 3 2 2 2 2 3 2" xfId="25678" xr:uid="{8D478658-74A5-4538-B2AE-588016BE6ACF}"/>
    <cellStyle name="Normal 2 3 2 2 2 2 3 2 2" xfId="58711" xr:uid="{4EEB8904-1D00-473A-9B2A-35B6F1392512}"/>
    <cellStyle name="Normal 2 3 2 2 2 2 3 3" xfId="58710" xr:uid="{BD369E63-70FE-46EE-899A-2C6D5512AA40}"/>
    <cellStyle name="Normal 2 3 2 2 2 2 4" xfId="17973" xr:uid="{CB2F4193-FAE9-4F9B-8440-7D247042E6E7}"/>
    <cellStyle name="Normal 2 3 2 2 2 2 4 2" xfId="58712" xr:uid="{8C9A0216-FF4A-4DDA-BAE2-477EEC89CC3F}"/>
    <cellStyle name="Normal 2 3 2 2 2 2 5" xfId="58705" xr:uid="{E995EFC5-D3E0-4ED6-B9D6-1F24C814EB5A}"/>
    <cellStyle name="Normal 2 3 2 2 2 3" xfId="4823" xr:uid="{13B3FC2B-B779-4D7F-81C4-39D7C7D6BECD}"/>
    <cellStyle name="Normal 2 3 2 2 2 3 2" xfId="12531" xr:uid="{F6462632-9DB8-4E47-AF78-581D552DC2BC}"/>
    <cellStyle name="Normal 2 3 2 2 2 3 2 2" xfId="27943" xr:uid="{319BDF45-EF08-4280-B7A8-D053596EFF91}"/>
    <cellStyle name="Normal 2 3 2 2 2 3 2 2 2" xfId="58715" xr:uid="{23195E26-1777-4E67-B269-2307A2652C9D}"/>
    <cellStyle name="Normal 2 3 2 2 2 3 2 3" xfId="58714" xr:uid="{968A5416-8A2C-4E17-9C47-0859A995FC2B}"/>
    <cellStyle name="Normal 2 3 2 2 2 3 3" xfId="20238" xr:uid="{28020257-3639-4685-A270-25991B0DB857}"/>
    <cellStyle name="Normal 2 3 2 2 2 3 3 2" xfId="58716" xr:uid="{87747060-C33C-4799-BF3F-3AE7119E58CE}"/>
    <cellStyle name="Normal 2 3 2 2 2 3 4" xfId="58713" xr:uid="{102B20A0-D5F6-43D8-BF14-770E4BAD99A3}"/>
    <cellStyle name="Normal 2 3 2 2 2 4" xfId="8806" xr:uid="{2532811C-1FC8-4D7F-B978-834C5F81CCF3}"/>
    <cellStyle name="Normal 2 3 2 2 2 4 2" xfId="24219" xr:uid="{04A71C3D-0C1A-4F55-B1BB-CC150D0EF718}"/>
    <cellStyle name="Normal 2 3 2 2 2 4 2 2" xfId="58718" xr:uid="{FABB4880-FC5B-4C06-880E-B68E050407C3}"/>
    <cellStyle name="Normal 2 3 2 2 2 4 3" xfId="58717" xr:uid="{A27595B2-832C-4C0C-88A1-01424D52E9ED}"/>
    <cellStyle name="Normal 2 3 2 2 2 5" xfId="16514" xr:uid="{333FEE9D-6E3C-47D4-B48C-A6A58A2E5208}"/>
    <cellStyle name="Normal 2 3 2 2 2 5 2" xfId="58719" xr:uid="{95FB158D-F33C-413A-A0E1-33C9B6F0CF1E}"/>
    <cellStyle name="Normal 2 3 2 2 2 6" xfId="58704" xr:uid="{A8DC6A12-B1B7-479F-BE96-6811426C0CE0}"/>
    <cellStyle name="Normal 2 3 2 2 3" xfId="1916" xr:uid="{00D2CF13-1342-4E40-AB5E-9A95471EBCA1}"/>
    <cellStyle name="Normal 2 3 2 2 3 2" xfId="5648" xr:uid="{933D6B37-5A63-4DFF-9167-49C406611D6A}"/>
    <cellStyle name="Normal 2 3 2 2 3 2 2" xfId="13356" xr:uid="{DE994D02-A6DC-4C70-81BB-F47820752929}"/>
    <cellStyle name="Normal 2 3 2 2 3 2 2 2" xfId="28768" xr:uid="{9D605ECD-F73C-4FC0-A3AA-108EABA7AD70}"/>
    <cellStyle name="Normal 2 3 2 2 3 2 2 2 2" xfId="58723" xr:uid="{14CD6C85-B6CC-4B7C-AC8D-30956C429C2D}"/>
    <cellStyle name="Normal 2 3 2 2 3 2 2 3" xfId="58722" xr:uid="{82A874A6-AD23-4D16-91E0-C398ADA8E2EF}"/>
    <cellStyle name="Normal 2 3 2 2 3 2 3" xfId="21063" xr:uid="{A467B173-3F74-41F8-8C7F-3162CBBA9998}"/>
    <cellStyle name="Normal 2 3 2 2 3 2 3 2" xfId="58724" xr:uid="{59FE3FE5-1C03-4B1A-B63B-3766E844D1D9}"/>
    <cellStyle name="Normal 2 3 2 2 3 2 4" xfId="58721" xr:uid="{7DBCFFD5-7023-4450-964B-6AE2811CE29D}"/>
    <cellStyle name="Normal 2 3 2 2 3 3" xfId="9627" xr:uid="{B6F6D25E-D07D-4E6A-8A7C-7A53F83BA2F4}"/>
    <cellStyle name="Normal 2 3 2 2 3 3 2" xfId="25040" xr:uid="{3D74EDCE-21C3-477E-A95E-9D36A419DE2A}"/>
    <cellStyle name="Normal 2 3 2 2 3 3 2 2" xfId="58726" xr:uid="{7837E353-7E73-4402-981B-939969F5FCD7}"/>
    <cellStyle name="Normal 2 3 2 2 3 3 3" xfId="58725" xr:uid="{38EF3C94-E613-4A16-92A9-651AE0021A2F}"/>
    <cellStyle name="Normal 2 3 2 2 3 4" xfId="17335" xr:uid="{1C897F44-D82F-43F7-9D66-5CD48ED1276C}"/>
    <cellStyle name="Normal 2 3 2 2 3 4 2" xfId="58727" xr:uid="{1F2B87AF-1051-4771-A978-0BF8FFA6E066}"/>
    <cellStyle name="Normal 2 3 2 2 3 5" xfId="58720" xr:uid="{DF2B17DD-690C-4FEE-83BC-1190186BABE8}"/>
    <cellStyle name="Normal 2 3 2 2 4" xfId="4171" xr:uid="{330A8325-91A4-4677-AA6B-12D5DAB36B79}"/>
    <cellStyle name="Normal 2 3 2 2 4 2" xfId="11879" xr:uid="{027732B4-E70C-4F97-999A-3C8AFC9E2C3E}"/>
    <cellStyle name="Normal 2 3 2 2 4 2 2" xfId="27291" xr:uid="{815B7D69-D9BD-4115-8242-C61AFDA07243}"/>
    <cellStyle name="Normal 2 3 2 2 4 2 2 2" xfId="58730" xr:uid="{69FEDB40-7691-4D89-A5BD-94BB87ADBA8A}"/>
    <cellStyle name="Normal 2 3 2 2 4 2 3" xfId="58729" xr:uid="{46111CF1-F60A-4856-BACE-D28BFB1AB384}"/>
    <cellStyle name="Normal 2 3 2 2 4 3" xfId="19586" xr:uid="{50A2FFF5-4492-456B-9B89-F16ED33DCBCD}"/>
    <cellStyle name="Normal 2 3 2 2 4 3 2" xfId="58731" xr:uid="{562A91B9-8E6D-4B24-8FCB-DA3057E7C515}"/>
    <cellStyle name="Normal 2 3 2 2 4 4" xfId="58728" xr:uid="{55CD80F1-17EB-4A46-8BF6-4B3569000EC9}"/>
    <cellStyle name="Normal 2 3 2 2 5" xfId="8168" xr:uid="{05A16C86-599A-4F36-8A48-F09E6418F3C7}"/>
    <cellStyle name="Normal 2 3 2 2 5 2" xfId="23581" xr:uid="{5D769C2E-62E2-4FE4-A06A-156212DE6CBC}"/>
    <cellStyle name="Normal 2 3 2 2 5 2 2" xfId="58733" xr:uid="{50442873-C7F5-429C-801C-CA2F6A4136BC}"/>
    <cellStyle name="Normal 2 3 2 2 5 3" xfId="58732" xr:uid="{A01014EA-80C6-40AC-AFE3-AB1A147FB424}"/>
    <cellStyle name="Normal 2 3 2 2 6" xfId="15876" xr:uid="{A89A0180-D006-4140-8665-4D9DEEC84168}"/>
    <cellStyle name="Normal 2 3 2 2 6 2" xfId="58734" xr:uid="{6F500A44-5C27-4F06-807F-13CEE36E6AB6}"/>
    <cellStyle name="Normal 2 3 2 2 7" xfId="58703" xr:uid="{F5484019-358E-4143-8159-F9BE8EC9C814}"/>
    <cellStyle name="Normal 2 3 2 3" xfId="886" xr:uid="{2B4DCC9E-4854-4E76-B55A-579CD4A07790}"/>
    <cellStyle name="Normal 2 3 2 3 2" xfId="2356" xr:uid="{4CD49118-A3C6-4D9B-A0CF-33585131DA6C}"/>
    <cellStyle name="Normal 2 3 2 3 2 2" xfId="6088" xr:uid="{1497C4C8-0376-4DF4-BFF6-38EFAB8C0D70}"/>
    <cellStyle name="Normal 2 3 2 3 2 2 2" xfId="13796" xr:uid="{EFA242A4-8B65-4527-8006-0D3B086A44D5}"/>
    <cellStyle name="Normal 2 3 2 3 2 2 2 2" xfId="29208" xr:uid="{577745A4-2017-4AFD-919B-5FA08D325A7E}"/>
    <cellStyle name="Normal 2 3 2 3 2 2 2 2 2" xfId="58739" xr:uid="{BC8FF6A9-AE90-4D53-AAB0-018AFF47F5E8}"/>
    <cellStyle name="Normal 2 3 2 3 2 2 2 3" xfId="58738" xr:uid="{3CC912B7-707D-45EA-8F09-5B850C56F0B7}"/>
    <cellStyle name="Normal 2 3 2 3 2 2 3" xfId="21503" xr:uid="{0983D2C5-AAD7-4F1E-BFC6-A4C1C99A43F4}"/>
    <cellStyle name="Normal 2 3 2 3 2 2 3 2" xfId="58740" xr:uid="{8A680CE2-0DC4-4BF5-B13A-8E17371DD7D7}"/>
    <cellStyle name="Normal 2 3 2 3 2 2 4" xfId="58737" xr:uid="{4CE96904-EAFD-486E-8347-4DC3C36E50D9}"/>
    <cellStyle name="Normal 2 3 2 3 2 3" xfId="10067" xr:uid="{EDC95FBD-89B4-4F54-A943-CF22A486A50A}"/>
    <cellStyle name="Normal 2 3 2 3 2 3 2" xfId="25480" xr:uid="{AD10AF01-0302-4B86-A3AE-3F4A12AD5669}"/>
    <cellStyle name="Normal 2 3 2 3 2 3 2 2" xfId="58742" xr:uid="{0B8AE504-2B99-424A-B3A6-02F3A354E41A}"/>
    <cellStyle name="Normal 2 3 2 3 2 3 3" xfId="58741" xr:uid="{E5AFC66B-1062-4431-95B1-EAB2D8371873}"/>
    <cellStyle name="Normal 2 3 2 3 2 4" xfId="17775" xr:uid="{24BC850A-4E56-4838-A8AF-D87887961E62}"/>
    <cellStyle name="Normal 2 3 2 3 2 4 2" xfId="58743" xr:uid="{140313B3-45C5-471D-B804-723DC550F3EF}"/>
    <cellStyle name="Normal 2 3 2 3 2 5" xfId="58736" xr:uid="{4740720F-B24C-46F2-8784-AE606F34A1AC}"/>
    <cellStyle name="Normal 2 3 2 3 3" xfId="4623" xr:uid="{DCFF4B77-DDAB-4AC0-81E7-A690164AC705}"/>
    <cellStyle name="Normal 2 3 2 3 3 2" xfId="12331" xr:uid="{236B1C01-9293-422A-9BD8-4A0F5296A48D}"/>
    <cellStyle name="Normal 2 3 2 3 3 2 2" xfId="27743" xr:uid="{4350CB8F-FD00-4BC0-B508-2B4FCD1F4B57}"/>
    <cellStyle name="Normal 2 3 2 3 3 2 2 2" xfId="58746" xr:uid="{59EB0ECD-7AA2-4F53-A192-A128FBFDC0E0}"/>
    <cellStyle name="Normal 2 3 2 3 3 2 3" xfId="58745" xr:uid="{605A591D-9B6C-456B-BDD4-078887F6107A}"/>
    <cellStyle name="Normal 2 3 2 3 3 3" xfId="20038" xr:uid="{FA2898B7-4011-404E-BE80-40187D7DBF17}"/>
    <cellStyle name="Normal 2 3 2 3 3 3 2" xfId="58747" xr:uid="{F94A46C1-1114-4FAB-B4E4-3407A4C6662B}"/>
    <cellStyle name="Normal 2 3 2 3 3 4" xfId="58744" xr:uid="{39D65F75-E720-4F96-9E89-A6083ABD334B}"/>
    <cellStyle name="Normal 2 3 2 3 4" xfId="8608" xr:uid="{FE5803E3-0AEA-4A20-ACDA-5D26B4F1475E}"/>
    <cellStyle name="Normal 2 3 2 3 4 2" xfId="24021" xr:uid="{DC26CDB3-214C-4394-BA66-6D8F7B7C5B21}"/>
    <cellStyle name="Normal 2 3 2 3 4 2 2" xfId="58749" xr:uid="{0E638466-1972-4E94-8DF1-D5699445B182}"/>
    <cellStyle name="Normal 2 3 2 3 4 3" xfId="58748" xr:uid="{A711DE35-BDC6-4863-9EB7-44A969462B5C}"/>
    <cellStyle name="Normal 2 3 2 3 5" xfId="16316" xr:uid="{1CE810C7-6BED-4E23-86F5-8D182B28CF86}"/>
    <cellStyle name="Normal 2 3 2 3 5 2" xfId="58750" xr:uid="{AAF7020B-C7CE-4ABA-9625-5431FE5F5A7D}"/>
    <cellStyle name="Normal 2 3 2 3 6" xfId="58735" xr:uid="{8351E1E3-0FED-4F6B-B605-3B75C6003A0A}"/>
    <cellStyle name="Normal 2 3 2 4" xfId="1718" xr:uid="{421E96F9-F412-4CEC-B01D-853D4CDC56C2}"/>
    <cellStyle name="Normal 2 3 2 4 2" xfId="5450" xr:uid="{B5324257-BAD1-4D81-BF4E-1522A1464EED}"/>
    <cellStyle name="Normal 2 3 2 4 2 2" xfId="13158" xr:uid="{5885E5A0-A1BA-4759-B9B6-888A8B34B4EB}"/>
    <cellStyle name="Normal 2 3 2 4 2 2 2" xfId="28570" xr:uid="{D5E31C57-4AF2-417B-B9F8-5ED287382FE6}"/>
    <cellStyle name="Normal 2 3 2 4 2 2 2 2" xfId="58754" xr:uid="{5848CBD6-8537-417B-881F-16558509BA0A}"/>
    <cellStyle name="Normal 2 3 2 4 2 2 3" xfId="58753" xr:uid="{6E1E9004-AA61-4C64-8E20-5149A338763C}"/>
    <cellStyle name="Normal 2 3 2 4 2 3" xfId="20865" xr:uid="{D047B93A-184D-4F2A-AE29-E1E56C97D3C3}"/>
    <cellStyle name="Normal 2 3 2 4 2 3 2" xfId="58755" xr:uid="{4D98EEFD-7598-4782-9E51-170C08AF63C1}"/>
    <cellStyle name="Normal 2 3 2 4 2 4" xfId="58752" xr:uid="{99EC5E6A-5967-48F3-B90D-0727936409C4}"/>
    <cellStyle name="Normal 2 3 2 4 3" xfId="9429" xr:uid="{2D169940-B8C6-4A19-8F41-878809ED4A80}"/>
    <cellStyle name="Normal 2 3 2 4 3 2" xfId="24842" xr:uid="{899FF66A-2CA4-45B6-AA02-9ADFB75E5235}"/>
    <cellStyle name="Normal 2 3 2 4 3 2 2" xfId="58757" xr:uid="{A11677D2-C601-4346-AF24-E39E0B810A6C}"/>
    <cellStyle name="Normal 2 3 2 4 3 3" xfId="58756" xr:uid="{E1AC4308-E62C-4F68-AFD5-FA0A98B0F889}"/>
    <cellStyle name="Normal 2 3 2 4 4" xfId="17137" xr:uid="{18A1B03E-8DA7-41DB-A28E-0871554A4FBB}"/>
    <cellStyle name="Normal 2 3 2 4 4 2" xfId="58758" xr:uid="{D59401FD-FC1C-4764-B3C4-EF3946B36609}"/>
    <cellStyle name="Normal 2 3 2 4 5" xfId="58751" xr:uid="{F15F35C1-5DE1-49C4-ACB7-9F8366BBE847}"/>
    <cellStyle name="Normal 2 3 2 5" xfId="3971" xr:uid="{7000F4E1-8B05-4B83-B2D8-4760E18FF04B}"/>
    <cellStyle name="Normal 2 3 2 5 2" xfId="11679" xr:uid="{46B40211-5FA6-44D5-AA91-4A4380097234}"/>
    <cellStyle name="Normal 2 3 2 5 2 2" xfId="27091" xr:uid="{D479E197-8F94-4035-8EF5-382E674D1677}"/>
    <cellStyle name="Normal 2 3 2 5 2 2 2" xfId="58761" xr:uid="{BE46F716-101F-4707-82DD-EF3CDDF26D06}"/>
    <cellStyle name="Normal 2 3 2 5 2 3" xfId="58760" xr:uid="{8C41A6D5-2315-4FB1-B6EC-5606E35B92BF}"/>
    <cellStyle name="Normal 2 3 2 5 3" xfId="19386" xr:uid="{D3233060-2E6E-476E-ADB7-A581D021E093}"/>
    <cellStyle name="Normal 2 3 2 5 3 2" xfId="58762" xr:uid="{FE4668C6-37F5-4765-9020-CDBC7F2893D0}"/>
    <cellStyle name="Normal 2 3 2 5 4" xfId="58759" xr:uid="{756CDB9F-CB2F-4176-B841-380E7868505E}"/>
    <cellStyle name="Normal 2 3 2 6" xfId="7970" xr:uid="{0332C6BC-AA4C-4F7C-87EA-F2B210424C5F}"/>
    <cellStyle name="Normal 2 3 2 6 2" xfId="23383" xr:uid="{B490E11F-EC81-4EDB-81AC-D92CB013CD5D}"/>
    <cellStyle name="Normal 2 3 2 6 2 2" xfId="58764" xr:uid="{CB8F9769-223D-4276-BD52-A6C1A8D85868}"/>
    <cellStyle name="Normal 2 3 2 6 3" xfId="58763" xr:uid="{912442C3-FEF3-4A8A-8CEB-E68FE5394AAE}"/>
    <cellStyle name="Normal 2 3 2 7" xfId="15678" xr:uid="{D8F4316C-78E5-4196-B9EC-D69E2DEB4C84}"/>
    <cellStyle name="Normal 2 3 2 7 2" xfId="58765" xr:uid="{BAEF6017-14FC-4B06-8FD0-574022EAB48B}"/>
    <cellStyle name="Normal 2 3 2 8" xfId="58702" xr:uid="{D5F0A503-FC2B-48CD-B011-488717210EC0}"/>
    <cellStyle name="Normal 2 3 3" xfId="374" xr:uid="{BEB31FE9-D8F2-4BC4-98C6-37CF857E3E42}"/>
    <cellStyle name="Normal 2 3 3 2" xfId="1036" xr:uid="{B5D0951F-DE9D-4779-B115-7CB042D1500F}"/>
    <cellStyle name="Normal 2 3 3 2 2" xfId="2504" xr:uid="{59A8FC81-9493-44F0-92F7-2040B45F967E}"/>
    <cellStyle name="Normal 2 3 3 2 2 2" xfId="6236" xr:uid="{FC69FC58-4272-446C-8ABA-A11A4FF0A7D2}"/>
    <cellStyle name="Normal 2 3 3 2 2 2 2" xfId="13944" xr:uid="{49D6ADC5-B806-449F-BC84-93F1E76F830C}"/>
    <cellStyle name="Normal 2 3 3 2 2 2 2 2" xfId="29356" xr:uid="{E8F83EFA-7E2F-4626-A90A-88CB421EB6E0}"/>
    <cellStyle name="Normal 2 3 3 2 2 2 2 2 2" xfId="58771" xr:uid="{80DAB2E1-4335-4101-92C8-A141E4C86DC9}"/>
    <cellStyle name="Normal 2 3 3 2 2 2 2 3" xfId="58770" xr:uid="{12AFB92A-C7C6-4156-BE00-B0A9D493377B}"/>
    <cellStyle name="Normal 2 3 3 2 2 2 3" xfId="21651" xr:uid="{7CD7E4EE-0D7F-4871-B069-6336DBEC67BC}"/>
    <cellStyle name="Normal 2 3 3 2 2 2 3 2" xfId="58772" xr:uid="{4106ABA8-3127-4668-B705-AC582D76A451}"/>
    <cellStyle name="Normal 2 3 3 2 2 2 4" xfId="58769" xr:uid="{A12C6CCF-F45A-436B-BFA6-D050E1737716}"/>
    <cellStyle name="Normal 2 3 3 2 2 3" xfId="10215" xr:uid="{DBD628BE-9EDA-4316-B6E7-1CE9140B6ADA}"/>
    <cellStyle name="Normal 2 3 3 2 2 3 2" xfId="25628" xr:uid="{95158050-4C76-4CAB-8F88-72D9071CF9D0}"/>
    <cellStyle name="Normal 2 3 3 2 2 3 2 2" xfId="58774" xr:uid="{C567436E-4311-494C-BFF3-44D35D6CF9B9}"/>
    <cellStyle name="Normal 2 3 3 2 2 3 3" xfId="58773" xr:uid="{6582ACB1-B7BF-414F-A3FD-CD8864DDFC63}"/>
    <cellStyle name="Normal 2 3 3 2 2 4" xfId="17923" xr:uid="{BC43B40B-DF9A-474A-9E72-9CE8BEF845D7}"/>
    <cellStyle name="Normal 2 3 3 2 2 4 2" xfId="58775" xr:uid="{C94379E3-B8F2-403B-A9C7-91A5BF26FF9E}"/>
    <cellStyle name="Normal 2 3 3 2 2 5" xfId="58768" xr:uid="{3926A515-40F8-4F17-98C3-4DABA1CF95BE}"/>
    <cellStyle name="Normal 2 3 3 2 3" xfId="4773" xr:uid="{3E43098B-6B42-46BA-9061-85FC2731A124}"/>
    <cellStyle name="Normal 2 3 3 2 3 2" xfId="12481" xr:uid="{DDC8A346-566C-4366-9CA8-E27B1C691D0A}"/>
    <cellStyle name="Normal 2 3 3 2 3 2 2" xfId="27893" xr:uid="{6FE99D1F-7E5A-452C-853D-5E5127658761}"/>
    <cellStyle name="Normal 2 3 3 2 3 2 2 2" xfId="58778" xr:uid="{DD518C3A-7FFC-4291-A103-82AEDC0C551E}"/>
    <cellStyle name="Normal 2 3 3 2 3 2 3" xfId="58777" xr:uid="{24050EDD-578B-41FD-BF1E-FFDF105534B7}"/>
    <cellStyle name="Normal 2 3 3 2 3 3" xfId="20188" xr:uid="{EB372CE4-09E4-4B3E-8236-F46C6DDEB069}"/>
    <cellStyle name="Normal 2 3 3 2 3 3 2" xfId="58779" xr:uid="{F2AF6BC5-A774-4581-941C-0AFB24C674D9}"/>
    <cellStyle name="Normal 2 3 3 2 3 4" xfId="58776" xr:uid="{3FDE3CD5-6A8D-4BA8-BE6A-DFB79D263312}"/>
    <cellStyle name="Normal 2 3 3 2 4" xfId="8756" xr:uid="{2C5134F6-E7D1-4D7A-9391-2B98CC52EFDA}"/>
    <cellStyle name="Normal 2 3 3 2 4 2" xfId="24169" xr:uid="{4B7CD7D2-83DB-4F27-AD1D-D49479412B60}"/>
    <cellStyle name="Normal 2 3 3 2 4 2 2" xfId="58781" xr:uid="{4EE26278-2460-4156-8076-C7B0D06BD6BA}"/>
    <cellStyle name="Normal 2 3 3 2 4 3" xfId="58780" xr:uid="{14694A9E-4D87-414B-8B3C-7F4472F2F825}"/>
    <cellStyle name="Normal 2 3 3 2 5" xfId="16464" xr:uid="{642E65CC-E27D-48F8-9657-42733F7633C9}"/>
    <cellStyle name="Normal 2 3 3 2 5 2" xfId="58782" xr:uid="{3F0E0F7E-BFEF-462F-9401-11667535CCF6}"/>
    <cellStyle name="Normal 2 3 3 2 6" xfId="58767" xr:uid="{0AC60588-ADC2-4F6B-88EE-92CCA0A21B3C}"/>
    <cellStyle name="Normal 2 3 3 3" xfId="1866" xr:uid="{5054E59B-03E2-48D0-8B74-C677B97A54E8}"/>
    <cellStyle name="Normal 2 3 3 3 2" xfId="5598" xr:uid="{B641CE13-590F-4F63-8679-C590605B6DD3}"/>
    <cellStyle name="Normal 2 3 3 3 2 2" xfId="13306" xr:uid="{A8B3815B-8085-4F0B-B340-BC4FD10A06C2}"/>
    <cellStyle name="Normal 2 3 3 3 2 2 2" xfId="28718" xr:uid="{4FF3320F-ED1F-4687-AEDD-092CEF535C39}"/>
    <cellStyle name="Normal 2 3 3 3 2 2 2 2" xfId="58786" xr:uid="{9AD12FB2-22D4-4C6E-A544-86714C04BDCA}"/>
    <cellStyle name="Normal 2 3 3 3 2 2 3" xfId="58785" xr:uid="{E3B2F09F-5169-4DB5-B475-44D34158F72D}"/>
    <cellStyle name="Normal 2 3 3 3 2 3" xfId="21013" xr:uid="{83A5DEDA-85AD-4899-8D60-03E25FEE8B2B}"/>
    <cellStyle name="Normal 2 3 3 3 2 3 2" xfId="58787" xr:uid="{0D72CAED-3112-4FD8-99B4-A55298FD29D6}"/>
    <cellStyle name="Normal 2 3 3 3 2 4" xfId="58784" xr:uid="{FB83D259-6720-44B7-AD06-C4C253D8BAF9}"/>
    <cellStyle name="Normal 2 3 3 3 3" xfId="9577" xr:uid="{D3394CBD-0762-481A-BFF6-72CA7A24B18B}"/>
    <cellStyle name="Normal 2 3 3 3 3 2" xfId="24990" xr:uid="{BB80FA49-7C12-4034-BAB5-51C10BE4C71F}"/>
    <cellStyle name="Normal 2 3 3 3 3 2 2" xfId="58789" xr:uid="{20A7BE4A-443B-45A2-823C-13C07E522484}"/>
    <cellStyle name="Normal 2 3 3 3 3 3" xfId="58788" xr:uid="{5AAADA13-FF74-4651-B1F0-FFFC52197D27}"/>
    <cellStyle name="Normal 2 3 3 3 4" xfId="17285" xr:uid="{DBF5772F-962D-4C9F-A6E7-790CE1E93863}"/>
    <cellStyle name="Normal 2 3 3 3 4 2" xfId="58790" xr:uid="{2FDE5CE7-E473-44EE-A6F5-E67AFC0D6696}"/>
    <cellStyle name="Normal 2 3 3 3 5" xfId="58783" xr:uid="{C78C9689-A649-48B3-B898-B09566EF50C2}"/>
    <cellStyle name="Normal 2 3 3 4" xfId="4121" xr:uid="{55F04129-FE96-44B9-9917-AE693893C1E3}"/>
    <cellStyle name="Normal 2 3 3 4 2" xfId="11829" xr:uid="{AC7315A0-94AE-44C1-82AB-AD057204CD8F}"/>
    <cellStyle name="Normal 2 3 3 4 2 2" xfId="27241" xr:uid="{96140252-D49D-4FAE-99EA-38F6367BDA79}"/>
    <cellStyle name="Normal 2 3 3 4 2 2 2" xfId="58793" xr:uid="{94F36896-8147-480F-84ED-E26732975270}"/>
    <cellStyle name="Normal 2 3 3 4 2 3" xfId="58792" xr:uid="{4B2ED466-247C-48A3-B86C-E84702ED820C}"/>
    <cellStyle name="Normal 2 3 3 4 3" xfId="19536" xr:uid="{C6835692-0834-4F7B-BA79-0B619A6D4D23}"/>
    <cellStyle name="Normal 2 3 3 4 3 2" xfId="58794" xr:uid="{0861F657-DA46-4567-8F7F-F272BF6CB6CE}"/>
    <cellStyle name="Normal 2 3 3 4 4" xfId="58791" xr:uid="{B5951803-E552-4B87-9126-1983BCA04DF2}"/>
    <cellStyle name="Normal 2 3 3 5" xfId="8118" xr:uid="{273853D1-FC4D-4D3A-8ED2-F967501AE05A}"/>
    <cellStyle name="Normal 2 3 3 5 2" xfId="23531" xr:uid="{70BB6C0D-8B43-4616-A886-E0548145617F}"/>
    <cellStyle name="Normal 2 3 3 5 2 2" xfId="58796" xr:uid="{A1666FD3-CEF5-452C-98E3-AEFE994AEB00}"/>
    <cellStyle name="Normal 2 3 3 5 3" xfId="58795" xr:uid="{8575558C-DDE6-490B-9E47-DA48F47F47DA}"/>
    <cellStyle name="Normal 2 3 3 6" xfId="15826" xr:uid="{E2C36650-74B7-455E-838C-5BF3B8C7F38D}"/>
    <cellStyle name="Normal 2 3 3 6 2" xfId="58797" xr:uid="{383ACFCA-D43A-42E2-9C44-DC2FC8750EB8}"/>
    <cellStyle name="Normal 2 3 3 7" xfId="58766" xr:uid="{F93DA74B-82D3-41B8-A9C7-C2525C57E65F}"/>
    <cellStyle name="Normal 2 3 4" xfId="831" xr:uid="{DBA9DEA7-D87F-4DF1-9CF8-59448B172953}"/>
    <cellStyle name="Normal 2 3 4 2" xfId="2306" xr:uid="{B80D706F-0921-4AA7-AE47-0533BC22366E}"/>
    <cellStyle name="Normal 2 3 4 2 2" xfId="6038" xr:uid="{588A59AB-7290-467F-90CB-493259898EAC}"/>
    <cellStyle name="Normal 2 3 4 2 2 2" xfId="13746" xr:uid="{0A6EF963-4DC3-47AD-92D1-70564DD0D134}"/>
    <cellStyle name="Normal 2 3 4 2 2 2 2" xfId="29158" xr:uid="{1EC68A05-0B25-4A9A-BF67-65026CDDA69A}"/>
    <cellStyle name="Normal 2 3 4 2 2 2 2 2" xfId="58802" xr:uid="{FCE51ABD-808A-45B1-96E0-5FA88B254ED0}"/>
    <cellStyle name="Normal 2 3 4 2 2 2 3" xfId="58801" xr:uid="{D98B2619-96F8-45AF-A09C-1AC5A3A90440}"/>
    <cellStyle name="Normal 2 3 4 2 2 3" xfId="21453" xr:uid="{0ACD65AD-B8FB-43A1-91D8-F08E2085E135}"/>
    <cellStyle name="Normal 2 3 4 2 2 3 2" xfId="58803" xr:uid="{87DE9ABE-67B5-40BB-8B36-2F640C6042C2}"/>
    <cellStyle name="Normal 2 3 4 2 2 4" xfId="58800" xr:uid="{BF7FB307-04C5-48F5-BDD6-D2597398EA7E}"/>
    <cellStyle name="Normal 2 3 4 2 3" xfId="10017" xr:uid="{0279BE0B-2654-4866-9674-C2A71C501A0F}"/>
    <cellStyle name="Normal 2 3 4 2 3 2" xfId="25430" xr:uid="{610B8A26-964B-4473-882D-40C73A529CAF}"/>
    <cellStyle name="Normal 2 3 4 2 3 2 2" xfId="58805" xr:uid="{83DCE6A3-7D51-4C26-8935-8A19F7F04804}"/>
    <cellStyle name="Normal 2 3 4 2 3 3" xfId="58804" xr:uid="{5FC1E29E-A53D-4C99-BA34-30B2167C8B60}"/>
    <cellStyle name="Normal 2 3 4 2 4" xfId="17725" xr:uid="{0F027199-B473-490A-8F64-8D859040FBA7}"/>
    <cellStyle name="Normal 2 3 4 2 4 2" xfId="58806" xr:uid="{338B005D-301B-4A1F-8763-175281C84EB8}"/>
    <cellStyle name="Normal 2 3 4 2 5" xfId="58799" xr:uid="{687EB925-8F45-4913-908D-A69EAE88F074}"/>
    <cellStyle name="Normal 2 3 4 3" xfId="4568" xr:uid="{30BBDB3E-06A1-4703-8A29-1531F96491C2}"/>
    <cellStyle name="Normal 2 3 4 3 2" xfId="12276" xr:uid="{1B0E3386-B6AB-4325-B1B3-ED763121B346}"/>
    <cellStyle name="Normal 2 3 4 3 2 2" xfId="27688" xr:uid="{AB1996A1-0E61-410A-BD56-9EDC1FDD55DC}"/>
    <cellStyle name="Normal 2 3 4 3 2 2 2" xfId="58809" xr:uid="{7CDAD9F8-BFD9-47D9-971B-83524E5571E9}"/>
    <cellStyle name="Normal 2 3 4 3 2 3" xfId="58808" xr:uid="{721FA943-681C-46A4-BBE7-C8D8C8A609FE}"/>
    <cellStyle name="Normal 2 3 4 3 3" xfId="19983" xr:uid="{F5D54FD8-3E79-4271-87A0-9CAA6B70F5FC}"/>
    <cellStyle name="Normal 2 3 4 3 3 2" xfId="58810" xr:uid="{47C8B0DB-E83F-4642-8BA0-5BF431DEA299}"/>
    <cellStyle name="Normal 2 3 4 3 4" xfId="58807" xr:uid="{09D02809-69DF-4B4A-A652-A9AD2418F3CE}"/>
    <cellStyle name="Normal 2 3 4 4" xfId="8558" xr:uid="{CFE17FF3-B6E4-4813-B8AB-6846533F9EAC}"/>
    <cellStyle name="Normal 2 3 4 4 2" xfId="23971" xr:uid="{09967312-1419-46B7-B8D4-4C31F3ADEC68}"/>
    <cellStyle name="Normal 2 3 4 4 2 2" xfId="58812" xr:uid="{0D0C424A-ED02-4E38-9AAB-13546A99B08E}"/>
    <cellStyle name="Normal 2 3 4 4 3" xfId="58811" xr:uid="{48E0870B-91E6-4E24-BC79-EF214E99E157}"/>
    <cellStyle name="Normal 2 3 4 5" xfId="16266" xr:uid="{2BAF971B-D9F5-439E-B186-1AF7DC182089}"/>
    <cellStyle name="Normal 2 3 4 5 2" xfId="58813" xr:uid="{17CA6F2B-9638-41B2-8E93-E53696C698F8}"/>
    <cellStyle name="Normal 2 3 4 6" xfId="58798" xr:uid="{3B8AD5F7-1F31-47DB-B731-84A1886214B0}"/>
    <cellStyle name="Normal 2 3 5" xfId="1668" xr:uid="{AC513443-7D75-417C-B1A6-8C3F3DB14A05}"/>
    <cellStyle name="Normal 2 3 5 2" xfId="5400" xr:uid="{F88301A5-8359-468E-AB87-59CE27F68465}"/>
    <cellStyle name="Normal 2 3 5 2 2" xfId="13108" xr:uid="{4F288D04-A982-47D3-A6A2-6C132362F0EA}"/>
    <cellStyle name="Normal 2 3 5 2 2 2" xfId="28520" xr:uid="{1B9E36A3-34C0-4BC1-90F4-0B4A69F77399}"/>
    <cellStyle name="Normal 2 3 5 2 2 2 2" xfId="58817" xr:uid="{E1ECFCB4-2627-4B2B-BF00-1F0EADBFF178}"/>
    <cellStyle name="Normal 2 3 5 2 2 3" xfId="58816" xr:uid="{1C4CA115-3BA5-4812-98A8-D5CDA7BF3363}"/>
    <cellStyle name="Normal 2 3 5 2 3" xfId="20815" xr:uid="{B65377B4-0689-4299-A91F-55B5B52DCE69}"/>
    <cellStyle name="Normal 2 3 5 2 3 2" xfId="58818" xr:uid="{8C8D32A8-ADBB-4A88-94A2-3750CB952B29}"/>
    <cellStyle name="Normal 2 3 5 2 4" xfId="58815" xr:uid="{389B0303-12FC-472C-B998-5AB8849DB029}"/>
    <cellStyle name="Normal 2 3 5 3" xfId="9379" xr:uid="{7E84BB05-14B1-4F79-B0DE-124F3E26397F}"/>
    <cellStyle name="Normal 2 3 5 3 2" xfId="24792" xr:uid="{318BC320-086D-4CDA-8128-86C15A24A4F2}"/>
    <cellStyle name="Normal 2 3 5 3 2 2" xfId="58820" xr:uid="{5BA6592F-927D-4C68-A1FA-BB22414C443C}"/>
    <cellStyle name="Normal 2 3 5 3 3" xfId="58819" xr:uid="{5167795E-A422-4DDD-9560-7C117AB57E41}"/>
    <cellStyle name="Normal 2 3 5 4" xfId="17087" xr:uid="{188D6DE3-7A2F-4FBF-BB03-DA70E856B5D5}"/>
    <cellStyle name="Normal 2 3 5 4 2" xfId="58821" xr:uid="{BD8C6E7C-0894-4B30-85AF-D0F8ECA931A7}"/>
    <cellStyle name="Normal 2 3 5 5" xfId="58814" xr:uid="{E2C04B69-BF17-424B-B4C7-06A27753BF4B}"/>
    <cellStyle name="Normal 2 3 6" xfId="3916" xr:uid="{83F425D5-E2F0-4E58-AFCD-98AEB56C8D5D}"/>
    <cellStyle name="Normal 2 3 6 2" xfId="11624" xr:uid="{42650167-38BE-405D-A7BC-9F66E1E0544B}"/>
    <cellStyle name="Normal 2 3 6 2 2" xfId="27036" xr:uid="{7F1F6BA1-9D5C-4E9A-9E57-8684E95F202A}"/>
    <cellStyle name="Normal 2 3 6 2 2 2" xfId="58824" xr:uid="{C86660E1-C7D2-40C0-8168-464811E25DA5}"/>
    <cellStyle name="Normal 2 3 6 2 3" xfId="58823" xr:uid="{960651BE-FB5F-4251-AE5F-A169FA6F4F8E}"/>
    <cellStyle name="Normal 2 3 6 3" xfId="19331" xr:uid="{1B058833-9F39-44BB-8E92-410144D6EF3C}"/>
    <cellStyle name="Normal 2 3 6 3 2" xfId="58825" xr:uid="{167E5DC8-BAF9-4809-81F7-4E666BADB6E8}"/>
    <cellStyle name="Normal 2 3 6 4" xfId="58822" xr:uid="{49565F6B-83E7-4230-B996-080404238253}"/>
    <cellStyle name="Normal 2 3 7" xfId="7902" xr:uid="{98EC3212-65AC-4785-954F-64D196D88CE8}"/>
    <cellStyle name="Normal 2 3 7 2" xfId="23315" xr:uid="{77EEE846-936B-4637-84F1-BE85BC79555C}"/>
    <cellStyle name="Normal 2 3 7 2 2" xfId="58827" xr:uid="{288406EB-7AA0-4A69-A5BA-DCB9912FBB06}"/>
    <cellStyle name="Normal 2 3 7 3" xfId="58826" xr:uid="{10911452-C3BE-44A1-910B-CB8249B390A7}"/>
    <cellStyle name="Normal 2 3 8" xfId="15610" xr:uid="{A8E7567C-AD37-4755-A49F-DF5D0FF198E6}"/>
    <cellStyle name="Normal 2 3 8 2" xfId="58828" xr:uid="{E0598590-0B5C-4AF7-A2B3-63F00C3265CC}"/>
    <cellStyle name="Normal 2 3 9" xfId="58701" xr:uid="{BBAB0480-B6F6-419B-96AF-40BBA4366016}"/>
    <cellStyle name="Normal 2 4" xfId="119" xr:uid="{E3F8CC77-E7EE-4184-8D15-709D66EFB16E}"/>
    <cellStyle name="Normal 2 5" xfId="55" xr:uid="{F00FA5ED-AAAF-4F61-9551-CED16BEE08DE}"/>
    <cellStyle name="Normal 20" xfId="236" xr:uid="{71BAB931-A939-47ED-962B-09D2BE252741}"/>
    <cellStyle name="Normal 20 2" xfId="438" xr:uid="{4C7CB233-8B3F-4183-A4FA-A4D25D89A75E}"/>
    <cellStyle name="Normal 20 2 2" xfId="1099" xr:uid="{8CF8BF11-BD28-40B3-97AB-6017057EE6EB}"/>
    <cellStyle name="Normal 20 2 2 2" xfId="2567" xr:uid="{CED548F5-1B23-4FFD-8319-C94C83B309D0}"/>
    <cellStyle name="Normal 20 2 2 2 2" xfId="6299" xr:uid="{87B128C9-461B-4D1C-9D76-E1871562E764}"/>
    <cellStyle name="Normal 20 2 2 2 2 2" xfId="14007" xr:uid="{5D069ED4-45B8-4007-86B7-2E619248AF42}"/>
    <cellStyle name="Normal 20 2 2 2 2 2 2" xfId="29419" xr:uid="{4DD78106-8632-450A-A8BA-22C0CC5AB694}"/>
    <cellStyle name="Normal 20 2 2 2 2 2 2 2" xfId="58835" xr:uid="{0ED120E5-4B9F-41A2-BCCB-1725CBEC16DC}"/>
    <cellStyle name="Normal 20 2 2 2 2 2 3" xfId="58834" xr:uid="{3A44CE58-1920-436B-81BC-DABA33D1C7E8}"/>
    <cellStyle name="Normal 20 2 2 2 2 3" xfId="21714" xr:uid="{4854EB9A-D01C-4168-87A0-3006FDA3339B}"/>
    <cellStyle name="Normal 20 2 2 2 2 3 2" xfId="58836" xr:uid="{BD1761FC-403F-4DA1-B942-FBC2A42187F8}"/>
    <cellStyle name="Normal 20 2 2 2 2 4" xfId="58833" xr:uid="{ABA70AF8-FD99-4A4F-B3DA-9F11B28DE48F}"/>
    <cellStyle name="Normal 20 2 2 2 3" xfId="10278" xr:uid="{33F9ADF9-12B1-4BD5-8570-02AB24540FE0}"/>
    <cellStyle name="Normal 20 2 2 2 3 2" xfId="25691" xr:uid="{A226EA3C-A3E6-4257-81B8-5CEBCCD2851F}"/>
    <cellStyle name="Normal 20 2 2 2 3 2 2" xfId="58838" xr:uid="{611EDBC8-63BF-4049-AC91-112F040E03E2}"/>
    <cellStyle name="Normal 20 2 2 2 3 3" xfId="58837" xr:uid="{4A0F059E-5C5C-48EE-9456-785A93ABFC90}"/>
    <cellStyle name="Normal 20 2 2 2 4" xfId="17986" xr:uid="{4D6467F2-75F2-4E7B-901B-B93875797F12}"/>
    <cellStyle name="Normal 20 2 2 2 4 2" xfId="58839" xr:uid="{E5F2E394-787B-4A9E-AC57-E6E3A1357064}"/>
    <cellStyle name="Normal 20 2 2 2 5" xfId="58832" xr:uid="{A0BADD87-BF8A-43B1-8A76-AF4AA02045A5}"/>
    <cellStyle name="Normal 20 2 2 3" xfId="4836" xr:uid="{AA65E52E-7D6E-4251-BE20-C91AF6D86782}"/>
    <cellStyle name="Normal 20 2 2 3 2" xfId="12544" xr:uid="{A349C372-673C-42DB-81A7-DB048854458C}"/>
    <cellStyle name="Normal 20 2 2 3 2 2" xfId="27956" xr:uid="{7E695C60-AD54-4B8D-8D32-C4B632F68ABF}"/>
    <cellStyle name="Normal 20 2 2 3 2 2 2" xfId="58842" xr:uid="{DA9B4C49-C4F9-478A-AB29-79E52674A1C3}"/>
    <cellStyle name="Normal 20 2 2 3 2 3" xfId="58841" xr:uid="{95C6CB2C-5DB9-4583-9B7F-EB70093BD0D5}"/>
    <cellStyle name="Normal 20 2 2 3 3" xfId="20251" xr:uid="{38C2B99D-38B5-4F9C-8851-28FFA0B8DC63}"/>
    <cellStyle name="Normal 20 2 2 3 3 2" xfId="58843" xr:uid="{C24AC4D2-D455-476E-BAC5-74EB478FD924}"/>
    <cellStyle name="Normal 20 2 2 3 4" xfId="58840" xr:uid="{359E85FC-B56C-4844-A41A-DA13A2767818}"/>
    <cellStyle name="Normal 20 2 2 4" xfId="8819" xr:uid="{38F9CE8D-03DE-4BDB-8A87-B4C0FD28DA87}"/>
    <cellStyle name="Normal 20 2 2 4 2" xfId="24232" xr:uid="{CA6A8817-41FD-4FD6-A30D-A6E073EF3BA2}"/>
    <cellStyle name="Normal 20 2 2 4 2 2" xfId="58845" xr:uid="{454D8D81-6DD9-49F5-8597-8F4F388DCDEE}"/>
    <cellStyle name="Normal 20 2 2 4 3" xfId="58844" xr:uid="{5BA473FE-00D5-4B98-8B4C-1E0505E91E8F}"/>
    <cellStyle name="Normal 20 2 2 5" xfId="16527" xr:uid="{720D74E2-7224-419E-A6A4-9FFE0596E320}"/>
    <cellStyle name="Normal 20 2 2 5 2" xfId="58846" xr:uid="{E70D1B31-D652-4C69-93BB-AAD621E3445D}"/>
    <cellStyle name="Normal 20 2 2 6" xfId="58831" xr:uid="{39BA20AC-B036-4F50-BDB7-A2F86C493A1F}"/>
    <cellStyle name="Normal 20 2 3" xfId="1929" xr:uid="{85A4E3DE-A0F8-4E94-98F6-D2B9293B7312}"/>
    <cellStyle name="Normal 20 2 3 2" xfId="5661" xr:uid="{ADACC542-F624-4130-AC98-3F9E9EF1C7E9}"/>
    <cellStyle name="Normal 20 2 3 2 2" xfId="13369" xr:uid="{DB8827A8-C7AD-4163-98BA-1CB179614367}"/>
    <cellStyle name="Normal 20 2 3 2 2 2" xfId="28781" xr:uid="{DCD47B39-5B36-4C77-BBFB-C7AF7A1D914A}"/>
    <cellStyle name="Normal 20 2 3 2 2 2 2" xfId="58850" xr:uid="{AA470430-7E33-4F6A-A1D6-90C5F58EC6C5}"/>
    <cellStyle name="Normal 20 2 3 2 2 3" xfId="58849" xr:uid="{DE315AD4-87C4-4F8C-8EBB-08E00C949F2B}"/>
    <cellStyle name="Normal 20 2 3 2 3" xfId="21076" xr:uid="{348DF405-A470-4251-99E6-1CF1F99727AD}"/>
    <cellStyle name="Normal 20 2 3 2 3 2" xfId="58851" xr:uid="{7DBCAB7D-6C2F-4A5D-9CAB-7E908E8F664E}"/>
    <cellStyle name="Normal 20 2 3 2 4" xfId="58848" xr:uid="{C0FAD691-5E38-49BB-B82F-FEF43D846E31}"/>
    <cellStyle name="Normal 20 2 3 3" xfId="9640" xr:uid="{B9A1162E-C299-4CEE-A0FF-D0A02F72F5D2}"/>
    <cellStyle name="Normal 20 2 3 3 2" xfId="25053" xr:uid="{0CF50B71-508C-4D46-9174-265F4FFEB1EB}"/>
    <cellStyle name="Normal 20 2 3 3 2 2" xfId="58853" xr:uid="{ED503170-E1C5-4F10-BF86-7295B20E95D9}"/>
    <cellStyle name="Normal 20 2 3 3 3" xfId="58852" xr:uid="{DDC0FCEF-F4B0-4881-8D4B-9AA85B9F1F15}"/>
    <cellStyle name="Normal 20 2 3 4" xfId="17348" xr:uid="{03DA85DD-C371-4A5F-8CD3-1F7E453E5FE0}"/>
    <cellStyle name="Normal 20 2 3 4 2" xfId="58854" xr:uid="{54B899C0-CFB8-4971-906E-29F824227842}"/>
    <cellStyle name="Normal 20 2 3 5" xfId="58847" xr:uid="{4EA44004-2AB0-4090-890C-F74BF68B7E38}"/>
    <cellStyle name="Normal 20 2 4" xfId="4184" xr:uid="{599E1F53-3657-47C4-B5F1-9145D89438D2}"/>
    <cellStyle name="Normal 20 2 4 2" xfId="11892" xr:uid="{669B9F4F-6BD2-4C90-BB01-AD308E629A88}"/>
    <cellStyle name="Normal 20 2 4 2 2" xfId="27304" xr:uid="{0752E541-575B-4F05-9480-880C8FFE1048}"/>
    <cellStyle name="Normal 20 2 4 2 2 2" xfId="58857" xr:uid="{D7C8EFAE-919B-48D3-A71B-6EBFB1085F61}"/>
    <cellStyle name="Normal 20 2 4 2 3" xfId="58856" xr:uid="{FF528C74-31E1-43FC-9988-55126AFD3A31}"/>
    <cellStyle name="Normal 20 2 4 3" xfId="19599" xr:uid="{DB0AF055-9295-44BE-8593-DE417C191B3F}"/>
    <cellStyle name="Normal 20 2 4 3 2" xfId="58858" xr:uid="{3CE0521E-41BC-412C-BEB8-69933CEE961E}"/>
    <cellStyle name="Normal 20 2 4 4" xfId="58855" xr:uid="{4E1B25D9-CDE7-4195-88DE-F5D6598AD4B3}"/>
    <cellStyle name="Normal 20 2 5" xfId="8181" xr:uid="{79C34C86-0917-492F-AFB2-393410428E71}"/>
    <cellStyle name="Normal 20 2 5 2" xfId="23594" xr:uid="{094ED67B-30AF-4BE0-B3BE-033F8784F7AD}"/>
    <cellStyle name="Normal 20 2 5 2 2" xfId="58860" xr:uid="{15F17CDC-9174-4B6C-AFA7-01ABE20673A6}"/>
    <cellStyle name="Normal 20 2 5 3" xfId="58859" xr:uid="{61DB7C06-6454-4389-BCCA-98C6AA51FE53}"/>
    <cellStyle name="Normal 20 2 6" xfId="15889" xr:uid="{26978626-FC9D-48A3-B9E8-8761C6EA4D48}"/>
    <cellStyle name="Normal 20 2 6 2" xfId="58861" xr:uid="{13439D5C-4EF3-47AE-A2B3-3FDE8FED9C6E}"/>
    <cellStyle name="Normal 20 2 7" xfId="58830" xr:uid="{2CE50253-01F2-47EB-A0FD-E6267B80F31D}"/>
    <cellStyle name="Normal 20 3" xfId="899" xr:uid="{C8C158CF-610B-4A9C-8CCD-67F092525D3A}"/>
    <cellStyle name="Normal 20 3 2" xfId="2369" xr:uid="{CEAEB018-041F-4762-A869-ED712F2904A1}"/>
    <cellStyle name="Normal 20 3 2 2" xfId="6101" xr:uid="{BCA48F99-5349-4D41-A554-12DBBDF8CFF6}"/>
    <cellStyle name="Normal 20 3 2 2 2" xfId="13809" xr:uid="{80BC1CBD-349A-44CB-BDA9-97376610101D}"/>
    <cellStyle name="Normal 20 3 2 2 2 2" xfId="29221" xr:uid="{66BC9C74-DD7D-4947-89C7-7E3804D50FE9}"/>
    <cellStyle name="Normal 20 3 2 2 2 2 2" xfId="58866" xr:uid="{3FC81F0E-4723-4576-A1F0-CCBFE7CE23B6}"/>
    <cellStyle name="Normal 20 3 2 2 2 3" xfId="58865" xr:uid="{D905AEB6-8658-4F82-B7FE-A8E9E1D7BAB7}"/>
    <cellStyle name="Normal 20 3 2 2 3" xfId="21516" xr:uid="{AAF696E4-8F34-4226-9B05-94F72E721349}"/>
    <cellStyle name="Normal 20 3 2 2 3 2" xfId="58867" xr:uid="{77340275-CB34-4797-8FF6-D18E6E1C7516}"/>
    <cellStyle name="Normal 20 3 2 2 4" xfId="58864" xr:uid="{C835EA93-9744-4087-B21A-429931102C52}"/>
    <cellStyle name="Normal 20 3 2 3" xfId="10080" xr:uid="{C7EFA170-7456-45AD-9EA0-1834FFCE02D2}"/>
    <cellStyle name="Normal 20 3 2 3 2" xfId="25493" xr:uid="{6F8E8176-9AEF-497A-A3ED-B074EEC1D230}"/>
    <cellStyle name="Normal 20 3 2 3 2 2" xfId="58869" xr:uid="{B01E3326-A2BD-4780-8BA0-74789DFE33E3}"/>
    <cellStyle name="Normal 20 3 2 3 3" xfId="58868" xr:uid="{5DBC2380-9FD6-482E-A54B-41D639ABB8AA}"/>
    <cellStyle name="Normal 20 3 2 4" xfId="17788" xr:uid="{25C83DA7-8E00-4FA6-AF8B-B21D437F2BF1}"/>
    <cellStyle name="Normal 20 3 2 4 2" xfId="58870" xr:uid="{901111A0-797F-446D-A8EB-73BA3309CD82}"/>
    <cellStyle name="Normal 20 3 2 5" xfId="58863" xr:uid="{B423FF6F-6A49-4EDA-A92C-D21E4C05A687}"/>
    <cellStyle name="Normal 20 3 3" xfId="4636" xr:uid="{31F6D7EE-1915-4EFF-AED3-E8DCA1FB1262}"/>
    <cellStyle name="Normal 20 3 3 2" xfId="12344" xr:uid="{8CFBA64D-5D2C-435E-BD2D-65F0B7E6F528}"/>
    <cellStyle name="Normal 20 3 3 2 2" xfId="27756" xr:uid="{68719DF5-CC4D-4F97-A48A-A52A878A396B}"/>
    <cellStyle name="Normal 20 3 3 2 2 2" xfId="58873" xr:uid="{0D67EF0C-20EB-4E08-9997-75942DA0B986}"/>
    <cellStyle name="Normal 20 3 3 2 3" xfId="58872" xr:uid="{07D3CCC9-A156-403B-B757-B70089FF017D}"/>
    <cellStyle name="Normal 20 3 3 3" xfId="20051" xr:uid="{A5C27E0F-69B4-47FA-B061-52B1D871B6C6}"/>
    <cellStyle name="Normal 20 3 3 3 2" xfId="58874" xr:uid="{DB0D7C1C-46B8-4C7B-8DF5-3211C6117CC5}"/>
    <cellStyle name="Normal 20 3 3 4" xfId="58871" xr:uid="{445980B3-3313-47FE-8F64-8F315A6B6D9A}"/>
    <cellStyle name="Normal 20 3 4" xfId="8621" xr:uid="{42A90DF1-84BD-4B46-9379-FBC660FD1507}"/>
    <cellStyle name="Normal 20 3 4 2" xfId="24034" xr:uid="{80133E4D-389D-4618-8248-07D3D126D2C7}"/>
    <cellStyle name="Normal 20 3 4 2 2" xfId="58876" xr:uid="{ECFE81BC-0E48-4024-BA49-D6E5DF0FEBD3}"/>
    <cellStyle name="Normal 20 3 4 3" xfId="58875" xr:uid="{46ADAEC3-1D80-4468-B3B6-DF11FCDC2F44}"/>
    <cellStyle name="Normal 20 3 5" xfId="16329" xr:uid="{ADA82F74-E6B0-49BF-B461-B477302BDBCF}"/>
    <cellStyle name="Normal 20 3 5 2" xfId="58877" xr:uid="{9BACC233-9D29-4287-92F7-3582502B77B6}"/>
    <cellStyle name="Normal 20 3 6" xfId="58862" xr:uid="{0ABF181F-39EA-4D0B-8B17-97FD269625DA}"/>
    <cellStyle name="Normal 20 4" xfId="1731" xr:uid="{7B851AE6-87E7-4FD1-87AD-6B7131952DB5}"/>
    <cellStyle name="Normal 20 4 2" xfId="5463" xr:uid="{53A7C97C-A1D4-49FC-A89A-53257C5416D3}"/>
    <cellStyle name="Normal 20 4 2 2" xfId="13171" xr:uid="{FC838059-83E4-496D-9038-EA68B1F50F15}"/>
    <cellStyle name="Normal 20 4 2 2 2" xfId="28583" xr:uid="{BEA8FBC1-85A2-4776-BE69-CF289A81E5F6}"/>
    <cellStyle name="Normal 20 4 2 2 2 2" xfId="58881" xr:uid="{6B247AC2-BD13-4B3F-9A5B-A8C12C3DF76A}"/>
    <cellStyle name="Normal 20 4 2 2 3" xfId="58880" xr:uid="{A5B59519-1257-44FB-958D-369F672C7465}"/>
    <cellStyle name="Normal 20 4 2 3" xfId="20878" xr:uid="{26FEAF6F-9B26-48C4-AB0F-95F956D5394E}"/>
    <cellStyle name="Normal 20 4 2 3 2" xfId="58882" xr:uid="{E288E58A-4757-4EA6-8AAC-4F75A11A2715}"/>
    <cellStyle name="Normal 20 4 2 4" xfId="58879" xr:uid="{43190510-A1A4-46EB-8DC7-2CC237F1A6B0}"/>
    <cellStyle name="Normal 20 4 3" xfId="9442" xr:uid="{9B5C6FEB-164A-4AF9-9E47-7730BFBF0C79}"/>
    <cellStyle name="Normal 20 4 3 2" xfId="24855" xr:uid="{7F92E83B-D4B2-4659-9C53-52A32F7278BF}"/>
    <cellStyle name="Normal 20 4 3 2 2" xfId="58884" xr:uid="{2A4A89CB-97B1-43A4-8515-8334FEA69F24}"/>
    <cellStyle name="Normal 20 4 3 3" xfId="58883" xr:uid="{3C742F32-EB99-49B2-9A27-0C1877381794}"/>
    <cellStyle name="Normal 20 4 4" xfId="17150" xr:uid="{3C188E4C-302E-48F2-9F51-A8DA12E69388}"/>
    <cellStyle name="Normal 20 4 4 2" xfId="58885" xr:uid="{E142B05D-AB6A-4E81-BAE2-A9EAFD9B5F6B}"/>
    <cellStyle name="Normal 20 4 5" xfId="58878" xr:uid="{31FBA900-E350-4BCE-9234-98939FFB36B3}"/>
    <cellStyle name="Normal 20 5" xfId="3984" xr:uid="{9005AC87-068B-4812-9B69-692C41AB5573}"/>
    <cellStyle name="Normal 20 5 2" xfId="11692" xr:uid="{6A22AD7B-C1D3-42BD-A0FD-814EE96C0F5C}"/>
    <cellStyle name="Normal 20 5 2 2" xfId="27104" xr:uid="{CEBC6177-E892-40EF-90A4-8B05220528DE}"/>
    <cellStyle name="Normal 20 5 2 2 2" xfId="58888" xr:uid="{F89626FA-0499-4D39-A858-529151D9132E}"/>
    <cellStyle name="Normal 20 5 2 3" xfId="58887" xr:uid="{9AF64E38-2733-4C7E-B8F3-124582006B33}"/>
    <cellStyle name="Normal 20 5 3" xfId="19399" xr:uid="{C1AF2DA2-0579-4089-A34F-CEDEF3402724}"/>
    <cellStyle name="Normal 20 5 3 2" xfId="58889" xr:uid="{ABE1EF07-F53B-430F-AA6A-C7E02B7B282C}"/>
    <cellStyle name="Normal 20 5 4" xfId="58886" xr:uid="{7834C9AE-03C8-44BA-9565-4CA3CE59A07D}"/>
    <cellStyle name="Normal 20 6" xfId="7983" xr:uid="{9E5F0FCB-513D-44EB-91DF-93F05909E4F3}"/>
    <cellStyle name="Normal 20 6 2" xfId="23396" xr:uid="{8F9BFC15-4AC3-485F-BAF7-4D72DF9DF574}"/>
    <cellStyle name="Normal 20 6 2 2" xfId="58891" xr:uid="{0B9BB2ED-9D84-4C05-A5FC-BA2B12EF6525}"/>
    <cellStyle name="Normal 20 6 3" xfId="58890" xr:uid="{308B2929-A05D-45EA-8348-03A26862B35E}"/>
    <cellStyle name="Normal 20 7" xfId="15691" xr:uid="{A804B227-9456-4470-BBD7-67A54F8AE73B}"/>
    <cellStyle name="Normal 20 7 2" xfId="58892" xr:uid="{A986CAA7-BF9C-49B7-A39F-43FDB09E13AA}"/>
    <cellStyle name="Normal 20 8" xfId="58829" xr:uid="{0281DA7B-E034-4648-B2EC-73751DE0B019}"/>
    <cellStyle name="Normal 21" xfId="256" xr:uid="{9A0EE860-BA89-4FFB-B1EF-A3ED3A1FE247}"/>
    <cellStyle name="Normal 21 2" xfId="458" xr:uid="{FF3D2F98-01CA-40C1-BE9B-6FA55A247764}"/>
    <cellStyle name="Normal 21 2 2" xfId="1119" xr:uid="{FEEFAFEB-96F6-415D-8E59-D83E9744F7AD}"/>
    <cellStyle name="Normal 21 2 2 2" xfId="2587" xr:uid="{3D894A4D-D419-49BC-89D6-98E92777AD61}"/>
    <cellStyle name="Normal 21 2 2 2 2" xfId="6319" xr:uid="{2DC915A2-6265-4E9D-AB39-A20D20FB32E1}"/>
    <cellStyle name="Normal 21 2 2 2 2 2" xfId="14027" xr:uid="{436F23E5-62B0-4287-AE14-FD4F64E13A90}"/>
    <cellStyle name="Normal 21 2 2 2 2 2 2" xfId="29439" xr:uid="{13BAC5D6-F43F-40D7-9F00-1987FA154B8B}"/>
    <cellStyle name="Normal 21 2 2 2 2 2 2 2" xfId="58899" xr:uid="{65DBA132-AD5C-44CE-B128-AD8166ECE014}"/>
    <cellStyle name="Normal 21 2 2 2 2 2 3" xfId="58898" xr:uid="{BDD6783F-DD9D-45F0-83B4-82E0205BF40B}"/>
    <cellStyle name="Normal 21 2 2 2 2 3" xfId="21734" xr:uid="{6806F54D-0FEF-4A1B-93A9-2624F7266783}"/>
    <cellStyle name="Normal 21 2 2 2 2 3 2" xfId="58900" xr:uid="{19B2CB4E-A335-4473-B798-F81C2C4AB6B2}"/>
    <cellStyle name="Normal 21 2 2 2 2 4" xfId="58897" xr:uid="{8B37FDD3-3259-49A8-A966-6157D2162CF4}"/>
    <cellStyle name="Normal 21 2 2 2 3" xfId="10298" xr:uid="{C5F90970-5E54-4425-97FB-D0497043BC00}"/>
    <cellStyle name="Normal 21 2 2 2 3 2" xfId="25711" xr:uid="{02A8DF95-B4EB-4490-B90B-DD77A637E27E}"/>
    <cellStyle name="Normal 21 2 2 2 3 2 2" xfId="58902" xr:uid="{FB7D65D9-E328-4905-AC51-007D6E405E63}"/>
    <cellStyle name="Normal 21 2 2 2 3 3" xfId="58901" xr:uid="{9D749D54-E30B-4442-9DC6-ED15809B3B0F}"/>
    <cellStyle name="Normal 21 2 2 2 4" xfId="18006" xr:uid="{FBC398AB-546A-4739-AA53-60A8A4A09C0F}"/>
    <cellStyle name="Normal 21 2 2 2 4 2" xfId="58903" xr:uid="{8285C5E0-313F-4241-9BC8-A14552DBC41A}"/>
    <cellStyle name="Normal 21 2 2 2 5" xfId="58896" xr:uid="{08067860-DEAA-4ACB-8C19-A88F3027ABCB}"/>
    <cellStyle name="Normal 21 2 2 3" xfId="4856" xr:uid="{CEECC41A-A575-4EFB-8279-6F608F7F3991}"/>
    <cellStyle name="Normal 21 2 2 3 2" xfId="12564" xr:uid="{536B8884-4695-40FB-818B-198BFAAEE049}"/>
    <cellStyle name="Normal 21 2 2 3 2 2" xfId="27976" xr:uid="{DC46EE86-6758-4BFE-8D6F-3947D3EE7B28}"/>
    <cellStyle name="Normal 21 2 2 3 2 2 2" xfId="58906" xr:uid="{8F158D17-5DD1-4B83-BD71-DD6CD8E36DC0}"/>
    <cellStyle name="Normal 21 2 2 3 2 3" xfId="58905" xr:uid="{9F5C3534-7168-489D-8A7B-2A8A0CB7508E}"/>
    <cellStyle name="Normal 21 2 2 3 3" xfId="20271" xr:uid="{26DBC16D-7E0A-4CB4-9158-D5903C91A9CC}"/>
    <cellStyle name="Normal 21 2 2 3 3 2" xfId="58907" xr:uid="{06E33FEA-C661-4CD7-B067-DD26A6B4CDE2}"/>
    <cellStyle name="Normal 21 2 2 3 4" xfId="58904" xr:uid="{210DE23A-0418-4C05-AA2D-C7BF0A27A62F}"/>
    <cellStyle name="Normal 21 2 2 4" xfId="8839" xr:uid="{AD4127D0-E5F8-4800-8651-B3EDF9FCD3A9}"/>
    <cellStyle name="Normal 21 2 2 4 2" xfId="24252" xr:uid="{9F113954-9CA4-488F-BD79-D6C83C1AD486}"/>
    <cellStyle name="Normal 21 2 2 4 2 2" xfId="58909" xr:uid="{ABE72681-49E8-4771-8EAC-440C07073F90}"/>
    <cellStyle name="Normal 21 2 2 4 3" xfId="58908" xr:uid="{1BE0074F-7D5F-4981-9BFA-903A858CE4D4}"/>
    <cellStyle name="Normal 21 2 2 5" xfId="16547" xr:uid="{60ADE0F8-F614-4D17-A265-F2B529B6B49A}"/>
    <cellStyle name="Normal 21 2 2 5 2" xfId="58910" xr:uid="{3BD4CA0F-FDD0-4172-9EFE-7A666E99D0F0}"/>
    <cellStyle name="Normal 21 2 2 6" xfId="58895" xr:uid="{65F1A9CB-5721-4542-8736-FAA98C9E34E2}"/>
    <cellStyle name="Normal 21 2 3" xfId="1949" xr:uid="{11A16FDA-8721-4AF1-816B-6818DEB39529}"/>
    <cellStyle name="Normal 21 2 3 2" xfId="5681" xr:uid="{F17AFEA7-FC96-424A-93D3-39DDD0A5F2D1}"/>
    <cellStyle name="Normal 21 2 3 2 2" xfId="13389" xr:uid="{AC02F355-31B9-4B63-B71A-8A20971A0F37}"/>
    <cellStyle name="Normal 21 2 3 2 2 2" xfId="28801" xr:uid="{DEFE2F4F-4AFF-4C0C-9F2E-DEEB711EF26F}"/>
    <cellStyle name="Normal 21 2 3 2 2 2 2" xfId="58914" xr:uid="{B9AC0342-42CE-4530-B5E8-48BD8FBA601E}"/>
    <cellStyle name="Normal 21 2 3 2 2 3" xfId="58913" xr:uid="{A8DEA2BC-4F1C-4024-82E6-53437F2B03D1}"/>
    <cellStyle name="Normal 21 2 3 2 3" xfId="21096" xr:uid="{9EDC7DBE-8A61-4199-B7E0-E6DF0DB1C909}"/>
    <cellStyle name="Normal 21 2 3 2 3 2" xfId="58915" xr:uid="{1A7FF59D-3018-46D2-B8C6-77AF6D7BA043}"/>
    <cellStyle name="Normal 21 2 3 2 4" xfId="58912" xr:uid="{9E2555F7-CC61-4DE1-BCAC-350018C9CFE9}"/>
    <cellStyle name="Normal 21 2 3 3" xfId="9660" xr:uid="{407688A3-E192-403C-9BEB-6C4E24EC9513}"/>
    <cellStyle name="Normal 21 2 3 3 2" xfId="25073" xr:uid="{398517CC-C7C4-4352-847F-5F589B1C34B3}"/>
    <cellStyle name="Normal 21 2 3 3 2 2" xfId="58917" xr:uid="{929CC59C-1A93-4926-B59A-36314169A3B2}"/>
    <cellStyle name="Normal 21 2 3 3 3" xfId="58916" xr:uid="{C4FBC5EE-F95E-4E12-9F4E-C5C65854BF85}"/>
    <cellStyle name="Normal 21 2 3 4" xfId="17368" xr:uid="{3381470F-2AEE-4659-B612-5AB403F42E4E}"/>
    <cellStyle name="Normal 21 2 3 4 2" xfId="58918" xr:uid="{55F1A6A2-8A65-48D0-BC05-34401E02F325}"/>
    <cellStyle name="Normal 21 2 3 5" xfId="58911" xr:uid="{9FA97832-636D-4FA8-8828-AA10D7FFD7C7}"/>
    <cellStyle name="Normal 21 2 4" xfId="4204" xr:uid="{C06FC1BE-620A-4DF0-9B6F-EBF9DCA0E54D}"/>
    <cellStyle name="Normal 21 2 4 2" xfId="11912" xr:uid="{EDE53BDC-56F1-4F41-B7EA-EED4EFE11821}"/>
    <cellStyle name="Normal 21 2 4 2 2" xfId="27324" xr:uid="{69E3E455-BD71-46DB-8CA7-2A9A0E6AF8BA}"/>
    <cellStyle name="Normal 21 2 4 2 2 2" xfId="58921" xr:uid="{B245D8A1-90D3-4CD5-A151-B1EBAC62BA73}"/>
    <cellStyle name="Normal 21 2 4 2 3" xfId="58920" xr:uid="{3ABD7EA6-C196-4A4B-BEFA-77DEB2234A9F}"/>
    <cellStyle name="Normal 21 2 4 3" xfId="19619" xr:uid="{B9D66B2D-3FFA-45B5-8D85-B4420DAFC5D8}"/>
    <cellStyle name="Normal 21 2 4 3 2" xfId="58922" xr:uid="{1C656AC9-4499-46E0-A94B-8C4DE74D42FF}"/>
    <cellStyle name="Normal 21 2 4 4" xfId="58919" xr:uid="{24E4080A-71B5-47A6-B9A9-66444B405B70}"/>
    <cellStyle name="Normal 21 2 5" xfId="8201" xr:uid="{02C0B3DF-F2BF-4AB5-A0E9-51CF61805C3B}"/>
    <cellStyle name="Normal 21 2 5 2" xfId="23614" xr:uid="{023659F5-81B8-41C1-9F25-98219433E63E}"/>
    <cellStyle name="Normal 21 2 5 2 2" xfId="58924" xr:uid="{531A917B-226F-4851-BA0D-49A7CD693CB1}"/>
    <cellStyle name="Normal 21 2 5 3" xfId="58923" xr:uid="{1E80139B-4B4C-4827-A087-A4ACC71FD0EA}"/>
    <cellStyle name="Normal 21 2 6" xfId="15909" xr:uid="{5BDF0605-0ADE-456B-9F5C-B56AA0E4976E}"/>
    <cellStyle name="Normal 21 2 6 2" xfId="58925" xr:uid="{771688E0-9622-4904-8AD9-7B7DFDDB85C7}"/>
    <cellStyle name="Normal 21 2 7" xfId="58894" xr:uid="{B5518AF8-20F1-4805-A1B1-BAAF4101FBA7}"/>
    <cellStyle name="Normal 21 3" xfId="919" xr:uid="{9BEBE870-9DA3-4795-B124-EEA875907A0D}"/>
    <cellStyle name="Normal 21 3 2" xfId="2389" xr:uid="{24C64170-6950-4495-900A-373470CE0494}"/>
    <cellStyle name="Normal 21 3 2 2" xfId="6121" xr:uid="{ACC2D7F4-689C-44EF-92B4-6E22F4B2FEF0}"/>
    <cellStyle name="Normal 21 3 2 2 2" xfId="13829" xr:uid="{06AB9F75-229A-453F-85D4-60DF7F5C6533}"/>
    <cellStyle name="Normal 21 3 2 2 2 2" xfId="29241" xr:uid="{FC1F2D73-542A-4A6D-8C08-89A85D01CE6C}"/>
    <cellStyle name="Normal 21 3 2 2 2 2 2" xfId="58930" xr:uid="{5AE9A629-09D6-4CE0-A4FD-CF0062D491A2}"/>
    <cellStyle name="Normal 21 3 2 2 2 3" xfId="58929" xr:uid="{599CC43F-D354-405B-8F3D-8E0F3A6A6856}"/>
    <cellStyle name="Normal 21 3 2 2 3" xfId="21536" xr:uid="{06524ACA-02B3-4B11-9715-C43884D3F9BD}"/>
    <cellStyle name="Normal 21 3 2 2 3 2" xfId="58931" xr:uid="{D8584565-6088-40F8-9489-0B6BBF8D7166}"/>
    <cellStyle name="Normal 21 3 2 2 4" xfId="58928" xr:uid="{E15032D9-02CC-4B0C-98AD-B3112ECF8748}"/>
    <cellStyle name="Normal 21 3 2 3" xfId="10100" xr:uid="{62A59D72-FCED-40AB-AE2C-4458FE5D5BCE}"/>
    <cellStyle name="Normal 21 3 2 3 2" xfId="25513" xr:uid="{F7CB46CD-C239-4597-B953-64C8EF6D8AFC}"/>
    <cellStyle name="Normal 21 3 2 3 2 2" xfId="58933" xr:uid="{E7BB3E6F-BBD0-418E-93B9-57136AC92DFF}"/>
    <cellStyle name="Normal 21 3 2 3 3" xfId="58932" xr:uid="{6839AA85-6805-471E-9FBE-7628E1352B26}"/>
    <cellStyle name="Normal 21 3 2 4" xfId="17808" xr:uid="{5AC3C13D-6782-4394-96A3-770C0A8E12B5}"/>
    <cellStyle name="Normal 21 3 2 4 2" xfId="58934" xr:uid="{3D6BBED5-34D3-4107-9D64-F813BC8355D7}"/>
    <cellStyle name="Normal 21 3 2 5" xfId="58927" xr:uid="{C755C575-8225-4A55-B171-4B318ADFD64F}"/>
    <cellStyle name="Normal 21 3 3" xfId="4656" xr:uid="{883E24F2-DBE6-45A7-8D38-D746045FF021}"/>
    <cellStyle name="Normal 21 3 3 2" xfId="12364" xr:uid="{29843F38-318A-4C65-B007-7C85A4F9638C}"/>
    <cellStyle name="Normal 21 3 3 2 2" xfId="27776" xr:uid="{4A0CA320-C142-4104-8EB8-173D538DE887}"/>
    <cellStyle name="Normal 21 3 3 2 2 2" xfId="58937" xr:uid="{3275DA1F-7BA3-4EA3-8560-F522BC426EA5}"/>
    <cellStyle name="Normal 21 3 3 2 3" xfId="58936" xr:uid="{F3B57F1F-7680-409D-A25D-95CB7B81771D}"/>
    <cellStyle name="Normal 21 3 3 3" xfId="20071" xr:uid="{74868CCC-2B35-4406-BD77-5B031D348592}"/>
    <cellStyle name="Normal 21 3 3 3 2" xfId="58938" xr:uid="{582B6D1C-4D92-4437-A0E3-590160922E74}"/>
    <cellStyle name="Normal 21 3 3 4" xfId="58935" xr:uid="{F3CCB420-181D-437C-8FCF-9541A21D53FC}"/>
    <cellStyle name="Normal 21 3 4" xfId="8641" xr:uid="{D90045BD-C56E-4C2D-8F43-65209F072E66}"/>
    <cellStyle name="Normal 21 3 4 2" xfId="24054" xr:uid="{6436C044-3740-4D26-9BB9-2546FA587ACB}"/>
    <cellStyle name="Normal 21 3 4 2 2" xfId="58940" xr:uid="{AF3598D6-0029-4F73-BF86-24A10EE5FF19}"/>
    <cellStyle name="Normal 21 3 4 3" xfId="58939" xr:uid="{F33EFF5A-48B5-4B36-9D22-70B2C3F4A2B4}"/>
    <cellStyle name="Normal 21 3 5" xfId="16349" xr:uid="{51066754-5EB6-4F3E-8020-842EDF03B4BD}"/>
    <cellStyle name="Normal 21 3 5 2" xfId="58941" xr:uid="{8227AC3E-4B78-4189-97C4-E6F299A35D9B}"/>
    <cellStyle name="Normal 21 3 6" xfId="58926" xr:uid="{650E3DD6-01A4-4E70-AF37-E24BF62E0EA3}"/>
    <cellStyle name="Normal 21 4" xfId="1751" xr:uid="{1F3E52CA-C9E3-45F0-8D08-9933B004538A}"/>
    <cellStyle name="Normal 21 4 2" xfId="5483" xr:uid="{21AF1145-54CF-4373-983E-B31D264F3FE8}"/>
    <cellStyle name="Normal 21 4 2 2" xfId="13191" xr:uid="{640C4516-3E11-41B4-9BB8-C49FAAEBA51A}"/>
    <cellStyle name="Normal 21 4 2 2 2" xfId="28603" xr:uid="{30C71DEF-5177-43DF-B021-65DEBA540DF2}"/>
    <cellStyle name="Normal 21 4 2 2 2 2" xfId="58945" xr:uid="{C95725EE-7DA7-4045-BF70-74D3EEAF7873}"/>
    <cellStyle name="Normal 21 4 2 2 3" xfId="58944" xr:uid="{77C6C19A-132E-4341-A144-7AD7AA4C1E95}"/>
    <cellStyle name="Normal 21 4 2 3" xfId="20898" xr:uid="{F5388429-A208-40D4-8B50-A619A0455419}"/>
    <cellStyle name="Normal 21 4 2 3 2" xfId="58946" xr:uid="{BA75A6E6-DB9C-44CC-8184-8C4E39750F5A}"/>
    <cellStyle name="Normal 21 4 2 4" xfId="58943" xr:uid="{9C4231B0-B292-4FCE-BF4D-39D894D411DC}"/>
    <cellStyle name="Normal 21 4 3" xfId="9462" xr:uid="{FC6D1F0F-30F8-4BD3-819D-F5D15D260BCF}"/>
    <cellStyle name="Normal 21 4 3 2" xfId="24875" xr:uid="{09525337-5398-42AE-91C7-12ED4049B5AA}"/>
    <cellStyle name="Normal 21 4 3 2 2" xfId="58948" xr:uid="{41EBC818-5EBC-43DF-9C86-D7BDB07CF87D}"/>
    <cellStyle name="Normal 21 4 3 3" xfId="58947" xr:uid="{A2793D3F-2B6F-41B5-8590-F64CB80E7BC9}"/>
    <cellStyle name="Normal 21 4 4" xfId="17170" xr:uid="{0A6ACCFE-A248-4269-A144-6ABD49BD338E}"/>
    <cellStyle name="Normal 21 4 4 2" xfId="58949" xr:uid="{FE24A88A-E5BD-44C3-A586-80EB2D1F2E5E}"/>
    <cellStyle name="Normal 21 4 5" xfId="58942" xr:uid="{60B24999-A4EA-40CF-A4D3-08F80F7B27AB}"/>
    <cellStyle name="Normal 21 5" xfId="4004" xr:uid="{8B0AC9A7-F896-4B52-B571-3F02C4AB371D}"/>
    <cellStyle name="Normal 21 5 2" xfId="11712" xr:uid="{BEADE48B-B3B7-466B-9A42-7B5ABFCA82C8}"/>
    <cellStyle name="Normal 21 5 2 2" xfId="27124" xr:uid="{010F47F3-DBBF-4F7C-8DFE-C56907C3D096}"/>
    <cellStyle name="Normal 21 5 2 2 2" xfId="58952" xr:uid="{2B71B9FC-92B0-410F-B894-EC2532DEE377}"/>
    <cellStyle name="Normal 21 5 2 3" xfId="58951" xr:uid="{8337CF28-D8AE-482E-ADB7-9D098377D6D5}"/>
    <cellStyle name="Normal 21 5 3" xfId="19419" xr:uid="{FB7E1C33-9EC6-4DC4-A2A3-37B8D0036F6F}"/>
    <cellStyle name="Normal 21 5 3 2" xfId="58953" xr:uid="{AB752CC7-EAD3-4E91-8B29-1FED8D881108}"/>
    <cellStyle name="Normal 21 5 4" xfId="58950" xr:uid="{FF594E43-B955-4D31-8D8F-4550B90FA69D}"/>
    <cellStyle name="Normal 21 6" xfId="8003" xr:uid="{5AE4F742-DC92-4D89-A271-8B08C462BEDA}"/>
    <cellStyle name="Normal 21 6 2" xfId="23416" xr:uid="{767C5416-FA46-4B23-A419-548752E3259F}"/>
    <cellStyle name="Normal 21 6 2 2" xfId="58955" xr:uid="{DECCA49D-47F4-42B6-AE1A-760672DB97E6}"/>
    <cellStyle name="Normal 21 6 3" xfId="58954" xr:uid="{A5E3E25C-B929-45A0-BB19-BEEA2306A3C3}"/>
    <cellStyle name="Normal 21 7" xfId="15711" xr:uid="{9EFAADC9-9CA1-41AF-BAC3-F67922278193}"/>
    <cellStyle name="Normal 21 7 2" xfId="58956" xr:uid="{F54720CB-80AA-4152-BEEC-A1D9E575EF4F}"/>
    <cellStyle name="Normal 21 8" xfId="58893" xr:uid="{78E1B893-86E8-4F71-A802-DBEA23DA4706}"/>
    <cellStyle name="Normal 22" xfId="279" xr:uid="{D6D3E215-101A-4692-B9FF-D34935C2EAFB}"/>
    <cellStyle name="Normal 22 2" xfId="482" xr:uid="{2AF84F09-1B14-40B5-804C-7275CB3891BD}"/>
    <cellStyle name="Normal 22 2 2" xfId="1143" xr:uid="{F95EC9ED-A6E6-4F88-AD3F-7297BFB829DF}"/>
    <cellStyle name="Normal 22 2 2 2" xfId="2611" xr:uid="{B5AB7178-DCD4-41B0-9728-BC3B0144496F}"/>
    <cellStyle name="Normal 22 2 2 2 2" xfId="6343" xr:uid="{3CFFD22C-5EFD-471B-8921-F48C152CECCA}"/>
    <cellStyle name="Normal 22 2 2 2 2 2" xfId="14051" xr:uid="{EFEAAF55-5613-484C-A0D3-5BFAE64D91AB}"/>
    <cellStyle name="Normal 22 2 2 2 2 2 2" xfId="29463" xr:uid="{C374DA4F-D910-4F13-9E32-351031860391}"/>
    <cellStyle name="Normal 22 2 2 2 2 2 2 2" xfId="58963" xr:uid="{15B1873F-194B-4220-9AAE-EF7393AC302D}"/>
    <cellStyle name="Normal 22 2 2 2 2 2 3" xfId="58962" xr:uid="{28640F1C-D2EE-495A-B44D-6AFB763A6110}"/>
    <cellStyle name="Normal 22 2 2 2 2 3" xfId="21758" xr:uid="{F81FA759-AA6C-49E7-9061-E12E7E96C599}"/>
    <cellStyle name="Normal 22 2 2 2 2 3 2" xfId="58964" xr:uid="{CB035797-4ABC-4A32-BE95-15BC27224166}"/>
    <cellStyle name="Normal 22 2 2 2 2 4" xfId="58961" xr:uid="{E796E71A-C5B0-45BF-9CA1-C2A30795D7F0}"/>
    <cellStyle name="Normal 22 2 2 2 3" xfId="10322" xr:uid="{CE547DCC-A584-471C-B0DA-FD6951420A71}"/>
    <cellStyle name="Normal 22 2 2 2 3 2" xfId="25735" xr:uid="{F91F0C64-3176-4AF6-9DB9-3CA490B4C282}"/>
    <cellStyle name="Normal 22 2 2 2 3 2 2" xfId="58966" xr:uid="{16D1936E-82D1-4346-9BDC-03F569685210}"/>
    <cellStyle name="Normal 22 2 2 2 3 3" xfId="58965" xr:uid="{2E30E0A1-2A09-46B3-BC5F-FC1BEBD8FC48}"/>
    <cellStyle name="Normal 22 2 2 2 4" xfId="18030" xr:uid="{350AC79A-1CF2-401E-966E-A32D06013BBB}"/>
    <cellStyle name="Normal 22 2 2 2 4 2" xfId="58967" xr:uid="{4F37F297-523D-4D0B-ADFC-B8AB09CD469D}"/>
    <cellStyle name="Normal 22 2 2 2 5" xfId="58960" xr:uid="{D51577E0-C34A-4430-AC51-2F15CAA80F2F}"/>
    <cellStyle name="Normal 22 2 2 3" xfId="4880" xr:uid="{B9F1853E-993E-4975-A2CE-8D78A57C2D52}"/>
    <cellStyle name="Normal 22 2 2 3 2" xfId="12588" xr:uid="{1A038AE0-68AB-4A3F-85D1-14FED7562600}"/>
    <cellStyle name="Normal 22 2 2 3 2 2" xfId="28000" xr:uid="{133B6996-8336-42F0-904F-56419483D7B7}"/>
    <cellStyle name="Normal 22 2 2 3 2 2 2" xfId="58970" xr:uid="{93761D8D-A291-4488-AF84-964D9AEFDD2A}"/>
    <cellStyle name="Normal 22 2 2 3 2 3" xfId="58969" xr:uid="{4973C357-1B7B-4AF9-B409-EF7E12282777}"/>
    <cellStyle name="Normal 22 2 2 3 3" xfId="20295" xr:uid="{1EBF3F42-00EB-4585-A2A4-46112A588802}"/>
    <cellStyle name="Normal 22 2 2 3 3 2" xfId="58971" xr:uid="{25F0A4E5-83AA-4EFF-98C9-DD584F4724F8}"/>
    <cellStyle name="Normal 22 2 2 3 4" xfId="58968" xr:uid="{C96CAC93-219E-41B4-B961-C3A35C97AB78}"/>
    <cellStyle name="Normal 22 2 2 4" xfId="8863" xr:uid="{73E1B86E-D68D-48A1-AD11-A16CE8540679}"/>
    <cellStyle name="Normal 22 2 2 4 2" xfId="24276" xr:uid="{D863286C-C5B2-4E9D-B4E1-5BEE6727A79C}"/>
    <cellStyle name="Normal 22 2 2 4 2 2" xfId="58973" xr:uid="{24429720-CB76-43B0-897B-D02F987653EC}"/>
    <cellStyle name="Normal 22 2 2 4 3" xfId="58972" xr:uid="{51DC3A12-2211-4D70-8CC1-ECE4B86C8B1E}"/>
    <cellStyle name="Normal 22 2 2 5" xfId="16571" xr:uid="{414FAA50-794E-4AA4-98DE-8102C52ADC98}"/>
    <cellStyle name="Normal 22 2 2 5 2" xfId="58974" xr:uid="{0CEB96AB-5D6C-4EB9-A598-615DADD2F8CD}"/>
    <cellStyle name="Normal 22 2 2 6" xfId="58959" xr:uid="{705DEE50-D99F-42C1-94AA-8EFAE1BD533A}"/>
    <cellStyle name="Normal 22 2 3" xfId="1973" xr:uid="{694BDC7F-2533-4236-95FD-79B7290F6FFE}"/>
    <cellStyle name="Normal 22 2 3 2" xfId="5705" xr:uid="{F1D49113-B6AF-43B5-844C-C23DAD5DA109}"/>
    <cellStyle name="Normal 22 2 3 2 2" xfId="13413" xr:uid="{7ADD7DFB-B56C-4832-93F6-A01F0247516F}"/>
    <cellStyle name="Normal 22 2 3 2 2 2" xfId="28825" xr:uid="{6FE8A5AA-932B-4A3A-8619-383D34B13C22}"/>
    <cellStyle name="Normal 22 2 3 2 2 2 2" xfId="58978" xr:uid="{7CC50B1A-755B-4411-A3B3-AD6F7484744C}"/>
    <cellStyle name="Normal 22 2 3 2 2 3" xfId="58977" xr:uid="{8F57FA56-F401-4749-A6BD-A56EE030CF1B}"/>
    <cellStyle name="Normal 22 2 3 2 3" xfId="21120" xr:uid="{94A2BE0C-6737-4253-A07A-2C6E5401CA64}"/>
    <cellStyle name="Normal 22 2 3 2 3 2" xfId="58979" xr:uid="{3EE497FE-2D5F-43B8-93F3-5609B0D693E5}"/>
    <cellStyle name="Normal 22 2 3 2 4" xfId="58976" xr:uid="{E252367D-A536-42A2-95BA-4454DB0D48F1}"/>
    <cellStyle name="Normal 22 2 3 3" xfId="9684" xr:uid="{AFAB854E-1312-4E3A-8AAE-7F1CE54CC9A6}"/>
    <cellStyle name="Normal 22 2 3 3 2" xfId="25097" xr:uid="{B8170949-C89C-4D28-84B0-052AA37E483F}"/>
    <cellStyle name="Normal 22 2 3 3 2 2" xfId="58981" xr:uid="{C1419D2F-E28F-4818-B972-4788629F90AD}"/>
    <cellStyle name="Normal 22 2 3 3 3" xfId="58980" xr:uid="{8A6B38BF-4F06-4620-950C-F544710DFFE1}"/>
    <cellStyle name="Normal 22 2 3 4" xfId="17392" xr:uid="{CDC055B0-371D-466B-AAD7-2576DC398EF7}"/>
    <cellStyle name="Normal 22 2 3 4 2" xfId="58982" xr:uid="{B3FE0D1E-FEB7-493A-9C33-25489DAADF48}"/>
    <cellStyle name="Normal 22 2 3 5" xfId="58975" xr:uid="{7997644C-7BAA-4B81-9F91-B37A32FD6951}"/>
    <cellStyle name="Normal 22 2 4" xfId="4228" xr:uid="{B5847BE6-186C-42B6-9A2B-8CCAD59F3936}"/>
    <cellStyle name="Normal 22 2 4 2" xfId="11936" xr:uid="{7CC05B91-4379-46C1-B9FB-17557AA45E54}"/>
    <cellStyle name="Normal 22 2 4 2 2" xfId="27348" xr:uid="{DF9A3ED2-912A-4961-851D-594358C24190}"/>
    <cellStyle name="Normal 22 2 4 2 2 2" xfId="58985" xr:uid="{316DEF9F-F455-4B59-9008-CACABAB3B8F4}"/>
    <cellStyle name="Normal 22 2 4 2 3" xfId="58984" xr:uid="{45D65E17-E3B3-40ED-B23F-4A4AF282A1CA}"/>
    <cellStyle name="Normal 22 2 4 3" xfId="19643" xr:uid="{D0B0D7C3-A538-4D85-B307-A7A5FF2644C0}"/>
    <cellStyle name="Normal 22 2 4 3 2" xfId="58986" xr:uid="{B73A71B6-DB99-48DD-AEE6-6087AE42C807}"/>
    <cellStyle name="Normal 22 2 4 4" xfId="58983" xr:uid="{B9EA0E93-6024-459D-930C-FEC01B96937E}"/>
    <cellStyle name="Normal 22 2 5" xfId="8225" xr:uid="{6B4C1A25-A5F4-4CFB-A66C-0C29D4A67029}"/>
    <cellStyle name="Normal 22 2 5 2" xfId="23638" xr:uid="{3B15087A-F981-4F34-8FCE-C4F70A1B3B5A}"/>
    <cellStyle name="Normal 22 2 5 2 2" xfId="58988" xr:uid="{A76528D8-4DB4-4707-A0E5-D04974D7BE22}"/>
    <cellStyle name="Normal 22 2 5 3" xfId="58987" xr:uid="{82BDE216-26ED-4B3F-A2EA-549916B2AC64}"/>
    <cellStyle name="Normal 22 2 6" xfId="15933" xr:uid="{2D9D9F35-0689-4138-ADF9-BFA6B3D61B88}"/>
    <cellStyle name="Normal 22 2 6 2" xfId="58989" xr:uid="{A0B4F120-9B3B-45E2-B8C7-1F5802384C4E}"/>
    <cellStyle name="Normal 22 2 7" xfId="58958" xr:uid="{4A12FAD6-FBD3-47E7-A0A1-480BA4CBBC2B}"/>
    <cellStyle name="Normal 22 3" xfId="943" xr:uid="{6D279AC6-D248-4BA7-A5B4-A2B640607050}"/>
    <cellStyle name="Normal 22 3 2" xfId="2413" xr:uid="{1DBFDEBE-3C24-4CD4-9BE5-6B4EE41CE125}"/>
    <cellStyle name="Normal 22 3 2 2" xfId="6145" xr:uid="{E9E237AD-8841-4AAC-933E-C06E7CFB96BC}"/>
    <cellStyle name="Normal 22 3 2 2 2" xfId="13853" xr:uid="{A33E61E9-3951-4FE1-97AA-2E6FB2575E26}"/>
    <cellStyle name="Normal 22 3 2 2 2 2" xfId="29265" xr:uid="{775E896C-F64C-4AF7-A5FA-8B65A57FA627}"/>
    <cellStyle name="Normal 22 3 2 2 2 2 2" xfId="58994" xr:uid="{9AB8E11A-E85C-49D8-89ED-56BA7631FA4D}"/>
    <cellStyle name="Normal 22 3 2 2 2 3" xfId="58993" xr:uid="{2484B774-48B9-4950-9A74-AD3025DF230A}"/>
    <cellStyle name="Normal 22 3 2 2 3" xfId="21560" xr:uid="{F42171DF-4C27-4F93-8234-74DB58E914E0}"/>
    <cellStyle name="Normal 22 3 2 2 3 2" xfId="58995" xr:uid="{A6472C8B-6EB1-4D11-880A-EF8390FCCDDD}"/>
    <cellStyle name="Normal 22 3 2 2 4" xfId="58992" xr:uid="{8452F1B3-FAE9-492F-8E77-D9A68AB43842}"/>
    <cellStyle name="Normal 22 3 2 3" xfId="10124" xr:uid="{D1195F6F-7324-444A-BADF-3A5CA07FE3C4}"/>
    <cellStyle name="Normal 22 3 2 3 2" xfId="25537" xr:uid="{115A782A-86E5-44E1-B893-3E06B204B08A}"/>
    <cellStyle name="Normal 22 3 2 3 2 2" xfId="58997" xr:uid="{98C75A58-0B21-4F1E-B11D-66D89968E4F0}"/>
    <cellStyle name="Normal 22 3 2 3 3" xfId="58996" xr:uid="{23EF9CAA-FF9B-4C53-85D1-9EBB98F71365}"/>
    <cellStyle name="Normal 22 3 2 4" xfId="17832" xr:uid="{879002D9-5467-4738-B5F2-DE65FDCE1F07}"/>
    <cellStyle name="Normal 22 3 2 4 2" xfId="58998" xr:uid="{39006EFE-6D61-428F-8781-2F7F271CA931}"/>
    <cellStyle name="Normal 22 3 2 5" xfId="58991" xr:uid="{317FC5D0-761F-40AB-87AC-5692C5097D0A}"/>
    <cellStyle name="Normal 22 3 3" xfId="4680" xr:uid="{2708E86E-F7C7-4A45-89A4-76374300F709}"/>
    <cellStyle name="Normal 22 3 3 2" xfId="12388" xr:uid="{DA838383-20B1-4A6E-A0E0-60EB2EC3C19A}"/>
    <cellStyle name="Normal 22 3 3 2 2" xfId="27800" xr:uid="{8B179C97-04F0-4F0C-87BE-D3F5489D1240}"/>
    <cellStyle name="Normal 22 3 3 2 2 2" xfId="59001" xr:uid="{B88E6B9A-ECF8-427E-8724-C08E0EE406F8}"/>
    <cellStyle name="Normal 22 3 3 2 3" xfId="59000" xr:uid="{AD52B8DF-8A39-4542-96B0-A1F143BDC5D4}"/>
    <cellStyle name="Normal 22 3 3 3" xfId="20095" xr:uid="{360EB0BA-1D8F-43C3-A8F0-0B98EFE55DC6}"/>
    <cellStyle name="Normal 22 3 3 3 2" xfId="59002" xr:uid="{8375981A-F964-4F40-9303-1735A984E5BC}"/>
    <cellStyle name="Normal 22 3 3 4" xfId="58999" xr:uid="{774C66DB-06B5-4A3B-9FE5-DC442306F4C0}"/>
    <cellStyle name="Normal 22 3 4" xfId="8665" xr:uid="{A8CFCAA7-A656-4383-AE8B-1E12050D8B5D}"/>
    <cellStyle name="Normal 22 3 4 2" xfId="24078" xr:uid="{5E26AE14-2184-4139-9857-7CC395E9A976}"/>
    <cellStyle name="Normal 22 3 4 2 2" xfId="59004" xr:uid="{02114637-B4FC-497E-A6C8-6C058ADF8601}"/>
    <cellStyle name="Normal 22 3 4 3" xfId="59003" xr:uid="{65A6F773-C42A-4FA3-A65E-57034114F98F}"/>
    <cellStyle name="Normal 22 3 5" xfId="16373" xr:uid="{6480991D-1795-4665-B8AC-4128E5C76E0D}"/>
    <cellStyle name="Normal 22 3 5 2" xfId="59005" xr:uid="{2A6B7B3B-7E1E-4947-BE0C-E7F6475DF3EB}"/>
    <cellStyle name="Normal 22 3 6" xfId="58990" xr:uid="{64F6E1BA-266C-4F47-A1FD-4F1B7E544D68}"/>
    <cellStyle name="Normal 22 4" xfId="1775" xr:uid="{6062898E-C713-4F4A-8ED4-F61DC4880A04}"/>
    <cellStyle name="Normal 22 4 2" xfId="5507" xr:uid="{2FDE59DC-55C2-44B4-A3EF-0690E96708D3}"/>
    <cellStyle name="Normal 22 4 2 2" xfId="13215" xr:uid="{A3E70B5E-0CD9-496F-85E5-1C8D479E467E}"/>
    <cellStyle name="Normal 22 4 2 2 2" xfId="28627" xr:uid="{F31527C4-AC4C-4441-B088-968D11AF7276}"/>
    <cellStyle name="Normal 22 4 2 2 2 2" xfId="59009" xr:uid="{E49CDE75-D893-456C-8D52-6FA3E8E59D57}"/>
    <cellStyle name="Normal 22 4 2 2 3" xfId="59008" xr:uid="{185C7F71-631E-4923-BCBC-6FD2BFDC7E59}"/>
    <cellStyle name="Normal 22 4 2 3" xfId="20922" xr:uid="{0B55C9E0-4D70-4DE8-AACE-6EB5AC87554A}"/>
    <cellStyle name="Normal 22 4 2 3 2" xfId="59010" xr:uid="{61109AEF-DC46-4F83-B8A8-80B4FA5FCF4A}"/>
    <cellStyle name="Normal 22 4 2 4" xfId="59007" xr:uid="{5A94CC00-ED24-4BF5-9D78-414B5F70B735}"/>
    <cellStyle name="Normal 22 4 3" xfId="9486" xr:uid="{B8DCF89E-599B-4C38-A99D-C6FE31984A95}"/>
    <cellStyle name="Normal 22 4 3 2" xfId="24899" xr:uid="{62CD26A8-D126-4144-A8A9-03C996E8651C}"/>
    <cellStyle name="Normal 22 4 3 2 2" xfId="59012" xr:uid="{EAB8E1F8-606E-4392-939E-400BD1016EBC}"/>
    <cellStyle name="Normal 22 4 3 3" xfId="59011" xr:uid="{3AD5F8B8-E213-4145-8623-263140E9C91F}"/>
    <cellStyle name="Normal 22 4 4" xfId="17194" xr:uid="{E5DD7C57-7E73-40EF-BFF4-80795B6B8784}"/>
    <cellStyle name="Normal 22 4 4 2" xfId="59013" xr:uid="{DF2BD35C-2428-4CAE-8896-B4238FA1A54A}"/>
    <cellStyle name="Normal 22 4 5" xfId="59006" xr:uid="{3366A7FB-BCA9-4D93-864B-9A522ED4E6FD}"/>
    <cellStyle name="Normal 22 5" xfId="4028" xr:uid="{540DC20F-53F0-44E8-B681-E2445F85B520}"/>
    <cellStyle name="Normal 22 5 2" xfId="11736" xr:uid="{0583B049-C837-4C4B-88BF-49D210918661}"/>
    <cellStyle name="Normal 22 5 2 2" xfId="27148" xr:uid="{E1A289A3-3515-4D6F-96B4-C696EE7DD7BB}"/>
    <cellStyle name="Normal 22 5 2 2 2" xfId="59016" xr:uid="{A34623D6-2698-4D40-8E5A-4EAE8FAB2C7A}"/>
    <cellStyle name="Normal 22 5 2 3" xfId="59015" xr:uid="{26E95867-8BE6-424D-A079-A545C89E2CB8}"/>
    <cellStyle name="Normal 22 5 3" xfId="19443" xr:uid="{38EF3C8A-8A49-472D-A8C7-75AE172E4DD3}"/>
    <cellStyle name="Normal 22 5 3 2" xfId="59017" xr:uid="{78DFF83E-8832-4C55-B0CA-3471F4B12EEC}"/>
    <cellStyle name="Normal 22 5 4" xfId="59014" xr:uid="{20386FE0-0193-4974-86B7-84CE81228204}"/>
    <cellStyle name="Normal 22 6" xfId="8027" xr:uid="{75B8F2C0-161A-4CED-A4CF-1DA425E2CDE5}"/>
    <cellStyle name="Normal 22 6 2" xfId="23440" xr:uid="{0E3A9646-AEF9-4C7A-93F1-4B9DC285C679}"/>
    <cellStyle name="Normal 22 6 2 2" xfId="59019" xr:uid="{43819934-3415-44FF-BAEB-81FA27DD99F2}"/>
    <cellStyle name="Normal 22 6 3" xfId="59018" xr:uid="{FBEDCBD7-B8CF-48E4-B0FA-FCDB0DA783B6}"/>
    <cellStyle name="Normal 22 7" xfId="15735" xr:uid="{31AA3C95-DB87-4E92-83D8-5ADE59BD44D3}"/>
    <cellStyle name="Normal 22 7 2" xfId="59020" xr:uid="{7CE7DD10-46AA-4FA8-8026-F36C4D7A238F}"/>
    <cellStyle name="Normal 22 8" xfId="58957" xr:uid="{CA39F24B-5B1A-4A2B-8248-551309B7A2CC}"/>
    <cellStyle name="Normal 23" xfId="299" xr:uid="{678C4798-1FBF-4954-80B7-263DE2425874}"/>
    <cellStyle name="Normal 23 2" xfId="502" xr:uid="{249930AE-1C60-4F46-BB90-79D3761DCA9E}"/>
    <cellStyle name="Normal 23 2 2" xfId="1163" xr:uid="{FA15AD9E-6C6A-4087-8F31-9BF7E65980C4}"/>
    <cellStyle name="Normal 23 2 2 2" xfId="2631" xr:uid="{6FBDBD18-ED31-4C38-B089-342476F8A017}"/>
    <cellStyle name="Normal 23 2 2 2 2" xfId="6363" xr:uid="{DFE9B9EA-D49A-46DB-93F6-D45198C96E9D}"/>
    <cellStyle name="Normal 23 2 2 2 2 2" xfId="14071" xr:uid="{E40EB660-5BC6-4A4C-90CC-895E1B5FC0E4}"/>
    <cellStyle name="Normal 23 2 2 2 2 2 2" xfId="29483" xr:uid="{4FDE1C3D-848B-42E2-84C0-C594E52252F1}"/>
    <cellStyle name="Normal 23 2 2 2 2 2 2 2" xfId="59027" xr:uid="{97FE4004-0388-4BA6-9955-C48AC742C02D}"/>
    <cellStyle name="Normal 23 2 2 2 2 2 3" xfId="59026" xr:uid="{25F6530C-DC49-4D6D-B6C2-B52CF9A2A085}"/>
    <cellStyle name="Normal 23 2 2 2 2 3" xfId="21778" xr:uid="{D3526CA0-58D3-406E-9A57-DB387846FE5D}"/>
    <cellStyle name="Normal 23 2 2 2 2 3 2" xfId="59028" xr:uid="{78F65285-4EE3-4E5D-87BF-00604F786EC7}"/>
    <cellStyle name="Normal 23 2 2 2 2 4" xfId="59025" xr:uid="{67E37732-D1CA-4CE8-831E-C3B50FBCFD5F}"/>
    <cellStyle name="Normal 23 2 2 2 3" xfId="10342" xr:uid="{6B04D892-7E51-4440-9140-9F0F06E17084}"/>
    <cellStyle name="Normal 23 2 2 2 3 2" xfId="25755" xr:uid="{897275A0-0341-42FC-B0DB-9F119B6F18B8}"/>
    <cellStyle name="Normal 23 2 2 2 3 2 2" xfId="59030" xr:uid="{DD52AEE0-EB66-47DD-99DA-64E502CD8F96}"/>
    <cellStyle name="Normal 23 2 2 2 3 3" xfId="59029" xr:uid="{377B194E-FA67-45E5-866A-7D2B436FEB3F}"/>
    <cellStyle name="Normal 23 2 2 2 4" xfId="18050" xr:uid="{F2302C0D-04ED-4B5E-B752-0AB8C776701D}"/>
    <cellStyle name="Normal 23 2 2 2 4 2" xfId="59031" xr:uid="{6FEF4990-8B3D-4033-82DA-4F03ABF9E32B}"/>
    <cellStyle name="Normal 23 2 2 2 5" xfId="59024" xr:uid="{0D94B0D9-8770-4ABA-9BE6-59ED7A9B496A}"/>
    <cellStyle name="Normal 23 2 2 3" xfId="4900" xr:uid="{449C0081-335F-4AE6-8011-0619DC494475}"/>
    <cellStyle name="Normal 23 2 2 3 2" xfId="12608" xr:uid="{2A1C162F-FDD7-417E-A3C0-6FAE312FF178}"/>
    <cellStyle name="Normal 23 2 2 3 2 2" xfId="28020" xr:uid="{25A5CDE5-2AF0-4056-B7C1-CEC6736120A4}"/>
    <cellStyle name="Normal 23 2 2 3 2 2 2" xfId="59034" xr:uid="{5BAEA954-6199-4412-BC55-5593136D28EF}"/>
    <cellStyle name="Normal 23 2 2 3 2 3" xfId="59033" xr:uid="{699F366D-2F96-4CB5-B22C-35A783531687}"/>
    <cellStyle name="Normal 23 2 2 3 3" xfId="20315" xr:uid="{8D595C5B-92D7-4550-BC60-0D860D07B9A8}"/>
    <cellStyle name="Normal 23 2 2 3 3 2" xfId="59035" xr:uid="{27B1A6DE-0561-4058-A078-8C18DC719F72}"/>
    <cellStyle name="Normal 23 2 2 3 4" xfId="59032" xr:uid="{A430D896-59DD-41AF-955B-141E6FA0E3FF}"/>
    <cellStyle name="Normal 23 2 2 4" xfId="8883" xr:uid="{6AD390FA-221D-49C9-8C1E-F02C932C47EE}"/>
    <cellStyle name="Normal 23 2 2 4 2" xfId="24296" xr:uid="{0C0F209C-98E4-4D62-922C-B40FC65E59E7}"/>
    <cellStyle name="Normal 23 2 2 4 2 2" xfId="59037" xr:uid="{DBFE3BF2-1411-46ED-AA7D-AAD536DC5636}"/>
    <cellStyle name="Normal 23 2 2 4 3" xfId="59036" xr:uid="{74122FE7-59E5-4585-85B1-625382B82D5D}"/>
    <cellStyle name="Normal 23 2 2 5" xfId="16591" xr:uid="{41AE4D32-D2F6-4357-9EA6-6195B0EA666F}"/>
    <cellStyle name="Normal 23 2 2 5 2" xfId="59038" xr:uid="{C1BD32D2-382E-4858-BA9B-48D948468245}"/>
    <cellStyle name="Normal 23 2 2 6" xfId="59023" xr:uid="{DFE50C09-0D9B-4670-A5FB-E5FC80EE6960}"/>
    <cellStyle name="Normal 23 2 3" xfId="1993" xr:uid="{420C2654-13A0-434A-BF17-250A7DFC83D1}"/>
    <cellStyle name="Normal 23 2 3 2" xfId="5725" xr:uid="{71CD4665-FBF7-49E2-9CAB-66339DF5C05F}"/>
    <cellStyle name="Normal 23 2 3 2 2" xfId="13433" xr:uid="{FC3C7C0E-FF05-4EF3-949C-EC68C80CDAEE}"/>
    <cellStyle name="Normal 23 2 3 2 2 2" xfId="28845" xr:uid="{C1047FF3-6F61-4E89-A623-9686870EC9F3}"/>
    <cellStyle name="Normal 23 2 3 2 2 2 2" xfId="59042" xr:uid="{3A3C291D-2951-4B18-998A-15B80608D19C}"/>
    <cellStyle name="Normal 23 2 3 2 2 3" xfId="59041" xr:uid="{19B0006D-EBC9-4875-95F6-306286435984}"/>
    <cellStyle name="Normal 23 2 3 2 3" xfId="21140" xr:uid="{2786D006-D49C-4502-9DC8-6F89950A247A}"/>
    <cellStyle name="Normal 23 2 3 2 3 2" xfId="59043" xr:uid="{5FC7C12E-5DE3-4AD9-9300-97A68A0E9C84}"/>
    <cellStyle name="Normal 23 2 3 2 4" xfId="59040" xr:uid="{0F6DDCE9-26E0-4C61-9572-28EB065B3012}"/>
    <cellStyle name="Normal 23 2 3 3" xfId="9704" xr:uid="{0C66340B-5E4D-4DD1-A8CC-8EA7CC3C4816}"/>
    <cellStyle name="Normal 23 2 3 3 2" xfId="25117" xr:uid="{87C65E89-D435-4B20-B811-B9ADD45BF05D}"/>
    <cellStyle name="Normal 23 2 3 3 2 2" xfId="59045" xr:uid="{B04ED3FC-770F-4A56-A09E-7E8C50D83289}"/>
    <cellStyle name="Normal 23 2 3 3 3" xfId="59044" xr:uid="{867EF388-553D-44A6-A263-B7FFD7D177E9}"/>
    <cellStyle name="Normal 23 2 3 4" xfId="17412" xr:uid="{AC1A2082-7F46-473D-ACF3-B529E2CBC5EE}"/>
    <cellStyle name="Normal 23 2 3 4 2" xfId="59046" xr:uid="{06932A8C-4609-44D9-8E94-8C0757043101}"/>
    <cellStyle name="Normal 23 2 3 5" xfId="59039" xr:uid="{A35051E3-25EC-41CF-8A0A-C82887CE1C65}"/>
    <cellStyle name="Normal 23 2 4" xfId="4248" xr:uid="{5F7E2C1E-126E-429F-9B9C-6D36D84C79A2}"/>
    <cellStyle name="Normal 23 2 4 2" xfId="11956" xr:uid="{B00850F3-4E45-4B77-B8DB-76E3F33BE557}"/>
    <cellStyle name="Normal 23 2 4 2 2" xfId="27368" xr:uid="{7D2EEE80-60BF-4723-8F72-27459E30A8F5}"/>
    <cellStyle name="Normal 23 2 4 2 2 2" xfId="59049" xr:uid="{A12DBA2F-91F8-4678-876B-3A82DCE78103}"/>
    <cellStyle name="Normal 23 2 4 2 3" xfId="59048" xr:uid="{2D0A9EFD-BED3-4326-ACA3-5BD8AC18D928}"/>
    <cellStyle name="Normal 23 2 4 3" xfId="19663" xr:uid="{83EE1D07-FA7D-4B5F-8DC5-E8070BDFDAD8}"/>
    <cellStyle name="Normal 23 2 4 3 2" xfId="59050" xr:uid="{89EE294E-AC47-4111-8FD5-0B69837E7617}"/>
    <cellStyle name="Normal 23 2 4 4" xfId="59047" xr:uid="{ACABD2A5-265B-4756-881A-C6FA791C813A}"/>
    <cellStyle name="Normal 23 2 5" xfId="8245" xr:uid="{12F1780D-1C12-42BE-AD98-648FC4E26382}"/>
    <cellStyle name="Normal 23 2 5 2" xfId="23658" xr:uid="{032BD853-26A0-4BC0-8544-1DAD6624142D}"/>
    <cellStyle name="Normal 23 2 5 2 2" xfId="59052" xr:uid="{F31B1599-BF98-44C7-8F9B-B72E726D3555}"/>
    <cellStyle name="Normal 23 2 5 3" xfId="59051" xr:uid="{81AAE8A2-5D25-4CA0-BB1E-973C970D3127}"/>
    <cellStyle name="Normal 23 2 6" xfId="15953" xr:uid="{DE3DA899-563B-4E67-B1F6-574DDA05F0B7}"/>
    <cellStyle name="Normal 23 2 6 2" xfId="59053" xr:uid="{CBF6074D-4AF9-45C9-AB0D-3E100A4EA53C}"/>
    <cellStyle name="Normal 23 2 7" xfId="59022" xr:uid="{7857A2C4-416F-4EA1-8318-45EDF1185E13}"/>
    <cellStyle name="Normal 23 3" xfId="963" xr:uid="{39B2D36A-20CD-42FD-9ACC-7267F0F5CD64}"/>
    <cellStyle name="Normal 23 3 2" xfId="2433" xr:uid="{3412C9A3-8452-4B32-80CA-2E0407599DD1}"/>
    <cellStyle name="Normal 23 3 2 2" xfId="6165" xr:uid="{B517EFD4-9E91-4865-B322-4048B557BAA3}"/>
    <cellStyle name="Normal 23 3 2 2 2" xfId="13873" xr:uid="{2CB494A7-2B79-4CA9-93D3-D645FB5A3026}"/>
    <cellStyle name="Normal 23 3 2 2 2 2" xfId="29285" xr:uid="{1E56FE5F-2FBB-4EC9-A3F2-A9ECC546793A}"/>
    <cellStyle name="Normal 23 3 2 2 2 2 2" xfId="59058" xr:uid="{F4FB55B8-A295-4F8F-AD71-A72A2019D172}"/>
    <cellStyle name="Normal 23 3 2 2 2 3" xfId="59057" xr:uid="{3D6C0BBC-93C0-4D30-929F-AF422B955A26}"/>
    <cellStyle name="Normal 23 3 2 2 3" xfId="21580" xr:uid="{E58CC33F-4FCE-4E98-953E-10A923A8B187}"/>
    <cellStyle name="Normal 23 3 2 2 3 2" xfId="59059" xr:uid="{6F242C89-DC33-4D98-B194-E6A22D8AD77D}"/>
    <cellStyle name="Normal 23 3 2 2 4" xfId="59056" xr:uid="{D95B9D3A-01D9-49F9-9E44-9434826C0736}"/>
    <cellStyle name="Normal 23 3 2 3" xfId="10144" xr:uid="{97D33929-659E-4E0C-8ADF-60BEC5E0B4E6}"/>
    <cellStyle name="Normal 23 3 2 3 2" xfId="25557" xr:uid="{5056061F-5B9A-48F4-A1DF-3B712AC5D54D}"/>
    <cellStyle name="Normal 23 3 2 3 2 2" xfId="59061" xr:uid="{0AC25568-6766-486C-AF69-F546147E4BB4}"/>
    <cellStyle name="Normal 23 3 2 3 3" xfId="59060" xr:uid="{12AB0A1D-ED20-4E03-A161-2495DB13C2B5}"/>
    <cellStyle name="Normal 23 3 2 4" xfId="17852" xr:uid="{314638B6-8C7C-4665-BE46-70C06EA8881A}"/>
    <cellStyle name="Normal 23 3 2 4 2" xfId="59062" xr:uid="{7CAF2615-B58A-4A9E-AE85-5661BA56F2BA}"/>
    <cellStyle name="Normal 23 3 2 5" xfId="59055" xr:uid="{B082C9E9-E7B1-428E-A129-6EC6228BF6FA}"/>
    <cellStyle name="Normal 23 3 3" xfId="4700" xr:uid="{94D9EA5D-CB6E-42CE-BC7A-88E5D80DDD3D}"/>
    <cellStyle name="Normal 23 3 3 2" xfId="12408" xr:uid="{4B67E35A-694A-46A0-8B09-FF3D27E8C9E0}"/>
    <cellStyle name="Normal 23 3 3 2 2" xfId="27820" xr:uid="{144AAECB-B32E-4E0D-BD81-43D7C8A6C1CB}"/>
    <cellStyle name="Normal 23 3 3 2 2 2" xfId="59065" xr:uid="{17985EB7-AE1D-4851-85B8-5B5B130C027E}"/>
    <cellStyle name="Normal 23 3 3 2 3" xfId="59064" xr:uid="{42AC1AB9-8B11-4BE5-9AAC-AE6412A9BB95}"/>
    <cellStyle name="Normal 23 3 3 3" xfId="20115" xr:uid="{5B5C5E35-255F-411E-99A5-F551BA5C9255}"/>
    <cellStyle name="Normal 23 3 3 3 2" xfId="59066" xr:uid="{C783205E-F6D1-4943-A218-5F4F8A8D7DA5}"/>
    <cellStyle name="Normal 23 3 3 4" xfId="59063" xr:uid="{A7CA1B03-55D0-4273-A5A5-FF3D48A20D23}"/>
    <cellStyle name="Normal 23 3 4" xfId="8685" xr:uid="{E11A2369-83D4-4532-BE70-54E8CABDFC93}"/>
    <cellStyle name="Normal 23 3 4 2" xfId="24098" xr:uid="{3006998C-01F4-4C8B-8E4E-A4BEF323BD53}"/>
    <cellStyle name="Normal 23 3 4 2 2" xfId="59068" xr:uid="{8086A144-04BA-4520-AE37-41B67A8D6A69}"/>
    <cellStyle name="Normal 23 3 4 3" xfId="59067" xr:uid="{9CDEA539-A163-4C4D-A35F-C4E81C2FB06F}"/>
    <cellStyle name="Normal 23 3 5" xfId="16393" xr:uid="{E92E09E3-6BA9-4B40-A018-4EA598D3EEC6}"/>
    <cellStyle name="Normal 23 3 5 2" xfId="59069" xr:uid="{2A224DBC-CC3E-4BA4-A94F-093B49594A8F}"/>
    <cellStyle name="Normal 23 3 6" xfId="59054" xr:uid="{FC605F9E-8460-4C3F-972F-52263E762D7A}"/>
    <cellStyle name="Normal 23 4" xfId="1795" xr:uid="{2DF8D952-5CD3-4484-B803-BFF52CF6CB24}"/>
    <cellStyle name="Normal 23 4 2" xfId="5527" xr:uid="{8EAB7D77-5693-4263-926A-5EA42FDC2D8F}"/>
    <cellStyle name="Normal 23 4 2 2" xfId="13235" xr:uid="{FB700847-5CB0-4039-BF4F-8E4F6EE93458}"/>
    <cellStyle name="Normal 23 4 2 2 2" xfId="28647" xr:uid="{D4ECEE7F-794E-4C39-928E-3417FFD87593}"/>
    <cellStyle name="Normal 23 4 2 2 2 2" xfId="59073" xr:uid="{3E89FF7D-83DB-46E0-9A18-EC4737D4A217}"/>
    <cellStyle name="Normal 23 4 2 2 3" xfId="59072" xr:uid="{F2256783-F213-483B-B0B7-C03A841983B2}"/>
    <cellStyle name="Normal 23 4 2 3" xfId="20942" xr:uid="{31B8E0D3-4528-49FE-917C-418F9CD5D2D4}"/>
    <cellStyle name="Normal 23 4 2 3 2" xfId="59074" xr:uid="{072EADC3-0121-4B56-AAFB-0BCE1C093EA2}"/>
    <cellStyle name="Normal 23 4 2 4" xfId="59071" xr:uid="{3349F059-8BAF-453D-AF91-EA123AE92442}"/>
    <cellStyle name="Normal 23 4 3" xfId="9506" xr:uid="{B64A5F2B-5400-41F6-B252-BCCBB907A982}"/>
    <cellStyle name="Normal 23 4 3 2" xfId="24919" xr:uid="{83B1E9CD-34D6-4C53-ABB1-0CDE2D977298}"/>
    <cellStyle name="Normal 23 4 3 2 2" xfId="59076" xr:uid="{F62F2E4D-DD65-4A8C-8ADA-9DA9475268F6}"/>
    <cellStyle name="Normal 23 4 3 3" xfId="59075" xr:uid="{FC5CCA42-5123-45D1-9A63-B0C4325A84B9}"/>
    <cellStyle name="Normal 23 4 4" xfId="17214" xr:uid="{BB9F7DC3-6AA4-49A9-AEDE-E32C16E0AECD}"/>
    <cellStyle name="Normal 23 4 4 2" xfId="59077" xr:uid="{F6D61F16-B8FE-4097-A567-D6233AE388C8}"/>
    <cellStyle name="Normal 23 4 5" xfId="59070" xr:uid="{647D8550-2C3E-4217-907D-A8B26E13627C}"/>
    <cellStyle name="Normal 23 5" xfId="4048" xr:uid="{96A0D6D3-1304-46AF-8554-815206186375}"/>
    <cellStyle name="Normal 23 5 2" xfId="11756" xr:uid="{CEB0B90A-CCCF-42F8-A5E2-20F87F0355CF}"/>
    <cellStyle name="Normal 23 5 2 2" xfId="27168" xr:uid="{352F0BA3-A3CF-41ED-BBB8-4B86D95604E2}"/>
    <cellStyle name="Normal 23 5 2 2 2" xfId="59080" xr:uid="{6C31125A-AB6D-4BB1-8486-976D0FB772EA}"/>
    <cellStyle name="Normal 23 5 2 3" xfId="59079" xr:uid="{23D1A582-1DC5-4AFA-98C0-3E2CA922BCB4}"/>
    <cellStyle name="Normal 23 5 3" xfId="19463" xr:uid="{099158DA-8055-4FEC-A730-B3E060D9D457}"/>
    <cellStyle name="Normal 23 5 3 2" xfId="59081" xr:uid="{D3971D0E-D0D9-431D-9518-A98E2BC6830C}"/>
    <cellStyle name="Normal 23 5 4" xfId="59078" xr:uid="{B4A281A9-5BC3-41F3-99D5-7ED8834B7304}"/>
    <cellStyle name="Normal 23 6" xfId="8047" xr:uid="{994B549A-0769-4354-A620-36BB56BC496E}"/>
    <cellStyle name="Normal 23 6 2" xfId="23460" xr:uid="{5752740B-6E66-4FCB-8044-2F920F5A3E02}"/>
    <cellStyle name="Normal 23 6 2 2" xfId="59083" xr:uid="{9F44994C-842C-427F-9BC3-1DF021507395}"/>
    <cellStyle name="Normal 23 6 3" xfId="59082" xr:uid="{63B890E6-B620-47FA-A3CC-C7F0256A2ABD}"/>
    <cellStyle name="Normal 23 7" xfId="15755" xr:uid="{9B259AD7-7CE2-4ED7-A7A3-60D72447C792}"/>
    <cellStyle name="Normal 23 7 2" xfId="59084" xr:uid="{4EEB3C76-7A7C-4E01-8418-F62C9CFF7876}"/>
    <cellStyle name="Normal 23 8" xfId="59021" xr:uid="{48287B61-017E-4D94-AC6D-AA35D1DD21C5}"/>
    <cellStyle name="Normal 24" xfId="338" xr:uid="{F9420E72-D6D2-4441-A4C9-F6831BA3B1B0}"/>
    <cellStyle name="Normal 25" xfId="319" xr:uid="{1F504A1F-3791-47A8-9EF6-9C5F24F16A66}"/>
    <cellStyle name="Normal 25 2" xfId="983" xr:uid="{9ABA68FB-5184-49D7-97CA-43B5D40CFA81}"/>
    <cellStyle name="Normal 25 2 2" xfId="2453" xr:uid="{1880ACEA-7BCD-48FF-A2F9-EF611F9B67F1}"/>
    <cellStyle name="Normal 25 2 2 2" xfId="6185" xr:uid="{6FBE7279-FFC4-4BB1-A2D6-CA99D545F57B}"/>
    <cellStyle name="Normal 25 2 2 2 2" xfId="13893" xr:uid="{96278C09-6A35-470B-918F-894FF5F8187C}"/>
    <cellStyle name="Normal 25 2 2 2 2 2" xfId="29305" xr:uid="{FE28995B-3AE2-4735-9BFB-ED782545DB37}"/>
    <cellStyle name="Normal 25 2 2 2 2 2 2" xfId="59090" xr:uid="{CECB7C7E-900C-42AA-BCE3-B0FEC125A9E4}"/>
    <cellStyle name="Normal 25 2 2 2 2 3" xfId="59089" xr:uid="{2D5DE4F9-E7D2-4703-90A7-9476F510B123}"/>
    <cellStyle name="Normal 25 2 2 2 3" xfId="21600" xr:uid="{C4BA7C77-0D0C-40A8-AF4F-3E67AEE14BC1}"/>
    <cellStyle name="Normal 25 2 2 2 3 2" xfId="59091" xr:uid="{EF473AB2-3247-4D5E-B75A-2AF59B67BD7A}"/>
    <cellStyle name="Normal 25 2 2 2 4" xfId="59088" xr:uid="{58324C4D-C0D0-4955-A445-B3AAE882C641}"/>
    <cellStyle name="Normal 25 2 2 3" xfId="10164" xr:uid="{957EA213-DE7E-4B09-B957-BC6005BBA417}"/>
    <cellStyle name="Normal 25 2 2 3 2" xfId="25577" xr:uid="{5041B238-2FF2-4582-BADF-7AC0336718EB}"/>
    <cellStyle name="Normal 25 2 2 3 2 2" xfId="59093" xr:uid="{494AB756-7686-4012-94EF-918F2A96D5F4}"/>
    <cellStyle name="Normal 25 2 2 3 3" xfId="59092" xr:uid="{0D3DE8D6-7CC6-4D7A-AF9E-8C8531E0FE38}"/>
    <cellStyle name="Normal 25 2 2 4" xfId="17872" xr:uid="{192975BC-B7CB-442A-BE60-0374380A429D}"/>
    <cellStyle name="Normal 25 2 2 4 2" xfId="59094" xr:uid="{92265238-3B95-4E3C-9737-D63B383436F6}"/>
    <cellStyle name="Normal 25 2 2 5" xfId="59087" xr:uid="{67A75AEF-2164-4F21-BDBA-3F7CC737ACAC}"/>
    <cellStyle name="Normal 25 2 3" xfId="4720" xr:uid="{7ACF7EE3-3075-4180-9CFF-39A07263D257}"/>
    <cellStyle name="Normal 25 2 3 2" xfId="12428" xr:uid="{22ED7D39-1BE9-4E93-A049-02D7D2EB6AD3}"/>
    <cellStyle name="Normal 25 2 3 2 2" xfId="27840" xr:uid="{A24C49A8-14C5-49FE-B58B-C0D9405CAA4B}"/>
    <cellStyle name="Normal 25 2 3 2 2 2" xfId="59097" xr:uid="{F4D5E25C-B1CC-4939-B7D2-D74DC55F3550}"/>
    <cellStyle name="Normal 25 2 3 2 3" xfId="59096" xr:uid="{5F20255D-A188-418E-850E-7B9B614C3F97}"/>
    <cellStyle name="Normal 25 2 3 3" xfId="20135" xr:uid="{695F2D2A-AF54-4B38-AB96-BBD234ACE41A}"/>
    <cellStyle name="Normal 25 2 3 3 2" xfId="59098" xr:uid="{913DD93C-561A-41CD-B532-E1CDF283CA66}"/>
    <cellStyle name="Normal 25 2 3 4" xfId="59095" xr:uid="{EE5300F0-D27A-41EE-9C3A-07A7AFBE64C8}"/>
    <cellStyle name="Normal 25 2 4" xfId="8705" xr:uid="{03995924-4C9C-4417-8B5E-36A316EF3B67}"/>
    <cellStyle name="Normal 25 2 4 2" xfId="24118" xr:uid="{17ADCA25-09B2-4AE0-892F-1ECDC73B9C40}"/>
    <cellStyle name="Normal 25 2 4 2 2" xfId="59100" xr:uid="{A633572D-E865-4C03-9E21-35028CC4AC9B}"/>
    <cellStyle name="Normal 25 2 4 3" xfId="59099" xr:uid="{CF7E876A-4FD5-45F9-A386-EED6E9279D22}"/>
    <cellStyle name="Normal 25 2 5" xfId="16413" xr:uid="{1901CD8D-8A0C-4440-9A3C-7755C9C4D2FB}"/>
    <cellStyle name="Normal 25 2 5 2" xfId="59101" xr:uid="{544E98F0-7B59-46B7-B8B4-48DA8A88C961}"/>
    <cellStyle name="Normal 25 2 6" xfId="59086" xr:uid="{B403C5A8-FACB-4FA7-B3CB-E839A8CD7B24}"/>
    <cellStyle name="Normal 25 3" xfId="1815" xr:uid="{E63908DA-6115-4C97-955C-74ECD6965C1E}"/>
    <cellStyle name="Normal 25 3 2" xfId="5547" xr:uid="{F3BBAE94-090F-46B9-B143-998D8850CB23}"/>
    <cellStyle name="Normal 25 3 2 2" xfId="13255" xr:uid="{15F9C794-EDA4-4EDA-BDDA-145F742837E0}"/>
    <cellStyle name="Normal 25 3 2 2 2" xfId="28667" xr:uid="{C2320F08-277A-408B-B1D8-EC673C95CB3D}"/>
    <cellStyle name="Normal 25 3 2 2 2 2" xfId="59105" xr:uid="{8F7E6029-42CE-432E-BD58-2B3AD88AFA5A}"/>
    <cellStyle name="Normal 25 3 2 2 3" xfId="59104" xr:uid="{7453F707-3786-4D42-B14D-FB7864077584}"/>
    <cellStyle name="Normal 25 3 2 3" xfId="20962" xr:uid="{559982D3-17AF-4DED-9745-D28615517B7F}"/>
    <cellStyle name="Normal 25 3 2 3 2" xfId="59106" xr:uid="{B61A5D24-0FA8-4D8E-8F68-5ACDA210741D}"/>
    <cellStyle name="Normal 25 3 2 4" xfId="59103" xr:uid="{A67A87A7-B74E-456E-B2DB-2820A5FC0B28}"/>
    <cellStyle name="Normal 25 3 3" xfId="9526" xr:uid="{13F9CDB3-9C5B-4B7A-801A-3429B0586AE4}"/>
    <cellStyle name="Normal 25 3 3 2" xfId="24939" xr:uid="{758D9BD8-C700-41DC-9902-9CDD422604F2}"/>
    <cellStyle name="Normal 25 3 3 2 2" xfId="59108" xr:uid="{9C2C8699-DF9A-48E9-B607-845ACE7FC8F0}"/>
    <cellStyle name="Normal 25 3 3 3" xfId="59107" xr:uid="{162D49AF-4A2E-4B5F-93E2-4DD51F3A5B8F}"/>
    <cellStyle name="Normal 25 3 4" xfId="17234" xr:uid="{BDB5DB11-3BEF-454D-A3D7-2C574C76B2D9}"/>
    <cellStyle name="Normal 25 3 4 2" xfId="59109" xr:uid="{192A4184-8E59-4D06-BBCD-B31E293AA7C6}"/>
    <cellStyle name="Normal 25 3 5" xfId="59102" xr:uid="{10683567-5A73-42F5-8CB2-37FCBF6F2554}"/>
    <cellStyle name="Normal 25 4" xfId="4068" xr:uid="{09D3FBC2-0037-47A9-AB46-093F27D54FFF}"/>
    <cellStyle name="Normal 25 4 2" xfId="11776" xr:uid="{E83718D5-AB76-4987-B2E6-778EBD36B0A9}"/>
    <cellStyle name="Normal 25 4 2 2" xfId="27188" xr:uid="{EB9C7A2E-9DD7-4CC3-95CD-55A7896E28A2}"/>
    <cellStyle name="Normal 25 4 2 2 2" xfId="59112" xr:uid="{FBCAB383-5720-40B4-953D-81D6BA9393AF}"/>
    <cellStyle name="Normal 25 4 2 3" xfId="59111" xr:uid="{FB5C3896-1FEB-4239-8762-F2DFDB7AE46A}"/>
    <cellStyle name="Normal 25 4 3" xfId="19483" xr:uid="{0F3A84EF-7117-4D32-9FB9-6FF7310E5D1E}"/>
    <cellStyle name="Normal 25 4 3 2" xfId="59113" xr:uid="{00485411-57A1-4409-9C35-7D28F231EC72}"/>
    <cellStyle name="Normal 25 4 4" xfId="59110" xr:uid="{0152164D-E022-4BF1-A89E-C2F89B4CB1C9}"/>
    <cellStyle name="Normal 25 5" xfId="8067" xr:uid="{2DCA57CD-779B-422C-BF5D-D8A470630CBE}"/>
    <cellStyle name="Normal 25 5 2" xfId="23480" xr:uid="{ED515321-BE20-4B87-8992-EFF7C7A0074E}"/>
    <cellStyle name="Normal 25 5 2 2" xfId="59115" xr:uid="{DF1C534B-0A57-4444-A00D-2B61E9F3F2CD}"/>
    <cellStyle name="Normal 25 5 3" xfId="59114" xr:uid="{F0CFB56C-703B-4850-AAA0-81D22E9473E2}"/>
    <cellStyle name="Normal 25 6" xfId="15775" xr:uid="{48544C45-B184-42DF-8A1B-EFC31B100C10}"/>
    <cellStyle name="Normal 25 6 2" xfId="59116" xr:uid="{A2285E41-5AD1-48BD-BF9F-E9C8CB12FA2D}"/>
    <cellStyle name="Normal 25 7" xfId="59085" xr:uid="{8BCB2AC9-A8D3-4C3A-978B-CB946FEFAB34}"/>
    <cellStyle name="Normal 26" xfId="522" xr:uid="{91E75CDC-CB4A-4010-B34E-3DF5D143DAD6}"/>
    <cellStyle name="Normal 26 2" xfId="1183" xr:uid="{46EAB504-446F-45DB-872E-CD0D207B4484}"/>
    <cellStyle name="Normal 26 2 2" xfId="2651" xr:uid="{AA200055-9F2A-4EC9-867E-17D9F6F3882B}"/>
    <cellStyle name="Normal 26 2 2 2" xfId="6383" xr:uid="{418215A5-D57A-45D1-B6D4-00550527477B}"/>
    <cellStyle name="Normal 26 2 2 2 2" xfId="14091" xr:uid="{FAD08CE6-2358-4A01-A026-5A686DFD3F0E}"/>
    <cellStyle name="Normal 26 2 2 2 2 2" xfId="29503" xr:uid="{339DE397-AFDE-46FD-9C32-3B69B5D35295}"/>
    <cellStyle name="Normal 26 2 2 2 2 2 2" xfId="59122" xr:uid="{3B091A20-0954-4EDC-AE07-E7F3790AA097}"/>
    <cellStyle name="Normal 26 2 2 2 2 3" xfId="59121" xr:uid="{C4E684BC-2F65-42C7-B67C-1DCDDC00CABB}"/>
    <cellStyle name="Normal 26 2 2 2 3" xfId="21798" xr:uid="{55DE0421-3A80-4D65-8DB6-A2A380E4E1D1}"/>
    <cellStyle name="Normal 26 2 2 2 3 2" xfId="59123" xr:uid="{26D4FD29-575B-480C-9C91-990DDF4A8290}"/>
    <cellStyle name="Normal 26 2 2 2 4" xfId="59120" xr:uid="{ADF4727F-A237-42F0-8F06-D3174DA0B008}"/>
    <cellStyle name="Normal 26 2 2 3" xfId="10362" xr:uid="{D1CCEB89-A102-46B8-8DC7-CFCDDAFED4FE}"/>
    <cellStyle name="Normal 26 2 2 3 2" xfId="25775" xr:uid="{5AC5A772-9D1F-4C4F-8B00-413C73372A72}"/>
    <cellStyle name="Normal 26 2 2 3 2 2" xfId="59125" xr:uid="{EE1138E0-E1BC-4725-913B-1C5BED322400}"/>
    <cellStyle name="Normal 26 2 2 3 3" xfId="59124" xr:uid="{F5B00F28-510F-4A80-A39A-E076608B6DB3}"/>
    <cellStyle name="Normal 26 2 2 4" xfId="18070" xr:uid="{055413F7-A713-4B16-96DD-EBB857395B90}"/>
    <cellStyle name="Normal 26 2 2 4 2" xfId="59126" xr:uid="{70CB35A8-8958-4A57-A467-2D6B3211BE22}"/>
    <cellStyle name="Normal 26 2 2 5" xfId="59119" xr:uid="{8CACFFED-6A79-41C5-B542-0EED1ECB434A}"/>
    <cellStyle name="Normal 26 2 3" xfId="4920" xr:uid="{A322E402-84DF-430C-8105-D545749E5C7E}"/>
    <cellStyle name="Normal 26 2 3 2" xfId="12628" xr:uid="{3868B511-CFED-4BE9-8E03-5955BCFB8E43}"/>
    <cellStyle name="Normal 26 2 3 2 2" xfId="28040" xr:uid="{4BD51B9C-8137-4D15-87FF-E08D247FD183}"/>
    <cellStyle name="Normal 26 2 3 2 2 2" xfId="59129" xr:uid="{4D62B810-51CD-4C94-AE0D-7C9C1CA45387}"/>
    <cellStyle name="Normal 26 2 3 2 3" xfId="59128" xr:uid="{2C977AE7-6574-415E-8ECB-E4FBC388665B}"/>
    <cellStyle name="Normal 26 2 3 3" xfId="20335" xr:uid="{3DF7C8B7-FC01-42D1-A42F-F45A3B887418}"/>
    <cellStyle name="Normal 26 2 3 3 2" xfId="59130" xr:uid="{B75A4769-FBC5-4679-A85D-DC384DB401B8}"/>
    <cellStyle name="Normal 26 2 3 4" xfId="59127" xr:uid="{A97B3169-2628-479A-8D72-3EB6E0593655}"/>
    <cellStyle name="Normal 26 2 4" xfId="8903" xr:uid="{48C83991-1140-432D-9834-64C10CEF4487}"/>
    <cellStyle name="Normal 26 2 4 2" xfId="24316" xr:uid="{F1D9B084-9F29-4AB2-AF52-FF4102297CF7}"/>
    <cellStyle name="Normal 26 2 4 2 2" xfId="59132" xr:uid="{4AB890A5-2993-4CE9-A1B1-771828CD76CF}"/>
    <cellStyle name="Normal 26 2 4 3" xfId="59131" xr:uid="{509E4EC6-4DC8-4D00-80DA-5339E33A64F1}"/>
    <cellStyle name="Normal 26 2 5" xfId="16611" xr:uid="{EFA5CA29-3156-44C4-80DA-5C20C1D228C6}"/>
    <cellStyle name="Normal 26 2 5 2" xfId="59133" xr:uid="{9C0A5E91-E876-4C0B-9AD5-32A93182969E}"/>
    <cellStyle name="Normal 26 2 6" xfId="59118" xr:uid="{3D4ACF51-722C-4EA3-AE50-5321B6045201}"/>
    <cellStyle name="Normal 26 3" xfId="2013" xr:uid="{9D5DA0F8-05E0-431E-ABBD-7C28FE4D1EB0}"/>
    <cellStyle name="Normal 26 3 2" xfId="5745" xr:uid="{CC9E04F0-DA64-49CE-AB20-D5B824C8B863}"/>
    <cellStyle name="Normal 26 3 2 2" xfId="13453" xr:uid="{25356401-B67C-4B30-B3A9-DE95DF586604}"/>
    <cellStyle name="Normal 26 3 2 2 2" xfId="28865" xr:uid="{A7F4D461-86C4-484C-809E-83EB53564513}"/>
    <cellStyle name="Normal 26 3 2 2 2 2" xfId="59137" xr:uid="{BE29A7D5-01F4-44AD-B6FD-C3CD18685638}"/>
    <cellStyle name="Normal 26 3 2 2 3" xfId="59136" xr:uid="{3DE6FE36-8142-44BE-AF06-17E667301B72}"/>
    <cellStyle name="Normal 26 3 2 3" xfId="21160" xr:uid="{D7A96184-EC8A-4276-9D6B-99ACDEFB4844}"/>
    <cellStyle name="Normal 26 3 2 3 2" xfId="59138" xr:uid="{92E990EB-1485-4461-87A4-12EA3712163B}"/>
    <cellStyle name="Normal 26 3 2 4" xfId="59135" xr:uid="{09A28A0F-E5DF-491F-8628-8A38E97E0BB3}"/>
    <cellStyle name="Normal 26 3 3" xfId="9724" xr:uid="{C62F225D-7E85-4485-8102-064294162FF8}"/>
    <cellStyle name="Normal 26 3 3 2" xfId="25137" xr:uid="{1985982C-1E91-4972-8CEB-0092EEADC927}"/>
    <cellStyle name="Normal 26 3 3 2 2" xfId="59140" xr:uid="{F7BB9CC1-63F0-4FF1-9E81-59C2304AF1B9}"/>
    <cellStyle name="Normal 26 3 3 3" xfId="59139" xr:uid="{0CA40C93-2E66-4257-B1A6-D528007D5DD8}"/>
    <cellStyle name="Normal 26 3 4" xfId="17432" xr:uid="{282F2A2D-B5C9-49AC-A4CA-D27605438B9E}"/>
    <cellStyle name="Normal 26 3 4 2" xfId="59141" xr:uid="{70F5BB5B-769F-4C17-9056-E4DE106DA7F8}"/>
    <cellStyle name="Normal 26 3 5" xfId="59134" xr:uid="{5B47BDD6-6909-47A0-8A4F-3F0044E4BD8B}"/>
    <cellStyle name="Normal 26 4" xfId="4268" xr:uid="{B61DB7FA-4280-45E5-84A1-DB59639778C4}"/>
    <cellStyle name="Normal 26 4 2" xfId="11976" xr:uid="{072F61B6-64AF-430E-B2FB-FFB8D91A2DCF}"/>
    <cellStyle name="Normal 26 4 2 2" xfId="27388" xr:uid="{3B8EA074-A0F2-475E-BCFF-0D5A518385AE}"/>
    <cellStyle name="Normal 26 4 2 2 2" xfId="59144" xr:uid="{D58A9923-1329-462B-9EE3-B709BA282157}"/>
    <cellStyle name="Normal 26 4 2 3" xfId="59143" xr:uid="{43BCAD57-FE8D-4554-B0D2-AC4E2F790D94}"/>
    <cellStyle name="Normal 26 4 3" xfId="19683" xr:uid="{76510D7A-FECE-45C8-989A-D9C36EABCE79}"/>
    <cellStyle name="Normal 26 4 3 2" xfId="59145" xr:uid="{1C7AEB43-2900-4509-8590-1C17228072B0}"/>
    <cellStyle name="Normal 26 4 4" xfId="59142" xr:uid="{5317E2A1-BDAE-4596-B89E-2291F128508B}"/>
    <cellStyle name="Normal 26 5" xfId="8265" xr:uid="{45F4FBB6-E5F1-4A5A-BB57-E0B04019E815}"/>
    <cellStyle name="Normal 26 5 2" xfId="23678" xr:uid="{9C62A93C-F5AA-433D-8F51-5E497583380C}"/>
    <cellStyle name="Normal 26 5 2 2" xfId="59147" xr:uid="{4A7E5CC0-5DAB-4304-8840-2A021705E76D}"/>
    <cellStyle name="Normal 26 5 3" xfId="59146" xr:uid="{9D7C37C4-7D03-4DA9-A697-22D33F497A2A}"/>
    <cellStyle name="Normal 26 6" xfId="15973" xr:uid="{60D90B38-6FAE-4A39-AEF7-C44F1C809241}"/>
    <cellStyle name="Normal 26 6 2" xfId="59148" xr:uid="{E0E152FB-C15F-4230-83D7-6DE5FC10B10C}"/>
    <cellStyle name="Normal 26 7" xfId="59117" xr:uid="{094111CB-C994-49BE-9D51-0B092AB53181}"/>
    <cellStyle name="Normal 27" xfId="542" xr:uid="{822926D8-843A-4B00-B717-B2C461FEBA14}"/>
    <cellStyle name="Normal 27 2" xfId="1203" xr:uid="{345DF752-E73B-4A67-A497-764CD69AD9A5}"/>
    <cellStyle name="Normal 27 2 2" xfId="2671" xr:uid="{B865C31A-93CB-4D74-8A11-B0CF35000493}"/>
    <cellStyle name="Normal 27 2 2 2" xfId="6403" xr:uid="{5DB3B7F1-AFFE-4AC3-A154-8AD948CB73F6}"/>
    <cellStyle name="Normal 27 2 2 2 2" xfId="14111" xr:uid="{27595DD2-BDC9-43F2-A4FE-69EC27A79F7F}"/>
    <cellStyle name="Normal 27 2 2 2 2 2" xfId="29523" xr:uid="{4B238DDA-F481-4930-BE08-FFEC8F17C9B4}"/>
    <cellStyle name="Normal 27 2 2 2 2 2 2" xfId="59154" xr:uid="{959BBC65-2353-4547-927A-347A9CE69D55}"/>
    <cellStyle name="Normal 27 2 2 2 2 3" xfId="59153" xr:uid="{A14EF39D-D20C-4057-BEB0-64713A7E78C6}"/>
    <cellStyle name="Normal 27 2 2 2 3" xfId="21818" xr:uid="{E8F9A3B3-F7C6-494A-9729-0B722B87739F}"/>
    <cellStyle name="Normal 27 2 2 2 3 2" xfId="59155" xr:uid="{067EC2B1-5DB6-484E-BF28-2394FD13E257}"/>
    <cellStyle name="Normal 27 2 2 2 4" xfId="59152" xr:uid="{21274656-F29A-4EC0-BFD1-45F6CE8A2EDB}"/>
    <cellStyle name="Normal 27 2 2 3" xfId="10382" xr:uid="{FAD12593-16D9-4769-ACD1-43C5C063AD4B}"/>
    <cellStyle name="Normal 27 2 2 3 2" xfId="25795" xr:uid="{CF25F2FD-81DE-4C80-AF7F-F460DEED3CA0}"/>
    <cellStyle name="Normal 27 2 2 3 2 2" xfId="59157" xr:uid="{26D41926-63B9-47A5-A404-8BA5BF946A28}"/>
    <cellStyle name="Normal 27 2 2 3 3" xfId="59156" xr:uid="{10221E47-E0B2-4664-A6F3-FBF2D0DB36D3}"/>
    <cellStyle name="Normal 27 2 2 4" xfId="18090" xr:uid="{9EE17648-4ABF-4036-BA0A-0D4650E1D41D}"/>
    <cellStyle name="Normal 27 2 2 4 2" xfId="59158" xr:uid="{07501FBB-2DDD-4A52-94A9-5F2CFA7C702D}"/>
    <cellStyle name="Normal 27 2 2 5" xfId="59151" xr:uid="{3EA34BA0-AA98-414E-9A6F-9DAD208ADB23}"/>
    <cellStyle name="Normal 27 2 3" xfId="4940" xr:uid="{ECEF84B4-EF7F-4C8B-8177-7ABD463F1DBC}"/>
    <cellStyle name="Normal 27 2 3 2" xfId="12648" xr:uid="{51279BCB-AE38-4AA2-B921-A6C8465ADDB1}"/>
    <cellStyle name="Normal 27 2 3 2 2" xfId="28060" xr:uid="{04741D6F-A01A-4FEB-9BC3-24CBEBE68122}"/>
    <cellStyle name="Normal 27 2 3 2 2 2" xfId="59161" xr:uid="{DE0CACB7-4DB9-46CB-92ED-A09ABDFD2818}"/>
    <cellStyle name="Normal 27 2 3 2 3" xfId="59160" xr:uid="{67B41051-8618-4C93-9AC5-C70CB13C6E82}"/>
    <cellStyle name="Normal 27 2 3 3" xfId="20355" xr:uid="{AFCE072B-1AD1-484F-85E9-84ED3E8910E7}"/>
    <cellStyle name="Normal 27 2 3 3 2" xfId="59162" xr:uid="{47709437-2AB6-4C9D-8DEA-0F9FDB2DA840}"/>
    <cellStyle name="Normal 27 2 3 4" xfId="59159" xr:uid="{29D3DA9B-8F52-4805-84E3-6014254C4D9C}"/>
    <cellStyle name="Normal 27 2 4" xfId="8923" xr:uid="{C378FA40-F0D5-45D6-900D-E622A1CF0C9F}"/>
    <cellStyle name="Normal 27 2 4 2" xfId="24336" xr:uid="{2875F634-B171-4867-9641-9F1BC4C37B05}"/>
    <cellStyle name="Normal 27 2 4 2 2" xfId="59164" xr:uid="{2255EE3A-A182-4E8E-8880-08CE88538797}"/>
    <cellStyle name="Normal 27 2 4 3" xfId="59163" xr:uid="{295CB29A-CF47-41F7-8CC8-E58ED7BAEE30}"/>
    <cellStyle name="Normal 27 2 5" xfId="16631" xr:uid="{C5C9C95B-FF5A-44B4-A84B-64610E66AC84}"/>
    <cellStyle name="Normal 27 2 5 2" xfId="59165" xr:uid="{C3DE4372-8F71-4632-804B-A5FA787EEAAC}"/>
    <cellStyle name="Normal 27 2 6" xfId="59150" xr:uid="{DF2F8324-9E36-4FAE-809C-B786A2285C8B}"/>
    <cellStyle name="Normal 27 3" xfId="2033" xr:uid="{C3DB70F5-4178-455E-A749-B4B35E8F7B03}"/>
    <cellStyle name="Normal 27 3 2" xfId="5765" xr:uid="{1C18C371-BEC5-4D6E-AD0A-E10573647C5F}"/>
    <cellStyle name="Normal 27 3 2 2" xfId="13473" xr:uid="{C3E7D6BA-2B46-41D3-9FF9-F62CF839CAFD}"/>
    <cellStyle name="Normal 27 3 2 2 2" xfId="28885" xr:uid="{798D6163-9243-4559-919C-4AB096F2D2AD}"/>
    <cellStyle name="Normal 27 3 2 2 2 2" xfId="59169" xr:uid="{DADD5E3E-9D80-46D2-A0A5-57CBE4593344}"/>
    <cellStyle name="Normal 27 3 2 2 3" xfId="59168" xr:uid="{0A432C5F-0E6C-4329-B658-6E4A8D90F10D}"/>
    <cellStyle name="Normal 27 3 2 3" xfId="21180" xr:uid="{C38E6244-6A73-495F-8B22-7536465B51FF}"/>
    <cellStyle name="Normal 27 3 2 3 2" xfId="59170" xr:uid="{400494A1-15C4-43A2-A21F-9CBBBCEB4AAD}"/>
    <cellStyle name="Normal 27 3 2 4" xfId="59167" xr:uid="{C6987765-DA05-4B60-AF15-34134823A5FC}"/>
    <cellStyle name="Normal 27 3 3" xfId="9744" xr:uid="{32052A94-15AF-428C-A1B0-1A6E26FCE1FB}"/>
    <cellStyle name="Normal 27 3 3 2" xfId="25157" xr:uid="{B2F22D76-AFC3-440E-9FE8-F0E90A199D1B}"/>
    <cellStyle name="Normal 27 3 3 2 2" xfId="59172" xr:uid="{40A87D54-B219-4942-ACF5-2429FC4830DD}"/>
    <cellStyle name="Normal 27 3 3 3" xfId="59171" xr:uid="{CA88E0B0-B9D3-40C7-8EF2-DA1D3E4C450E}"/>
    <cellStyle name="Normal 27 3 4" xfId="17452" xr:uid="{086D537C-33A5-4842-897F-48AF055BDC75}"/>
    <cellStyle name="Normal 27 3 4 2" xfId="59173" xr:uid="{410D67D1-9D76-4293-A1F8-6BE464BE0E87}"/>
    <cellStyle name="Normal 27 3 5" xfId="59166" xr:uid="{91C05F42-015D-4B71-9C4C-F0D6CD385DC6}"/>
    <cellStyle name="Normal 27 4" xfId="4288" xr:uid="{67A51720-2FAE-4BE9-99CC-1898864F9D33}"/>
    <cellStyle name="Normal 27 4 2" xfId="11996" xr:uid="{20F8A147-444F-40C9-B39C-D78089964C02}"/>
    <cellStyle name="Normal 27 4 2 2" xfId="27408" xr:uid="{3BDBF391-CBF5-4935-A0F5-EFA3E94BEB3D}"/>
    <cellStyle name="Normal 27 4 2 2 2" xfId="59176" xr:uid="{18269BAE-03AD-407C-A897-ABC7F65BD108}"/>
    <cellStyle name="Normal 27 4 2 3" xfId="59175" xr:uid="{37C25A0D-EB82-459C-B2F6-2D281FB142BB}"/>
    <cellStyle name="Normal 27 4 3" xfId="19703" xr:uid="{2D7768B2-B93B-4849-9FF4-EE67BC49E83E}"/>
    <cellStyle name="Normal 27 4 3 2" xfId="59177" xr:uid="{533F6F5F-C0C9-4B7D-99F9-C82C294F9860}"/>
    <cellStyle name="Normal 27 4 4" xfId="59174" xr:uid="{AE7B9780-7CA6-4356-96ED-BB85C982BF28}"/>
    <cellStyle name="Normal 27 5" xfId="8285" xr:uid="{3831E264-CE60-42D6-ADA1-9F3D3C48A289}"/>
    <cellStyle name="Normal 27 5 2" xfId="23698" xr:uid="{C6C2ECD8-5DD3-4DB2-8B5B-D913B780ACBD}"/>
    <cellStyle name="Normal 27 5 2 2" xfId="59179" xr:uid="{4123A7A7-A9A7-4EC4-8153-560B1F847680}"/>
    <cellStyle name="Normal 27 5 3" xfId="59178" xr:uid="{03913121-CEBF-49B9-83AF-7185D1F56EA9}"/>
    <cellStyle name="Normal 27 6" xfId="15993" xr:uid="{33F224AB-4E51-4A25-B6DE-1F8A0BF59A64}"/>
    <cellStyle name="Normal 27 6 2" xfId="59180" xr:uid="{7E30D4DC-E162-47C7-B003-1C7BEC7D43C2}"/>
    <cellStyle name="Normal 27 7" xfId="59149" xr:uid="{30A06499-ECD0-4DED-8C2E-DD2BBE60B706}"/>
    <cellStyle name="Normal 28" xfId="562" xr:uid="{71D2145B-1B1B-4DB4-89A2-2D12B37FE2E2}"/>
    <cellStyle name="Normal 28 2" xfId="1223" xr:uid="{6A440A3C-9E43-45E7-87D1-2B53635F533C}"/>
    <cellStyle name="Normal 28 2 2" xfId="2691" xr:uid="{182B7372-C6D7-405C-B731-C50A85563688}"/>
    <cellStyle name="Normal 28 2 2 2" xfId="6423" xr:uid="{C63999B6-D96C-4A6F-9559-EE50CB7AD2B6}"/>
    <cellStyle name="Normal 28 2 2 2 2" xfId="14131" xr:uid="{3E5E04D3-403B-4FAF-981D-6C9B79F41D93}"/>
    <cellStyle name="Normal 28 2 2 2 2 2" xfId="29543" xr:uid="{ADA74A57-5BE7-4566-9F28-52A6C1BB3EE5}"/>
    <cellStyle name="Normal 28 2 2 2 2 2 2" xfId="59186" xr:uid="{C974EE78-CDAE-4B9C-8D93-D9C05D12A5B7}"/>
    <cellStyle name="Normal 28 2 2 2 2 3" xfId="59185" xr:uid="{C7E00D58-F0BB-4D3D-AC63-C17E2214BD64}"/>
    <cellStyle name="Normal 28 2 2 2 3" xfId="21838" xr:uid="{A2977DBA-92E0-4D66-8B75-31D102A4E4C6}"/>
    <cellStyle name="Normal 28 2 2 2 3 2" xfId="59187" xr:uid="{99B0198C-00F5-47BE-A167-7B96FCADCA7C}"/>
    <cellStyle name="Normal 28 2 2 2 4" xfId="59184" xr:uid="{568D7261-B5B1-4691-A5AF-3C620F0338FC}"/>
    <cellStyle name="Normal 28 2 2 3" xfId="10402" xr:uid="{E5FE280D-0831-4683-8FDC-35F8A990FD51}"/>
    <cellStyle name="Normal 28 2 2 3 2" xfId="25815" xr:uid="{63197489-DF76-448D-84F3-14F1FB853FA7}"/>
    <cellStyle name="Normal 28 2 2 3 2 2" xfId="59189" xr:uid="{549EE11D-B468-4931-89D5-B6E1508FAB42}"/>
    <cellStyle name="Normal 28 2 2 3 3" xfId="59188" xr:uid="{AFFBCCE6-7990-4B2F-8EFA-1658DA4AE6D1}"/>
    <cellStyle name="Normal 28 2 2 4" xfId="18110" xr:uid="{369F621E-3B80-4674-B2E0-37DE62D85E63}"/>
    <cellStyle name="Normal 28 2 2 4 2" xfId="59190" xr:uid="{01DCE699-F2B0-4916-93B0-D440561E1AB8}"/>
    <cellStyle name="Normal 28 2 2 5" xfId="59183" xr:uid="{A6EC75A8-C52D-4E2A-B794-D62005C51424}"/>
    <cellStyle name="Normal 28 2 3" xfId="4960" xr:uid="{8B36F5B7-F845-4F52-AE50-4FD67ECE5288}"/>
    <cellStyle name="Normal 28 2 3 2" xfId="12668" xr:uid="{68C4AF7F-20C0-45F6-9573-F3A929C89AE6}"/>
    <cellStyle name="Normal 28 2 3 2 2" xfId="28080" xr:uid="{A1A2C66A-9E6E-4CE5-978F-04893501BAE8}"/>
    <cellStyle name="Normal 28 2 3 2 2 2" xfId="59193" xr:uid="{DC01D04C-0746-4898-9A0E-6A3A53B7D409}"/>
    <cellStyle name="Normal 28 2 3 2 3" xfId="59192" xr:uid="{87B2415E-D62D-45FD-B4BB-D8E7184EC05D}"/>
    <cellStyle name="Normal 28 2 3 3" xfId="20375" xr:uid="{B16753D0-9A8A-4F38-A5B3-2043B61696A0}"/>
    <cellStyle name="Normal 28 2 3 3 2" xfId="59194" xr:uid="{2CC48C2E-1D07-421F-85B5-40A077779157}"/>
    <cellStyle name="Normal 28 2 3 4" xfId="59191" xr:uid="{8ED28F1D-6DB5-44E9-BA41-DAD0D1CCD0FB}"/>
    <cellStyle name="Normal 28 2 4" xfId="8943" xr:uid="{D50AFB7F-2469-4CBB-BB1F-ECA0CE579B25}"/>
    <cellStyle name="Normal 28 2 4 2" xfId="24356" xr:uid="{EA8B435A-6D72-4350-957A-D6CD6E739180}"/>
    <cellStyle name="Normal 28 2 4 2 2" xfId="59196" xr:uid="{CCFE5F46-E8BA-4D64-81A7-023AB235F8A2}"/>
    <cellStyle name="Normal 28 2 4 3" xfId="59195" xr:uid="{1A5B1D0B-6457-4BF6-A49A-DEAC5E7CEC8E}"/>
    <cellStyle name="Normal 28 2 5" xfId="16651" xr:uid="{A77A2543-DA0B-4D4A-AD25-098E8BC9C754}"/>
    <cellStyle name="Normal 28 2 5 2" xfId="59197" xr:uid="{4F51D171-12CB-40D2-A50C-C8F222C78BD7}"/>
    <cellStyle name="Normal 28 2 6" xfId="59182" xr:uid="{6C661916-6BFA-4597-9223-613625A01DC4}"/>
    <cellStyle name="Normal 28 3" xfId="2053" xr:uid="{C26DAD98-AAF8-40FF-8FEC-68C6F959B3E3}"/>
    <cellStyle name="Normal 28 3 2" xfId="5785" xr:uid="{6D507DE9-B745-4380-AEA8-B8F698309E8E}"/>
    <cellStyle name="Normal 28 3 2 2" xfId="13493" xr:uid="{3689BB66-3396-4B90-A0B9-636267492B3F}"/>
    <cellStyle name="Normal 28 3 2 2 2" xfId="28905" xr:uid="{E5878FAE-C322-4584-A8F0-348D166F7AA0}"/>
    <cellStyle name="Normal 28 3 2 2 2 2" xfId="59201" xr:uid="{58A4D316-2970-471C-9FF3-99B110A5FDC1}"/>
    <cellStyle name="Normal 28 3 2 2 3" xfId="59200" xr:uid="{C053D5CF-3585-4737-8D92-C2AA4FD36EDA}"/>
    <cellStyle name="Normal 28 3 2 3" xfId="21200" xr:uid="{A8EF5EBD-4DFE-49D2-B184-AA8B98A2E957}"/>
    <cellStyle name="Normal 28 3 2 3 2" xfId="59202" xr:uid="{DEBD1BFC-7FBD-485B-80A4-6BD9118C0DC4}"/>
    <cellStyle name="Normal 28 3 2 4" xfId="59199" xr:uid="{C5E8209F-B339-40C9-8061-14768A3B6787}"/>
    <cellStyle name="Normal 28 3 3" xfId="9764" xr:uid="{B6DA4ED6-A167-4D6E-8429-B234B385D418}"/>
    <cellStyle name="Normal 28 3 3 2" xfId="25177" xr:uid="{BA922C53-43CA-444A-9FEE-CC5BF79F5488}"/>
    <cellStyle name="Normal 28 3 3 2 2" xfId="59204" xr:uid="{B5ACC8C0-2E9A-4F23-847E-43B45F3E33CD}"/>
    <cellStyle name="Normal 28 3 3 3" xfId="59203" xr:uid="{A49C0B11-F4FA-4E9D-9CFD-D7934812A456}"/>
    <cellStyle name="Normal 28 3 4" xfId="17472" xr:uid="{FEA5BA62-CF84-48A8-A186-CC81ED08B7DA}"/>
    <cellStyle name="Normal 28 3 4 2" xfId="59205" xr:uid="{ECCFCCDC-2AEA-4362-A67C-6FB0BAE8FD69}"/>
    <cellStyle name="Normal 28 3 5" xfId="59198" xr:uid="{9ED413B0-6EB1-4D6C-8A4F-D155FE5E3634}"/>
    <cellStyle name="Normal 28 4" xfId="4308" xr:uid="{11806ACD-63D8-4D04-AA75-FC210AE36281}"/>
    <cellStyle name="Normal 28 4 2" xfId="12016" xr:uid="{BBBE03B9-50ED-4DC6-B720-923A95A5D038}"/>
    <cellStyle name="Normal 28 4 2 2" xfId="27428" xr:uid="{0F2A014C-8414-4664-89F9-52D732E78BCB}"/>
    <cellStyle name="Normal 28 4 2 2 2" xfId="59208" xr:uid="{053F79B5-6D47-4C64-A667-262FCA31DB55}"/>
    <cellStyle name="Normal 28 4 2 3" xfId="59207" xr:uid="{DAA6DEEB-1440-427C-BC4D-AB26E1A4C652}"/>
    <cellStyle name="Normal 28 4 3" xfId="19723" xr:uid="{DB4EA86E-BFF6-4C39-99CE-5E70672B1162}"/>
    <cellStyle name="Normal 28 4 3 2" xfId="59209" xr:uid="{FF9C7A56-BB94-476F-9A70-6728ADEE6BFC}"/>
    <cellStyle name="Normal 28 4 4" xfId="59206" xr:uid="{1D2DCCB4-EB2D-420D-BCE2-F260AB282F50}"/>
    <cellStyle name="Normal 28 5" xfId="8305" xr:uid="{E4368871-B430-4323-9B62-B8B1531075A5}"/>
    <cellStyle name="Normal 28 5 2" xfId="23718" xr:uid="{BF306363-6557-49C7-9606-670CAC775158}"/>
    <cellStyle name="Normal 28 5 2 2" xfId="59211" xr:uid="{75C0E917-5B70-454E-A7BD-5C9B01549D73}"/>
    <cellStyle name="Normal 28 5 3" xfId="59210" xr:uid="{8A13AF4C-7350-4711-A656-0817D3A76298}"/>
    <cellStyle name="Normal 28 6" xfId="16013" xr:uid="{E3DF75B4-20AE-458C-9617-E929CC4EFF3E}"/>
    <cellStyle name="Normal 28 6 2" xfId="59212" xr:uid="{68ADD73A-FB89-4D9E-A228-7CBCA422C5B3}"/>
    <cellStyle name="Normal 28 7" xfId="59181" xr:uid="{54F82D52-310D-4A2D-A598-5B740253131A}"/>
    <cellStyle name="Normal 29" xfId="582" xr:uid="{D2AAA269-4D9B-41A6-9391-9CD318B59D4E}"/>
    <cellStyle name="Normal 29 2" xfId="1243" xr:uid="{CF9205CA-2363-440F-904A-8970BA83474E}"/>
    <cellStyle name="Normal 29 2 2" xfId="2711" xr:uid="{B361A850-60D8-40AA-8376-80F485D09C5B}"/>
    <cellStyle name="Normal 29 2 2 2" xfId="6443" xr:uid="{4CD969E2-3E8C-4B2F-BB16-02F626C0F0AB}"/>
    <cellStyle name="Normal 29 2 2 2 2" xfId="14151" xr:uid="{0279B3E0-F8D8-4A6A-9845-3DDF2E6A5A02}"/>
    <cellStyle name="Normal 29 2 2 2 2 2" xfId="29563" xr:uid="{8E01EAC3-1FDA-4D9B-8FA9-1722F2C90A60}"/>
    <cellStyle name="Normal 29 2 2 2 2 2 2" xfId="59218" xr:uid="{23884F9F-7C2C-4216-9D9F-4951257B4616}"/>
    <cellStyle name="Normal 29 2 2 2 2 3" xfId="59217" xr:uid="{5EA2E93B-C118-4803-9BD5-E21D992B65F4}"/>
    <cellStyle name="Normal 29 2 2 2 3" xfId="21858" xr:uid="{ECD8B70A-3614-4F8D-8473-93B87CE60919}"/>
    <cellStyle name="Normal 29 2 2 2 3 2" xfId="59219" xr:uid="{C7F1482A-80CB-4F26-9A7E-DDD9EE4A036B}"/>
    <cellStyle name="Normal 29 2 2 2 4" xfId="59216" xr:uid="{2E952455-6A32-4D4F-BA03-306B195CDCFF}"/>
    <cellStyle name="Normal 29 2 2 3" xfId="10422" xr:uid="{D8C2AE12-F66A-42EE-A230-77B7B4C8D87C}"/>
    <cellStyle name="Normal 29 2 2 3 2" xfId="25835" xr:uid="{4E8FD2D0-92A7-444C-9177-F9C0BE6340A0}"/>
    <cellStyle name="Normal 29 2 2 3 2 2" xfId="59221" xr:uid="{50A17EEB-F932-4724-B643-BABFAC187298}"/>
    <cellStyle name="Normal 29 2 2 3 3" xfId="59220" xr:uid="{2885C656-B0D7-442E-B897-3ED336FCDE90}"/>
    <cellStyle name="Normal 29 2 2 4" xfId="18130" xr:uid="{29EFAD08-D6B8-4022-968F-856E80F6F8F5}"/>
    <cellStyle name="Normal 29 2 2 4 2" xfId="59222" xr:uid="{0AF1545E-243C-48B0-83A7-D52191451506}"/>
    <cellStyle name="Normal 29 2 2 5" xfId="59215" xr:uid="{7C53FE1F-9550-49AF-816D-C5382C76B161}"/>
    <cellStyle name="Normal 29 2 3" xfId="4980" xr:uid="{7541CE26-8D11-47DD-8B81-F7C7DA5ECE3D}"/>
    <cellStyle name="Normal 29 2 3 2" xfId="12688" xr:uid="{67C3A554-60C3-401A-92AE-F6C59AD23900}"/>
    <cellStyle name="Normal 29 2 3 2 2" xfId="28100" xr:uid="{B07C3778-C1F4-4E28-A849-FFC5BF4DF265}"/>
    <cellStyle name="Normal 29 2 3 2 2 2" xfId="59225" xr:uid="{51C8B93D-BF8D-4A77-A2EE-C9C89E14CCEB}"/>
    <cellStyle name="Normal 29 2 3 2 3" xfId="59224" xr:uid="{3776758D-8AFA-4DB2-831C-B7980306DA3F}"/>
    <cellStyle name="Normal 29 2 3 3" xfId="20395" xr:uid="{C7C10520-31D9-45A4-BEE3-1E5DF7948B8C}"/>
    <cellStyle name="Normal 29 2 3 3 2" xfId="59226" xr:uid="{7E68E265-2DBF-43AA-816C-C24536FF0C00}"/>
    <cellStyle name="Normal 29 2 3 4" xfId="59223" xr:uid="{F7B2CC9E-C3B8-40DB-AFFC-59E1E6E7A06F}"/>
    <cellStyle name="Normal 29 2 4" xfId="8963" xr:uid="{70D682A4-5F13-488E-9006-245C7BA503B2}"/>
    <cellStyle name="Normal 29 2 4 2" xfId="24376" xr:uid="{86F38C09-281E-4556-83E2-5BF98031918C}"/>
    <cellStyle name="Normal 29 2 4 2 2" xfId="59228" xr:uid="{9AF9CC73-8D74-4B36-BAAB-8D56A36D9BE8}"/>
    <cellStyle name="Normal 29 2 4 3" xfId="59227" xr:uid="{8DE89508-005D-453C-A8EE-A28538A802DB}"/>
    <cellStyle name="Normal 29 2 5" xfId="16671" xr:uid="{336061AA-38DD-4522-8815-F69EC6B5EF1B}"/>
    <cellStyle name="Normal 29 2 5 2" xfId="59229" xr:uid="{AFD446F6-5B5E-43B4-8123-71474A53431C}"/>
    <cellStyle name="Normal 29 2 6" xfId="59214" xr:uid="{D373FE59-237A-49E8-BA97-505FAADC239E}"/>
    <cellStyle name="Normal 29 3" xfId="2073" xr:uid="{920EC95C-1E0F-4618-891C-592C1A198D91}"/>
    <cellStyle name="Normal 29 3 2" xfId="5805" xr:uid="{61304ADF-4742-4542-BB69-AF3ED419FE15}"/>
    <cellStyle name="Normal 29 3 2 2" xfId="13513" xr:uid="{B1CB74AC-0AE5-4C27-90CF-1BCCB6437607}"/>
    <cellStyle name="Normal 29 3 2 2 2" xfId="28925" xr:uid="{E72DC8FB-8187-495C-B4AA-D1047D18447D}"/>
    <cellStyle name="Normal 29 3 2 2 2 2" xfId="59233" xr:uid="{D6E5A6E0-AE52-4821-A0EF-121AA2FC00B9}"/>
    <cellStyle name="Normal 29 3 2 2 3" xfId="59232" xr:uid="{B4C8F96E-A744-4CA6-96D9-84266597BBD3}"/>
    <cellStyle name="Normal 29 3 2 3" xfId="21220" xr:uid="{9DD4A224-1CF7-4A18-B8CE-5312E0D90526}"/>
    <cellStyle name="Normal 29 3 2 3 2" xfId="59234" xr:uid="{EAF28596-3120-42AC-BA14-C746A165B5C6}"/>
    <cellStyle name="Normal 29 3 2 4" xfId="59231" xr:uid="{A8087EA1-BD5A-4762-A00D-BFA96A525CDE}"/>
    <cellStyle name="Normal 29 3 3" xfId="9784" xr:uid="{F9712116-9165-483C-B067-CE2CF25F7DAE}"/>
    <cellStyle name="Normal 29 3 3 2" xfId="25197" xr:uid="{9B81D571-2745-46B9-B71F-42E9C579C3D1}"/>
    <cellStyle name="Normal 29 3 3 2 2" xfId="59236" xr:uid="{B94A13EB-6268-4F1A-B6AD-B6E7264B1B64}"/>
    <cellStyle name="Normal 29 3 3 3" xfId="59235" xr:uid="{9B2003B3-4C57-4B59-B983-4007AE746687}"/>
    <cellStyle name="Normal 29 3 4" xfId="17492" xr:uid="{328CF4A9-E3D7-424A-9341-3F2F3636E724}"/>
    <cellStyle name="Normal 29 3 4 2" xfId="59237" xr:uid="{CF2B4492-BE78-4997-9DFF-AC2E6D68AAB5}"/>
    <cellStyle name="Normal 29 3 5" xfId="59230" xr:uid="{637DB937-7AF9-49B3-8123-B7E56E5651E0}"/>
    <cellStyle name="Normal 29 4" xfId="4328" xr:uid="{63593A27-451D-491D-8A7E-2EBB327B709F}"/>
    <cellStyle name="Normal 29 4 2" xfId="12036" xr:uid="{006D5845-3748-4629-94F2-21F92E39508A}"/>
    <cellStyle name="Normal 29 4 2 2" xfId="27448" xr:uid="{AB44B07C-01A9-4057-9D39-5AAB70919CCE}"/>
    <cellStyle name="Normal 29 4 2 2 2" xfId="59240" xr:uid="{E90BEBA0-D095-4160-940E-215AF1C5F11C}"/>
    <cellStyle name="Normal 29 4 2 3" xfId="59239" xr:uid="{16FE8762-EDF3-496F-8A74-567F4C9626EB}"/>
    <cellStyle name="Normal 29 4 3" xfId="19743" xr:uid="{CD54D3F9-9444-46F1-9C9D-E96DC0ED21FD}"/>
    <cellStyle name="Normal 29 4 3 2" xfId="59241" xr:uid="{2775C3D6-5A72-4133-BA5F-13B91B82A3BF}"/>
    <cellStyle name="Normal 29 4 4" xfId="59238" xr:uid="{3DD04FDB-D99F-44B3-A68E-502A52F7969F}"/>
    <cellStyle name="Normal 29 5" xfId="8325" xr:uid="{7F072AB0-65B1-4D12-B730-C8E38067AD85}"/>
    <cellStyle name="Normal 29 5 2" xfId="23738" xr:uid="{BDED5191-545D-46F9-8ACA-E0D027E5B338}"/>
    <cellStyle name="Normal 29 5 2 2" xfId="59243" xr:uid="{E1B147A7-493E-4CB9-992A-37879D92576F}"/>
    <cellStyle name="Normal 29 5 3" xfId="59242" xr:uid="{5F79E03E-68F0-46A9-A3DA-E253DDEE8FA0}"/>
    <cellStyle name="Normal 29 6" xfId="16033" xr:uid="{25356079-9E8B-49ED-959E-51297EE4FFA1}"/>
    <cellStyle name="Normal 29 6 2" xfId="59244" xr:uid="{2FAC2932-84B5-4A53-898B-A211E7B2AF02}"/>
    <cellStyle name="Normal 29 7" xfId="59213" xr:uid="{A89AE7E1-9BA3-4240-A81F-E0950A236956}"/>
    <cellStyle name="Normal 3" xfId="56" xr:uid="{E223B076-7672-46D9-9ECE-B382E65F87C7}"/>
    <cellStyle name="Normal 3 10" xfId="15591" xr:uid="{DBC3DC68-D7BE-4053-A9A9-7CAF070B6064}"/>
    <cellStyle name="Normal 3 10 2" xfId="59246" xr:uid="{E2703305-962B-4BE7-94A8-71E61C68DE90}"/>
    <cellStyle name="Normal 3 11" xfId="59245" xr:uid="{436FC9D0-F2CB-4321-800E-8E7EB7043225}"/>
    <cellStyle name="Normal 3 12" xfId="121" xr:uid="{E6004BAE-121A-4ECB-ADC9-E6A80CE15FA4}"/>
    <cellStyle name="Normal 3 2" xfId="152" xr:uid="{FF0B9F73-0077-457B-9461-9878613048B6}"/>
    <cellStyle name="Normal 3 2 2" xfId="216" xr:uid="{9A702577-C725-4856-B31E-9A836DC079A9}"/>
    <cellStyle name="Normal 3 2 2 2" xfId="420" xr:uid="{6189BA32-9ADF-4667-8A0F-B5713D43BDFC}"/>
    <cellStyle name="Normal 3 2 2 2 2" xfId="1082" xr:uid="{AB3590DC-1652-480E-9093-6046CD30B46B}"/>
    <cellStyle name="Normal 3 2 2 2 2 2" xfId="2550" xr:uid="{93C09D4A-5AFD-4731-B0A4-A9927525300D}"/>
    <cellStyle name="Normal 3 2 2 2 2 2 2" xfId="6282" xr:uid="{29C2E1F9-ABBD-4A75-94D7-32467421CB5C}"/>
    <cellStyle name="Normal 3 2 2 2 2 2 2 2" xfId="13990" xr:uid="{94BF23C2-3A54-4F94-9F85-1203C4468C3B}"/>
    <cellStyle name="Normal 3 2 2 2 2 2 2 2 2" xfId="29402" xr:uid="{564A39C7-2FDB-4A39-BC4A-72843AFCE88A}"/>
    <cellStyle name="Normal 3 2 2 2 2 2 2 2 2 2" xfId="59254" xr:uid="{4BA98DAA-5C7C-4E2D-86C1-4E61323601B3}"/>
    <cellStyle name="Normal 3 2 2 2 2 2 2 2 3" xfId="59253" xr:uid="{B525855D-9B33-45FB-8AD4-5D07DDBED8FD}"/>
    <cellStyle name="Normal 3 2 2 2 2 2 2 3" xfId="21697" xr:uid="{8D70A614-FC40-46D5-834D-0BCD52D5D37B}"/>
    <cellStyle name="Normal 3 2 2 2 2 2 2 3 2" xfId="59255" xr:uid="{4C8D6D61-C75F-413C-B9D5-AAAA2922EE1B}"/>
    <cellStyle name="Normal 3 2 2 2 2 2 2 4" xfId="59252" xr:uid="{A25BEA50-C3E9-48B6-8B71-440651458F6E}"/>
    <cellStyle name="Normal 3 2 2 2 2 2 3" xfId="10261" xr:uid="{43C7E749-4F1F-4C14-9BE3-DC3A2021AE72}"/>
    <cellStyle name="Normal 3 2 2 2 2 2 3 2" xfId="25674" xr:uid="{3F69A2AB-E5C3-4A65-8FC9-A6E32C46D443}"/>
    <cellStyle name="Normal 3 2 2 2 2 2 3 2 2" xfId="59257" xr:uid="{70DD31E3-0DA0-4B5C-B798-3BE63D9DAE42}"/>
    <cellStyle name="Normal 3 2 2 2 2 2 3 3" xfId="59256" xr:uid="{F2E56346-7316-4760-8F35-01493D59666C}"/>
    <cellStyle name="Normal 3 2 2 2 2 2 4" xfId="17969" xr:uid="{DA751323-6EE7-47BA-9EAD-6D31FA8929D1}"/>
    <cellStyle name="Normal 3 2 2 2 2 2 4 2" xfId="59258" xr:uid="{0C60487A-26D5-4A93-9AC2-E15B64656203}"/>
    <cellStyle name="Normal 3 2 2 2 2 2 5" xfId="59251" xr:uid="{CA671AE9-A852-4F3B-9707-16F5806318DC}"/>
    <cellStyle name="Normal 3 2 2 2 2 3" xfId="4819" xr:uid="{AEC06919-3244-4299-B394-3A80A7DD00F6}"/>
    <cellStyle name="Normal 3 2 2 2 2 3 2" xfId="12527" xr:uid="{879D527F-2DC1-45D5-87CA-9831A9E6A3C3}"/>
    <cellStyle name="Normal 3 2 2 2 2 3 2 2" xfId="27939" xr:uid="{444E6AAB-B094-4BC2-9E63-9ABDC61DA9B8}"/>
    <cellStyle name="Normal 3 2 2 2 2 3 2 2 2" xfId="59261" xr:uid="{BFBFB9CE-4AD2-4278-976F-C6142708F4D4}"/>
    <cellStyle name="Normal 3 2 2 2 2 3 2 3" xfId="59260" xr:uid="{FC8E5174-0604-4AA3-BE51-D4440F08895F}"/>
    <cellStyle name="Normal 3 2 2 2 2 3 3" xfId="20234" xr:uid="{9743C7C2-1F7A-46D5-9957-42ECB435371B}"/>
    <cellStyle name="Normal 3 2 2 2 2 3 3 2" xfId="59262" xr:uid="{2A008D97-BF54-4147-BB9C-64769B0377A6}"/>
    <cellStyle name="Normal 3 2 2 2 2 3 4" xfId="59259" xr:uid="{520B967D-7992-43D8-82B2-DB3E376FA2E2}"/>
    <cellStyle name="Normal 3 2 2 2 2 4" xfId="8802" xr:uid="{71B95CA1-7D1D-4B0F-8BE6-FA3C083B556C}"/>
    <cellStyle name="Normal 3 2 2 2 2 4 2" xfId="24215" xr:uid="{822439BC-9A0B-4BC7-83CA-D6B6A2584EAD}"/>
    <cellStyle name="Normal 3 2 2 2 2 4 2 2" xfId="59264" xr:uid="{A55B2481-97FE-40D0-8C39-A034C4114C31}"/>
    <cellStyle name="Normal 3 2 2 2 2 4 3" xfId="59263" xr:uid="{310B0725-46FB-40A8-8662-208B31E33233}"/>
    <cellStyle name="Normal 3 2 2 2 2 5" xfId="16510" xr:uid="{0184D70D-C47D-4A83-8AD8-C3493780DD9A}"/>
    <cellStyle name="Normal 3 2 2 2 2 5 2" xfId="59265" xr:uid="{ED737E7C-89E2-4084-A1E8-2FBE89FA3E48}"/>
    <cellStyle name="Normal 3 2 2 2 2 6" xfId="59250" xr:uid="{9398EE57-49BD-4032-AA61-FAD916E13E1F}"/>
    <cellStyle name="Normal 3 2 2 2 3" xfId="1912" xr:uid="{2B043E80-E104-45D5-B0A0-7931CA9DF45E}"/>
    <cellStyle name="Normal 3 2 2 2 3 2" xfId="5644" xr:uid="{8A960A68-D1DB-40B5-B36A-23E4064A6534}"/>
    <cellStyle name="Normal 3 2 2 2 3 2 2" xfId="13352" xr:uid="{AA12CA0A-70E4-4878-B4BD-48558F97DE28}"/>
    <cellStyle name="Normal 3 2 2 2 3 2 2 2" xfId="28764" xr:uid="{DB306FEB-BA16-4BC4-82B5-3F6A093B34AB}"/>
    <cellStyle name="Normal 3 2 2 2 3 2 2 2 2" xfId="59269" xr:uid="{FA780FCA-5D82-422B-9AC5-67E453168CBA}"/>
    <cellStyle name="Normal 3 2 2 2 3 2 2 3" xfId="59268" xr:uid="{B1F55E4F-271A-4F5A-A901-954C8968D77E}"/>
    <cellStyle name="Normal 3 2 2 2 3 2 3" xfId="21059" xr:uid="{3966BE22-5B78-4E91-A6A9-65CEE14C0454}"/>
    <cellStyle name="Normal 3 2 2 2 3 2 3 2" xfId="59270" xr:uid="{2CEAFEEF-4C86-4C5E-B6F2-1DE40CA15F02}"/>
    <cellStyle name="Normal 3 2 2 2 3 2 4" xfId="59267" xr:uid="{5F03A9A3-2D1F-45B2-B51B-EABCD4B64C22}"/>
    <cellStyle name="Normal 3 2 2 2 3 3" xfId="9623" xr:uid="{87B95024-EC83-4FB7-8951-54AFD918D97C}"/>
    <cellStyle name="Normal 3 2 2 2 3 3 2" xfId="25036" xr:uid="{023459F4-CF74-44DD-8510-8CFE84163FA8}"/>
    <cellStyle name="Normal 3 2 2 2 3 3 2 2" xfId="59272" xr:uid="{E8027921-AE6B-49AE-9E30-A9F9F777B6B6}"/>
    <cellStyle name="Normal 3 2 2 2 3 3 3" xfId="59271" xr:uid="{EFEB455F-9E24-43CE-BD96-B3A69B3645A4}"/>
    <cellStyle name="Normal 3 2 2 2 3 4" xfId="17331" xr:uid="{358A3D6B-1136-4625-9ABF-C09B0DC277D8}"/>
    <cellStyle name="Normal 3 2 2 2 3 4 2" xfId="59273" xr:uid="{176FAAD5-4C8E-4CCE-80B3-6AC13734BCEF}"/>
    <cellStyle name="Normal 3 2 2 2 3 5" xfId="59266" xr:uid="{C6AED739-4CEB-4BBF-981A-3ADD1C2294BB}"/>
    <cellStyle name="Normal 3 2 2 2 4" xfId="4167" xr:uid="{DB7D9C59-B85A-4C00-AA51-CA6BA37B9988}"/>
    <cellStyle name="Normal 3 2 2 2 4 2" xfId="11875" xr:uid="{5546DD33-1D01-42C7-831A-E125BF91178A}"/>
    <cellStyle name="Normal 3 2 2 2 4 2 2" xfId="27287" xr:uid="{B293ECDA-493A-44B4-88F6-8A1D4006430F}"/>
    <cellStyle name="Normal 3 2 2 2 4 2 2 2" xfId="59276" xr:uid="{4BE7EBD4-AB4A-4BF9-99C5-45F5E7723D06}"/>
    <cellStyle name="Normal 3 2 2 2 4 2 3" xfId="59275" xr:uid="{BF6C4132-668F-438F-A96F-26231DEFBDDD}"/>
    <cellStyle name="Normal 3 2 2 2 4 3" xfId="19582" xr:uid="{793FA444-91D9-4F60-84E0-6930614DC51D}"/>
    <cellStyle name="Normal 3 2 2 2 4 3 2" xfId="59277" xr:uid="{D26B39B1-04CE-4ECA-A573-01477C61799D}"/>
    <cellStyle name="Normal 3 2 2 2 4 4" xfId="59274" xr:uid="{7B0C1F5D-D9B5-4FE4-90D4-66ED05B24957}"/>
    <cellStyle name="Normal 3 2 2 2 5" xfId="8164" xr:uid="{D9889AE6-1F59-4F36-BD1E-1FA6D7A9C250}"/>
    <cellStyle name="Normal 3 2 2 2 5 2" xfId="23577" xr:uid="{CD423C5A-04EA-4E28-889A-DF8087B19683}"/>
    <cellStyle name="Normal 3 2 2 2 5 2 2" xfId="59279" xr:uid="{A0E17C1C-1002-4578-A1FF-A077456DF704}"/>
    <cellStyle name="Normal 3 2 2 2 5 3" xfId="59278" xr:uid="{BDB5647C-5812-45AD-99FB-6A7F8ADAE7EF}"/>
    <cellStyle name="Normal 3 2 2 2 6" xfId="15872" xr:uid="{AC383F58-18B6-4EF6-BCA5-D55FD54E46F2}"/>
    <cellStyle name="Normal 3 2 2 2 6 2" xfId="59280" xr:uid="{6CC9B343-086A-4613-B775-42DF56DEF069}"/>
    <cellStyle name="Normal 3 2 2 2 7" xfId="59249" xr:uid="{F9A82FBC-3E74-4B83-8170-B71DA206E113}"/>
    <cellStyle name="Normal 3 2 2 3" xfId="882" xr:uid="{522BC259-5BF2-4C61-BCE5-7F32B34F5994}"/>
    <cellStyle name="Normal 3 2 2 3 2" xfId="2352" xr:uid="{5D388536-CFB1-4F66-B6E8-48EB2A77F2D0}"/>
    <cellStyle name="Normal 3 2 2 3 2 2" xfId="6084" xr:uid="{69218965-0F71-4A92-B611-BE50C2117417}"/>
    <cellStyle name="Normal 3 2 2 3 2 2 2" xfId="13792" xr:uid="{5D5632C2-D97D-42BC-9DA7-E1B5641317FE}"/>
    <cellStyle name="Normal 3 2 2 3 2 2 2 2" xfId="29204" xr:uid="{DAB8DDBB-4DE3-4CCF-8155-A7FC4110DA05}"/>
    <cellStyle name="Normal 3 2 2 3 2 2 2 2 2" xfId="59285" xr:uid="{6AAB3468-3FB4-4FA9-800D-4A16E30ACF4D}"/>
    <cellStyle name="Normal 3 2 2 3 2 2 2 3" xfId="59284" xr:uid="{DDAAB875-3A5F-4D6D-BD28-32629FC46163}"/>
    <cellStyle name="Normal 3 2 2 3 2 2 3" xfId="21499" xr:uid="{8C975BBD-5CAE-4C79-B148-B9075EB1C245}"/>
    <cellStyle name="Normal 3 2 2 3 2 2 3 2" xfId="59286" xr:uid="{F6FD902A-4E9D-4982-BF85-A6B0793D3EA3}"/>
    <cellStyle name="Normal 3 2 2 3 2 2 4" xfId="59283" xr:uid="{952A6B65-8732-4783-96A7-90F2307D460E}"/>
    <cellStyle name="Normal 3 2 2 3 2 3" xfId="10063" xr:uid="{6AA0478D-9A3D-4E10-A5B5-A4D302AFF0C7}"/>
    <cellStyle name="Normal 3 2 2 3 2 3 2" xfId="25476" xr:uid="{2AB32021-BD6B-41BE-8486-DEEAE1620192}"/>
    <cellStyle name="Normal 3 2 2 3 2 3 2 2" xfId="59288" xr:uid="{34F1C5BC-5638-4DB4-85D6-DB93E5DAB378}"/>
    <cellStyle name="Normal 3 2 2 3 2 3 3" xfId="59287" xr:uid="{492ABF48-A243-4043-A4E2-95BEB8AB4B08}"/>
    <cellStyle name="Normal 3 2 2 3 2 4" xfId="17771" xr:uid="{092B6CA1-8A7D-4C02-98C4-F484E2D39415}"/>
    <cellStyle name="Normal 3 2 2 3 2 4 2" xfId="59289" xr:uid="{D4D553A8-6480-4B5F-9918-20A3A5B73ABB}"/>
    <cellStyle name="Normal 3 2 2 3 2 5" xfId="59282" xr:uid="{6F02C51C-7452-49CA-83CD-4C32B671D4AC}"/>
    <cellStyle name="Normal 3 2 2 3 3" xfId="4619" xr:uid="{B1003BC5-D449-4D5A-96B1-4BB1AA924126}"/>
    <cellStyle name="Normal 3 2 2 3 3 2" xfId="12327" xr:uid="{123B9F9A-E012-4F83-A8EC-822008ADD82B}"/>
    <cellStyle name="Normal 3 2 2 3 3 2 2" xfId="27739" xr:uid="{37EB2004-0D86-44C0-BB76-3FBD4F9898E8}"/>
    <cellStyle name="Normal 3 2 2 3 3 2 2 2" xfId="59292" xr:uid="{ADCF9D8B-12FE-499A-AFBF-F5459641D54A}"/>
    <cellStyle name="Normal 3 2 2 3 3 2 3" xfId="59291" xr:uid="{57F59CE3-2790-45FE-A4DC-53DA4386CB90}"/>
    <cellStyle name="Normal 3 2 2 3 3 3" xfId="20034" xr:uid="{E67909C3-D9B6-4282-A335-BC5E27D917CF}"/>
    <cellStyle name="Normal 3 2 2 3 3 3 2" xfId="59293" xr:uid="{110F43C2-CD51-4D93-A4EA-9DEBAF1BC5E3}"/>
    <cellStyle name="Normal 3 2 2 3 3 4" xfId="59290" xr:uid="{AB6DC9AA-1783-4204-B82E-0D0A5964E51F}"/>
    <cellStyle name="Normal 3 2 2 3 4" xfId="8604" xr:uid="{48FCBB64-3F9E-4BBE-8F2B-C37B6B38C898}"/>
    <cellStyle name="Normal 3 2 2 3 4 2" xfId="24017" xr:uid="{9F8150D3-7637-4CF7-970A-D6EF2154ED0C}"/>
    <cellStyle name="Normal 3 2 2 3 4 2 2" xfId="59295" xr:uid="{012CF14A-E3F2-4661-B4C6-001AB1D228FA}"/>
    <cellStyle name="Normal 3 2 2 3 4 3" xfId="59294" xr:uid="{4EDD7803-47CD-42B4-952C-6D2C12510DE5}"/>
    <cellStyle name="Normal 3 2 2 3 5" xfId="16312" xr:uid="{5A6B317A-050E-4978-8A4C-04B55291C689}"/>
    <cellStyle name="Normal 3 2 2 3 5 2" xfId="59296" xr:uid="{82B09085-6650-4BFA-9215-D26DE36BE611}"/>
    <cellStyle name="Normal 3 2 2 3 6" xfId="59281" xr:uid="{8D0C8C57-92BD-4F82-859C-0B1AD2EF3A8A}"/>
    <cellStyle name="Normal 3 2 2 4" xfId="1714" xr:uid="{B10FAF50-9A49-42A4-8101-7A71BE532239}"/>
    <cellStyle name="Normal 3 2 2 4 2" xfId="5446" xr:uid="{14E96FDF-589D-40A1-950E-F4BB984A95E5}"/>
    <cellStyle name="Normal 3 2 2 4 2 2" xfId="13154" xr:uid="{773BFE4C-44C9-4250-9F17-11DECB3AE78D}"/>
    <cellStyle name="Normal 3 2 2 4 2 2 2" xfId="28566" xr:uid="{46C3747D-4060-41C1-8987-5917ACE1C0A5}"/>
    <cellStyle name="Normal 3 2 2 4 2 2 2 2" xfId="59300" xr:uid="{72DB6877-EDBF-4AA5-8D92-53F0A65A58DA}"/>
    <cellStyle name="Normal 3 2 2 4 2 2 3" xfId="59299" xr:uid="{4541E002-8A9E-45A9-8DF4-EC462EC88C5D}"/>
    <cellStyle name="Normal 3 2 2 4 2 3" xfId="20861" xr:uid="{B0BD935C-2782-4E23-BA11-C0D81A718AE9}"/>
    <cellStyle name="Normal 3 2 2 4 2 3 2" xfId="59301" xr:uid="{68A8C47D-FBF8-49BA-BB10-48770815091C}"/>
    <cellStyle name="Normal 3 2 2 4 2 4" xfId="59298" xr:uid="{A7C7BC84-9BCD-4DEC-B1D9-5E8677A2B897}"/>
    <cellStyle name="Normal 3 2 2 4 3" xfId="9425" xr:uid="{45A4FC7D-DB4D-49BB-A38F-C62902A65D07}"/>
    <cellStyle name="Normal 3 2 2 4 3 2" xfId="24838" xr:uid="{695248CD-7CBF-4693-B7D1-F8DC8DBE0696}"/>
    <cellStyle name="Normal 3 2 2 4 3 2 2" xfId="59303" xr:uid="{E8285533-A6F0-47F2-AE34-DDA389317D3A}"/>
    <cellStyle name="Normal 3 2 2 4 3 3" xfId="59302" xr:uid="{9CA62CD7-07D0-4E78-ABDB-2CD985528249}"/>
    <cellStyle name="Normal 3 2 2 4 4" xfId="17133" xr:uid="{B63161B2-E64A-4A85-8F84-9255AB01A816}"/>
    <cellStyle name="Normal 3 2 2 4 4 2" xfId="59304" xr:uid="{C5360E9A-2C1F-4B77-8ADB-F3BBA8734376}"/>
    <cellStyle name="Normal 3 2 2 4 5" xfId="59297" xr:uid="{73FCDA6E-29D9-4BF1-A0CC-9030C9E9475E}"/>
    <cellStyle name="Normal 3 2 2 5" xfId="3967" xr:uid="{6923A739-DE9B-4E24-813B-56F176C72174}"/>
    <cellStyle name="Normal 3 2 2 5 2" xfId="11675" xr:uid="{8DA2CF6D-2C8A-439D-AE39-92D5AAEC408A}"/>
    <cellStyle name="Normal 3 2 2 5 2 2" xfId="27087" xr:uid="{E57F8024-00C0-47DC-B814-A846FE37E418}"/>
    <cellStyle name="Normal 3 2 2 5 2 2 2" xfId="59307" xr:uid="{B5678DA2-391B-411A-880D-A3617BDAB20A}"/>
    <cellStyle name="Normal 3 2 2 5 2 3" xfId="59306" xr:uid="{D1571AA1-66E1-4245-A2A6-7D1DF604067D}"/>
    <cellStyle name="Normal 3 2 2 5 3" xfId="19382" xr:uid="{6199E05E-945B-47FC-B34D-30E5F325C2AF}"/>
    <cellStyle name="Normal 3 2 2 5 3 2" xfId="59308" xr:uid="{B538E9AE-F413-4BB4-8017-A50013D6AE01}"/>
    <cellStyle name="Normal 3 2 2 5 4" xfId="59305" xr:uid="{7439DFD9-178A-4CF5-A398-4F5B78FF3598}"/>
    <cellStyle name="Normal 3 2 2 6" xfId="7966" xr:uid="{79F9BBD6-C40B-4FB8-B75A-E20CE5DCE31E}"/>
    <cellStyle name="Normal 3 2 2 6 2" xfId="23379" xr:uid="{D0908944-AFC9-4021-8E99-C5E10691216F}"/>
    <cellStyle name="Normal 3 2 2 6 2 2" xfId="59310" xr:uid="{0C8A273E-B2BC-438B-8FBF-28C63EB94AA4}"/>
    <cellStyle name="Normal 3 2 2 6 3" xfId="59309" xr:uid="{AF297224-B302-4426-A0E3-528A3E730336}"/>
    <cellStyle name="Normal 3 2 2 7" xfId="15674" xr:uid="{4891C813-F5BE-4B31-9705-E04912DABEDC}"/>
    <cellStyle name="Normal 3 2 2 7 2" xfId="59311" xr:uid="{1098CA3F-B7DF-4073-9469-C6D3083C62A6}"/>
    <cellStyle name="Normal 3 2 2 8" xfId="59248" xr:uid="{A4F767D4-F570-4B45-81CA-C7D28FD58DF0}"/>
    <cellStyle name="Normal 3 2 3" xfId="369" xr:uid="{EE63E8F7-D55C-44E4-8F09-1F608D733F86}"/>
    <cellStyle name="Normal 3 2 3 2" xfId="1031" xr:uid="{0081F5DA-B6B7-45BF-8340-8A26712FB8B8}"/>
    <cellStyle name="Normal 3 2 3 2 2" xfId="2500" xr:uid="{87214796-3A9F-4D50-86B7-D6E4BF762F1F}"/>
    <cellStyle name="Normal 3 2 3 2 2 2" xfId="6232" xr:uid="{5315542F-6C5D-409A-A0B5-570594E20E96}"/>
    <cellStyle name="Normal 3 2 3 2 2 2 2" xfId="13940" xr:uid="{D05C350A-00BE-4D10-8BCD-41F6FA5F5AFC}"/>
    <cellStyle name="Normal 3 2 3 2 2 2 2 2" xfId="29352" xr:uid="{592D3AE7-7484-4711-AB07-CBBBE8301B68}"/>
    <cellStyle name="Normal 3 2 3 2 2 2 2 2 2" xfId="59317" xr:uid="{1E0C49B5-02FE-4E39-99B6-F217CBF7A5D2}"/>
    <cellStyle name="Normal 3 2 3 2 2 2 2 3" xfId="59316" xr:uid="{59759DD4-1DCA-484E-AD3B-F4B28F13B3C8}"/>
    <cellStyle name="Normal 3 2 3 2 2 2 3" xfId="21647" xr:uid="{DDFBC2BF-DAC4-4A49-A27A-65A30C9DA93E}"/>
    <cellStyle name="Normal 3 2 3 2 2 2 3 2" xfId="59318" xr:uid="{C4CED435-BC41-419A-8C9F-17FD176D3D12}"/>
    <cellStyle name="Normal 3 2 3 2 2 2 4" xfId="59315" xr:uid="{B42E127B-35EC-4D81-A895-84DBBD4BDE71}"/>
    <cellStyle name="Normal 3 2 3 2 2 3" xfId="10211" xr:uid="{270613FC-0A34-4D9E-99D1-79657585E6AC}"/>
    <cellStyle name="Normal 3 2 3 2 2 3 2" xfId="25624" xr:uid="{EE8C5F0A-8B4A-43A0-AE5F-692CB7FCF8D7}"/>
    <cellStyle name="Normal 3 2 3 2 2 3 2 2" xfId="59320" xr:uid="{1CD83779-3190-416D-8227-22852FFA461F}"/>
    <cellStyle name="Normal 3 2 3 2 2 3 3" xfId="59319" xr:uid="{AC9EF983-56E1-459A-AEFD-AEE88C10F5F4}"/>
    <cellStyle name="Normal 3 2 3 2 2 4" xfId="17919" xr:uid="{477391EB-8747-40CB-B523-8FC1BC5B5FB5}"/>
    <cellStyle name="Normal 3 2 3 2 2 4 2" xfId="59321" xr:uid="{965CC223-2C0D-431B-9C1C-9521604278C3}"/>
    <cellStyle name="Normal 3 2 3 2 2 5" xfId="59314" xr:uid="{12343CF3-962F-4113-9C45-32030E8C259F}"/>
    <cellStyle name="Normal 3 2 3 2 3" xfId="4768" xr:uid="{C81D5D61-DEB6-43E8-9A7F-427284C68DF1}"/>
    <cellStyle name="Normal 3 2 3 2 3 2" xfId="12476" xr:uid="{ADF4274A-F71A-4B5B-A654-CE1C92D7311E}"/>
    <cellStyle name="Normal 3 2 3 2 3 2 2" xfId="27888" xr:uid="{BA7441BC-1DDA-46AD-A058-7F9B134C2225}"/>
    <cellStyle name="Normal 3 2 3 2 3 2 2 2" xfId="59324" xr:uid="{8A3B8805-91DA-4AB2-9123-24C9699C39B0}"/>
    <cellStyle name="Normal 3 2 3 2 3 2 3" xfId="59323" xr:uid="{68CD1A3F-6F14-4CFC-BA8A-8BC62F8C4061}"/>
    <cellStyle name="Normal 3 2 3 2 3 3" xfId="20183" xr:uid="{B8507829-C2D8-46AB-BECC-D99743274037}"/>
    <cellStyle name="Normal 3 2 3 2 3 3 2" xfId="59325" xr:uid="{0CFB2079-6137-45A2-9B05-20B95A171B41}"/>
    <cellStyle name="Normal 3 2 3 2 3 4" xfId="59322" xr:uid="{7ED73362-B6B9-4503-A0F2-1F60CABA89C5}"/>
    <cellStyle name="Normal 3 2 3 2 4" xfId="8752" xr:uid="{D9E0E923-02B3-4B73-9651-D9E98A453514}"/>
    <cellStyle name="Normal 3 2 3 2 4 2" xfId="24165" xr:uid="{241AB79E-2502-475D-AEAB-10930FF2CA0A}"/>
    <cellStyle name="Normal 3 2 3 2 4 2 2" xfId="59327" xr:uid="{442AFE0F-4016-4482-95D8-30F86F0ED50C}"/>
    <cellStyle name="Normal 3 2 3 2 4 3" xfId="59326" xr:uid="{E97CADA8-2CC3-4D7D-B2C3-1B0FE65C92A4}"/>
    <cellStyle name="Normal 3 2 3 2 5" xfId="16460" xr:uid="{C322CB7D-1B92-4055-9746-D08DD6DCCC8A}"/>
    <cellStyle name="Normal 3 2 3 2 5 2" xfId="59328" xr:uid="{B62915EA-AA58-4A32-B56B-B7F42ADD795F}"/>
    <cellStyle name="Normal 3 2 3 2 6" xfId="59313" xr:uid="{D351608A-6E6A-45FE-88EC-84E8B1FFD44C}"/>
    <cellStyle name="Normal 3 2 3 3" xfId="1862" xr:uid="{3530BB98-50EB-4610-B545-CD6E8E67066C}"/>
    <cellStyle name="Normal 3 2 3 3 2" xfId="5594" xr:uid="{F02D4CEB-DBCB-451B-B6C8-9F14A8B411CC}"/>
    <cellStyle name="Normal 3 2 3 3 2 2" xfId="13302" xr:uid="{E955B40B-2F67-4015-83D5-BD96213C0664}"/>
    <cellStyle name="Normal 3 2 3 3 2 2 2" xfId="28714" xr:uid="{305001C9-DFF4-4B77-B0F8-121E4FCC09A5}"/>
    <cellStyle name="Normal 3 2 3 3 2 2 2 2" xfId="59332" xr:uid="{4143FA48-A50C-4CBC-A739-4A75CD1EC36B}"/>
    <cellStyle name="Normal 3 2 3 3 2 2 3" xfId="59331" xr:uid="{1F189521-2F4E-4988-B55A-13305ACDD6E8}"/>
    <cellStyle name="Normal 3 2 3 3 2 3" xfId="21009" xr:uid="{E1F98565-B5CC-4C03-A7D0-F34EEF27FEEF}"/>
    <cellStyle name="Normal 3 2 3 3 2 3 2" xfId="59333" xr:uid="{129B5FD9-E390-4E08-BD27-27FCB2BAE0FF}"/>
    <cellStyle name="Normal 3 2 3 3 2 4" xfId="59330" xr:uid="{1C0663B2-6189-4918-8FB1-3FE8988E5E8E}"/>
    <cellStyle name="Normal 3 2 3 3 3" xfId="9573" xr:uid="{1B5DAC60-2AC2-4568-B28B-4A610EE21055}"/>
    <cellStyle name="Normal 3 2 3 3 3 2" xfId="24986" xr:uid="{C1EE453C-9F96-420C-89C9-93E76E98D160}"/>
    <cellStyle name="Normal 3 2 3 3 3 2 2" xfId="59335" xr:uid="{A0B5B020-F372-45AB-90A6-532CDE62FEDD}"/>
    <cellStyle name="Normal 3 2 3 3 3 3" xfId="59334" xr:uid="{D283BA8A-4689-4F7B-BBBE-F9B38CB324B7}"/>
    <cellStyle name="Normal 3 2 3 3 4" xfId="17281" xr:uid="{8339B579-4601-4EF6-B5C5-EF3120E36ACF}"/>
    <cellStyle name="Normal 3 2 3 3 4 2" xfId="59336" xr:uid="{651BA4B2-4378-44B1-BEE6-F160EF486149}"/>
    <cellStyle name="Normal 3 2 3 3 5" xfId="59329" xr:uid="{952770FC-C999-49DC-B535-BD9AD60C6F65}"/>
    <cellStyle name="Normal 3 2 3 4" xfId="4116" xr:uid="{66103654-3C8A-4FF0-805B-17135D2D6D4C}"/>
    <cellStyle name="Normal 3 2 3 4 2" xfId="11824" xr:uid="{02E615E4-244E-4801-8811-71C33978EE62}"/>
    <cellStyle name="Normal 3 2 3 4 2 2" xfId="27236" xr:uid="{5AB84CE9-1C28-49A1-8D84-4FB059466CBB}"/>
    <cellStyle name="Normal 3 2 3 4 2 2 2" xfId="59339" xr:uid="{0778CBBC-9DC8-4D52-B890-8856A15E97A3}"/>
    <cellStyle name="Normal 3 2 3 4 2 3" xfId="59338" xr:uid="{6D3E00D3-F613-4C05-86B3-42D2EC047F75}"/>
    <cellStyle name="Normal 3 2 3 4 3" xfId="19531" xr:uid="{73738036-FA71-48A4-86EF-C00052CE7C7D}"/>
    <cellStyle name="Normal 3 2 3 4 3 2" xfId="59340" xr:uid="{39033588-EA02-4A69-B932-1F57CD0AE093}"/>
    <cellStyle name="Normal 3 2 3 4 4" xfId="59337" xr:uid="{92167E76-8AF4-40E6-9504-F09B8A1698C9}"/>
    <cellStyle name="Normal 3 2 3 5" xfId="8114" xr:uid="{724D4773-27E9-4A5B-9248-96A9241204E4}"/>
    <cellStyle name="Normal 3 2 3 5 2" xfId="23527" xr:uid="{4D18F809-3924-43A0-B986-4BADF4601269}"/>
    <cellStyle name="Normal 3 2 3 5 2 2" xfId="59342" xr:uid="{BBFBA270-E2DD-407F-8988-EA6A02CCB97C}"/>
    <cellStyle name="Normal 3 2 3 5 3" xfId="59341" xr:uid="{EFD8C913-069C-4407-87B9-79E5DFBD2761}"/>
    <cellStyle name="Normal 3 2 3 6" xfId="15822" xr:uid="{9D46D362-36C7-439E-92FB-B4E8CD7B5E4E}"/>
    <cellStyle name="Normal 3 2 3 6 2" xfId="59343" xr:uid="{DD5ACCD4-991C-4471-B485-2E16B292E01C}"/>
    <cellStyle name="Normal 3 2 3 7" xfId="59312" xr:uid="{3B12EC2E-4341-4193-A8FE-C3AE5427CB16}"/>
    <cellStyle name="Normal 3 2 4" xfId="826" xr:uid="{3A7E170B-E944-44E0-8C3B-B77466BB939D}"/>
    <cellStyle name="Normal 3 2 4 2" xfId="2302" xr:uid="{AE285E2F-4933-4CCB-B566-83385C896B41}"/>
    <cellStyle name="Normal 3 2 4 2 2" xfId="6034" xr:uid="{821CCBA4-A9A5-46C3-9409-8F53E98B77E9}"/>
    <cellStyle name="Normal 3 2 4 2 2 2" xfId="13742" xr:uid="{80F4A2B7-3306-41DC-89DD-6AE9528DCB3E}"/>
    <cellStyle name="Normal 3 2 4 2 2 2 2" xfId="29154" xr:uid="{8A60CF7A-EF3F-4EA5-8D71-26567D7F09C6}"/>
    <cellStyle name="Normal 3 2 4 2 2 2 2 2" xfId="59348" xr:uid="{B81D5A4D-8FB8-47A5-B80B-91832143A06F}"/>
    <cellStyle name="Normal 3 2 4 2 2 2 3" xfId="59347" xr:uid="{98A42A7C-83BA-478D-8387-D1B9DC4CC69B}"/>
    <cellStyle name="Normal 3 2 4 2 2 3" xfId="21449" xr:uid="{1E840346-EF3E-4196-A656-724C1B25F48F}"/>
    <cellStyle name="Normal 3 2 4 2 2 3 2" xfId="59349" xr:uid="{D8CCAA89-E170-46AE-BC23-5B9BCB26DE9E}"/>
    <cellStyle name="Normal 3 2 4 2 2 4" xfId="59346" xr:uid="{1A32B0B4-F6D5-44A3-90A9-BC6569D3BFB9}"/>
    <cellStyle name="Normal 3 2 4 2 3" xfId="10013" xr:uid="{125B97CC-CA68-44E4-B16A-EFFABDB8BBF9}"/>
    <cellStyle name="Normal 3 2 4 2 3 2" xfId="25426" xr:uid="{1CFCA5FB-F74B-4E72-A0DE-6EF37CD88A43}"/>
    <cellStyle name="Normal 3 2 4 2 3 2 2" xfId="59351" xr:uid="{05EFD4D1-9FA4-48D7-8F87-2F4BCA78EFD0}"/>
    <cellStyle name="Normal 3 2 4 2 3 3" xfId="59350" xr:uid="{76BEAE63-9A4D-4F7F-A6F8-75452B6A7451}"/>
    <cellStyle name="Normal 3 2 4 2 4" xfId="17721" xr:uid="{69C9CC04-D16E-4C1E-9C58-9349DA94A80B}"/>
    <cellStyle name="Normal 3 2 4 2 4 2" xfId="59352" xr:uid="{D6A8065F-1F36-4177-8959-5052490BBE9C}"/>
    <cellStyle name="Normal 3 2 4 2 5" xfId="59345" xr:uid="{04D08468-8090-495A-BB12-2F42E5F81EF9}"/>
    <cellStyle name="Normal 3 2 4 3" xfId="4563" xr:uid="{398B0CE0-BA67-4084-B39B-7CA80F9F986A}"/>
    <cellStyle name="Normal 3 2 4 3 2" xfId="12271" xr:uid="{2AFCE626-59E8-4B85-877C-9FA3314C825A}"/>
    <cellStyle name="Normal 3 2 4 3 2 2" xfId="27683" xr:uid="{CCA9E702-3AEA-4740-BDE7-E4BDE96BD60D}"/>
    <cellStyle name="Normal 3 2 4 3 2 2 2" xfId="59355" xr:uid="{D5931035-0EC3-4359-AE6E-DF770561C1FC}"/>
    <cellStyle name="Normal 3 2 4 3 2 3" xfId="59354" xr:uid="{38345109-BC9B-4891-AC49-C04996D67A05}"/>
    <cellStyle name="Normal 3 2 4 3 3" xfId="19978" xr:uid="{6D97F6C2-1BC2-482C-9BAA-3CA7974B20B7}"/>
    <cellStyle name="Normal 3 2 4 3 3 2" xfId="59356" xr:uid="{0D552CAD-2A36-44B7-A180-1CB1EB5B237D}"/>
    <cellStyle name="Normal 3 2 4 3 4" xfId="59353" xr:uid="{05508B6E-B76A-43F0-AE47-D46C13E48E44}"/>
    <cellStyle name="Normal 3 2 4 4" xfId="8554" xr:uid="{72C2448C-97C8-429D-B76D-48E8F17D8836}"/>
    <cellStyle name="Normal 3 2 4 4 2" xfId="23967" xr:uid="{8EE6A3C1-6359-4841-813F-923B024A9E4C}"/>
    <cellStyle name="Normal 3 2 4 4 2 2" xfId="59358" xr:uid="{B52308E9-885C-4841-88FE-1CE5821C26AE}"/>
    <cellStyle name="Normal 3 2 4 4 3" xfId="59357" xr:uid="{3E2C2971-EF20-443B-BEA0-9DDA02B4BD0E}"/>
    <cellStyle name="Normal 3 2 4 5" xfId="16262" xr:uid="{1EB87D4B-EB28-4383-8552-B133BC344567}"/>
    <cellStyle name="Normal 3 2 4 5 2" xfId="59359" xr:uid="{2513923D-D79F-4EBD-9A4C-DEDFA441AF5B}"/>
    <cellStyle name="Normal 3 2 4 6" xfId="59344" xr:uid="{EA1852DA-EFFD-4575-B557-92D1CD03E17A}"/>
    <cellStyle name="Normal 3 2 5" xfId="1663" xr:uid="{FDDFA975-B4C4-41C0-914F-10E16E901E92}"/>
    <cellStyle name="Normal 3 2 5 2" xfId="5395" xr:uid="{6E9B1A89-71E2-4C57-99A4-D1556CEA9E32}"/>
    <cellStyle name="Normal 3 2 5 2 2" xfId="13103" xr:uid="{EEA80561-8DDD-41DC-B628-7E31A85F9736}"/>
    <cellStyle name="Normal 3 2 5 2 2 2" xfId="28515" xr:uid="{87B1E438-7087-4DB4-A044-93E580BDD97A}"/>
    <cellStyle name="Normal 3 2 5 2 2 2 2" xfId="59363" xr:uid="{CF0D38AE-78C4-464E-B0FB-6080DDFE275E}"/>
    <cellStyle name="Normal 3 2 5 2 2 3" xfId="59362" xr:uid="{A2ADC487-AF41-4FE7-BE28-D39348128660}"/>
    <cellStyle name="Normal 3 2 5 2 3" xfId="20810" xr:uid="{3FCD6995-5297-40FA-B56C-6D8EE2CD8AEC}"/>
    <cellStyle name="Normal 3 2 5 2 3 2" xfId="59364" xr:uid="{F5F5DEE0-32F0-4F0F-84A7-2F3A44388CBF}"/>
    <cellStyle name="Normal 3 2 5 2 4" xfId="59361" xr:uid="{A0694A3E-D9F7-4D9C-A23B-F5DF71E456FC}"/>
    <cellStyle name="Normal 3 2 5 3" xfId="9375" xr:uid="{41C6A0F9-F7AA-4322-BD51-51D181893075}"/>
    <cellStyle name="Normal 3 2 5 3 2" xfId="24788" xr:uid="{AE8C89B6-2896-4D33-A6A8-6D259764FCCE}"/>
    <cellStyle name="Normal 3 2 5 3 2 2" xfId="59366" xr:uid="{68865B8E-6F80-4342-8137-178756751FBD}"/>
    <cellStyle name="Normal 3 2 5 3 3" xfId="59365" xr:uid="{D1EDEF08-5A27-41E7-9CC3-945A1E595850}"/>
    <cellStyle name="Normal 3 2 5 4" xfId="17083" xr:uid="{47AFB45D-D6EE-4B17-BD9D-30E38EBB13C8}"/>
    <cellStyle name="Normal 3 2 5 4 2" xfId="59367" xr:uid="{C00D21A8-16BE-4D11-B0EB-0552639C9FF7}"/>
    <cellStyle name="Normal 3 2 5 5" xfId="59360" xr:uid="{8E7352AC-766A-4B9E-8A45-8876F413815A}"/>
    <cellStyle name="Normal 3 2 6" xfId="3911" xr:uid="{1F9FCF91-9CCE-4D7B-9031-4EB9E4033D2C}"/>
    <cellStyle name="Normal 3 2 6 2" xfId="11619" xr:uid="{6040A4BC-4052-44BC-B100-5B3A79632FD1}"/>
    <cellStyle name="Normal 3 2 6 2 2" xfId="27031" xr:uid="{DADAA2E2-2670-4324-AD10-FFE5436B431F}"/>
    <cellStyle name="Normal 3 2 6 2 2 2" xfId="59370" xr:uid="{B6C14AFF-FA4F-43B5-B391-6B7AADDBA9A3}"/>
    <cellStyle name="Normal 3 2 6 2 3" xfId="59369" xr:uid="{B6544BAB-9C13-4B54-A26D-473427CAB26A}"/>
    <cellStyle name="Normal 3 2 6 3" xfId="19326" xr:uid="{CC169E08-6739-4990-9775-9469ECA09D21}"/>
    <cellStyle name="Normal 3 2 6 3 2" xfId="59371" xr:uid="{A5838A70-9335-46FA-A147-992F5152F519}"/>
    <cellStyle name="Normal 3 2 6 4" xfId="59368" xr:uid="{055F5779-1474-42C4-BC40-295327AC2A6C}"/>
    <cellStyle name="Normal 3 2 7" xfId="7898" xr:uid="{C2007DAC-A26E-4899-841A-F54D34FC7094}"/>
    <cellStyle name="Normal 3 2 7 2" xfId="23311" xr:uid="{C32DDD46-12E4-4E98-8D4E-8ABD61E3DBF0}"/>
    <cellStyle name="Normal 3 2 7 2 2" xfId="59373" xr:uid="{75335DDB-3E63-4C5E-9457-FF0583D6D1C4}"/>
    <cellStyle name="Normal 3 2 7 3" xfId="59372" xr:uid="{8CB29F3F-5671-4CDF-801D-4B1572E17FB2}"/>
    <cellStyle name="Normal 3 2 8" xfId="15606" xr:uid="{CD6CAF95-FDD3-410B-9AE8-1985EC0CD03A}"/>
    <cellStyle name="Normal 3 2 8 2" xfId="59374" xr:uid="{A0ECDB07-F498-47A8-BBFC-F4118639F382}"/>
    <cellStyle name="Normal 3 2 9" xfId="59247" xr:uid="{60A455BF-AB37-4B32-84D3-6DBB7CD6CB0F}"/>
    <cellStyle name="Normal 3 3" xfId="158" xr:uid="{228DB698-7063-41BB-9D84-B781E0855017}"/>
    <cellStyle name="Normal 3 3 2" xfId="59375" xr:uid="{678BD4A2-7B8A-44A9-BA00-B58F16C59EE2}"/>
    <cellStyle name="Normal 3 4" xfId="200" xr:uid="{CF0D6BF0-6C71-4B81-B223-ED3750BD0087}"/>
    <cellStyle name="Normal 3 4 2" xfId="405" xr:uid="{2CC9E0ED-DF96-4AAF-9CC7-89A1156E2D8B}"/>
    <cellStyle name="Normal 3 4 2 2" xfId="1067" xr:uid="{674960BF-2B31-4C99-97AA-838CFCA9E568}"/>
    <cellStyle name="Normal 3 4 2 2 2" xfId="2535" xr:uid="{D967B1B1-601E-4D4A-AF16-C420BEC90976}"/>
    <cellStyle name="Normal 3 4 2 2 2 2" xfId="6267" xr:uid="{B822C85A-C9AC-4A71-B35A-41019CAD88E5}"/>
    <cellStyle name="Normal 3 4 2 2 2 2 2" xfId="13975" xr:uid="{29221347-6730-460F-A4B0-E4B48F7E1235}"/>
    <cellStyle name="Normal 3 4 2 2 2 2 2 2" xfId="29387" xr:uid="{2211DFAA-829C-406F-9A90-174137CEF52B}"/>
    <cellStyle name="Normal 3 4 2 2 2 2 2 2 2" xfId="59382" xr:uid="{23E4C508-54BC-43C4-8ADE-6EC896B43845}"/>
    <cellStyle name="Normal 3 4 2 2 2 2 2 3" xfId="59381" xr:uid="{6A5110D0-7423-4903-AE2A-CA22DCFCC4EC}"/>
    <cellStyle name="Normal 3 4 2 2 2 2 3" xfId="21682" xr:uid="{11D2BA02-365C-432C-8986-3A9FCA483C6C}"/>
    <cellStyle name="Normal 3 4 2 2 2 2 3 2" xfId="59383" xr:uid="{A983ED33-6D16-42D0-8AB6-04C09CF5458A}"/>
    <cellStyle name="Normal 3 4 2 2 2 2 4" xfId="59380" xr:uid="{0D67DEBA-97DC-4933-AF95-982B7E42B0F8}"/>
    <cellStyle name="Normal 3 4 2 2 2 3" xfId="10246" xr:uid="{140E248A-D805-411D-9E44-D06181882909}"/>
    <cellStyle name="Normal 3 4 2 2 2 3 2" xfId="25659" xr:uid="{F6AF10D6-7A7A-4AAC-B4DC-2AE292F4B3CB}"/>
    <cellStyle name="Normal 3 4 2 2 2 3 2 2" xfId="59385" xr:uid="{D903AC98-A209-4268-865C-F7C7C15CDA38}"/>
    <cellStyle name="Normal 3 4 2 2 2 3 3" xfId="59384" xr:uid="{9252B721-E3CD-4267-8E91-D16DD3F3A4F8}"/>
    <cellStyle name="Normal 3 4 2 2 2 4" xfId="17954" xr:uid="{9FB6DF40-A9FA-4167-897E-60208A6EC047}"/>
    <cellStyle name="Normal 3 4 2 2 2 4 2" xfId="59386" xr:uid="{51477506-A182-4F2B-8974-32C13C368BA7}"/>
    <cellStyle name="Normal 3 4 2 2 2 5" xfId="59379" xr:uid="{ADFD6B4D-2410-4279-970B-4077F0681011}"/>
    <cellStyle name="Normal 3 4 2 2 3" xfId="4804" xr:uid="{1F3082DA-EAD3-4684-8E5F-9ECD3CFE9A7A}"/>
    <cellStyle name="Normal 3 4 2 2 3 2" xfId="12512" xr:uid="{5B33256D-2888-480C-A336-AB44DBEFD8F1}"/>
    <cellStyle name="Normal 3 4 2 2 3 2 2" xfId="27924" xr:uid="{54D0C619-4280-4CB4-9107-5F0EBF01B99F}"/>
    <cellStyle name="Normal 3 4 2 2 3 2 2 2" xfId="59389" xr:uid="{ECD2D702-E31B-446F-9653-4BF7CA5F36CC}"/>
    <cellStyle name="Normal 3 4 2 2 3 2 3" xfId="59388" xr:uid="{F24D57C7-6E22-485A-86C2-11B77BA343C9}"/>
    <cellStyle name="Normal 3 4 2 2 3 3" xfId="20219" xr:uid="{2A96227E-EE86-4F7B-ABE2-A0A55750E819}"/>
    <cellStyle name="Normal 3 4 2 2 3 3 2" xfId="59390" xr:uid="{39F35B71-8834-4DAB-9259-1153DCDC9E54}"/>
    <cellStyle name="Normal 3 4 2 2 3 4" xfId="59387" xr:uid="{E295BA9C-3C5D-4B6F-AE9A-7BFDD8005598}"/>
    <cellStyle name="Normal 3 4 2 2 4" xfId="8787" xr:uid="{5238ACE0-02AF-479B-B82D-193381D0A04E}"/>
    <cellStyle name="Normal 3 4 2 2 4 2" xfId="24200" xr:uid="{2204161D-A2BE-47DD-B668-524CAFFB479B}"/>
    <cellStyle name="Normal 3 4 2 2 4 2 2" xfId="59392" xr:uid="{953D765B-BD01-48FB-A7AC-E98AF858BA30}"/>
    <cellStyle name="Normal 3 4 2 2 4 3" xfId="59391" xr:uid="{228A7998-CB9C-4434-B646-3494F4165795}"/>
    <cellStyle name="Normal 3 4 2 2 5" xfId="16495" xr:uid="{216439A3-5553-4C65-83A1-4BB46E7964F3}"/>
    <cellStyle name="Normal 3 4 2 2 5 2" xfId="59393" xr:uid="{B22D52A5-853E-4CA3-ABAE-341B1B511541}"/>
    <cellStyle name="Normal 3 4 2 2 6" xfId="59378" xr:uid="{B7E1DAC8-A2DA-4783-9C8A-D0A36EBB9AEA}"/>
    <cellStyle name="Normal 3 4 2 3" xfId="1897" xr:uid="{A9E793FD-9574-494E-B589-26EB0F25399A}"/>
    <cellStyle name="Normal 3 4 2 3 2" xfId="5629" xr:uid="{A2CF3AE3-FC1A-4B24-A29D-0A8E8A246193}"/>
    <cellStyle name="Normal 3 4 2 3 2 2" xfId="13337" xr:uid="{0DB40110-A1B2-49F3-A815-9E240DAD0A7A}"/>
    <cellStyle name="Normal 3 4 2 3 2 2 2" xfId="28749" xr:uid="{A82346DA-77DC-4D2D-AC79-CF8CD76C800B}"/>
    <cellStyle name="Normal 3 4 2 3 2 2 2 2" xfId="59397" xr:uid="{731C6E84-6567-432D-8700-0202D2519F26}"/>
    <cellStyle name="Normal 3 4 2 3 2 2 3" xfId="59396" xr:uid="{D4A86B6F-9452-43FE-9168-5E83786E2B3F}"/>
    <cellStyle name="Normal 3 4 2 3 2 3" xfId="21044" xr:uid="{C728DCD9-F998-4C09-8BEF-D916B854EEF6}"/>
    <cellStyle name="Normal 3 4 2 3 2 3 2" xfId="59398" xr:uid="{A2A7FB1A-62DD-4B67-9ACC-873ED52443A9}"/>
    <cellStyle name="Normal 3 4 2 3 2 4" xfId="59395" xr:uid="{BEED7B52-A82F-4BDD-8A81-9FA8DAC0B023}"/>
    <cellStyle name="Normal 3 4 2 3 3" xfId="9608" xr:uid="{A981580A-5857-485A-9834-38B9AC01E0A5}"/>
    <cellStyle name="Normal 3 4 2 3 3 2" xfId="25021" xr:uid="{B16F0F23-7ABD-454A-A494-C5356D1AC24E}"/>
    <cellStyle name="Normal 3 4 2 3 3 2 2" xfId="59400" xr:uid="{BBC215B4-D116-4504-9A96-013D8EC73D1A}"/>
    <cellStyle name="Normal 3 4 2 3 3 3" xfId="59399" xr:uid="{0EFCFA0D-F18E-4015-BFDE-0D362884D6BD}"/>
    <cellStyle name="Normal 3 4 2 3 4" xfId="17316" xr:uid="{04ABC8E3-7FDD-4929-B93E-A5A07D0D0894}"/>
    <cellStyle name="Normal 3 4 2 3 4 2" xfId="59401" xr:uid="{E6A9AA6D-470D-43DE-9008-530919F79AFF}"/>
    <cellStyle name="Normal 3 4 2 3 5" xfId="59394" xr:uid="{4EAFE75D-06E3-4BFD-A662-BEEB28ACC052}"/>
    <cellStyle name="Normal 3 4 2 4" xfId="4152" xr:uid="{33D541A5-B7BE-43EC-9999-5D6A99DC48BE}"/>
    <cellStyle name="Normal 3 4 2 4 2" xfId="11860" xr:uid="{42E7540C-AAC0-4373-B9FB-3A0F05462853}"/>
    <cellStyle name="Normal 3 4 2 4 2 2" xfId="27272" xr:uid="{21E34038-8366-422C-AAA0-9A77156E22C2}"/>
    <cellStyle name="Normal 3 4 2 4 2 2 2" xfId="59404" xr:uid="{471C064C-2C55-4BE3-B408-8F5D63B22105}"/>
    <cellStyle name="Normal 3 4 2 4 2 3" xfId="59403" xr:uid="{4F6FE166-D31E-428F-8DFF-7BEC70348C5F}"/>
    <cellStyle name="Normal 3 4 2 4 3" xfId="19567" xr:uid="{3EF9294A-F4E1-430F-8F49-A2610A2D00EB}"/>
    <cellStyle name="Normal 3 4 2 4 3 2" xfId="59405" xr:uid="{B7A17ED1-96A5-4240-A072-3EEB94C422D2}"/>
    <cellStyle name="Normal 3 4 2 4 4" xfId="59402" xr:uid="{693BF756-612B-48E6-80B4-F46F88F6EAA6}"/>
    <cellStyle name="Normal 3 4 2 5" xfId="8149" xr:uid="{6B28D500-639D-4363-AA6B-4F1CC3A8B0C3}"/>
    <cellStyle name="Normal 3 4 2 5 2" xfId="23562" xr:uid="{98DB3DB3-384A-4D62-A7B1-ECE860C2A67D}"/>
    <cellStyle name="Normal 3 4 2 5 2 2" xfId="59407" xr:uid="{9B117B14-9D55-4EF0-BCBF-93C0BAEC1C80}"/>
    <cellStyle name="Normal 3 4 2 5 3" xfId="59406" xr:uid="{F9C46FAD-8EAF-4B92-8BB1-55EFAE2E7E0B}"/>
    <cellStyle name="Normal 3 4 2 6" xfId="15857" xr:uid="{278416FB-6E0E-4DF5-90B7-0AFBDD68FC4E}"/>
    <cellStyle name="Normal 3 4 2 6 2" xfId="59408" xr:uid="{461475C1-A951-4BE4-AB52-78D005FA6C63}"/>
    <cellStyle name="Normal 3 4 2 7" xfId="59377" xr:uid="{47F3E252-CC92-49F5-BAF2-8718717ECB78}"/>
    <cellStyle name="Normal 3 4 3" xfId="866" xr:uid="{39D17986-A3F2-4EED-BA16-238E63666203}"/>
    <cellStyle name="Normal 3 4 3 2" xfId="2337" xr:uid="{FD6729C0-71C1-4A8B-B534-F2B1458B6CEA}"/>
    <cellStyle name="Normal 3 4 3 2 2" xfId="6069" xr:uid="{83BD7AA0-DFCE-4804-AEA3-88ED8A549B9B}"/>
    <cellStyle name="Normal 3 4 3 2 2 2" xfId="13777" xr:uid="{E397B738-D79A-4A43-979A-3BBEBB179CDF}"/>
    <cellStyle name="Normal 3 4 3 2 2 2 2" xfId="29189" xr:uid="{9AD51A78-0D73-4CDE-B2E7-566356248974}"/>
    <cellStyle name="Normal 3 4 3 2 2 2 2 2" xfId="59413" xr:uid="{56186368-8FA4-48D5-A502-BE0920E36E16}"/>
    <cellStyle name="Normal 3 4 3 2 2 2 3" xfId="59412" xr:uid="{F523A98D-6427-4771-8508-2C64A5B441C9}"/>
    <cellStyle name="Normal 3 4 3 2 2 3" xfId="21484" xr:uid="{E8730D7B-855E-4523-8479-610A68141845}"/>
    <cellStyle name="Normal 3 4 3 2 2 3 2" xfId="59414" xr:uid="{EE69D0EC-23F1-4A66-9521-A179F37390BF}"/>
    <cellStyle name="Normal 3 4 3 2 2 4" xfId="59411" xr:uid="{A1873665-ADDB-45C0-B357-AA3F5DCA2FF5}"/>
    <cellStyle name="Normal 3 4 3 2 3" xfId="10048" xr:uid="{CCEFAC05-75F5-4B26-BA51-ACB7A21E432E}"/>
    <cellStyle name="Normal 3 4 3 2 3 2" xfId="25461" xr:uid="{1F04D827-9154-44FD-AA68-49D8277D91BB}"/>
    <cellStyle name="Normal 3 4 3 2 3 2 2" xfId="59416" xr:uid="{FE6CBE78-433B-42F1-ADF3-89650209253D}"/>
    <cellStyle name="Normal 3 4 3 2 3 3" xfId="59415" xr:uid="{27B298A3-ED3F-47D6-9508-7EFEBACB0B52}"/>
    <cellStyle name="Normal 3 4 3 2 4" xfId="17756" xr:uid="{AAFD18CF-8C79-4197-9EF0-2F31B044D6FC}"/>
    <cellStyle name="Normal 3 4 3 2 4 2" xfId="59417" xr:uid="{BE5172EE-4C40-4158-8A15-7DCF4AFF9072}"/>
    <cellStyle name="Normal 3 4 3 2 5" xfId="59410" xr:uid="{5873CEB5-C6F7-4783-B702-506AC2E7B44B}"/>
    <cellStyle name="Normal 3 4 3 3" xfId="4603" xr:uid="{67AF1325-9B82-41EB-9055-EA4A39856DFF}"/>
    <cellStyle name="Normal 3 4 3 3 2" xfId="12311" xr:uid="{BBF74D40-FAA1-4056-A916-C660F3C6F852}"/>
    <cellStyle name="Normal 3 4 3 3 2 2" xfId="27723" xr:uid="{28C8ECD4-1F35-468E-A58F-E6DF0D155664}"/>
    <cellStyle name="Normal 3 4 3 3 2 2 2" xfId="59420" xr:uid="{BAC0D4B2-704A-4AB2-87F9-0BA087DED772}"/>
    <cellStyle name="Normal 3 4 3 3 2 3" xfId="59419" xr:uid="{8CBFD5C7-1EAA-4C63-BF89-BA3677F4AF45}"/>
    <cellStyle name="Normal 3 4 3 3 3" xfId="20018" xr:uid="{A9F52967-3D5C-421E-AFD0-0F43724329DB}"/>
    <cellStyle name="Normal 3 4 3 3 3 2" xfId="59421" xr:uid="{836272FC-943C-45A4-9521-49D1BF50F5D2}"/>
    <cellStyle name="Normal 3 4 3 3 4" xfId="59418" xr:uid="{F39675BA-F700-48BB-A66B-ACB5279E28A1}"/>
    <cellStyle name="Normal 3 4 3 4" xfId="8589" xr:uid="{2874B240-AAC3-4AA6-823E-AA370FD58463}"/>
    <cellStyle name="Normal 3 4 3 4 2" xfId="24002" xr:uid="{D1144735-40FD-48F1-B7BF-1C392C63CAD6}"/>
    <cellStyle name="Normal 3 4 3 4 2 2" xfId="59423" xr:uid="{7A48D615-D480-4DA4-BF0C-5FDED4CC7A86}"/>
    <cellStyle name="Normal 3 4 3 4 3" xfId="59422" xr:uid="{6800FA59-EDE4-4B6C-9B72-7F44961A93E7}"/>
    <cellStyle name="Normal 3 4 3 5" xfId="16297" xr:uid="{4CA2CC9B-7BF3-400A-9C9D-C1E496B0E281}"/>
    <cellStyle name="Normal 3 4 3 5 2" xfId="59424" xr:uid="{A60A3D42-2AFA-4C97-B94F-5147A6EAEE97}"/>
    <cellStyle name="Normal 3 4 3 6" xfId="59409" xr:uid="{E2E320D1-E36F-4CA0-9E74-2985F7EDC02A}"/>
    <cellStyle name="Normal 3 4 4" xfId="1699" xr:uid="{B8810507-E6D9-41B0-8422-A80574AED957}"/>
    <cellStyle name="Normal 3 4 4 2" xfId="5431" xr:uid="{3B488201-A357-48BB-80F1-11D3A59F557F}"/>
    <cellStyle name="Normal 3 4 4 2 2" xfId="13139" xr:uid="{49A6A7E2-4777-4F09-8017-17965345B316}"/>
    <cellStyle name="Normal 3 4 4 2 2 2" xfId="28551" xr:uid="{2F29492A-5D99-4FCB-B2BB-C3814C45B7D9}"/>
    <cellStyle name="Normal 3 4 4 2 2 2 2" xfId="59428" xr:uid="{31886A6B-E641-4B67-99B2-A86718762DBD}"/>
    <cellStyle name="Normal 3 4 4 2 2 3" xfId="59427" xr:uid="{8F49BBDC-5019-465D-85DF-3C48204F4EEE}"/>
    <cellStyle name="Normal 3 4 4 2 3" xfId="20846" xr:uid="{6C58D9E4-8343-40A0-9E37-214B576F250F}"/>
    <cellStyle name="Normal 3 4 4 2 3 2" xfId="59429" xr:uid="{7DC242E5-EBAC-4156-A8D3-19253E39186B}"/>
    <cellStyle name="Normal 3 4 4 2 4" xfId="59426" xr:uid="{FB8B2529-3300-4769-92B9-4A77F20224D7}"/>
    <cellStyle name="Normal 3 4 4 3" xfId="9410" xr:uid="{E2026678-21F7-45BF-9735-9EB610CF22EB}"/>
    <cellStyle name="Normal 3 4 4 3 2" xfId="24823" xr:uid="{C2542AA1-668F-4EB2-831E-4CF9D630DA97}"/>
    <cellStyle name="Normal 3 4 4 3 2 2" xfId="59431" xr:uid="{59994E54-EC88-4C95-BC61-0CF6640826EB}"/>
    <cellStyle name="Normal 3 4 4 3 3" xfId="59430" xr:uid="{EE82442A-2DE0-42A8-8DA5-893116252C43}"/>
    <cellStyle name="Normal 3 4 4 4" xfId="17118" xr:uid="{BC935684-D8F6-4212-BCF0-BF428037DC0E}"/>
    <cellStyle name="Normal 3 4 4 4 2" xfId="59432" xr:uid="{C8F78331-EE1D-4E08-A6FF-4F28EE6F0632}"/>
    <cellStyle name="Normal 3 4 4 5" xfId="59425" xr:uid="{51A01558-CD44-44EE-8996-CA76664ED44A}"/>
    <cellStyle name="Normal 3 4 5" xfId="3951" xr:uid="{CEA2F94B-E3F5-4374-B03D-C0C15CB7DC9E}"/>
    <cellStyle name="Normal 3 4 5 2" xfId="11659" xr:uid="{42AD1370-1114-4B20-AD59-6B280A6EC45C}"/>
    <cellStyle name="Normal 3 4 5 2 2" xfId="27071" xr:uid="{D8066D19-10BF-49DD-8281-9AF0D12B70AF}"/>
    <cellStyle name="Normal 3 4 5 2 2 2" xfId="59435" xr:uid="{A5A635F5-2B33-40EB-87DB-69406FC29D4D}"/>
    <cellStyle name="Normal 3 4 5 2 3" xfId="59434" xr:uid="{35A15F01-5016-411E-9AB2-7D0054F99641}"/>
    <cellStyle name="Normal 3 4 5 3" xfId="19366" xr:uid="{00599E0E-27BB-45C0-8169-D1614B203DBD}"/>
    <cellStyle name="Normal 3 4 5 3 2" xfId="59436" xr:uid="{FB5B506C-3618-4FDB-BF49-7C64736D5F39}"/>
    <cellStyle name="Normal 3 4 5 4" xfId="59433" xr:uid="{8E2B59C3-2328-4E36-844F-2DE4C03CB212}"/>
    <cellStyle name="Normal 3 4 6" xfId="7951" xr:uid="{BD1EE6E3-BEC9-4BDC-82DC-273CA30EE3EA}"/>
    <cellStyle name="Normal 3 4 6 2" xfId="23364" xr:uid="{D19C369A-C16A-4AB3-A6A1-E6FCE8460740}"/>
    <cellStyle name="Normal 3 4 6 2 2" xfId="59438" xr:uid="{D1A74719-DCC9-4964-AAE7-24CA09C22B59}"/>
    <cellStyle name="Normal 3 4 6 3" xfId="59437" xr:uid="{0C57F8D6-48F7-4318-85F2-26AD8109BBD2}"/>
    <cellStyle name="Normal 3 4 7" xfId="15659" xr:uid="{A9FEE523-663C-4297-9EBA-56583A0F8B55}"/>
    <cellStyle name="Normal 3 4 7 2" xfId="59439" xr:uid="{0178D5D5-5D2E-4A8B-B103-5569E04F04D0}"/>
    <cellStyle name="Normal 3 4 8" xfId="59376" xr:uid="{AADFBEA2-C35E-4A48-B040-4488FE7538D7}"/>
    <cellStyle name="Normal 3 5" xfId="353" xr:uid="{60640914-DFE6-421D-8FBD-1307A8B45687}"/>
    <cellStyle name="Normal 3 5 2" xfId="1016" xr:uid="{CAA0459D-E736-43C9-A8F5-F89D6FA9D0BC}"/>
    <cellStyle name="Normal 3 5 2 2" xfId="2485" xr:uid="{36C7D551-8FA2-4F7A-84AB-5A74B8149269}"/>
    <cellStyle name="Normal 3 5 2 2 2" xfId="6217" xr:uid="{62D7AE33-B848-4853-823F-7A56F0B27A40}"/>
    <cellStyle name="Normal 3 5 2 2 2 2" xfId="13925" xr:uid="{CA35BE91-D7D5-4848-B033-5EE920E17497}"/>
    <cellStyle name="Normal 3 5 2 2 2 2 2" xfId="29337" xr:uid="{556CE355-03A9-4C34-95D1-D466C381D830}"/>
    <cellStyle name="Normal 3 5 2 2 2 2 2 2" xfId="59445" xr:uid="{1D8D9F04-E638-4FB4-9CF2-1138A46E52CE}"/>
    <cellStyle name="Normal 3 5 2 2 2 2 3" xfId="59444" xr:uid="{ED5C6C05-C65D-4E1F-B7E2-1767E82C7842}"/>
    <cellStyle name="Normal 3 5 2 2 2 3" xfId="21632" xr:uid="{4348FDD6-BC22-476D-B996-4A731CAC46B3}"/>
    <cellStyle name="Normal 3 5 2 2 2 3 2" xfId="59446" xr:uid="{B917F14B-CAA5-4805-88F2-D2511C6AA377}"/>
    <cellStyle name="Normal 3 5 2 2 2 4" xfId="59443" xr:uid="{B55495F9-C447-4286-ADCE-A5B4D75C7287}"/>
    <cellStyle name="Normal 3 5 2 2 3" xfId="10196" xr:uid="{E3379951-5F35-485D-B19E-FF5FCA3AA428}"/>
    <cellStyle name="Normal 3 5 2 2 3 2" xfId="25609" xr:uid="{46AFB2D7-B0DC-46B5-936C-0D8E8DF2A4AF}"/>
    <cellStyle name="Normal 3 5 2 2 3 2 2" xfId="59448" xr:uid="{BEA156DC-DA4F-4076-B7CB-BFAB32F2D915}"/>
    <cellStyle name="Normal 3 5 2 2 3 3" xfId="59447" xr:uid="{C186F4DF-0735-42C0-95F4-64F6670100DC}"/>
    <cellStyle name="Normal 3 5 2 2 4" xfId="17904" xr:uid="{2A4AF163-F539-41E3-B281-FA909A644435}"/>
    <cellStyle name="Normal 3 5 2 2 4 2" xfId="59449" xr:uid="{C30A8ACD-8B0F-4792-8361-F81BCBD02CC8}"/>
    <cellStyle name="Normal 3 5 2 2 5" xfId="59442" xr:uid="{D4E6B0BD-3FC0-4FE0-A920-B49891073C8C}"/>
    <cellStyle name="Normal 3 5 2 3" xfId="4753" xr:uid="{90BAE224-6FF5-4FB3-BC9A-88B15B730B5F}"/>
    <cellStyle name="Normal 3 5 2 3 2" xfId="12461" xr:uid="{CFE812FE-5FB2-4E9E-935A-5F87C73BB137}"/>
    <cellStyle name="Normal 3 5 2 3 2 2" xfId="27873" xr:uid="{B0DEDB56-3798-4731-AB16-776E9C6F18F4}"/>
    <cellStyle name="Normal 3 5 2 3 2 2 2" xfId="59452" xr:uid="{127D97FA-148E-4FE0-9616-3945F2F3C45D}"/>
    <cellStyle name="Normal 3 5 2 3 2 3" xfId="59451" xr:uid="{C3E16343-2ED5-4DCE-AD70-982432221865}"/>
    <cellStyle name="Normal 3 5 2 3 3" xfId="20168" xr:uid="{FA05F351-287F-49D2-9033-8E5B3A450677}"/>
    <cellStyle name="Normal 3 5 2 3 3 2" xfId="59453" xr:uid="{80160ED7-BFD4-458D-906B-7ABBA7AB367D}"/>
    <cellStyle name="Normal 3 5 2 3 4" xfId="59450" xr:uid="{F806D89D-2EAC-4DBB-929B-233CB96BAE54}"/>
    <cellStyle name="Normal 3 5 2 4" xfId="8737" xr:uid="{7E266E4B-1494-4FF7-88E7-26537A3A23F5}"/>
    <cellStyle name="Normal 3 5 2 4 2" xfId="24150" xr:uid="{C70CBDB3-94A2-4E09-8B6B-3F12D6F18518}"/>
    <cellStyle name="Normal 3 5 2 4 2 2" xfId="59455" xr:uid="{C1702807-6846-41C3-A580-E9A90E0DC049}"/>
    <cellStyle name="Normal 3 5 2 4 3" xfId="59454" xr:uid="{32F26C1F-4D41-4E8C-97DD-9D91EC521FFF}"/>
    <cellStyle name="Normal 3 5 2 5" xfId="16445" xr:uid="{24C9BE05-B2E0-4845-80E6-A7A67AFD3837}"/>
    <cellStyle name="Normal 3 5 2 5 2" xfId="59456" xr:uid="{0620328B-3F42-43A0-A01A-D1EE9AF5E383}"/>
    <cellStyle name="Normal 3 5 2 6" xfId="59441" xr:uid="{AC3F21B5-F9E7-4A9F-AACE-9278CCB7B6D2}"/>
    <cellStyle name="Normal 3 5 3" xfId="1847" xr:uid="{A97E17D9-D6BC-49EB-BD36-A635BEE3042E}"/>
    <cellStyle name="Normal 3 5 3 2" xfId="5579" xr:uid="{563F0F69-EBEA-461E-A064-A97486D9C773}"/>
    <cellStyle name="Normal 3 5 3 2 2" xfId="13287" xr:uid="{36DCB94C-B1C2-43C0-8446-88FD39657CE4}"/>
    <cellStyle name="Normal 3 5 3 2 2 2" xfId="28699" xr:uid="{74E6734D-BBFD-4636-8615-3F7F2FB3AF52}"/>
    <cellStyle name="Normal 3 5 3 2 2 2 2" xfId="59460" xr:uid="{AAF52C71-2554-4794-B072-EED3AC17FEDD}"/>
    <cellStyle name="Normal 3 5 3 2 2 3" xfId="59459" xr:uid="{414734EF-6962-4109-AF52-798FCCB50438}"/>
    <cellStyle name="Normal 3 5 3 2 3" xfId="20994" xr:uid="{EF5F2B8C-A0EE-4E89-900A-7334DF1BD06C}"/>
    <cellStyle name="Normal 3 5 3 2 3 2" xfId="59461" xr:uid="{8F79BEF0-F097-44E0-9339-1C6938E33B9F}"/>
    <cellStyle name="Normal 3 5 3 2 4" xfId="59458" xr:uid="{DEE92404-D104-43A3-BC4F-419899A3A00A}"/>
    <cellStyle name="Normal 3 5 3 3" xfId="9558" xr:uid="{DAC8009D-4E81-4B84-BF90-2D46E143961F}"/>
    <cellStyle name="Normal 3 5 3 3 2" xfId="24971" xr:uid="{A1E43A56-EEB2-4E90-A943-C89E5B597447}"/>
    <cellStyle name="Normal 3 5 3 3 2 2" xfId="59463" xr:uid="{67DA5CC1-D6D2-415D-9B29-41B245EA0BE2}"/>
    <cellStyle name="Normal 3 5 3 3 3" xfId="59462" xr:uid="{B5B01F56-74FA-44BC-9DEA-77C6C3CD700C}"/>
    <cellStyle name="Normal 3 5 3 4" xfId="17266" xr:uid="{46E6FAFA-D379-4D11-A1FD-257E2C1AEBF0}"/>
    <cellStyle name="Normal 3 5 3 4 2" xfId="59464" xr:uid="{C237B904-6A87-4D18-9EE8-C2CB651A50D5}"/>
    <cellStyle name="Normal 3 5 3 5" xfId="59457" xr:uid="{6A247FE2-D6F9-4CC4-8D61-9B40368D7974}"/>
    <cellStyle name="Normal 3 5 4" xfId="4101" xr:uid="{BC3CAED4-4EF4-4E3E-8BF4-312ECBE23251}"/>
    <cellStyle name="Normal 3 5 4 2" xfId="11809" xr:uid="{97E11564-4463-4117-BC43-2310978EF0A3}"/>
    <cellStyle name="Normal 3 5 4 2 2" xfId="27221" xr:uid="{9944AAA2-30C4-42EC-BC79-FA2EB618F8E4}"/>
    <cellStyle name="Normal 3 5 4 2 2 2" xfId="59467" xr:uid="{6F9B1E90-D998-48CF-85CB-638F3BABA603}"/>
    <cellStyle name="Normal 3 5 4 2 3" xfId="59466" xr:uid="{D7C385DE-CF96-42D5-BF43-E9E794100B15}"/>
    <cellStyle name="Normal 3 5 4 3" xfId="19516" xr:uid="{16C853A7-1F6D-47E8-A5E0-697620C1F2F3}"/>
    <cellStyle name="Normal 3 5 4 3 2" xfId="59468" xr:uid="{497507FB-9EB2-4F75-9C69-FC21DA6EB9A8}"/>
    <cellStyle name="Normal 3 5 4 4" xfId="59465" xr:uid="{7B70CD7E-341D-40C2-AB1F-D5C2E11517B6}"/>
    <cellStyle name="Normal 3 5 5" xfId="8099" xr:uid="{FCD653D5-3F49-46AC-B4EF-B0C078A2DEAF}"/>
    <cellStyle name="Normal 3 5 5 2" xfId="23512" xr:uid="{DCEB0CAC-0863-4BDA-98F2-CBCEAE9EE3B7}"/>
    <cellStyle name="Normal 3 5 5 2 2" xfId="59470" xr:uid="{4B479DA1-7A98-4D51-801A-0C1122B7FA8F}"/>
    <cellStyle name="Normal 3 5 5 3" xfId="59469" xr:uid="{542BE9B2-2BD9-4CD0-8634-77061EBC5086}"/>
    <cellStyle name="Normal 3 5 6" xfId="15807" xr:uid="{8B4046F6-B29C-44A4-A28B-670BFE801E10}"/>
    <cellStyle name="Normal 3 5 6 2" xfId="59471" xr:uid="{59A0DFE9-E537-45CC-8089-2FD77209EDA1}"/>
    <cellStyle name="Normal 3 5 7" xfId="59440" xr:uid="{E553E9C9-B1BA-4D91-A254-CBC77EB05AD4}"/>
    <cellStyle name="Normal 3 6" xfId="807" xr:uid="{4DE84E33-9DB2-415A-9A0B-858CA7B405A5}"/>
    <cellStyle name="Normal 3 6 2" xfId="2287" xr:uid="{0E6133E9-A9B5-435A-A708-BDD7C635F73D}"/>
    <cellStyle name="Normal 3 6 2 2" xfId="6019" xr:uid="{D817C7C2-55D7-4348-A371-8BAB5F2812A4}"/>
    <cellStyle name="Normal 3 6 2 2 2" xfId="13727" xr:uid="{CEA6C8C7-9ACE-45F0-8AB4-0AA9328C0372}"/>
    <cellStyle name="Normal 3 6 2 2 2 2" xfId="29139" xr:uid="{D3E4ADBC-3874-47F0-B44B-4FF8763C6CAC}"/>
    <cellStyle name="Normal 3 6 2 2 2 2 2" xfId="59476" xr:uid="{7EB43921-315F-4147-99E4-763613FBC55E}"/>
    <cellStyle name="Normal 3 6 2 2 2 3" xfId="59475" xr:uid="{3DFE2C38-2721-46F1-A091-CB24708D9851}"/>
    <cellStyle name="Normal 3 6 2 2 3" xfId="21434" xr:uid="{B143BDC5-EC55-4876-BC83-65716FB9A199}"/>
    <cellStyle name="Normal 3 6 2 2 3 2" xfId="59477" xr:uid="{345404C6-FDA2-4DA0-B15F-DB64BD5AB6FF}"/>
    <cellStyle name="Normal 3 6 2 2 4" xfId="59474" xr:uid="{2195218B-F8FB-4035-83FF-28F72EF30DCA}"/>
    <cellStyle name="Normal 3 6 2 3" xfId="9998" xr:uid="{C2E20A5F-442E-4945-8C54-C83D4D37C3F4}"/>
    <cellStyle name="Normal 3 6 2 3 2" xfId="25411" xr:uid="{11239D80-6BE8-4E78-A371-96E106349F6C}"/>
    <cellStyle name="Normal 3 6 2 3 2 2" xfId="59479" xr:uid="{1DC80D52-83BC-4A78-BC6B-13FB000D18AD}"/>
    <cellStyle name="Normal 3 6 2 3 3" xfId="59478" xr:uid="{7BB1C500-F13F-4F37-8040-EB0E751365DB}"/>
    <cellStyle name="Normal 3 6 2 4" xfId="17706" xr:uid="{A27BEED0-B924-47F0-8A12-EAE0480A2C4C}"/>
    <cellStyle name="Normal 3 6 2 4 2" xfId="59480" xr:uid="{051A41FB-87C9-4367-BE8D-4BD37AFD1D94}"/>
    <cellStyle name="Normal 3 6 2 5" xfId="59473" xr:uid="{431C1A5A-F42D-45A1-BA2D-3C58BEE3D994}"/>
    <cellStyle name="Normal 3 6 3" xfId="4547" xr:uid="{4C906CA2-985C-434E-A0AC-4E633C034AED}"/>
    <cellStyle name="Normal 3 6 3 2" xfId="12255" xr:uid="{9398A64B-CC9B-4AAA-955B-75812D5BE2D0}"/>
    <cellStyle name="Normal 3 6 3 2 2" xfId="27667" xr:uid="{9F5FB6C8-6590-491D-9B5A-C20FB97D26B7}"/>
    <cellStyle name="Normal 3 6 3 2 2 2" xfId="59483" xr:uid="{4A1788ED-F25A-494A-8DA5-5BD5BB14EBD0}"/>
    <cellStyle name="Normal 3 6 3 2 3" xfId="59482" xr:uid="{F98EFB84-2AE9-4914-AB7F-611C19BAC0F5}"/>
    <cellStyle name="Normal 3 6 3 3" xfId="19962" xr:uid="{902CB43C-7870-41ED-92AF-D62DB8EE7708}"/>
    <cellStyle name="Normal 3 6 3 3 2" xfId="59484" xr:uid="{737FE74B-DC13-4964-87B5-FDF5EE6FE723}"/>
    <cellStyle name="Normal 3 6 3 4" xfId="59481" xr:uid="{65BE114A-40D1-46C7-8D6C-0F6722D3F519}"/>
    <cellStyle name="Normal 3 6 4" xfId="8539" xr:uid="{B3D2AAB5-47BD-4B8F-B1AD-D1126FAF255E}"/>
    <cellStyle name="Normal 3 6 4 2" xfId="23952" xr:uid="{7D37243B-81F1-4248-ADFA-438AACD3633B}"/>
    <cellStyle name="Normal 3 6 4 2 2" xfId="59486" xr:uid="{2431F021-A196-498E-90B1-3AD5289276A6}"/>
    <cellStyle name="Normal 3 6 4 3" xfId="59485" xr:uid="{37C251BB-2BCE-40F4-85CF-C705C70C6B7F}"/>
    <cellStyle name="Normal 3 6 5" xfId="16247" xr:uid="{B7CF1A31-83C1-417C-BAAB-2398041B32E5}"/>
    <cellStyle name="Normal 3 6 5 2" xfId="59487" xr:uid="{12EAEC9D-4305-4F4C-BA15-D4F0F313B850}"/>
    <cellStyle name="Normal 3 6 6" xfId="59472" xr:uid="{3F648EE2-62AC-47E5-A697-4B27CC489B32}"/>
    <cellStyle name="Normal 3 7" xfId="1647" xr:uid="{09B056B0-1AE9-468F-A1A5-A727E8E2FFF6}"/>
    <cellStyle name="Normal 3 7 2" xfId="5380" xr:uid="{FDEBDFDE-E0E4-44F2-9141-F573B6B2EB85}"/>
    <cellStyle name="Normal 3 7 2 2" xfId="13088" xr:uid="{438116A5-C60E-4613-9F9D-E49FD50D6747}"/>
    <cellStyle name="Normal 3 7 2 2 2" xfId="28500" xr:uid="{DBC3CACB-8A25-4CAD-ABB4-720B239A4CF8}"/>
    <cellStyle name="Normal 3 7 2 2 2 2" xfId="59491" xr:uid="{1BA82750-A3FB-4E62-A043-53D9D75869FD}"/>
    <cellStyle name="Normal 3 7 2 2 3" xfId="59490" xr:uid="{25615EC5-59F3-4E27-B23F-3AA3E4977625}"/>
    <cellStyle name="Normal 3 7 2 3" xfId="20795" xr:uid="{00DC0904-1B21-406D-91FE-A25A418ECF24}"/>
    <cellStyle name="Normal 3 7 2 3 2" xfId="59492" xr:uid="{3BEEE272-4811-4C89-ACA9-65B8EF7B1940}"/>
    <cellStyle name="Normal 3 7 2 4" xfId="59489" xr:uid="{BB1E0A48-A281-436F-A87C-9FAD9E0D9555}"/>
    <cellStyle name="Normal 3 7 3" xfId="9360" xr:uid="{417FB498-ED7B-47C1-9F65-628CDCB0B7CF}"/>
    <cellStyle name="Normal 3 7 3 2" xfId="24773" xr:uid="{8015CECD-7EA4-41FD-A606-D21496E7C49E}"/>
    <cellStyle name="Normal 3 7 3 2 2" xfId="59494" xr:uid="{3D3062A9-3A06-4CEA-A9E4-3872BDB7F6AC}"/>
    <cellStyle name="Normal 3 7 3 3" xfId="59493" xr:uid="{AA97DC96-A5CB-43CD-9EB6-A505F8DF2DF9}"/>
    <cellStyle name="Normal 3 7 4" xfId="17068" xr:uid="{1B5FEC03-88D8-4C85-875D-F8AA8D1EF378}"/>
    <cellStyle name="Normal 3 7 4 2" xfId="59495" xr:uid="{A632917B-4E91-447A-BA08-CB5458CBC955}"/>
    <cellStyle name="Normal 3 7 5" xfId="59488" xr:uid="{E9DE7EC4-CD74-42A5-A1E2-E560A8D0EC74}"/>
    <cellStyle name="Normal 3 8" xfId="3894" xr:uid="{A8FC4617-AC63-4569-9136-884377E1350E}"/>
    <cellStyle name="Normal 3 8 2" xfId="11603" xr:uid="{E9DB2D12-46E8-4888-B509-F58CE8A8D085}"/>
    <cellStyle name="Normal 3 8 2 2" xfId="27015" xr:uid="{6D941453-8E72-4186-BA18-ED0CF816AAF4}"/>
    <cellStyle name="Normal 3 8 2 2 2" xfId="59498" xr:uid="{CEB576CA-4A3B-4264-AE06-D1382ED31599}"/>
    <cellStyle name="Normal 3 8 2 3" xfId="59497" xr:uid="{8E169DD6-E043-42CA-B88C-CD0D758BD2A5}"/>
    <cellStyle name="Normal 3 8 3" xfId="19310" xr:uid="{F76EBE40-3B94-4508-9B02-E282E35B248C}"/>
    <cellStyle name="Normal 3 8 3 2" xfId="59499" xr:uid="{6A3FAEC0-7549-4F41-B32E-22F13D073C76}"/>
    <cellStyle name="Normal 3 8 4" xfId="59496" xr:uid="{0181E535-7F6B-4AE8-82DD-A4032FDEE7D8}"/>
    <cellStyle name="Normal 3 9" xfId="7883" xr:uid="{03FCE7AE-3B0E-4C2E-980F-DF5E9A4C7F5D}"/>
    <cellStyle name="Normal 3 9 2" xfId="23296" xr:uid="{66E5D526-4B88-4B2C-A722-71547085FE95}"/>
    <cellStyle name="Normal 3 9 2 2" xfId="59501" xr:uid="{15350355-0776-4F98-9C22-E55DF47C6485}"/>
    <cellStyle name="Normal 3 9 3" xfId="59500" xr:uid="{019AB6DF-354C-4F2F-A5BC-2DECE36288C4}"/>
    <cellStyle name="Normal 30" xfId="602" xr:uid="{48DB41F8-11DC-49B2-99A8-1C322CF30A5E}"/>
    <cellStyle name="Normal 30 2" xfId="1263" xr:uid="{A791E4A3-F674-48DE-9E1F-3BEC84C484B2}"/>
    <cellStyle name="Normal 30 2 2" xfId="59503" xr:uid="{C464BF5F-E348-4146-B659-54AAB2730C51}"/>
    <cellStyle name="Normal 30 3" xfId="59502" xr:uid="{BE804B16-7D1C-43F4-907A-5B2ED595F81D}"/>
    <cellStyle name="Normal 31" xfId="603" xr:uid="{AF3E4FC8-6E95-42EB-88BD-2AA8CBB7610D}"/>
    <cellStyle name="Normal 31 2" xfId="1264" xr:uid="{2EECD870-82CD-4EE4-8268-2C2BB4A6056E}"/>
    <cellStyle name="Normal 31 2 2" xfId="2731" xr:uid="{66AA3A16-7224-41EE-B68B-F16D3446F42C}"/>
    <cellStyle name="Normal 31 2 2 2" xfId="6463" xr:uid="{19ADDEAA-0DC1-4383-8B65-A7AFB2383BEF}"/>
    <cellStyle name="Normal 31 2 2 2 2" xfId="14171" xr:uid="{57E73693-5C11-495E-A13F-EE95C4FE272D}"/>
    <cellStyle name="Normal 31 2 2 2 2 2" xfId="29583" xr:uid="{B9953A50-7452-4D50-B913-EF1C06C83B25}"/>
    <cellStyle name="Normal 31 2 2 2 2 2 2" xfId="59509" xr:uid="{81F7BF90-8796-4BEC-8BD1-11031102BFEA}"/>
    <cellStyle name="Normal 31 2 2 2 2 3" xfId="59508" xr:uid="{A078937B-E5C5-4A2B-8167-7E5B1312A246}"/>
    <cellStyle name="Normal 31 2 2 2 3" xfId="21878" xr:uid="{60E96CC3-F983-4922-800B-02C737F77CE1}"/>
    <cellStyle name="Normal 31 2 2 2 3 2" xfId="59510" xr:uid="{F950DB0C-04AF-4E6C-B3E8-1AB769D79B54}"/>
    <cellStyle name="Normal 31 2 2 2 4" xfId="59507" xr:uid="{77AD5DD9-F5C0-4D54-A8CF-BBF9D92E2D8D}"/>
    <cellStyle name="Normal 31 2 2 3" xfId="10442" xr:uid="{C42CE5F6-0EB5-4AF5-AD05-A15030803B73}"/>
    <cellStyle name="Normal 31 2 2 3 2" xfId="25855" xr:uid="{6BECF4A9-D223-4E50-A84B-F01DDA21BEDC}"/>
    <cellStyle name="Normal 31 2 2 3 2 2" xfId="59512" xr:uid="{5FE5A370-9EE6-40DC-A131-3D0E8EA87A50}"/>
    <cellStyle name="Normal 31 2 2 3 3" xfId="59511" xr:uid="{5C453528-9B2D-4AD0-B607-13F677970C60}"/>
    <cellStyle name="Normal 31 2 2 4" xfId="18150" xr:uid="{58FCDF41-12E4-4B91-98B0-B783E0053BA8}"/>
    <cellStyle name="Normal 31 2 2 4 2" xfId="59513" xr:uid="{D8165B34-DC41-42B4-9090-25F4D2F9C25C}"/>
    <cellStyle name="Normal 31 2 2 5" xfId="59506" xr:uid="{B0878A1D-AD63-4ACB-A375-7AFB1DB2AA8C}"/>
    <cellStyle name="Normal 31 2 3" xfId="5000" xr:uid="{D82098F4-2E99-4B5D-9FC1-0B79B80F5DB1}"/>
    <cellStyle name="Normal 31 2 3 2" xfId="12708" xr:uid="{E869611A-3502-4EA2-A87F-844056216A2E}"/>
    <cellStyle name="Normal 31 2 3 2 2" xfId="28120" xr:uid="{ECAF0EE4-02C6-49B6-9593-DE69C6EBE714}"/>
    <cellStyle name="Normal 31 2 3 2 2 2" xfId="59516" xr:uid="{62C45B29-64FE-47D9-8D31-83D369722F38}"/>
    <cellStyle name="Normal 31 2 3 2 3" xfId="59515" xr:uid="{9834217C-E8AB-44FC-8EE0-C9EF6DF64536}"/>
    <cellStyle name="Normal 31 2 3 3" xfId="20415" xr:uid="{7B3FCB06-30E0-4213-B36D-C4A0D09EB99D}"/>
    <cellStyle name="Normal 31 2 3 3 2" xfId="59517" xr:uid="{E6D05D72-1AF1-449C-A8D1-7F808442961A}"/>
    <cellStyle name="Normal 31 2 3 4" xfId="59514" xr:uid="{CD725417-1C23-4EFB-9D36-A9AD943C918D}"/>
    <cellStyle name="Normal 31 2 4" xfId="8983" xr:uid="{0FB8D5C7-5CA8-42E8-B668-8F5607188E5D}"/>
    <cellStyle name="Normal 31 2 4 2" xfId="24396" xr:uid="{4D9E25EA-F421-45B0-AEDB-0DD650C8E30D}"/>
    <cellStyle name="Normal 31 2 4 2 2" xfId="59519" xr:uid="{FCC7618C-BAC5-4394-8316-F37C407F929B}"/>
    <cellStyle name="Normal 31 2 4 3" xfId="59518" xr:uid="{604D5F6A-80D8-490F-8EB7-A54849CD7F04}"/>
    <cellStyle name="Normal 31 2 5" xfId="16691" xr:uid="{474B588E-7A80-44F7-A44D-D496EF69E488}"/>
    <cellStyle name="Normal 31 2 5 2" xfId="59520" xr:uid="{B598A476-A081-4519-8CA5-B8B38EB81D48}"/>
    <cellStyle name="Normal 31 2 6" xfId="59505" xr:uid="{A33E15AA-9E92-4879-922D-17051C3649B8}"/>
    <cellStyle name="Normal 31 3" xfId="2093" xr:uid="{1B9C9716-30A9-4610-9F0B-289E7784F851}"/>
    <cellStyle name="Normal 31 3 2" xfId="5825" xr:uid="{F4E998FA-BD9C-4F85-867D-7319E94B16D4}"/>
    <cellStyle name="Normal 31 3 2 2" xfId="13533" xr:uid="{93276C5B-DBFC-487E-9249-24527A189E0C}"/>
    <cellStyle name="Normal 31 3 2 2 2" xfId="28945" xr:uid="{D06707E4-6D87-4769-B75C-F62B3B6C1377}"/>
    <cellStyle name="Normal 31 3 2 2 2 2" xfId="59524" xr:uid="{A4407445-58AD-4B88-B019-62B96142657F}"/>
    <cellStyle name="Normal 31 3 2 2 3" xfId="59523" xr:uid="{AE7E99F3-499D-4A76-BBFC-097BC265BA23}"/>
    <cellStyle name="Normal 31 3 2 3" xfId="21240" xr:uid="{DE744622-66DB-4B78-916C-22C543674DB7}"/>
    <cellStyle name="Normal 31 3 2 3 2" xfId="59525" xr:uid="{D044E87F-98A9-4875-A1F9-1AC3BE75F9FC}"/>
    <cellStyle name="Normal 31 3 2 4" xfId="59522" xr:uid="{44A45C10-7048-4D64-A2B9-5F1A5B7017B9}"/>
    <cellStyle name="Normal 31 3 3" xfId="9804" xr:uid="{E1AC2FE6-BA2B-4B38-A683-259294AEEC8A}"/>
    <cellStyle name="Normal 31 3 3 2" xfId="25217" xr:uid="{A83876AD-1A2B-4D18-A17F-070F3150DEAF}"/>
    <cellStyle name="Normal 31 3 3 2 2" xfId="59527" xr:uid="{643755B0-DFFC-43F4-8284-A92AE0F3590A}"/>
    <cellStyle name="Normal 31 3 3 3" xfId="59526" xr:uid="{D6580D84-F9AD-4741-8BA3-BF28CDFA7FB7}"/>
    <cellStyle name="Normal 31 3 4" xfId="17512" xr:uid="{F127AFDC-18E2-439E-8746-6D297C0D2200}"/>
    <cellStyle name="Normal 31 3 4 2" xfId="59528" xr:uid="{CFDCCB56-0A25-47C3-84F0-235716B56DEA}"/>
    <cellStyle name="Normal 31 3 5" xfId="59521" xr:uid="{6D2A8475-5123-43E4-BF7F-6BD54C7A8812}"/>
    <cellStyle name="Normal 31 4" xfId="4348" xr:uid="{D1834D77-AF45-4B1C-AAF1-CFBDE4B84CD1}"/>
    <cellStyle name="Normal 31 4 2" xfId="12056" xr:uid="{E3F69D5B-0A07-4981-AE5A-DEC92F89F6F4}"/>
    <cellStyle name="Normal 31 4 2 2" xfId="27468" xr:uid="{2DFF76DB-86B7-4EB1-ACB4-5CB2AB4BDC87}"/>
    <cellStyle name="Normal 31 4 2 2 2" xfId="59531" xr:uid="{63D5D71B-D04C-4040-88ED-CD2030929F50}"/>
    <cellStyle name="Normal 31 4 2 3" xfId="59530" xr:uid="{B340EEAE-D9AA-4C26-B2B5-275238CC42EF}"/>
    <cellStyle name="Normal 31 4 3" xfId="19763" xr:uid="{236E7190-3EAA-4EA4-B4F7-C5A909B02124}"/>
    <cellStyle name="Normal 31 4 3 2" xfId="59532" xr:uid="{A97D6B9B-EE03-42AC-B77C-7F515184D86A}"/>
    <cellStyle name="Normal 31 4 4" xfId="59529" xr:uid="{F51556CC-8BF0-4FFC-9DF8-F562044ABA41}"/>
    <cellStyle name="Normal 31 5" xfId="8345" xr:uid="{F239CA12-0296-43CF-BD24-3B370124F323}"/>
    <cellStyle name="Normal 31 5 2" xfId="23758" xr:uid="{2FCFDF8E-A389-425B-AD83-F4B8BAB26F4F}"/>
    <cellStyle name="Normal 31 5 2 2" xfId="59534" xr:uid="{DA6397CE-EB80-423C-8E5F-83CDE7D069BC}"/>
    <cellStyle name="Normal 31 5 3" xfId="59533" xr:uid="{B4C785F3-43BD-4C8E-9285-35309E2AD907}"/>
    <cellStyle name="Normal 31 6" xfId="16053" xr:uid="{28D6B5A0-26ED-4C73-AB92-DFBB6DD849E6}"/>
    <cellStyle name="Normal 31 6 2" xfId="59535" xr:uid="{81E8BA6F-4B29-4834-8D76-5A807C7ECE59}"/>
    <cellStyle name="Normal 31 7" xfId="59504" xr:uid="{DB007BB0-4A07-4C9A-BFB6-8D70B20774FF}"/>
    <cellStyle name="Normal 32" xfId="623" xr:uid="{50F339D3-8117-4D08-AEC7-815FC63799AC}"/>
    <cellStyle name="Normal 32 2" xfId="1284" xr:uid="{4276DA02-16EE-4DE8-94E8-332EE15AA9D4}"/>
    <cellStyle name="Normal 32 2 2" xfId="2751" xr:uid="{256DE860-CDC4-4995-9023-E35D51737D4E}"/>
    <cellStyle name="Normal 32 2 2 2" xfId="6483" xr:uid="{69882457-FE03-49C1-836B-819009F4E012}"/>
    <cellStyle name="Normal 32 2 2 2 2" xfId="14191" xr:uid="{3732C081-204C-4D7F-96C8-4C3312824729}"/>
    <cellStyle name="Normal 32 2 2 2 2 2" xfId="29603" xr:uid="{809A398B-20AE-4B46-AEB3-178D62C7127A}"/>
    <cellStyle name="Normal 32 2 2 2 2 2 2" xfId="59541" xr:uid="{859A09F2-32E4-4B15-84A8-FDC339564335}"/>
    <cellStyle name="Normal 32 2 2 2 2 3" xfId="59540" xr:uid="{4ED3831C-F981-4166-B6B4-0EC1044D14BC}"/>
    <cellStyle name="Normal 32 2 2 2 3" xfId="21898" xr:uid="{FA238462-2F4E-4D89-8CD3-79EA7A2FBD89}"/>
    <cellStyle name="Normal 32 2 2 2 3 2" xfId="59542" xr:uid="{0BB64801-6634-4B92-B155-D5861AC051C7}"/>
    <cellStyle name="Normal 32 2 2 2 4" xfId="59539" xr:uid="{D685CADF-124E-4BB3-B881-48A495AB2691}"/>
    <cellStyle name="Normal 32 2 2 3" xfId="10462" xr:uid="{B5E1B7C3-7DD3-4FFB-B52A-91021E7FB6EA}"/>
    <cellStyle name="Normal 32 2 2 3 2" xfId="25875" xr:uid="{4840827B-6C2D-4609-B4C7-7E94C49810CD}"/>
    <cellStyle name="Normal 32 2 2 3 2 2" xfId="59544" xr:uid="{0614DC7A-4892-4F2F-838B-0CBF432D5FE3}"/>
    <cellStyle name="Normal 32 2 2 3 3" xfId="59543" xr:uid="{2E997DF1-0AC3-4E4F-A161-1EA058D0E958}"/>
    <cellStyle name="Normal 32 2 2 4" xfId="18170" xr:uid="{B45EF4BB-39DD-4996-8047-CAA02B94E619}"/>
    <cellStyle name="Normal 32 2 2 4 2" xfId="59545" xr:uid="{C2772F07-3425-4E7F-A3CD-67661433155F}"/>
    <cellStyle name="Normal 32 2 2 5" xfId="59538" xr:uid="{97949BC9-1F80-4F9F-AF02-9F7D9C692A0D}"/>
    <cellStyle name="Normal 32 2 3" xfId="5020" xr:uid="{9EADD9C0-8A2C-48A5-BC5A-66F395F4AD12}"/>
    <cellStyle name="Normal 32 2 3 2" xfId="12728" xr:uid="{89A9A798-135B-4217-830C-ACC187BA91D9}"/>
    <cellStyle name="Normal 32 2 3 2 2" xfId="28140" xr:uid="{75608C6A-66CC-4580-8110-A352AF0608D3}"/>
    <cellStyle name="Normal 32 2 3 2 2 2" xfId="59548" xr:uid="{37F41889-6EAD-4135-A038-3B07B2B203CE}"/>
    <cellStyle name="Normal 32 2 3 2 3" xfId="59547" xr:uid="{B224DE3A-0C4F-46D7-8DBF-C7A7F01B3A2F}"/>
    <cellStyle name="Normal 32 2 3 3" xfId="20435" xr:uid="{3968DD5E-EBC7-4B30-A0DA-986BE8A1B7AB}"/>
    <cellStyle name="Normal 32 2 3 3 2" xfId="59549" xr:uid="{1C5AFD8B-CE35-4A75-8E2D-47F996CCF3B6}"/>
    <cellStyle name="Normal 32 2 3 4" xfId="59546" xr:uid="{DB5E1BE1-2A47-4C73-B0ED-3C8D14E5D3BA}"/>
    <cellStyle name="Normal 32 2 4" xfId="9003" xr:uid="{4205AF31-BC8B-45A2-852D-6C26962608A0}"/>
    <cellStyle name="Normal 32 2 4 2" xfId="24416" xr:uid="{C3CC520D-F4ED-438A-A013-5F93F857D81F}"/>
    <cellStyle name="Normal 32 2 4 2 2" xfId="59551" xr:uid="{7008ADAF-BA45-4EB6-ADC4-57E149B5452B}"/>
    <cellStyle name="Normal 32 2 4 3" xfId="59550" xr:uid="{43105BA9-0BB6-47E6-A9C5-04184A14E930}"/>
    <cellStyle name="Normal 32 2 5" xfId="16711" xr:uid="{C4F0CAC1-9870-4F2C-82E9-5FF4DEEE06B3}"/>
    <cellStyle name="Normal 32 2 5 2" xfId="59552" xr:uid="{4AB5C001-AFD4-46E6-BF36-8B712961FFCD}"/>
    <cellStyle name="Normal 32 2 6" xfId="59537" xr:uid="{71D50CD5-CD2A-4BCB-AC65-B26C6F5952AB}"/>
    <cellStyle name="Normal 32 3" xfId="2113" xr:uid="{67508F2D-B2BF-4212-B3D5-C98AF114EF7A}"/>
    <cellStyle name="Normal 32 3 2" xfId="5845" xr:uid="{53034820-A0CA-44E7-AA19-F50BBFCB48F0}"/>
    <cellStyle name="Normal 32 3 2 2" xfId="13553" xr:uid="{FFF9E0D1-1A65-4D99-8218-39B308A60D67}"/>
    <cellStyle name="Normal 32 3 2 2 2" xfId="28965" xr:uid="{A1517C86-F6A1-4480-AE81-66AD095C328D}"/>
    <cellStyle name="Normal 32 3 2 2 2 2" xfId="59556" xr:uid="{D1959455-8A84-42AD-8F91-FA595B1BD1E5}"/>
    <cellStyle name="Normal 32 3 2 2 3" xfId="59555" xr:uid="{93C5A50A-C718-4ED6-9FA2-2065B728C509}"/>
    <cellStyle name="Normal 32 3 2 3" xfId="21260" xr:uid="{5A5BFDE7-3B2A-4A84-A376-D91EB0ABF059}"/>
    <cellStyle name="Normal 32 3 2 3 2" xfId="59557" xr:uid="{C570AEB9-0A44-46B3-9CB9-6C104030C71B}"/>
    <cellStyle name="Normal 32 3 2 4" xfId="59554" xr:uid="{BA3E103E-29F8-478A-8CD1-5377B521E9F4}"/>
    <cellStyle name="Normal 32 3 3" xfId="9824" xr:uid="{8F82A21F-B082-4312-91D2-C04FA482EB5F}"/>
    <cellStyle name="Normal 32 3 3 2" xfId="25237" xr:uid="{EB13914A-B956-4EA7-80A8-E5B5138EB96A}"/>
    <cellStyle name="Normal 32 3 3 2 2" xfId="59559" xr:uid="{A3E688CC-C1F7-483D-AB13-87F6762BCEDB}"/>
    <cellStyle name="Normal 32 3 3 3" xfId="59558" xr:uid="{BCDE1317-600E-40C6-851A-80090F980B98}"/>
    <cellStyle name="Normal 32 3 4" xfId="17532" xr:uid="{02A3ACEC-24A3-4360-BE5C-C1F48AA45291}"/>
    <cellStyle name="Normal 32 3 4 2" xfId="59560" xr:uid="{E7E7F8EF-D08E-4FA3-BBF9-2233AEDE8670}"/>
    <cellStyle name="Normal 32 3 5" xfId="59553" xr:uid="{50C0F848-BCDE-4E31-A2A9-B6F9072480C7}"/>
    <cellStyle name="Normal 32 4" xfId="4368" xr:uid="{A7077C92-F747-4972-81AD-5DE8EA6F3CC6}"/>
    <cellStyle name="Normal 32 4 2" xfId="12076" xr:uid="{9ADBC652-1010-40DB-97AB-2EEBE005BF41}"/>
    <cellStyle name="Normal 32 4 2 2" xfId="27488" xr:uid="{A9D9EAD1-6335-466F-B7F0-72F73A182B00}"/>
    <cellStyle name="Normal 32 4 2 2 2" xfId="59563" xr:uid="{AADE43CA-42D8-4684-9A11-E2C37A6D6E5C}"/>
    <cellStyle name="Normal 32 4 2 3" xfId="59562" xr:uid="{69EB6CCB-4BE1-4BDD-9C41-42D46F73723A}"/>
    <cellStyle name="Normal 32 4 3" xfId="19783" xr:uid="{5F09F0B1-C5C0-43C1-BD4D-7B4453FCD5A8}"/>
    <cellStyle name="Normal 32 4 3 2" xfId="59564" xr:uid="{0A42657B-B0BC-49BA-9A0A-9FE65F179D5F}"/>
    <cellStyle name="Normal 32 4 4" xfId="59561" xr:uid="{45B4D8F8-5D7E-4BB4-A060-45039A072FB8}"/>
    <cellStyle name="Normal 32 5" xfId="8365" xr:uid="{24ED7C12-17A1-4C56-9DD0-DEC33B3884A6}"/>
    <cellStyle name="Normal 32 5 2" xfId="23778" xr:uid="{F01D624D-103E-49F4-8425-CDC0CAFF771C}"/>
    <cellStyle name="Normal 32 5 2 2" xfId="59566" xr:uid="{83B013BA-F431-4B07-9283-BD33BF787BAE}"/>
    <cellStyle name="Normal 32 5 3" xfId="59565" xr:uid="{378DB3D5-B96A-43AF-BB98-8E508424340F}"/>
    <cellStyle name="Normal 32 6" xfId="16073" xr:uid="{8C6BECA1-BDBF-4C56-8BF8-EADEFABF4460}"/>
    <cellStyle name="Normal 32 6 2" xfId="59567" xr:uid="{D8BC22BE-21BF-4E8A-B866-8259993A40B7}"/>
    <cellStyle name="Normal 32 7" xfId="59536" xr:uid="{1821D93A-68F4-4C59-B0CE-463449A921EA}"/>
    <cellStyle name="Normal 33" xfId="643" xr:uid="{796DDDD3-D097-4E32-B381-D30A19FEEEBE}"/>
    <cellStyle name="Normal 33 2" xfId="1304" xr:uid="{F3D422A0-B544-4739-96D8-4810DFACF49D}"/>
    <cellStyle name="Normal 33 2 2" xfId="2771" xr:uid="{674B8931-E3D2-45DE-8624-77F86864111B}"/>
    <cellStyle name="Normal 33 2 2 2" xfId="6503" xr:uid="{74FC878A-E0EE-49D6-B5C4-418D02493DDF}"/>
    <cellStyle name="Normal 33 2 2 2 2" xfId="14211" xr:uid="{FC9AFC4B-3FF9-41CF-A5BA-DD9146CED0C0}"/>
    <cellStyle name="Normal 33 2 2 2 2 2" xfId="29623" xr:uid="{9E56E3B2-46D6-4207-9EE7-F8DE22E00942}"/>
    <cellStyle name="Normal 33 2 2 2 2 2 2" xfId="59573" xr:uid="{162DCD87-E7FE-415A-BFCE-322AD1BE04D1}"/>
    <cellStyle name="Normal 33 2 2 2 2 3" xfId="59572" xr:uid="{73BDCFBD-1A27-4ED4-966E-19C0810A58D4}"/>
    <cellStyle name="Normal 33 2 2 2 3" xfId="21918" xr:uid="{5FFE5E42-A3DA-4486-9BA8-9ED313FD05B6}"/>
    <cellStyle name="Normal 33 2 2 2 3 2" xfId="59574" xr:uid="{E21D44FA-43F6-4A6D-A390-60869A523F33}"/>
    <cellStyle name="Normal 33 2 2 2 4" xfId="59571" xr:uid="{69AD62DA-5D29-450A-A8E3-1276BEC04EE8}"/>
    <cellStyle name="Normal 33 2 2 3" xfId="10482" xr:uid="{DB415391-19CC-4DA9-8C66-94C6B8BD1A28}"/>
    <cellStyle name="Normal 33 2 2 3 2" xfId="25895" xr:uid="{249BF6DA-D322-4E27-826A-4941260FEE86}"/>
    <cellStyle name="Normal 33 2 2 3 2 2" xfId="59576" xr:uid="{6358E585-46E5-4EB8-B5E7-24CD0D8BDD82}"/>
    <cellStyle name="Normal 33 2 2 3 3" xfId="59575" xr:uid="{97B813BD-3AAC-4DB7-BDC2-FD63BEE0887A}"/>
    <cellStyle name="Normal 33 2 2 4" xfId="18190" xr:uid="{40ABC59A-5A7B-422E-A9B1-48D63A58078F}"/>
    <cellStyle name="Normal 33 2 2 4 2" xfId="59577" xr:uid="{1AF1BDF4-D634-4C5E-AC6C-2D28CE440EA3}"/>
    <cellStyle name="Normal 33 2 2 5" xfId="59570" xr:uid="{AD1731FD-D754-470B-9306-B52C185B96D2}"/>
    <cellStyle name="Normal 33 2 3" xfId="5040" xr:uid="{A5126EEA-7927-41C2-8F0C-1DCD24FCB920}"/>
    <cellStyle name="Normal 33 2 3 2" xfId="12748" xr:uid="{88CF7D98-2C1C-4037-9632-8EFCE9014F8A}"/>
    <cellStyle name="Normal 33 2 3 2 2" xfId="28160" xr:uid="{ED5918F3-A232-4261-85C6-884765489140}"/>
    <cellStyle name="Normal 33 2 3 2 2 2" xfId="59580" xr:uid="{9A779F2A-7321-443A-A6E7-18E97DF653B6}"/>
    <cellStyle name="Normal 33 2 3 2 3" xfId="59579" xr:uid="{4D1CE76C-51AE-49D4-8A38-8F75FE3152CD}"/>
    <cellStyle name="Normal 33 2 3 3" xfId="20455" xr:uid="{86B5AAB0-FDCB-493C-A2AC-D39685A131AA}"/>
    <cellStyle name="Normal 33 2 3 3 2" xfId="59581" xr:uid="{4A5A60C6-69DD-4B45-9EE3-57072F924F57}"/>
    <cellStyle name="Normal 33 2 3 4" xfId="59578" xr:uid="{9D08EB0A-90E9-476A-BB24-8C74A5CC1FFA}"/>
    <cellStyle name="Normal 33 2 4" xfId="9023" xr:uid="{89F56CE3-CA6F-49E0-9924-04E11FA85350}"/>
    <cellStyle name="Normal 33 2 4 2" xfId="24436" xr:uid="{076FD30C-512B-4026-AB9A-9DC8A8FF9754}"/>
    <cellStyle name="Normal 33 2 4 2 2" xfId="59583" xr:uid="{412D8233-B3F0-4FCC-8E7A-CAE335284B8D}"/>
    <cellStyle name="Normal 33 2 4 3" xfId="59582" xr:uid="{A9974A51-EEA1-412A-9C73-78703D1C5021}"/>
    <cellStyle name="Normal 33 2 5" xfId="16731" xr:uid="{B4CFA469-144B-48FB-ABB2-448CA1B4CD31}"/>
    <cellStyle name="Normal 33 2 5 2" xfId="59584" xr:uid="{412D560A-58AB-44B2-9141-1B5F4C33DD06}"/>
    <cellStyle name="Normal 33 2 6" xfId="59569" xr:uid="{6B9DAF06-EEFB-4BA4-866D-1FF69EE7D4AC}"/>
    <cellStyle name="Normal 33 3" xfId="2133" xr:uid="{599453C7-31F3-4383-828A-AAF8CA949F73}"/>
    <cellStyle name="Normal 33 3 2" xfId="5865" xr:uid="{A92CB23A-F94C-4553-A3A2-351382C07A6A}"/>
    <cellStyle name="Normal 33 3 2 2" xfId="13573" xr:uid="{C1E6E982-36CF-4287-8254-D33F577AFB02}"/>
    <cellStyle name="Normal 33 3 2 2 2" xfId="28985" xr:uid="{D3CD767F-5E08-4AD8-9DBB-638702AA5350}"/>
    <cellStyle name="Normal 33 3 2 2 2 2" xfId="59588" xr:uid="{E76871C1-D080-4397-8424-2C8FC6ADFBC4}"/>
    <cellStyle name="Normal 33 3 2 2 3" xfId="59587" xr:uid="{03F7C360-8845-4EB8-A28B-26794EBA27BD}"/>
    <cellStyle name="Normal 33 3 2 3" xfId="21280" xr:uid="{6270C8FF-73B0-472C-89D2-D8412BB6D509}"/>
    <cellStyle name="Normal 33 3 2 3 2" xfId="59589" xr:uid="{562333A7-26A5-40B9-86B2-3CA8DDB79F65}"/>
    <cellStyle name="Normal 33 3 2 4" xfId="59586" xr:uid="{6B47DA0F-197C-4ACD-8587-D2F7EE73977D}"/>
    <cellStyle name="Normal 33 3 3" xfId="9844" xr:uid="{A3CE20E3-5D5D-4021-AFEB-1D3CDF8FBB7D}"/>
    <cellStyle name="Normal 33 3 3 2" xfId="25257" xr:uid="{4800D701-C74E-4660-AB17-7A38AE460924}"/>
    <cellStyle name="Normal 33 3 3 2 2" xfId="59591" xr:uid="{A09457CB-E793-4BD0-B922-40187544F94F}"/>
    <cellStyle name="Normal 33 3 3 3" xfId="59590" xr:uid="{E23FEE0D-E578-4C6B-A068-3DEEDFE4DCC6}"/>
    <cellStyle name="Normal 33 3 4" xfId="17552" xr:uid="{13E128E4-F738-4F94-991E-62BF2B26F275}"/>
    <cellStyle name="Normal 33 3 4 2" xfId="59592" xr:uid="{D5AD348F-EB35-48F4-A407-4130D381C672}"/>
    <cellStyle name="Normal 33 3 5" xfId="59585" xr:uid="{EAAEF4F8-4BE8-452C-9218-D06D0FE7FE5A}"/>
    <cellStyle name="Normal 33 4" xfId="4388" xr:uid="{FA53277F-7861-4D88-A3D4-D599A68EE170}"/>
    <cellStyle name="Normal 33 4 2" xfId="12096" xr:uid="{43ADEE39-2CDD-4C8F-83D9-1F233D9081D7}"/>
    <cellStyle name="Normal 33 4 2 2" xfId="27508" xr:uid="{05F5D0A7-D09A-42C1-B008-F9C50541CE3C}"/>
    <cellStyle name="Normal 33 4 2 2 2" xfId="59595" xr:uid="{2B27540F-D21C-4A0E-AA54-975EDD6C1917}"/>
    <cellStyle name="Normal 33 4 2 3" xfId="59594" xr:uid="{31107D80-73D4-49CC-8855-7F2ACDC1FAEB}"/>
    <cellStyle name="Normal 33 4 3" xfId="19803" xr:uid="{3C1F4906-961B-4691-ABC0-9509E7D07F80}"/>
    <cellStyle name="Normal 33 4 3 2" xfId="59596" xr:uid="{3D38BE31-BEF3-4B70-AD2A-96555A86DB00}"/>
    <cellStyle name="Normal 33 4 4" xfId="59593" xr:uid="{F895841A-6564-4770-9EFD-EE6B033C3B5C}"/>
    <cellStyle name="Normal 33 5" xfId="8385" xr:uid="{1180188A-5D7E-418F-9894-A47186644710}"/>
    <cellStyle name="Normal 33 5 2" xfId="23798" xr:uid="{BC183099-815C-4EE6-8568-72161B71FC7A}"/>
    <cellStyle name="Normal 33 5 2 2" xfId="59598" xr:uid="{030740DE-1265-4CB4-A02A-1D70B83DC05E}"/>
    <cellStyle name="Normal 33 5 3" xfId="59597" xr:uid="{B348C98C-5940-4DFA-BB44-77107D024C1E}"/>
    <cellStyle name="Normal 33 6" xfId="16093" xr:uid="{8C26A040-FBA5-4C26-AF39-C0FAD698542C}"/>
    <cellStyle name="Normal 33 6 2" xfId="59599" xr:uid="{45BA2685-01A7-4E1E-81E1-EB4B5D80737B}"/>
    <cellStyle name="Normal 33 7" xfId="59568" xr:uid="{E7245693-95AB-4A7B-8CD4-2E195D40FF9B}"/>
    <cellStyle name="Normal 34" xfId="644" xr:uid="{64CC74F5-949B-41B8-ACA1-FF11DFBE7ED9}"/>
    <cellStyle name="Normal 34 2" xfId="1305" xr:uid="{9497AE80-0A9E-431E-BF2F-9788C0F8CC4F}"/>
    <cellStyle name="Normal 34 2 2" xfId="2772" xr:uid="{7584C60A-AD55-4C9D-B95C-ABDD26E3B4F8}"/>
    <cellStyle name="Normal 34 2 2 2" xfId="6504" xr:uid="{B1C2F179-DF34-4CBC-8A42-00D209227F7A}"/>
    <cellStyle name="Normal 34 2 2 2 2" xfId="14212" xr:uid="{3BB85C65-3A7B-4D08-9937-D257127ABA92}"/>
    <cellStyle name="Normal 34 2 2 2 2 2" xfId="29624" xr:uid="{C3F144CB-059C-400C-ACE1-E77EA7B01C93}"/>
    <cellStyle name="Normal 34 2 2 2 2 2 2" xfId="59605" xr:uid="{5C3BC9F4-3511-4115-83F9-F7D287C318D2}"/>
    <cellStyle name="Normal 34 2 2 2 2 3" xfId="59604" xr:uid="{A383F3F4-54C3-44CC-9C94-AFD47FDA7BF8}"/>
    <cellStyle name="Normal 34 2 2 2 3" xfId="21919" xr:uid="{04D1BD21-532C-48A9-89E1-51E9505F058C}"/>
    <cellStyle name="Normal 34 2 2 2 3 2" xfId="59606" xr:uid="{0D755831-9447-428F-8B50-794477520C02}"/>
    <cellStyle name="Normal 34 2 2 2 4" xfId="59603" xr:uid="{02A59588-733C-4727-8687-DB066716807B}"/>
    <cellStyle name="Normal 34 2 2 3" xfId="10483" xr:uid="{6F41C908-9981-4C54-9AE7-F825865F9A66}"/>
    <cellStyle name="Normal 34 2 2 3 2" xfId="25896" xr:uid="{74088441-946F-49F4-A736-53797EE7EE2A}"/>
    <cellStyle name="Normal 34 2 2 3 2 2" xfId="59608" xr:uid="{7C9B8197-ED5A-4ED7-9B20-EC684D1C2648}"/>
    <cellStyle name="Normal 34 2 2 3 3" xfId="59607" xr:uid="{903B06AA-ABB6-4E95-B66E-96E2F1591E21}"/>
    <cellStyle name="Normal 34 2 2 4" xfId="18191" xr:uid="{A1EA0862-11D6-40A0-927B-797F3FBC61F8}"/>
    <cellStyle name="Normal 34 2 2 4 2" xfId="59609" xr:uid="{EE8FFBDC-5059-40B2-9E25-786436129EC2}"/>
    <cellStyle name="Normal 34 2 2 5" xfId="59602" xr:uid="{E1E1CF73-149F-4D15-8609-2CE3F985DF4F}"/>
    <cellStyle name="Normal 34 2 3" xfId="5041" xr:uid="{A2B2AF28-ECC9-458C-A807-B82E08A9751B}"/>
    <cellStyle name="Normal 34 2 3 2" xfId="12749" xr:uid="{B5D0D7EE-881D-4786-B9D6-5A4CA1D304DD}"/>
    <cellStyle name="Normal 34 2 3 2 2" xfId="28161" xr:uid="{8EEBA704-7D96-428C-8F6A-E253438157E2}"/>
    <cellStyle name="Normal 34 2 3 2 2 2" xfId="59612" xr:uid="{6F4D95E2-6DF6-4FD6-8EC8-62577C071DB3}"/>
    <cellStyle name="Normal 34 2 3 2 3" xfId="59611" xr:uid="{1BF78E48-A6F3-4CBC-8D85-DBB3CA659164}"/>
    <cellStyle name="Normal 34 2 3 3" xfId="20456" xr:uid="{395585ED-C446-40D0-ADAC-F2E3C0535D3B}"/>
    <cellStyle name="Normal 34 2 3 3 2" xfId="59613" xr:uid="{CEE88EA8-10AB-4AF3-9157-5D87D4950425}"/>
    <cellStyle name="Normal 34 2 3 4" xfId="59610" xr:uid="{D0683E82-B51F-4E36-BADC-EAFA0F2221DD}"/>
    <cellStyle name="Normal 34 2 4" xfId="9024" xr:uid="{F9E0685F-7A6C-4202-BB1F-49FD7DE388F0}"/>
    <cellStyle name="Normal 34 2 4 2" xfId="24437" xr:uid="{2DCFBE0F-30E7-4DBB-A62E-6A2A170D7F56}"/>
    <cellStyle name="Normal 34 2 4 2 2" xfId="59615" xr:uid="{D91A5F51-08F3-447E-80EB-709E8DD8300A}"/>
    <cellStyle name="Normal 34 2 4 3" xfId="59614" xr:uid="{44C5917C-448E-4D26-A81C-88E63E2CFC3D}"/>
    <cellStyle name="Normal 34 2 5" xfId="16732" xr:uid="{AA3D132A-9DE1-40AC-B081-AC644C07B84B}"/>
    <cellStyle name="Normal 34 2 5 2" xfId="59616" xr:uid="{3AE72728-710A-44AA-88C6-A3973BBBBDC5}"/>
    <cellStyle name="Normal 34 2 6" xfId="59601" xr:uid="{5DF483D2-831A-42CA-94B7-CA51E51C31BA}"/>
    <cellStyle name="Normal 34 3" xfId="2134" xr:uid="{08B95158-E075-42B7-ABF5-A94D0D038D0E}"/>
    <cellStyle name="Normal 34 3 2" xfId="5866" xr:uid="{D5E73EC5-A166-45DE-8206-1D2CF175A115}"/>
    <cellStyle name="Normal 34 3 2 2" xfId="13574" xr:uid="{355A79A1-493A-4921-830A-BE42CB70BE86}"/>
    <cellStyle name="Normal 34 3 2 2 2" xfId="28986" xr:uid="{863E703D-0345-4A2F-9781-8E8431D70A54}"/>
    <cellStyle name="Normal 34 3 2 2 2 2" xfId="59620" xr:uid="{328B18A0-672E-4DED-93E6-CBCBDE329573}"/>
    <cellStyle name="Normal 34 3 2 2 3" xfId="59619" xr:uid="{449BCBB3-5FDD-4F78-8E54-AD42A5C4AE70}"/>
    <cellStyle name="Normal 34 3 2 3" xfId="21281" xr:uid="{320456F5-1BFA-4857-8D45-A6D72247679E}"/>
    <cellStyle name="Normal 34 3 2 3 2" xfId="59621" xr:uid="{618A9E8A-E3DB-4149-A078-117C89D60FB0}"/>
    <cellStyle name="Normal 34 3 2 4" xfId="59618" xr:uid="{D2900250-B5E5-4488-9113-3945E28BB74F}"/>
    <cellStyle name="Normal 34 3 3" xfId="9845" xr:uid="{6D2027E8-45A3-4044-B410-8EF5A7C38360}"/>
    <cellStyle name="Normal 34 3 3 2" xfId="25258" xr:uid="{D298545E-EC07-47DB-AA3B-FE3F1C593F7F}"/>
    <cellStyle name="Normal 34 3 3 2 2" xfId="59623" xr:uid="{476493B4-180B-4873-B003-8B7D7C8E5E01}"/>
    <cellStyle name="Normal 34 3 3 3" xfId="59622" xr:uid="{7EDF67BE-D453-4223-8A79-4BACCB43E801}"/>
    <cellStyle name="Normal 34 3 4" xfId="17553" xr:uid="{AFE479E4-03BE-4F40-A72F-9E29306B290E}"/>
    <cellStyle name="Normal 34 3 4 2" xfId="59624" xr:uid="{9ED44465-6C2A-44D4-B944-6AD778C414B1}"/>
    <cellStyle name="Normal 34 3 5" xfId="59617" xr:uid="{60ACB0C2-6314-4249-BF68-680EA58B575A}"/>
    <cellStyle name="Normal 34 4" xfId="4389" xr:uid="{10F75914-8AA9-46C2-8D5A-4938950BEF9E}"/>
    <cellStyle name="Normal 34 4 2" xfId="12097" xr:uid="{A4B6DFFA-779F-46A1-82F1-EB286851FFE7}"/>
    <cellStyle name="Normal 34 4 2 2" xfId="27509" xr:uid="{C09A71AD-D5E9-4D8F-BA11-79EA2BE2AF2B}"/>
    <cellStyle name="Normal 34 4 2 2 2" xfId="59627" xr:uid="{1870DC4D-9228-4D64-ABCB-1C3F8F48F9B9}"/>
    <cellStyle name="Normal 34 4 2 3" xfId="59626" xr:uid="{FD2F23B5-24F5-4369-BECB-04458A6ACF69}"/>
    <cellStyle name="Normal 34 4 3" xfId="19804" xr:uid="{2EA1E3FF-21DA-4FA2-B503-443A55DC06A1}"/>
    <cellStyle name="Normal 34 4 3 2" xfId="59628" xr:uid="{F114EC21-8D47-4857-8D10-E3D7445B2D2E}"/>
    <cellStyle name="Normal 34 4 4" xfId="59625" xr:uid="{A4E7EE04-C667-4E5D-9A71-0D5C6D3AB997}"/>
    <cellStyle name="Normal 34 5" xfId="8386" xr:uid="{6D5B0F06-9B68-46DB-8170-EE5E418CA88E}"/>
    <cellStyle name="Normal 34 5 2" xfId="23799" xr:uid="{05DCC207-35BA-4E76-BD99-59963FB0A435}"/>
    <cellStyle name="Normal 34 5 2 2" xfId="59630" xr:uid="{6CA70BE7-4796-46E1-B926-EB38DC16CBF6}"/>
    <cellStyle name="Normal 34 5 3" xfId="59629" xr:uid="{2FF0B32E-F837-4EC5-8A42-2EA5E9FD330A}"/>
    <cellStyle name="Normal 34 6" xfId="16094" xr:uid="{B1DD1B41-BF18-45DF-9E1C-F0C55F839AFA}"/>
    <cellStyle name="Normal 34 6 2" xfId="59631" xr:uid="{69D64A94-7381-473A-95C8-3B7C0004CEEF}"/>
    <cellStyle name="Normal 34 7" xfId="59600" xr:uid="{F94AC362-9809-40B7-B088-95EDF1AD9BFD}"/>
    <cellStyle name="Normal 35" xfId="664" xr:uid="{8BCC39C0-B669-4D96-93B5-760774D543D9}"/>
    <cellStyle name="Normal 35 2" xfId="1325" xr:uid="{6EB64183-FF8E-4C75-88DE-4185C2FA5BC4}"/>
    <cellStyle name="Normal 35 2 2" xfId="2792" xr:uid="{35E95B43-A8AD-4381-9F0C-828F919728BD}"/>
    <cellStyle name="Normal 35 2 2 2" xfId="6524" xr:uid="{6FC12C20-797F-402B-A014-123B7B3BB495}"/>
    <cellStyle name="Normal 35 2 2 2 2" xfId="14232" xr:uid="{E7162F0D-027C-46EC-AF45-0EEDE1C07B76}"/>
    <cellStyle name="Normal 35 2 2 2 2 2" xfId="29644" xr:uid="{97EA3941-B4E3-4A5A-9B8E-6C6F1181266D}"/>
    <cellStyle name="Normal 35 2 2 2 2 2 2" xfId="59637" xr:uid="{B113C75D-258A-44F3-B9D0-F969454D4F03}"/>
    <cellStyle name="Normal 35 2 2 2 2 3" xfId="59636" xr:uid="{50B7E36A-03C9-4D5E-A581-7D6F91B34613}"/>
    <cellStyle name="Normal 35 2 2 2 3" xfId="21939" xr:uid="{999B35EB-50D3-4BE7-821B-0E5A167E642B}"/>
    <cellStyle name="Normal 35 2 2 2 3 2" xfId="59638" xr:uid="{0237DD1E-F877-4E3A-9EE2-BED0F1FFC4C2}"/>
    <cellStyle name="Normal 35 2 2 2 4" xfId="59635" xr:uid="{4C3049EC-A804-4210-9C2A-E54A6D08890E}"/>
    <cellStyle name="Normal 35 2 2 3" xfId="10503" xr:uid="{75F27A7C-A3BD-47F2-9C73-EF04A8490B11}"/>
    <cellStyle name="Normal 35 2 2 3 2" xfId="25916" xr:uid="{7F24F5E6-BEE4-428A-A25C-DF75E0DD0622}"/>
    <cellStyle name="Normal 35 2 2 3 2 2" xfId="59640" xr:uid="{A38746AE-DA12-47EC-A1FF-F358A11FA7A4}"/>
    <cellStyle name="Normal 35 2 2 3 3" xfId="59639" xr:uid="{7ED04142-FDBE-4E87-A7B4-C94964D43FB5}"/>
    <cellStyle name="Normal 35 2 2 4" xfId="18211" xr:uid="{742903D1-E591-435B-A856-20A209DCA978}"/>
    <cellStyle name="Normal 35 2 2 4 2" xfId="59641" xr:uid="{7A361523-7D46-49D0-B345-C3937006D952}"/>
    <cellStyle name="Normal 35 2 2 5" xfId="59634" xr:uid="{2B53EAFC-78F3-495C-BF78-E81CC18CAAEC}"/>
    <cellStyle name="Normal 35 2 3" xfId="5061" xr:uid="{9D4CF683-AE37-4039-8687-FA0FE23DC4EC}"/>
    <cellStyle name="Normal 35 2 3 2" xfId="12769" xr:uid="{EB385523-550F-409E-88CB-635859574EF8}"/>
    <cellStyle name="Normal 35 2 3 2 2" xfId="28181" xr:uid="{46B74283-6A56-433F-9328-3092B2931F54}"/>
    <cellStyle name="Normal 35 2 3 2 2 2" xfId="59644" xr:uid="{2166E95B-A27D-4AB0-80DB-3FAC4CD06221}"/>
    <cellStyle name="Normal 35 2 3 2 3" xfId="59643" xr:uid="{7548BFE7-EB12-47DB-BAFA-85A7525D3773}"/>
    <cellStyle name="Normal 35 2 3 3" xfId="20476" xr:uid="{C179A9E2-B6BF-43D7-9D9E-B4624A92B8FF}"/>
    <cellStyle name="Normal 35 2 3 3 2" xfId="59645" xr:uid="{B162753C-D96A-4724-8C9A-3F4F2ED8D821}"/>
    <cellStyle name="Normal 35 2 3 4" xfId="59642" xr:uid="{5429B263-EC93-4634-9E4A-4E77BCCA24A9}"/>
    <cellStyle name="Normal 35 2 4" xfId="9044" xr:uid="{B24B2798-5A22-4515-951E-66673863C0D7}"/>
    <cellStyle name="Normal 35 2 4 2" xfId="24457" xr:uid="{C04DFB02-111F-4F43-95D9-8ABF1E88379A}"/>
    <cellStyle name="Normal 35 2 4 2 2" xfId="59647" xr:uid="{3F497242-A431-4A15-9D61-F565062D3B25}"/>
    <cellStyle name="Normal 35 2 4 3" xfId="59646" xr:uid="{B318E151-11CE-4002-88D3-9062CD3CE9F2}"/>
    <cellStyle name="Normal 35 2 5" xfId="16752" xr:uid="{55CBA3E0-AC70-4735-B1E4-D5773EB43E5B}"/>
    <cellStyle name="Normal 35 2 5 2" xfId="59648" xr:uid="{87BA3FF4-5FAD-42F8-AE90-FA4311271774}"/>
    <cellStyle name="Normal 35 2 6" xfId="59633" xr:uid="{CA326217-4CF2-4221-9A9E-A45EF0FCDEFB}"/>
    <cellStyle name="Normal 35 3" xfId="2154" xr:uid="{603D9B10-3DC0-439E-A5FB-95B127C42B5E}"/>
    <cellStyle name="Normal 35 3 2" xfId="5886" xr:uid="{FFB438C4-E73E-4F68-8D77-C73F3A956857}"/>
    <cellStyle name="Normal 35 3 2 2" xfId="13594" xr:uid="{3CA82E0B-641E-4276-9A29-972FB5B69A3A}"/>
    <cellStyle name="Normal 35 3 2 2 2" xfId="29006" xr:uid="{D7FDE472-3339-4150-B502-758F277F6FED}"/>
    <cellStyle name="Normal 35 3 2 2 2 2" xfId="59652" xr:uid="{C618ED03-0E30-49CC-A4CD-62AE6DAD42C5}"/>
    <cellStyle name="Normal 35 3 2 2 3" xfId="59651" xr:uid="{58117DD7-4DB4-4374-8EC6-5D10FB8168A4}"/>
    <cellStyle name="Normal 35 3 2 3" xfId="21301" xr:uid="{C382FF23-1B78-4F41-8D6F-E97FEC177D11}"/>
    <cellStyle name="Normal 35 3 2 3 2" xfId="59653" xr:uid="{916316E4-49AA-4522-9B78-A0189B12D87E}"/>
    <cellStyle name="Normal 35 3 2 4" xfId="59650" xr:uid="{6A7B9AA6-A747-4E24-918D-392600D42083}"/>
    <cellStyle name="Normal 35 3 3" xfId="9865" xr:uid="{F5ECC2B5-4A9C-4B76-B826-65CB18021410}"/>
    <cellStyle name="Normal 35 3 3 2" xfId="25278" xr:uid="{38FD99A1-97CA-4901-A026-598CF6EB7DB8}"/>
    <cellStyle name="Normal 35 3 3 2 2" xfId="59655" xr:uid="{974F552E-6DCB-4839-8D48-74F6A97FC449}"/>
    <cellStyle name="Normal 35 3 3 3" xfId="59654" xr:uid="{2F5F8F7E-C1BF-429F-9D86-36C92D5B74D6}"/>
    <cellStyle name="Normal 35 3 4" xfId="17573" xr:uid="{373B67A2-F74A-4335-8A6E-CBB5514BCEA5}"/>
    <cellStyle name="Normal 35 3 4 2" xfId="59656" xr:uid="{1BE6D020-6DBB-46D8-9203-2D112CB6F7FA}"/>
    <cellStyle name="Normal 35 3 5" xfId="59649" xr:uid="{F24B11F0-01C6-42E2-B35F-355E26B9D47C}"/>
    <cellStyle name="Normal 35 4" xfId="4409" xr:uid="{E41FC439-A8D5-40B6-AF18-1F4ABF5D12DE}"/>
    <cellStyle name="Normal 35 4 2" xfId="12117" xr:uid="{8277A20F-95B8-45A8-93C6-B67454F1FBAD}"/>
    <cellStyle name="Normal 35 4 2 2" xfId="27529" xr:uid="{CC6C90C9-DE4F-49E7-913A-BE9981FACD0C}"/>
    <cellStyle name="Normal 35 4 2 2 2" xfId="59659" xr:uid="{7B98A3A1-6196-4549-BE53-E96FDB8D87DA}"/>
    <cellStyle name="Normal 35 4 2 3" xfId="59658" xr:uid="{1EDA619D-CE80-441F-BE4C-FBEB8EE336E9}"/>
    <cellStyle name="Normal 35 4 3" xfId="19824" xr:uid="{1791C6B0-41F8-4294-A9E1-9EF5439A5185}"/>
    <cellStyle name="Normal 35 4 3 2" xfId="59660" xr:uid="{01850070-C0F9-45D3-9E94-E807E8D56D9C}"/>
    <cellStyle name="Normal 35 4 4" xfId="59657" xr:uid="{190BB69D-95C4-4A87-AC60-51B3F645EA45}"/>
    <cellStyle name="Normal 35 5" xfId="8406" xr:uid="{061D2E5F-9550-43C8-98A5-149595FE755D}"/>
    <cellStyle name="Normal 35 5 2" xfId="23819" xr:uid="{B5892878-6EDA-4C46-A3AA-34D7342FEC96}"/>
    <cellStyle name="Normal 35 5 2 2" xfId="59662" xr:uid="{EFDD6C16-D610-4E0D-B9DD-565AAF3AEF2B}"/>
    <cellStyle name="Normal 35 5 3" xfId="59661" xr:uid="{61645130-52E0-48EC-A21D-8D0B7ACB6B8F}"/>
    <cellStyle name="Normal 35 6" xfId="16114" xr:uid="{6BE730B1-25A6-44E6-B2E3-B74BAA28ED66}"/>
    <cellStyle name="Normal 35 6 2" xfId="59663" xr:uid="{2260644C-ACAE-4F4A-AF3E-57E3DB1054B3}"/>
    <cellStyle name="Normal 35 7" xfId="59632" xr:uid="{8A0D2715-2919-4CB7-8B29-58D8E8A2EB90}"/>
    <cellStyle name="Normal 36" xfId="684" xr:uid="{33620A16-53C7-4C9A-BBF7-AA2CD904C833}"/>
    <cellStyle name="Normal 36 2" xfId="1345" xr:uid="{ED5D1D78-73A3-44F6-9DBC-018BC17CDF01}"/>
    <cellStyle name="Normal 36 2 2" xfId="2812" xr:uid="{03C540E4-C8D1-4FD3-BFC0-67989626CA4C}"/>
    <cellStyle name="Normal 36 2 2 2" xfId="6544" xr:uid="{0E27D2DA-7E43-4286-B05E-5FF109A7CDB3}"/>
    <cellStyle name="Normal 36 2 2 2 2" xfId="14252" xr:uid="{C2CE4A86-286A-4B31-AAE6-3C257E3365C2}"/>
    <cellStyle name="Normal 36 2 2 2 2 2" xfId="29664" xr:uid="{9BF280B1-C25B-49DE-A8D7-6D1FF9B9395E}"/>
    <cellStyle name="Normal 36 2 2 2 2 2 2" xfId="59669" xr:uid="{C85F7556-58F4-4856-8A11-786FBBA4A3BF}"/>
    <cellStyle name="Normal 36 2 2 2 2 3" xfId="59668" xr:uid="{85AE8B7E-7549-44E6-9CF2-14994B089327}"/>
    <cellStyle name="Normal 36 2 2 2 3" xfId="21959" xr:uid="{79524E71-4D2E-4188-8537-9526C47BC255}"/>
    <cellStyle name="Normal 36 2 2 2 3 2" xfId="59670" xr:uid="{D0D6F6C6-5F8D-42CA-9386-B1E638FFE329}"/>
    <cellStyle name="Normal 36 2 2 2 4" xfId="59667" xr:uid="{A2F09021-E074-450A-9AB2-B96F5AC06C3F}"/>
    <cellStyle name="Normal 36 2 2 3" xfId="10523" xr:uid="{52A657D6-CCA7-4071-BF7E-25D781D6FE5F}"/>
    <cellStyle name="Normal 36 2 2 3 2" xfId="25936" xr:uid="{D46415FF-CBA9-4052-855F-BAB60C4ECF64}"/>
    <cellStyle name="Normal 36 2 2 3 2 2" xfId="59672" xr:uid="{6B1CA3E0-0EBC-49CA-9E8D-2A0A2697E185}"/>
    <cellStyle name="Normal 36 2 2 3 3" xfId="59671" xr:uid="{96ACD4AA-DC09-4116-9A00-8252C99ECFAA}"/>
    <cellStyle name="Normal 36 2 2 4" xfId="18231" xr:uid="{B8BAD5A0-1152-4C78-B583-C253E97F53F9}"/>
    <cellStyle name="Normal 36 2 2 4 2" xfId="59673" xr:uid="{6E519B2A-F4E5-4A42-A9BA-731AA260BE4B}"/>
    <cellStyle name="Normal 36 2 2 5" xfId="59666" xr:uid="{E2314EF9-0743-4731-A51C-B980A39960E2}"/>
    <cellStyle name="Normal 36 2 3" xfId="5081" xr:uid="{80DE463C-4B97-4AD0-BD0E-B7A73AC1694F}"/>
    <cellStyle name="Normal 36 2 3 2" xfId="12789" xr:uid="{1C2DF658-2975-4A3A-9743-75178081E087}"/>
    <cellStyle name="Normal 36 2 3 2 2" xfId="28201" xr:uid="{96FD1B5B-E1D1-4F98-BF28-44AC20E55D3A}"/>
    <cellStyle name="Normal 36 2 3 2 2 2" xfId="59676" xr:uid="{C69E8DD2-69BD-4685-980D-448E546C8FFC}"/>
    <cellStyle name="Normal 36 2 3 2 3" xfId="59675" xr:uid="{3C3C20A8-0B8C-403C-AC2C-FEA06973A70F}"/>
    <cellStyle name="Normal 36 2 3 3" xfId="20496" xr:uid="{2CFCB581-15DB-467B-96E3-9A61EE37C0CF}"/>
    <cellStyle name="Normal 36 2 3 3 2" xfId="59677" xr:uid="{370A24AF-263E-4F6B-90C6-91992140E25A}"/>
    <cellStyle name="Normal 36 2 3 4" xfId="59674" xr:uid="{2AA7774B-FCF4-458B-82E8-4EEA321A2E14}"/>
    <cellStyle name="Normal 36 2 4" xfId="9064" xr:uid="{8CAC21E7-D8E2-4EE0-ACD4-493846E42FD9}"/>
    <cellStyle name="Normal 36 2 4 2" xfId="24477" xr:uid="{7E81F700-D6D9-47B3-9F16-0D7EB1CAD8F4}"/>
    <cellStyle name="Normal 36 2 4 2 2" xfId="59679" xr:uid="{DF27D710-5BA1-4BE3-BC36-8BBC1134A805}"/>
    <cellStyle name="Normal 36 2 4 3" xfId="59678" xr:uid="{ED55799E-5A38-463D-8AEE-41016CFB2B2D}"/>
    <cellStyle name="Normal 36 2 5" xfId="16772" xr:uid="{C7D314FE-59C2-409D-9A09-B8F9B1EDECF9}"/>
    <cellStyle name="Normal 36 2 5 2" xfId="59680" xr:uid="{E7B6A289-3E79-4CCF-87F8-B3A8C444095F}"/>
    <cellStyle name="Normal 36 2 6" xfId="59665" xr:uid="{B82B3058-CA18-418F-8450-9AE79B1FF8E5}"/>
    <cellStyle name="Normal 36 3" xfId="2174" xr:uid="{FFCCA7BA-FA54-45DE-B0D1-130FDD4895E4}"/>
    <cellStyle name="Normal 36 3 2" xfId="5906" xr:uid="{CFDE093E-750D-406B-AC9D-EBF07A7A3127}"/>
    <cellStyle name="Normal 36 3 2 2" xfId="13614" xr:uid="{9ECD7562-B3B0-4109-B97F-34B21DC4BE78}"/>
    <cellStyle name="Normal 36 3 2 2 2" xfId="29026" xr:uid="{A959C89D-22EA-46FC-A1C5-5CF1045D9016}"/>
    <cellStyle name="Normal 36 3 2 2 2 2" xfId="59684" xr:uid="{28C6E8C4-A9E3-4119-A3F7-318C3642229C}"/>
    <cellStyle name="Normal 36 3 2 2 3" xfId="59683" xr:uid="{F0674FDB-EE09-44F5-BFCE-8B83E771EF4C}"/>
    <cellStyle name="Normal 36 3 2 3" xfId="21321" xr:uid="{9DDF4796-0B92-4FAE-9AD8-9CC008022EDB}"/>
    <cellStyle name="Normal 36 3 2 3 2" xfId="59685" xr:uid="{91DB8A27-01DE-4F61-9CF3-AA0E01A3BB53}"/>
    <cellStyle name="Normal 36 3 2 4" xfId="59682" xr:uid="{ADAB6152-4278-42E2-A09F-A353C624706A}"/>
    <cellStyle name="Normal 36 3 3" xfId="9885" xr:uid="{3AEBFE50-DC31-4E6C-AE50-FDD1524AAB80}"/>
    <cellStyle name="Normal 36 3 3 2" xfId="25298" xr:uid="{5930351E-BEA5-48A1-92B5-549CAB99E5D4}"/>
    <cellStyle name="Normal 36 3 3 2 2" xfId="59687" xr:uid="{CF2C9E92-CAC0-41D8-81DF-8D7A57365442}"/>
    <cellStyle name="Normal 36 3 3 3" xfId="59686" xr:uid="{9AA41FBF-4621-4A76-826E-E1B8F71806B2}"/>
    <cellStyle name="Normal 36 3 4" xfId="17593" xr:uid="{331EFEDB-B5E2-4CD7-9606-EAD32EB09DE9}"/>
    <cellStyle name="Normal 36 3 4 2" xfId="59688" xr:uid="{A6D588DC-9685-482A-8E0D-EC811E86EBE0}"/>
    <cellStyle name="Normal 36 3 5" xfId="59681" xr:uid="{EF1E0E49-91A1-4669-BC34-7435B097F6E3}"/>
    <cellStyle name="Normal 36 4" xfId="4429" xr:uid="{EB13F7CE-F94B-4D60-B3E8-EA8998F8EA8F}"/>
    <cellStyle name="Normal 36 4 2" xfId="12137" xr:uid="{FA4487A6-98BA-4378-861A-D5FC07E90254}"/>
    <cellStyle name="Normal 36 4 2 2" xfId="27549" xr:uid="{40FA231A-7915-48A1-8536-48208731E2F3}"/>
    <cellStyle name="Normal 36 4 2 2 2" xfId="59691" xr:uid="{A8C2A872-E7FA-4C05-AAB7-0B7F1AE380A7}"/>
    <cellStyle name="Normal 36 4 2 3" xfId="59690" xr:uid="{D7E76322-5D99-409D-99A2-B3595AF252B1}"/>
    <cellStyle name="Normal 36 4 3" xfId="19844" xr:uid="{F4078F19-83B9-4D99-A597-85D7F7CB48CF}"/>
    <cellStyle name="Normal 36 4 3 2" xfId="59692" xr:uid="{3F2AC03B-88E3-4426-AD93-DF0A950676A5}"/>
    <cellStyle name="Normal 36 4 4" xfId="59689" xr:uid="{47327535-1E64-421B-96A2-D185302D48FD}"/>
    <cellStyle name="Normal 36 5" xfId="8426" xr:uid="{E92BBC14-872A-4EF7-80D0-2F7E62788E8B}"/>
    <cellStyle name="Normal 36 5 2" xfId="23839" xr:uid="{57041BDD-7EDF-4CC9-9B16-987B452FD722}"/>
    <cellStyle name="Normal 36 5 2 2" xfId="59694" xr:uid="{6EE04F3F-1FB7-415E-A4C0-CCE51EC4445B}"/>
    <cellStyle name="Normal 36 5 3" xfId="59693" xr:uid="{7A0EAB86-0DB1-43C3-BC14-1BE14BF5CB26}"/>
    <cellStyle name="Normal 36 6" xfId="16134" xr:uid="{4DF08B7E-28E0-4D0C-95A1-156EFCF2CE01}"/>
    <cellStyle name="Normal 36 6 2" xfId="59695" xr:uid="{708D8538-84B7-41BD-A348-497B859242E6}"/>
    <cellStyle name="Normal 36 7" xfId="59664" xr:uid="{AA5566C7-A4BE-4373-A8CB-7072C5D6AC04}"/>
    <cellStyle name="Normal 37" xfId="704" xr:uid="{FEF0163D-0525-47CC-AED8-BFCE41680889}"/>
    <cellStyle name="Normal 37 2" xfId="1365" xr:uid="{6837DE74-2E83-400C-983A-ACA7D0F10E51}"/>
    <cellStyle name="Normal 37 2 2" xfId="2832" xr:uid="{B8A16EA5-CF0B-4A1D-A2B3-6C42A4C6DC86}"/>
    <cellStyle name="Normal 37 2 2 2" xfId="6564" xr:uid="{ECF13C62-ACD0-4ED5-ACE0-7AC8DF06AA7A}"/>
    <cellStyle name="Normal 37 2 2 2 2" xfId="14272" xr:uid="{EDFC0344-061B-4370-B862-520347CDB80C}"/>
    <cellStyle name="Normal 37 2 2 2 2 2" xfId="29684" xr:uid="{C79931E2-EDFF-402C-BBC1-4A12B0B8AF78}"/>
    <cellStyle name="Normal 37 2 2 2 2 2 2" xfId="59701" xr:uid="{2BE002CA-B0CC-44D0-B83B-CDCAC9E59C4F}"/>
    <cellStyle name="Normal 37 2 2 2 2 3" xfId="59700" xr:uid="{5B835186-CED1-416C-8487-93B71EF01063}"/>
    <cellStyle name="Normal 37 2 2 2 3" xfId="21979" xr:uid="{15FC6959-2000-48A7-84ED-4EC57299ED57}"/>
    <cellStyle name="Normal 37 2 2 2 3 2" xfId="59702" xr:uid="{94629F7D-DEA9-4DD2-BABE-764C3BBBAFBF}"/>
    <cellStyle name="Normal 37 2 2 2 4" xfId="59699" xr:uid="{A0BE533D-4C82-498A-B981-2B748686AFE2}"/>
    <cellStyle name="Normal 37 2 2 3" xfId="10543" xr:uid="{BBD3BEE0-D034-47B8-B763-B955CECD063A}"/>
    <cellStyle name="Normal 37 2 2 3 2" xfId="25956" xr:uid="{085120FD-A743-432B-A2CD-0C962C8E668C}"/>
    <cellStyle name="Normal 37 2 2 3 2 2" xfId="59704" xr:uid="{A842028E-493C-4318-AA0C-854F68F2F953}"/>
    <cellStyle name="Normal 37 2 2 3 3" xfId="59703" xr:uid="{9F8CCC67-DDE5-4A19-AD0C-AD252704BBEA}"/>
    <cellStyle name="Normal 37 2 2 4" xfId="18251" xr:uid="{CCAF6E14-6DAE-4993-8FD5-EB4739279460}"/>
    <cellStyle name="Normal 37 2 2 4 2" xfId="59705" xr:uid="{31A5DB1E-3827-40D2-A18A-7F0D9EF344B7}"/>
    <cellStyle name="Normal 37 2 2 5" xfId="59698" xr:uid="{FE161584-AB55-4809-92DC-04F91ED65DDF}"/>
    <cellStyle name="Normal 37 2 3" xfId="5101" xr:uid="{31E52EED-BD2F-412D-98AB-CA279D45AA34}"/>
    <cellStyle name="Normal 37 2 3 2" xfId="12809" xr:uid="{BF196B27-93E3-4341-938A-8647EF64E43D}"/>
    <cellStyle name="Normal 37 2 3 2 2" xfId="28221" xr:uid="{8C914194-9004-407A-B78B-D8D0C63C54C7}"/>
    <cellStyle name="Normal 37 2 3 2 2 2" xfId="59708" xr:uid="{9AFCCB23-3859-482F-9259-E3F50465DFAC}"/>
    <cellStyle name="Normal 37 2 3 2 3" xfId="59707" xr:uid="{65A10489-B58C-41DB-9880-0C9B5451F9FC}"/>
    <cellStyle name="Normal 37 2 3 3" xfId="20516" xr:uid="{AA71B607-52BB-41A5-98F9-9910BF6FE243}"/>
    <cellStyle name="Normal 37 2 3 3 2" xfId="59709" xr:uid="{4D2C6D76-E437-4291-85DA-B07281C714A9}"/>
    <cellStyle name="Normal 37 2 3 4" xfId="59706" xr:uid="{1A50F4BC-0C3A-42E9-BDD3-02B5215B2573}"/>
    <cellStyle name="Normal 37 2 4" xfId="9084" xr:uid="{2A2DD4A2-890F-4901-A092-6820419E4B45}"/>
    <cellStyle name="Normal 37 2 4 2" xfId="24497" xr:uid="{87B79F1A-9F52-451A-9B1E-0218E670ED5B}"/>
    <cellStyle name="Normal 37 2 4 2 2" xfId="59711" xr:uid="{1BCA8009-3ACA-4DD8-9F6F-AC63115F04BB}"/>
    <cellStyle name="Normal 37 2 4 3" xfId="59710" xr:uid="{D4A3E65D-9C28-48BE-B46A-B24A498EED77}"/>
    <cellStyle name="Normal 37 2 5" xfId="16792" xr:uid="{ECE6510C-86A7-4A5C-BC8F-A5EF823C6B65}"/>
    <cellStyle name="Normal 37 2 5 2" xfId="59712" xr:uid="{1907E491-CA0A-4B54-8B53-1F5A7AA02448}"/>
    <cellStyle name="Normal 37 2 6" xfId="59697" xr:uid="{84162636-05D0-4000-A56A-CE4F7B70E775}"/>
    <cellStyle name="Normal 37 3" xfId="2194" xr:uid="{C20C778B-9C78-4345-84A9-A6DFE25F30D3}"/>
    <cellStyle name="Normal 37 3 2" xfId="5926" xr:uid="{B3EC159C-A291-451B-9DB0-95777261FA1A}"/>
    <cellStyle name="Normal 37 3 2 2" xfId="13634" xr:uid="{EEE53BD5-F7A6-4C18-B2BD-5F45BF5D67C5}"/>
    <cellStyle name="Normal 37 3 2 2 2" xfId="29046" xr:uid="{3AAAFAF0-19E5-4985-9400-76312121AFBC}"/>
    <cellStyle name="Normal 37 3 2 2 2 2" xfId="59716" xr:uid="{965EE050-4587-47EF-9600-FFDB2B0230C0}"/>
    <cellStyle name="Normal 37 3 2 2 3" xfId="59715" xr:uid="{E8982E4F-9D76-48DD-8BA2-302999148A02}"/>
    <cellStyle name="Normal 37 3 2 3" xfId="21341" xr:uid="{A634F24B-A626-40BE-B24D-123F2FFD725E}"/>
    <cellStyle name="Normal 37 3 2 3 2" xfId="59717" xr:uid="{A8AB9741-0BB0-46A2-8D73-3EA297A26684}"/>
    <cellStyle name="Normal 37 3 2 4" xfId="59714" xr:uid="{E35AC976-0E56-47DE-B37A-55DBC28127A5}"/>
    <cellStyle name="Normal 37 3 3" xfId="9905" xr:uid="{D405CC4F-B7AD-4364-B62B-61C54BBD37D2}"/>
    <cellStyle name="Normal 37 3 3 2" xfId="25318" xr:uid="{7C816F25-7627-4C4E-BFBB-F84648638988}"/>
    <cellStyle name="Normal 37 3 3 2 2" xfId="59719" xr:uid="{A0174430-7E84-4877-AAD2-09B5EAEEFA9A}"/>
    <cellStyle name="Normal 37 3 3 3" xfId="59718" xr:uid="{541DA40E-ABC3-432C-BC8F-55AD3F007B02}"/>
    <cellStyle name="Normal 37 3 4" xfId="17613" xr:uid="{66ADE4BE-1651-4AB3-AFCF-5E8CE603FBA6}"/>
    <cellStyle name="Normal 37 3 4 2" xfId="59720" xr:uid="{6577F5AA-5A0D-4940-9BD2-C4B5025C17EF}"/>
    <cellStyle name="Normal 37 3 5" xfId="59713" xr:uid="{7E005FB7-D141-4E3F-98D4-CDAC55149E61}"/>
    <cellStyle name="Normal 37 4" xfId="4449" xr:uid="{7AACC122-2F78-4ADA-AD31-4FCD0AD18B0D}"/>
    <cellStyle name="Normal 37 4 2" xfId="12157" xr:uid="{A1EF3203-EABE-4CE7-97C3-5D58D217B15D}"/>
    <cellStyle name="Normal 37 4 2 2" xfId="27569" xr:uid="{F52D9AF0-7B25-4652-88DA-0EF972FF2A44}"/>
    <cellStyle name="Normal 37 4 2 2 2" xfId="59723" xr:uid="{9123C948-0799-4A59-AD8D-BB6AD8CA4A7B}"/>
    <cellStyle name="Normal 37 4 2 3" xfId="59722" xr:uid="{699A88CF-F22B-464F-AFE1-CCE141EE561F}"/>
    <cellStyle name="Normal 37 4 3" xfId="19864" xr:uid="{279CA49B-C4D9-417D-B192-6F8463741B05}"/>
    <cellStyle name="Normal 37 4 3 2" xfId="59724" xr:uid="{546E4713-A971-4417-BF6A-2F1BAC8DD354}"/>
    <cellStyle name="Normal 37 4 4" xfId="59721" xr:uid="{2046C154-B509-4E04-BE21-2C1C4754535E}"/>
    <cellStyle name="Normal 37 5" xfId="8446" xr:uid="{9C513E19-346C-4EDD-9D3C-11E119ACA1DF}"/>
    <cellStyle name="Normal 37 5 2" xfId="23859" xr:uid="{E4450469-27E5-43B4-A486-505222CE7A87}"/>
    <cellStyle name="Normal 37 5 2 2" xfId="59726" xr:uid="{B8D2989F-3538-449A-AB65-8BFE749797C1}"/>
    <cellStyle name="Normal 37 5 3" xfId="59725" xr:uid="{ECBC914A-6FAE-4EC4-B20B-5F6948FB688D}"/>
    <cellStyle name="Normal 37 6" xfId="16154" xr:uid="{131B9C01-C1CE-4938-AAE0-09939473B067}"/>
    <cellStyle name="Normal 37 6 2" xfId="59727" xr:uid="{037CE457-8BBC-4C5A-B60E-5B148071F296}"/>
    <cellStyle name="Normal 37 7" xfId="59696" xr:uid="{CDB05951-8E66-475F-B95B-DAB6586DAFD9}"/>
    <cellStyle name="Normal 38" xfId="705" xr:uid="{F222D334-63A5-4231-A211-DB3CF2F41108}"/>
    <cellStyle name="Normal 38 2" xfId="1366" xr:uid="{8E972E2C-9023-4948-8411-359A4EAC15F9}"/>
    <cellStyle name="Normal 38 2 2" xfId="2833" xr:uid="{0A8A8927-6487-453B-8817-E004F1C3626C}"/>
    <cellStyle name="Normal 38 2 2 2" xfId="6565" xr:uid="{3EF0DBE9-DD67-4641-A7A9-28843A83EDB9}"/>
    <cellStyle name="Normal 38 2 2 2 2" xfId="14273" xr:uid="{E29D20F3-3BA0-4AF9-8F5D-363808FD23AE}"/>
    <cellStyle name="Normal 38 2 2 2 2 2" xfId="29685" xr:uid="{25E4A08B-13BB-4601-9D5A-EE002B0AEB3D}"/>
    <cellStyle name="Normal 38 2 2 2 2 2 2" xfId="59733" xr:uid="{60C32E84-2863-44E9-9899-36F2AF6D48F3}"/>
    <cellStyle name="Normal 38 2 2 2 2 3" xfId="59732" xr:uid="{709F78FF-E339-4670-B611-22FAE81425B1}"/>
    <cellStyle name="Normal 38 2 2 2 3" xfId="21980" xr:uid="{33D70998-9394-4F31-80B7-EF7B97D103BF}"/>
    <cellStyle name="Normal 38 2 2 2 3 2" xfId="59734" xr:uid="{1B8ACE70-6004-4991-B1A6-21E5431C3543}"/>
    <cellStyle name="Normal 38 2 2 2 4" xfId="59731" xr:uid="{56C063C3-E1BA-450F-9A2A-095C76E27A0B}"/>
    <cellStyle name="Normal 38 2 2 3" xfId="10544" xr:uid="{72A0A401-19B1-4350-9CE3-7B234BA04CA8}"/>
    <cellStyle name="Normal 38 2 2 3 2" xfId="25957" xr:uid="{86A224DD-FB72-4621-A988-5F88003FA289}"/>
    <cellStyle name="Normal 38 2 2 3 2 2" xfId="59736" xr:uid="{22050B5F-84D4-4A89-BDD2-1C6BEC1E67E3}"/>
    <cellStyle name="Normal 38 2 2 3 3" xfId="59735" xr:uid="{68FF740E-D392-473C-A52F-DFAFC6811FA3}"/>
    <cellStyle name="Normal 38 2 2 4" xfId="18252" xr:uid="{4C145065-1882-4EDF-8E62-775A21BC1309}"/>
    <cellStyle name="Normal 38 2 2 4 2" xfId="59737" xr:uid="{51E73C4B-9DE9-4E9B-ADB1-60BBD35D73AB}"/>
    <cellStyle name="Normal 38 2 2 5" xfId="59730" xr:uid="{1168E8BB-330E-407A-8BE9-7818EE91C0EC}"/>
    <cellStyle name="Normal 38 2 3" xfId="5102" xr:uid="{CD6A0971-C4B8-4092-8F97-972441B5448F}"/>
    <cellStyle name="Normal 38 2 3 2" xfId="12810" xr:uid="{23845A4F-BC21-41BF-871F-94A2511DF51C}"/>
    <cellStyle name="Normal 38 2 3 2 2" xfId="28222" xr:uid="{22AE9191-4456-4380-B154-7680FD377D6E}"/>
    <cellStyle name="Normal 38 2 3 2 2 2" xfId="59740" xr:uid="{0A0CFAED-E3B8-4833-B328-17723780921B}"/>
    <cellStyle name="Normal 38 2 3 2 3" xfId="59739" xr:uid="{B0FEA8FA-23ED-4D95-A109-165DF3DB0A4A}"/>
    <cellStyle name="Normal 38 2 3 3" xfId="20517" xr:uid="{9A2A1E2E-D3C2-4C58-BA27-BF068F191D90}"/>
    <cellStyle name="Normal 38 2 3 3 2" xfId="59741" xr:uid="{4C244F5C-2B93-43D6-B516-B31CF0D1DA99}"/>
    <cellStyle name="Normal 38 2 3 4" xfId="59738" xr:uid="{0C881F88-9D71-4FE7-9697-F89681F5D207}"/>
    <cellStyle name="Normal 38 2 4" xfId="9085" xr:uid="{A91DA8C2-8DA9-4E43-BB81-DD8E3F6BFF31}"/>
    <cellStyle name="Normal 38 2 4 2" xfId="24498" xr:uid="{6047D4A4-B5FF-4031-AB29-37C887B60BBB}"/>
    <cellStyle name="Normal 38 2 4 2 2" xfId="59743" xr:uid="{5B1EBDD9-EFCF-476C-A597-F54EEEE4AE74}"/>
    <cellStyle name="Normal 38 2 4 3" xfId="59742" xr:uid="{C8A00962-DA8F-4C88-BAEB-9ABA78E07100}"/>
    <cellStyle name="Normal 38 2 5" xfId="16793" xr:uid="{775407F5-C41E-44E0-AA5E-10E0F422C8E0}"/>
    <cellStyle name="Normal 38 2 5 2" xfId="59744" xr:uid="{08175026-E0E8-426D-AB26-FB9CF0CCE693}"/>
    <cellStyle name="Normal 38 2 6" xfId="59729" xr:uid="{194E59B2-AC75-445E-985A-1B1A4FA250D0}"/>
    <cellStyle name="Normal 38 3" xfId="2195" xr:uid="{50448926-3F5D-4061-BBD5-DDE7AA9EC79C}"/>
    <cellStyle name="Normal 38 3 2" xfId="5927" xr:uid="{14845235-D9F0-4BDE-923B-E395BE9917D3}"/>
    <cellStyle name="Normal 38 3 2 2" xfId="13635" xr:uid="{0B67D3C3-3209-48F2-8165-9A54376214EB}"/>
    <cellStyle name="Normal 38 3 2 2 2" xfId="29047" xr:uid="{4C28ACEE-5DA8-4B83-B487-BF38AF030918}"/>
    <cellStyle name="Normal 38 3 2 2 2 2" xfId="59748" xr:uid="{BFF028E0-8B82-42CD-B16A-DD676175753F}"/>
    <cellStyle name="Normal 38 3 2 2 3" xfId="59747" xr:uid="{EDABCBF1-F17D-4E92-823B-9E307B01ECAA}"/>
    <cellStyle name="Normal 38 3 2 3" xfId="21342" xr:uid="{EAB4E6F1-791C-443F-8943-25CBD8DB228D}"/>
    <cellStyle name="Normal 38 3 2 3 2" xfId="59749" xr:uid="{1FE684C7-9BF2-487F-8DDC-6408F03B703E}"/>
    <cellStyle name="Normal 38 3 2 4" xfId="59746" xr:uid="{E36393D3-6559-4392-8C84-D50ADF50CC01}"/>
    <cellStyle name="Normal 38 3 3" xfId="9906" xr:uid="{ADDC64F6-2207-40A5-A275-70A2E810D1C5}"/>
    <cellStyle name="Normal 38 3 3 2" xfId="25319" xr:uid="{8EBF44E1-69BC-4D2D-A0E1-184F1335A9EA}"/>
    <cellStyle name="Normal 38 3 3 2 2" xfId="59751" xr:uid="{8105D1BB-22A6-4B7A-999C-F4FCC1C9AA57}"/>
    <cellStyle name="Normal 38 3 3 3" xfId="59750" xr:uid="{7E958CD0-F36F-4914-8C0F-56755DDFA4E2}"/>
    <cellStyle name="Normal 38 3 4" xfId="17614" xr:uid="{0A137176-D40E-4E3A-9C01-210ED54F3304}"/>
    <cellStyle name="Normal 38 3 4 2" xfId="59752" xr:uid="{84BD74A4-F4A7-4373-933C-3EEE53863329}"/>
    <cellStyle name="Normal 38 3 5" xfId="59745" xr:uid="{99696F03-5693-4066-BEE0-8B305876C7EE}"/>
    <cellStyle name="Normal 38 4" xfId="4450" xr:uid="{16FB9FD1-303B-4141-A5A2-EFC12530F9E6}"/>
    <cellStyle name="Normal 38 4 2" xfId="12158" xr:uid="{DCB88301-FFF9-4167-B1CB-5AB8271A8FC0}"/>
    <cellStyle name="Normal 38 4 2 2" xfId="27570" xr:uid="{201C1C59-127D-43EC-9AE7-ABF6BC323C84}"/>
    <cellStyle name="Normal 38 4 2 2 2" xfId="59755" xr:uid="{0A9CAC8B-D83B-4E49-B4C7-A66645D32E30}"/>
    <cellStyle name="Normal 38 4 2 3" xfId="59754" xr:uid="{BCAB4596-A2F9-41F6-9ACD-42718120FA44}"/>
    <cellStyle name="Normal 38 4 3" xfId="19865" xr:uid="{FF955156-5122-4199-B6D4-BBE3EE1FE00F}"/>
    <cellStyle name="Normal 38 4 3 2" xfId="59756" xr:uid="{14753925-642A-4944-8358-DDE558831C05}"/>
    <cellStyle name="Normal 38 4 4" xfId="59753" xr:uid="{0AF3F59A-EC9C-4092-8CA5-296369FE1D92}"/>
    <cellStyle name="Normal 38 5" xfId="8447" xr:uid="{79EE60B8-F921-4983-ABFE-AD4C0D2D02BB}"/>
    <cellStyle name="Normal 38 5 2" xfId="23860" xr:uid="{B2BB89AC-B532-434F-A545-C9EE628594CD}"/>
    <cellStyle name="Normal 38 5 2 2" xfId="59758" xr:uid="{1F5AA059-911A-4771-A30B-FDC7BC720D7F}"/>
    <cellStyle name="Normal 38 5 3" xfId="59757" xr:uid="{DCAB00AD-A756-4C4B-A866-5D2A26324AE5}"/>
    <cellStyle name="Normal 38 6" xfId="16155" xr:uid="{585500E5-3560-4B35-BC65-81C73F609728}"/>
    <cellStyle name="Normal 38 6 2" xfId="59759" xr:uid="{96A9B585-42C5-40E9-9234-243047A3BFAC}"/>
    <cellStyle name="Normal 38 7" xfId="59728" xr:uid="{DB08E8A5-6850-4699-930C-990E55362191}"/>
    <cellStyle name="Normal 39" xfId="725" xr:uid="{CEDB76F2-1491-4AD2-A16C-CC8FC3C1C245}"/>
    <cellStyle name="Normal 39 2" xfId="1386" xr:uid="{6AD4A1C1-C528-4CE1-B1E1-9BC0348CB7ED}"/>
    <cellStyle name="Normal 39 2 2" xfId="2853" xr:uid="{3D81749A-BC9A-4E2C-960A-3DDD669B6C54}"/>
    <cellStyle name="Normal 39 2 2 2" xfId="6585" xr:uid="{BB573449-EEA5-4545-8F69-D167C128C6FC}"/>
    <cellStyle name="Normal 39 2 2 2 2" xfId="14293" xr:uid="{961680EF-26F1-46FD-B1F2-252D0E62E51B}"/>
    <cellStyle name="Normal 39 2 2 2 2 2" xfId="29705" xr:uid="{424F3681-C807-40D0-AB0E-C8BC65F0A023}"/>
    <cellStyle name="Normal 39 2 2 2 2 2 2" xfId="59765" xr:uid="{02AAE4CE-1255-434D-85DA-1CB33B797322}"/>
    <cellStyle name="Normal 39 2 2 2 2 3" xfId="59764" xr:uid="{E85F102F-6F98-430B-A00A-D96183FFC441}"/>
    <cellStyle name="Normal 39 2 2 2 3" xfId="22000" xr:uid="{8795B9AA-0EF0-4F7B-8FFE-1B887E40F95E}"/>
    <cellStyle name="Normal 39 2 2 2 3 2" xfId="59766" xr:uid="{6951DDA0-750B-4DCC-A80C-6060A8A3CAD2}"/>
    <cellStyle name="Normal 39 2 2 2 4" xfId="59763" xr:uid="{19E60336-DEBF-4F6E-B670-5F9A28A046C2}"/>
    <cellStyle name="Normal 39 2 2 3" xfId="10564" xr:uid="{BBDD8D52-1A51-4227-9EA1-CA3A9B9BFD2F}"/>
    <cellStyle name="Normal 39 2 2 3 2" xfId="25977" xr:uid="{9362B7C2-99B3-48D1-ACDB-44F3CFC12ECF}"/>
    <cellStyle name="Normal 39 2 2 3 2 2" xfId="59768" xr:uid="{58DCCB68-C15F-4EA7-A90A-E2EE06A2F18A}"/>
    <cellStyle name="Normal 39 2 2 3 3" xfId="59767" xr:uid="{F85DD714-6CD7-4985-A0F2-08C0549EBC8C}"/>
    <cellStyle name="Normal 39 2 2 4" xfId="18272" xr:uid="{DCC873EC-EE39-43F2-A580-74987E32DC30}"/>
    <cellStyle name="Normal 39 2 2 4 2" xfId="59769" xr:uid="{8CADE74F-BDB3-4145-A900-6EDD4519BA7F}"/>
    <cellStyle name="Normal 39 2 2 5" xfId="59762" xr:uid="{8B0D9135-70FB-468D-9364-A2C661576355}"/>
    <cellStyle name="Normal 39 2 3" xfId="5122" xr:uid="{CE52576D-6637-4F38-B0FD-4D091C1001A0}"/>
    <cellStyle name="Normal 39 2 3 2" xfId="12830" xr:uid="{13E8D69E-6DC8-494F-AB50-B687D4A93A7F}"/>
    <cellStyle name="Normal 39 2 3 2 2" xfId="28242" xr:uid="{95974CF8-11CE-4582-8D6E-BC67499E8C45}"/>
    <cellStyle name="Normal 39 2 3 2 2 2" xfId="59772" xr:uid="{C9AA172B-9F2B-40F6-94B3-A385463DCA73}"/>
    <cellStyle name="Normal 39 2 3 2 3" xfId="59771" xr:uid="{77FE6AA2-094E-4F73-9155-244CF9D225D1}"/>
    <cellStyle name="Normal 39 2 3 3" xfId="20537" xr:uid="{1B2066F1-5CD5-420A-AA2E-7D25BF00FAA3}"/>
    <cellStyle name="Normal 39 2 3 3 2" xfId="59773" xr:uid="{AAC840D0-FDF3-4F74-9E96-93869D490155}"/>
    <cellStyle name="Normal 39 2 3 4" xfId="59770" xr:uid="{234E2DE4-2B6A-4791-BE0C-A8020BF06AF2}"/>
    <cellStyle name="Normal 39 2 4" xfId="9105" xr:uid="{3D199E9C-7F12-4462-9360-FCF6CD172448}"/>
    <cellStyle name="Normal 39 2 4 2" xfId="24518" xr:uid="{D6591875-9248-45C1-AED3-89B338EDAC9D}"/>
    <cellStyle name="Normal 39 2 4 2 2" xfId="59775" xr:uid="{9CB5A380-20B4-4E0D-A38C-A261AD795489}"/>
    <cellStyle name="Normal 39 2 4 3" xfId="59774" xr:uid="{4395C542-E03D-464C-9BDD-5DFA2FB7C35E}"/>
    <cellStyle name="Normal 39 2 5" xfId="16813" xr:uid="{BE8CB0A2-B369-4899-829F-AC6DE1D76B69}"/>
    <cellStyle name="Normal 39 2 5 2" xfId="59776" xr:uid="{8F26DC27-6781-48A7-AE5A-CA3BA9825972}"/>
    <cellStyle name="Normal 39 2 6" xfId="59761" xr:uid="{67325CED-CB77-4E4B-BB1C-C871720C0756}"/>
    <cellStyle name="Normal 39 3" xfId="2215" xr:uid="{F982A3D1-F17C-41E6-A986-7335FB49D289}"/>
    <cellStyle name="Normal 39 3 2" xfId="5947" xr:uid="{1AD2AC90-AD08-4898-A427-73F8583B8913}"/>
    <cellStyle name="Normal 39 3 2 2" xfId="13655" xr:uid="{1CF45C8B-D6AD-4186-B65A-5A650330734A}"/>
    <cellStyle name="Normal 39 3 2 2 2" xfId="29067" xr:uid="{94F6A4D4-5104-4BAA-B37C-B26AB2D6ED47}"/>
    <cellStyle name="Normal 39 3 2 2 2 2" xfId="59780" xr:uid="{C166AE36-126C-4529-9ED4-C655F1CE0936}"/>
    <cellStyle name="Normal 39 3 2 2 3" xfId="59779" xr:uid="{4359B602-C035-4B0A-8C87-E111BDDF7F5D}"/>
    <cellStyle name="Normal 39 3 2 3" xfId="21362" xr:uid="{97FB37AB-F4EB-44A3-9B0F-B91D4ABABF87}"/>
    <cellStyle name="Normal 39 3 2 3 2" xfId="59781" xr:uid="{782362FD-685A-4CBD-8F62-841035C6D9EC}"/>
    <cellStyle name="Normal 39 3 2 4" xfId="59778" xr:uid="{66214EB4-7384-4498-A0B6-AB14D28E1022}"/>
    <cellStyle name="Normal 39 3 3" xfId="9926" xr:uid="{DB0DDB40-2182-4C06-9717-3464ACB83F98}"/>
    <cellStyle name="Normal 39 3 3 2" xfId="25339" xr:uid="{CBC4E6B6-04EB-4EE8-BFC0-4302C5B9009F}"/>
    <cellStyle name="Normal 39 3 3 2 2" xfId="59783" xr:uid="{86361DAF-4A46-4F83-9C93-00C778966C79}"/>
    <cellStyle name="Normal 39 3 3 3" xfId="59782" xr:uid="{6CC445DC-A90B-46B9-B142-AAB6B7E1DDB5}"/>
    <cellStyle name="Normal 39 3 4" xfId="17634" xr:uid="{12A36647-C355-4DBE-933F-C5F3A55AD8A1}"/>
    <cellStyle name="Normal 39 3 4 2" xfId="59784" xr:uid="{143410D2-B719-4B80-AEF0-EACB040E6EB6}"/>
    <cellStyle name="Normal 39 3 5" xfId="59777" xr:uid="{F7226990-BBAD-438E-B73A-3CA626825D2A}"/>
    <cellStyle name="Normal 39 4" xfId="4470" xr:uid="{D3691854-DB19-4A44-8F66-7D2EE61CD8EB}"/>
    <cellStyle name="Normal 39 4 2" xfId="12178" xr:uid="{EEFA83B4-63F6-472D-847E-7DBA2E8C2E32}"/>
    <cellStyle name="Normal 39 4 2 2" xfId="27590" xr:uid="{0DAD6D32-9626-4A91-B5E8-A79BD211CE17}"/>
    <cellStyle name="Normal 39 4 2 2 2" xfId="59787" xr:uid="{962B3DE1-A123-43EF-BCC1-8417ACB7FBBE}"/>
    <cellStyle name="Normal 39 4 2 3" xfId="59786" xr:uid="{ECDE3616-9D81-4697-BF3E-C74938F78A68}"/>
    <cellStyle name="Normal 39 4 3" xfId="19885" xr:uid="{6CDBF4B3-1932-418B-85EC-CC99E41A89EB}"/>
    <cellStyle name="Normal 39 4 3 2" xfId="59788" xr:uid="{E7874919-8E07-41AA-9C09-E4030BD7FB2A}"/>
    <cellStyle name="Normal 39 4 4" xfId="59785" xr:uid="{5C0E6E8B-EFB5-4ACD-9AD5-911CB9735C2F}"/>
    <cellStyle name="Normal 39 5" xfId="8467" xr:uid="{9FF087D2-095A-480E-8B6C-85B67363F478}"/>
    <cellStyle name="Normal 39 5 2" xfId="23880" xr:uid="{395EC2D4-4BC0-4A76-BC85-B1EABFA51F5E}"/>
    <cellStyle name="Normal 39 5 2 2" xfId="59790" xr:uid="{257CC9FF-1730-46D6-B207-805D7DE63C30}"/>
    <cellStyle name="Normal 39 5 3" xfId="59789" xr:uid="{E2197FD8-F52F-41E2-A79E-07F987E02BE2}"/>
    <cellStyle name="Normal 39 6" xfId="16175" xr:uid="{66DD8C1A-F01C-482E-B350-841E347FE79A}"/>
    <cellStyle name="Normal 39 6 2" xfId="59791" xr:uid="{F8CA512F-F5E9-4E2D-ACB0-C652A53DCD24}"/>
    <cellStyle name="Normal 39 7" xfId="59760" xr:uid="{38499578-506D-43B0-BA8F-439CA18E2FD1}"/>
    <cellStyle name="Normal 4" xfId="57" xr:uid="{0FF9EC2A-4080-404C-ADAF-27B630EDD87B}"/>
    <cellStyle name="Normal 4 2" xfId="123" xr:uid="{903ED445-D08A-4DC2-8A23-2EA2CF595896}"/>
    <cellStyle name="Normal 4 2 2" xfId="59792" xr:uid="{A6E751B9-14D9-4094-AB2F-CBBD263D8620}"/>
    <cellStyle name="Normal 4 3" xfId="122" xr:uid="{D700CF59-A306-43AF-B82C-7405CFAB4AA1}"/>
    <cellStyle name="Normal 40" xfId="745" xr:uid="{1E44EA4D-04A2-424E-ABD6-D0A3C4F07FA2}"/>
    <cellStyle name="Normal 40 2" xfId="1406" xr:uid="{10EB1616-B376-4766-A197-99A4BAD3BD15}"/>
    <cellStyle name="Normal 40 2 2" xfId="2873" xr:uid="{7769710D-3714-4DC8-9DC8-BCBC2793751A}"/>
    <cellStyle name="Normal 40 2 2 2" xfId="6605" xr:uid="{42AF3C4A-77C0-47C6-BAC7-9DBC30E20FAC}"/>
    <cellStyle name="Normal 40 2 2 2 2" xfId="14313" xr:uid="{876421F4-7FC1-4CB2-B6CC-2B1E79337AB6}"/>
    <cellStyle name="Normal 40 2 2 2 2 2" xfId="29725" xr:uid="{7CB25D6B-6873-4C10-9BFE-230D78D15B9F}"/>
    <cellStyle name="Normal 40 2 2 2 2 2 2" xfId="59798" xr:uid="{92A7F1CC-796F-46C4-9241-C41522C6757F}"/>
    <cellStyle name="Normal 40 2 2 2 2 3" xfId="59797" xr:uid="{5A4453DE-3199-45D6-9F6C-07A8A21A5735}"/>
    <cellStyle name="Normal 40 2 2 2 3" xfId="22020" xr:uid="{EC8A25B7-4068-4363-ADE9-60F23E324DF4}"/>
    <cellStyle name="Normal 40 2 2 2 3 2" xfId="59799" xr:uid="{50B91EB3-ED95-4CB3-95F7-7BBE9960461F}"/>
    <cellStyle name="Normal 40 2 2 2 4" xfId="59796" xr:uid="{205E1A14-97BD-4B77-82F1-A6DC355AC9DA}"/>
    <cellStyle name="Normal 40 2 2 3" xfId="10584" xr:uid="{8E0D050A-AF37-43D6-B980-A4B03BA786D5}"/>
    <cellStyle name="Normal 40 2 2 3 2" xfId="25997" xr:uid="{A8ABDFC5-6795-440B-9A77-D0C216C6DDAA}"/>
    <cellStyle name="Normal 40 2 2 3 2 2" xfId="59801" xr:uid="{DEDF520F-8E60-4DD4-A77A-B67420F67C4C}"/>
    <cellStyle name="Normal 40 2 2 3 3" xfId="59800" xr:uid="{DAA851A4-466E-43EE-9553-455496E00F97}"/>
    <cellStyle name="Normal 40 2 2 4" xfId="18292" xr:uid="{E32F1FFB-7A4B-412B-94F4-AD5916FEB630}"/>
    <cellStyle name="Normal 40 2 2 4 2" xfId="59802" xr:uid="{16493D2B-B66D-4274-83CF-26E9BB0DD6CF}"/>
    <cellStyle name="Normal 40 2 2 5" xfId="59795" xr:uid="{405D2AE3-D063-479E-8C35-89123077A90F}"/>
    <cellStyle name="Normal 40 2 3" xfId="5142" xr:uid="{BB4BF27F-2F68-47AA-A68F-61AC8E75E580}"/>
    <cellStyle name="Normal 40 2 3 2" xfId="12850" xr:uid="{32E47CE7-3DF1-4F2A-8812-6E4E2278CCA9}"/>
    <cellStyle name="Normal 40 2 3 2 2" xfId="28262" xr:uid="{397C2333-7728-4D01-B256-FE824CA3E2AB}"/>
    <cellStyle name="Normal 40 2 3 2 2 2" xfId="59805" xr:uid="{59F32198-A2B9-4E91-9B12-4CACD4634820}"/>
    <cellStyle name="Normal 40 2 3 2 3" xfId="59804" xr:uid="{96F8B591-C717-4DB3-B3D5-C721C449FE1A}"/>
    <cellStyle name="Normal 40 2 3 3" xfId="20557" xr:uid="{F9E30B31-B698-4BE6-8568-A3B016DE3419}"/>
    <cellStyle name="Normal 40 2 3 3 2" xfId="59806" xr:uid="{B84B2E0A-54E9-4CD9-8659-D1E1B9406E36}"/>
    <cellStyle name="Normal 40 2 3 4" xfId="59803" xr:uid="{B4FC94D8-ADA9-49C2-B3D5-F1430BA27668}"/>
    <cellStyle name="Normal 40 2 4" xfId="9125" xr:uid="{852053E7-1478-41AE-A6B1-8E104B87B0D7}"/>
    <cellStyle name="Normal 40 2 4 2" xfId="24538" xr:uid="{93AF7108-C526-4EFF-926E-9CBA68A8196B}"/>
    <cellStyle name="Normal 40 2 4 2 2" xfId="59808" xr:uid="{D6C711C0-81F7-4B7D-B949-509164B45385}"/>
    <cellStyle name="Normal 40 2 4 3" xfId="59807" xr:uid="{4D8C9EBF-E7FA-40D6-85B2-67833A7F80E6}"/>
    <cellStyle name="Normal 40 2 5" xfId="16833" xr:uid="{E8FBDF2A-01FC-4F90-BEFB-DB0C3CF3ACDA}"/>
    <cellStyle name="Normal 40 2 5 2" xfId="59809" xr:uid="{886D1482-12E5-426F-9349-C8AC9CE1E082}"/>
    <cellStyle name="Normal 40 2 6" xfId="59794" xr:uid="{C7DFBE98-F665-4657-B641-25B200F9A406}"/>
    <cellStyle name="Normal 40 3" xfId="2235" xr:uid="{17EC8033-B1C8-403C-9981-F1BCC20ED11B}"/>
    <cellStyle name="Normal 40 3 2" xfId="5967" xr:uid="{33C97669-7884-4E95-A154-1CB80EEEC631}"/>
    <cellStyle name="Normal 40 3 2 2" xfId="13675" xr:uid="{5BE2ADDA-3E98-4078-AC1E-0A8A10BB61DC}"/>
    <cellStyle name="Normal 40 3 2 2 2" xfId="29087" xr:uid="{7EE1D518-1144-4494-9AC2-8DFE8CEF1BB8}"/>
    <cellStyle name="Normal 40 3 2 2 2 2" xfId="59813" xr:uid="{69609729-765E-4A09-9C28-DB609202FB01}"/>
    <cellStyle name="Normal 40 3 2 2 3" xfId="59812" xr:uid="{EEE2890F-6494-4208-8022-B16FCFD377DB}"/>
    <cellStyle name="Normal 40 3 2 3" xfId="21382" xr:uid="{F6081858-DDED-4457-BECF-59C7F5FBB695}"/>
    <cellStyle name="Normal 40 3 2 3 2" xfId="59814" xr:uid="{57F6934D-ED38-405F-BF66-5F9897D5F82D}"/>
    <cellStyle name="Normal 40 3 2 4" xfId="59811" xr:uid="{B32F220B-D8B2-4C24-B0B4-358E405B4BB8}"/>
    <cellStyle name="Normal 40 3 3" xfId="9946" xr:uid="{82EA20DA-8112-457D-BCD8-046AA584F06E}"/>
    <cellStyle name="Normal 40 3 3 2" xfId="25359" xr:uid="{8CFF5D5C-49B7-472B-936F-44A42413B48E}"/>
    <cellStyle name="Normal 40 3 3 2 2" xfId="59816" xr:uid="{4CE6B16B-0C49-42BD-A063-AAD440BFD336}"/>
    <cellStyle name="Normal 40 3 3 3" xfId="59815" xr:uid="{CEF3569E-9171-4A9F-A170-BB7F7093DEFF}"/>
    <cellStyle name="Normal 40 3 4" xfId="17654" xr:uid="{F000DE15-E98D-47AA-81F1-9E9CFC606772}"/>
    <cellStyle name="Normal 40 3 4 2" xfId="59817" xr:uid="{75F7717F-ACC6-4084-9695-CA6A5BC153B2}"/>
    <cellStyle name="Normal 40 3 5" xfId="59810" xr:uid="{290388D0-FC38-4188-816E-0D7C7DC8D9AA}"/>
    <cellStyle name="Normal 40 4" xfId="4490" xr:uid="{5ADAE240-FAAB-4FB2-A471-D974F490F18A}"/>
    <cellStyle name="Normal 40 4 2" xfId="12198" xr:uid="{D6DBACDF-AF2B-4E64-AF5E-A9DDB07771C7}"/>
    <cellStyle name="Normal 40 4 2 2" xfId="27610" xr:uid="{53077D1A-9F0D-4B83-B0DA-8DD1ED25B6A4}"/>
    <cellStyle name="Normal 40 4 2 2 2" xfId="59820" xr:uid="{55DFD98D-189F-43C3-8ECB-BD1771C28890}"/>
    <cellStyle name="Normal 40 4 2 3" xfId="59819" xr:uid="{3D01BCFD-ADCC-41AF-A198-7A4EB4147C9F}"/>
    <cellStyle name="Normal 40 4 3" xfId="19905" xr:uid="{8D6EA744-F4B0-4B8C-AEF8-9D30A594DE1B}"/>
    <cellStyle name="Normal 40 4 3 2" xfId="59821" xr:uid="{2F5286C2-27B1-4EDF-8754-AFA86EDD8723}"/>
    <cellStyle name="Normal 40 4 4" xfId="59818" xr:uid="{D70DCF94-D40E-4763-8BFC-A3593BE4F64A}"/>
    <cellStyle name="Normal 40 5" xfId="8487" xr:uid="{137E3390-DFC3-4233-83E8-416E684BE1C9}"/>
    <cellStyle name="Normal 40 5 2" xfId="23900" xr:uid="{3CF59AFF-CA39-40FF-A13D-A826C2470BF7}"/>
    <cellStyle name="Normal 40 5 2 2" xfId="59823" xr:uid="{63419AF9-53F1-46C6-B81D-25FD70F52F4A}"/>
    <cellStyle name="Normal 40 5 3" xfId="59822" xr:uid="{FACCBF8D-4407-43CA-B12F-031FE5F2D4A4}"/>
    <cellStyle name="Normal 40 6" xfId="16195" xr:uid="{5932EBDD-9573-402E-900B-DF0514BEF341}"/>
    <cellStyle name="Normal 40 6 2" xfId="59824" xr:uid="{0BE6A978-E1D3-4568-B446-7DCEF11C346A}"/>
    <cellStyle name="Normal 40 7" xfId="59793" xr:uid="{94E955E4-38DF-4E46-B399-82307DAC1E83}"/>
    <cellStyle name="Normal 41" xfId="784" xr:uid="{A8414DC6-6E55-4249-A9EE-C8C1B606281E}"/>
    <cellStyle name="Normal 42" xfId="765" xr:uid="{BD1017A9-2F88-43D2-95D1-B2DD58FEC360}"/>
    <cellStyle name="Normal 42 2" xfId="2255" xr:uid="{931C4AB0-1E8C-462C-ADA0-CF4DA3496B62}"/>
    <cellStyle name="Normal 42 2 2" xfId="5987" xr:uid="{493F7660-73A6-45CB-8046-E86AC9285F8B}"/>
    <cellStyle name="Normal 42 2 2 2" xfId="13695" xr:uid="{D4B04811-7E85-4C70-9F09-61AC3DD547D8}"/>
    <cellStyle name="Normal 42 2 2 2 2" xfId="29107" xr:uid="{9A7691B1-F8A7-48FE-9E24-879477451C56}"/>
    <cellStyle name="Normal 42 2 2 2 2 2" xfId="59829" xr:uid="{92F40C55-E783-4CA5-B5C8-72F3F6D14A4B}"/>
    <cellStyle name="Normal 42 2 2 2 3" xfId="59828" xr:uid="{91A1D499-5725-4D26-A8B5-13BD62FA389B}"/>
    <cellStyle name="Normal 42 2 2 3" xfId="21402" xr:uid="{C7CFBBC0-8975-45F4-B0F9-C6768118FBD2}"/>
    <cellStyle name="Normal 42 2 2 3 2" xfId="59830" xr:uid="{CF816127-68E8-47E4-B6F3-4BB8D717101A}"/>
    <cellStyle name="Normal 42 2 2 4" xfId="59827" xr:uid="{B1B77196-DEAC-4F7D-A7E2-6255C491DEE6}"/>
    <cellStyle name="Normal 42 2 3" xfId="9966" xr:uid="{47649F85-CDCA-48A6-92C2-84B98D72E8EE}"/>
    <cellStyle name="Normal 42 2 3 2" xfId="25379" xr:uid="{44402AC1-6651-408D-992C-213BE726AA8D}"/>
    <cellStyle name="Normal 42 2 3 2 2" xfId="59832" xr:uid="{EF53603D-1054-442D-8BF9-EE6E39FAA125}"/>
    <cellStyle name="Normal 42 2 3 3" xfId="59831" xr:uid="{8BF8CEE8-8B72-4E7B-B1B2-CC9019A6257B}"/>
    <cellStyle name="Normal 42 2 4" xfId="17674" xr:uid="{9048339C-5BC6-4D21-9E84-E48637EA6824}"/>
    <cellStyle name="Normal 42 2 4 2" xfId="59833" xr:uid="{E8F0FF24-A321-4C49-B693-D350F00A8E6E}"/>
    <cellStyle name="Normal 42 2 5" xfId="59826" xr:uid="{86B387D9-D3FE-41BC-A251-7B0431CA5E90}"/>
    <cellStyle name="Normal 42 3" xfId="4510" xr:uid="{660F6B06-AF1B-4164-A3C3-C7289207E36B}"/>
    <cellStyle name="Normal 42 3 2" xfId="12218" xr:uid="{4469033E-0AEC-4A39-8879-E9D5D7546252}"/>
    <cellStyle name="Normal 42 3 2 2" xfId="27630" xr:uid="{054DA639-59DD-4453-9A5A-274561727761}"/>
    <cellStyle name="Normal 42 3 2 2 2" xfId="59836" xr:uid="{88916305-DE36-4FB7-B366-7CF679CA82BB}"/>
    <cellStyle name="Normal 42 3 2 3" xfId="59835" xr:uid="{DAE93F68-B7A0-4813-9073-268AE7EE8EF2}"/>
    <cellStyle name="Normal 42 3 3" xfId="19925" xr:uid="{23D8DBD6-CD50-4CD4-934F-BBA40E064E06}"/>
    <cellStyle name="Normal 42 3 3 2" xfId="59837" xr:uid="{677D44AB-3294-407B-B48A-74DBF505CD7D}"/>
    <cellStyle name="Normal 42 3 4" xfId="59834" xr:uid="{57F0866C-6D72-49B6-8878-D670FE04AFFB}"/>
    <cellStyle name="Normal 42 4" xfId="8507" xr:uid="{0F24AC3C-8E6D-4ED9-9304-FF41BB5FF535}"/>
    <cellStyle name="Normal 42 4 2" xfId="23920" xr:uid="{AEB95E3F-D43F-4DAE-B607-8FFCF519EA5C}"/>
    <cellStyle name="Normal 42 4 2 2" xfId="59839" xr:uid="{1E266093-E372-46FC-BACD-3EF7EB08B085}"/>
    <cellStyle name="Normal 42 4 3" xfId="59838" xr:uid="{D8A06967-88FB-45C6-885E-DF433192FDAF}"/>
    <cellStyle name="Normal 42 5" xfId="16215" xr:uid="{F6B26741-9136-4958-A8F0-A22991273C35}"/>
    <cellStyle name="Normal 42 5 2" xfId="59840" xr:uid="{1A94FBDF-6BC5-4D1F-B012-B3D9825F4660}"/>
    <cellStyle name="Normal 42 6" xfId="59825" xr:uid="{F14FA0AA-8797-4AA3-96FC-FE512F68C112}"/>
    <cellStyle name="Normal 43" xfId="1428" xr:uid="{384F8F21-6E4F-4940-89EC-E4C7522F8F92}"/>
    <cellStyle name="Normal 43 2" xfId="2893" xr:uid="{75A2A717-CFE7-42E3-9ED3-154CA62DFF3C}"/>
    <cellStyle name="Normal 43 2 2" xfId="6625" xr:uid="{39E9F8C4-EDE9-4517-811F-991FEBA78FB9}"/>
    <cellStyle name="Normal 43 2 2 2" xfId="14333" xr:uid="{F20DBAC1-C3C3-440A-A07C-3C6326D4D93A}"/>
    <cellStyle name="Normal 43 2 2 2 2" xfId="29745" xr:uid="{5D6E3123-0DDB-4D71-A6B2-33D231C99FFA}"/>
    <cellStyle name="Normal 43 2 2 2 2 2" xfId="59845" xr:uid="{7B0CC8D0-FBCC-4D50-9225-047B84A81473}"/>
    <cellStyle name="Normal 43 2 2 2 3" xfId="59844" xr:uid="{E80379EE-E5B5-4F59-BCB1-9D2041DEE2BD}"/>
    <cellStyle name="Normal 43 2 2 3" xfId="22040" xr:uid="{3D03AAF4-DB66-432D-9282-0A40D02043AD}"/>
    <cellStyle name="Normal 43 2 2 3 2" xfId="59846" xr:uid="{31F2FE2A-7D8D-4246-8395-A33CD4D6307A}"/>
    <cellStyle name="Normal 43 2 2 4" xfId="59843" xr:uid="{AF145EBA-694C-4B49-A7E7-E6089F08743D}"/>
    <cellStyle name="Normal 43 2 3" xfId="10604" xr:uid="{9D00C1D4-2C05-457E-8EAF-8ABBBB987468}"/>
    <cellStyle name="Normal 43 2 3 2" xfId="26017" xr:uid="{10627FE6-B9B9-424A-BB60-7F4D501A337A}"/>
    <cellStyle name="Normal 43 2 3 2 2" xfId="59848" xr:uid="{8C331AC7-6E7A-45E2-90B8-001209721F24}"/>
    <cellStyle name="Normal 43 2 3 3" xfId="59847" xr:uid="{EC02C062-B25F-444E-AEF3-019B379CCCE4}"/>
    <cellStyle name="Normal 43 2 4" xfId="18312" xr:uid="{B179A3B1-B864-4223-AFFE-B412351E28E1}"/>
    <cellStyle name="Normal 43 2 4 2" xfId="59849" xr:uid="{5A19E458-C67E-4BAB-90D1-6319B02BDAFB}"/>
    <cellStyle name="Normal 43 2 5" xfId="59842" xr:uid="{D66DD697-1AD9-416D-AB73-75B8AB0FA2F9}"/>
    <cellStyle name="Normal 43 3" xfId="5164" xr:uid="{2733A1BC-4B78-424D-B3E9-670F0F1EBCA1}"/>
    <cellStyle name="Normal 43 3 2" xfId="12872" xr:uid="{6138AA70-C09A-4D8D-9CE1-B0EDDFBC97EF}"/>
    <cellStyle name="Normal 43 3 2 2" xfId="28284" xr:uid="{8BF2A7D9-57B4-4AC6-B430-9F36E13662CD}"/>
    <cellStyle name="Normal 43 3 2 2 2" xfId="59852" xr:uid="{CFBDA349-FC58-4FB2-8574-78CCDB778444}"/>
    <cellStyle name="Normal 43 3 2 3" xfId="59851" xr:uid="{8D12CCCC-925B-42F4-8928-62C230C4B759}"/>
    <cellStyle name="Normal 43 3 3" xfId="20579" xr:uid="{39F9B80F-5CFA-479F-B24D-75B1A158A69E}"/>
    <cellStyle name="Normal 43 3 3 2" xfId="59853" xr:uid="{B8AEBF67-682A-4D19-A6B6-E3537A98CB9B}"/>
    <cellStyle name="Normal 43 3 4" xfId="59850" xr:uid="{803DEFC3-2B4C-44F3-AD2B-6DDB1AE4F410}"/>
    <cellStyle name="Normal 43 4" xfId="9145" xr:uid="{D21CF7A2-C4B2-4280-9A22-6198EE75915E}"/>
    <cellStyle name="Normal 43 4 2" xfId="24558" xr:uid="{A709CA59-ED45-4CA4-BD78-985CD0AA8F87}"/>
    <cellStyle name="Normal 43 4 2 2" xfId="59855" xr:uid="{4DB2A369-BC06-46C8-89BF-3460D8CDA4DF}"/>
    <cellStyle name="Normal 43 4 3" xfId="59854" xr:uid="{D5719C92-DE68-4C8F-B710-3DC162231D7B}"/>
    <cellStyle name="Normal 43 5" xfId="16853" xr:uid="{E7CB5DB1-0D78-44D1-A206-542D776218D6}"/>
    <cellStyle name="Normal 43 5 2" xfId="59856" xr:uid="{34B3A949-509B-42A2-A4A1-AAECC3A869C9}"/>
    <cellStyle name="Normal 43 6" xfId="59841" xr:uid="{A09AE2C9-9CDE-4967-8B8C-C95CAC5A4F1F}"/>
    <cellStyle name="Normal 44" xfId="1448" xr:uid="{B061579E-4B8F-4F87-9A2E-8DE5920C24F9}"/>
    <cellStyle name="Normal 44 2" xfId="2913" xr:uid="{9502B963-29A0-4EA9-8FB6-E5205573AD23}"/>
    <cellStyle name="Normal 44 2 2" xfId="6645" xr:uid="{51BFB39A-3F7C-4FF6-B698-8CBEAC3568C9}"/>
    <cellStyle name="Normal 44 2 2 2" xfId="14353" xr:uid="{FCF31333-C706-422E-82B3-3577E55EFE40}"/>
    <cellStyle name="Normal 44 2 2 2 2" xfId="29765" xr:uid="{E3A18A1E-F084-4A35-AA14-D1E43AF6C6B9}"/>
    <cellStyle name="Normal 44 2 2 2 2 2" xfId="59861" xr:uid="{FCECF0EF-5C5E-4156-B6F8-4D35E56404CC}"/>
    <cellStyle name="Normal 44 2 2 2 3" xfId="59860" xr:uid="{87062868-DE40-44E3-B8A1-E3C0D5437762}"/>
    <cellStyle name="Normal 44 2 2 3" xfId="22060" xr:uid="{51555575-5074-4EA6-B30E-F6AB2D855825}"/>
    <cellStyle name="Normal 44 2 2 3 2" xfId="59862" xr:uid="{59FC329E-8AF1-48A1-ADAC-9CFF84FACA55}"/>
    <cellStyle name="Normal 44 2 2 4" xfId="59859" xr:uid="{DA5E98D9-AA21-442F-B554-2E39F496AAE5}"/>
    <cellStyle name="Normal 44 2 3" xfId="10624" xr:uid="{E9501151-D0B5-42BB-BB10-CCD89EE41F8A}"/>
    <cellStyle name="Normal 44 2 3 2" xfId="26037" xr:uid="{778357C2-B954-4060-BDBC-69C61FB2A286}"/>
    <cellStyle name="Normal 44 2 3 2 2" xfId="59864" xr:uid="{7E3DBEAB-D6F0-4864-A8EF-EACCF319C441}"/>
    <cellStyle name="Normal 44 2 3 3" xfId="59863" xr:uid="{DAB44A20-F0AB-4F23-ADB6-D587A0B8CE69}"/>
    <cellStyle name="Normal 44 2 4" xfId="18332" xr:uid="{E76AACC2-1C3C-4DE7-940D-33F338E9B95D}"/>
    <cellStyle name="Normal 44 2 4 2" xfId="59865" xr:uid="{FB5752BE-EF13-479D-ABD9-205D01BF1EB8}"/>
    <cellStyle name="Normal 44 2 5" xfId="59858" xr:uid="{028677EC-2063-4D9B-9604-6B5EC19DEA40}"/>
    <cellStyle name="Normal 44 3" xfId="5184" xr:uid="{6CD176A7-0D29-40E8-BFDC-D3E1A67843CE}"/>
    <cellStyle name="Normal 44 3 2" xfId="12892" xr:uid="{45980647-822C-49F9-B3CE-C31640B2D0AA}"/>
    <cellStyle name="Normal 44 3 2 2" xfId="28304" xr:uid="{7545314D-208F-40A1-8666-D485C4CFBD32}"/>
    <cellStyle name="Normal 44 3 2 2 2" xfId="59868" xr:uid="{38E84437-3A71-47DC-A663-EDB18626DF40}"/>
    <cellStyle name="Normal 44 3 2 3" xfId="59867" xr:uid="{5F1A5F4F-6868-43C5-90A9-D8509FFFE68A}"/>
    <cellStyle name="Normal 44 3 3" xfId="20599" xr:uid="{FD20C257-A007-40A2-AEB7-0C7AA29EFDB5}"/>
    <cellStyle name="Normal 44 3 3 2" xfId="59869" xr:uid="{26C55A17-6E29-46F6-A8CC-A14E800D4EA5}"/>
    <cellStyle name="Normal 44 3 4" xfId="59866" xr:uid="{356BCE0B-6742-49C6-943A-595B5E38CAA9}"/>
    <cellStyle name="Normal 44 4" xfId="9165" xr:uid="{4E37B780-D305-4B2B-974A-AE059C1102A2}"/>
    <cellStyle name="Normal 44 4 2" xfId="24578" xr:uid="{92BBDAF6-57CA-4905-8EF6-EB184FB397E8}"/>
    <cellStyle name="Normal 44 4 2 2" xfId="59871" xr:uid="{ECBDE99C-6149-4191-94C3-19FB440FD73A}"/>
    <cellStyle name="Normal 44 4 3" xfId="59870" xr:uid="{788B3864-FB00-415D-808A-1FF49DC98E1F}"/>
    <cellStyle name="Normal 44 5" xfId="16873" xr:uid="{C9C0D99D-4EF4-41DE-ABAB-787B15379469}"/>
    <cellStyle name="Normal 44 5 2" xfId="59872" xr:uid="{EB58D71D-446E-4614-9DF3-05AE91F40D8A}"/>
    <cellStyle name="Normal 44 6" xfId="59857" xr:uid="{6D87B39A-447B-4873-A90F-FFFE765D9CF8}"/>
    <cellStyle name="Normal 45" xfId="1468" xr:uid="{2B4BD448-C169-453A-9E09-709718C37517}"/>
    <cellStyle name="Normal 45 2" xfId="2933" xr:uid="{08BB05C9-D0F8-4614-B4F4-48E2CCA4B422}"/>
    <cellStyle name="Normal 45 2 2" xfId="6665" xr:uid="{600A6FA8-72F1-41FB-A5C0-38AE6FDB4E52}"/>
    <cellStyle name="Normal 45 2 2 2" xfId="14373" xr:uid="{2E5704B4-4E94-4916-91B3-891CEE50232C}"/>
    <cellStyle name="Normal 45 2 2 2 2" xfId="29785" xr:uid="{EBB20703-8361-454D-9ADB-14FA9F9AFEF7}"/>
    <cellStyle name="Normal 45 2 2 2 2 2" xfId="59877" xr:uid="{EAE86E88-E629-43BE-83AA-256BF9BB732F}"/>
    <cellStyle name="Normal 45 2 2 2 3" xfId="59876" xr:uid="{24E755FD-547E-4393-8958-FEC9354F4BD6}"/>
    <cellStyle name="Normal 45 2 2 3" xfId="22080" xr:uid="{463E359E-485F-4721-8D5B-1F249C85BBEB}"/>
    <cellStyle name="Normal 45 2 2 3 2" xfId="59878" xr:uid="{D578ED47-A9CF-4277-AA27-A7C153C81D83}"/>
    <cellStyle name="Normal 45 2 2 4" xfId="59875" xr:uid="{EF40BA2C-8932-4F8B-9989-5698C8CC75FD}"/>
    <cellStyle name="Normal 45 2 3" xfId="10644" xr:uid="{F349C4E5-A8DB-47BD-B4EC-F480C939C143}"/>
    <cellStyle name="Normal 45 2 3 2" xfId="26057" xr:uid="{118C186E-8693-4AC8-A0B3-C5D2E7C9CD14}"/>
    <cellStyle name="Normal 45 2 3 2 2" xfId="59880" xr:uid="{63D8EF26-2A3B-4A59-A282-A402965EEBC0}"/>
    <cellStyle name="Normal 45 2 3 3" xfId="59879" xr:uid="{84C9211C-E0DA-41CF-8B8D-F0C855531466}"/>
    <cellStyle name="Normal 45 2 4" xfId="18352" xr:uid="{1CA784E2-DFA4-4C84-A0F9-C02C948FC6DD}"/>
    <cellStyle name="Normal 45 2 4 2" xfId="59881" xr:uid="{BF1130DB-52AB-4691-9479-30EE7ECB507A}"/>
    <cellStyle name="Normal 45 2 5" xfId="59874" xr:uid="{EA58CC99-1B09-466B-8327-2CBED18D8EB2}"/>
    <cellStyle name="Normal 45 3" xfId="5204" xr:uid="{EDD49F35-EE29-4989-A107-FA62849EE14F}"/>
    <cellStyle name="Normal 45 3 2" xfId="12912" xr:uid="{18535892-185B-448F-8AC5-5524E43CF89A}"/>
    <cellStyle name="Normal 45 3 2 2" xfId="28324" xr:uid="{C144A705-F789-4150-9C11-BC9A2BBC4860}"/>
    <cellStyle name="Normal 45 3 2 2 2" xfId="59884" xr:uid="{C18F5A61-8021-49C5-9C87-37069E6A6EE1}"/>
    <cellStyle name="Normal 45 3 2 3" xfId="59883" xr:uid="{B95D0DF5-3784-4C64-8518-531E4D89B739}"/>
    <cellStyle name="Normal 45 3 3" xfId="20619" xr:uid="{201E4C06-BDF3-490C-8D40-2C108C16E717}"/>
    <cellStyle name="Normal 45 3 3 2" xfId="59885" xr:uid="{4C991E95-E5D4-4E7B-B656-67A59827AA96}"/>
    <cellStyle name="Normal 45 3 4" xfId="59882" xr:uid="{1C58959D-6193-440E-B8A7-0A5DD4C642F3}"/>
    <cellStyle name="Normal 45 4" xfId="9185" xr:uid="{D5F20161-E0E0-4F8C-A664-2A672131BFFA}"/>
    <cellStyle name="Normal 45 4 2" xfId="24598" xr:uid="{C54F79C2-F388-4D5A-918F-1FC58DFC951D}"/>
    <cellStyle name="Normal 45 4 2 2" xfId="59887" xr:uid="{B74B68CB-ACBF-49FF-867F-7F03A36B691C}"/>
    <cellStyle name="Normal 45 4 3" xfId="59886" xr:uid="{6DFD6AEE-5214-4968-915A-53D33B38C7C4}"/>
    <cellStyle name="Normal 45 5" xfId="16893" xr:uid="{886D9DE4-4351-4B87-886A-3D45918D1A84}"/>
    <cellStyle name="Normal 45 5 2" xfId="59888" xr:uid="{87A14412-335E-4F89-B1A8-67C7EEBD3D18}"/>
    <cellStyle name="Normal 45 6" xfId="59873" xr:uid="{268892DB-3C72-4B6A-A981-687741504DC4}"/>
    <cellStyle name="Normal 46" xfId="1488" xr:uid="{2D3CBE2B-EB98-45CA-B907-9918248EEA03}"/>
    <cellStyle name="Normal 46 2" xfId="2953" xr:uid="{C6953196-E9FC-41D0-A4DC-E3CDFE871B77}"/>
    <cellStyle name="Normal 46 2 2" xfId="6685" xr:uid="{897F90BA-03B3-45DC-A6D3-24A528D985B8}"/>
    <cellStyle name="Normal 46 2 2 2" xfId="14393" xr:uid="{CC99451A-E80A-49D9-B483-272292B2562E}"/>
    <cellStyle name="Normal 46 2 2 2 2" xfId="29805" xr:uid="{9237AABA-58E5-427F-9A5F-1BB0FA169597}"/>
    <cellStyle name="Normal 46 2 2 2 2 2" xfId="59893" xr:uid="{48E444DB-54D0-453C-87D7-9DC218AD1CAF}"/>
    <cellStyle name="Normal 46 2 2 2 3" xfId="59892" xr:uid="{7FE92418-37C3-44DC-B0DE-9186202C8A33}"/>
    <cellStyle name="Normal 46 2 2 3" xfId="22100" xr:uid="{BEFA24B4-9FAA-4E19-AB9C-1C76ABE5510B}"/>
    <cellStyle name="Normal 46 2 2 3 2" xfId="59894" xr:uid="{BBBB4916-423E-4CC7-ACC8-F6B2ADB73377}"/>
    <cellStyle name="Normal 46 2 2 4" xfId="59891" xr:uid="{64E232DB-D9BE-47E5-AD96-7E3600586D2D}"/>
    <cellStyle name="Normal 46 2 3" xfId="10664" xr:uid="{9D281CF5-49AE-4CB6-9F10-A973F420782E}"/>
    <cellStyle name="Normal 46 2 3 2" xfId="26077" xr:uid="{875A5753-5627-4151-91A8-BBFB3CFE4182}"/>
    <cellStyle name="Normal 46 2 3 2 2" xfId="59896" xr:uid="{BDB3C4DD-AC26-4284-867F-916FBED87C72}"/>
    <cellStyle name="Normal 46 2 3 3" xfId="59895" xr:uid="{E1282780-8009-4ABA-B337-BB7C7D8CBC6A}"/>
    <cellStyle name="Normal 46 2 4" xfId="18372" xr:uid="{5D2C1158-9D9C-4F8D-827A-C76BF0610707}"/>
    <cellStyle name="Normal 46 2 4 2" xfId="59897" xr:uid="{56543196-CEE0-40EF-BAE6-D606E94BD512}"/>
    <cellStyle name="Normal 46 2 5" xfId="59890" xr:uid="{241F0AFE-6CA5-421E-83B1-FFE89B0196E9}"/>
    <cellStyle name="Normal 46 3" xfId="5224" xr:uid="{ABE8043D-0E10-4042-9283-1DC01D6BE0BB}"/>
    <cellStyle name="Normal 46 3 2" xfId="12932" xr:uid="{36CC0AE2-E010-487C-AAEE-4A054CBF5A4E}"/>
    <cellStyle name="Normal 46 3 2 2" xfId="28344" xr:uid="{8AB4FFD6-1D11-4DB0-99E6-EDD7925CB8EC}"/>
    <cellStyle name="Normal 46 3 2 2 2" xfId="59900" xr:uid="{E1519073-F080-467E-8AFF-41E67F8B4898}"/>
    <cellStyle name="Normal 46 3 2 3" xfId="59899" xr:uid="{599E3A3D-4592-45E2-8549-CC9CD8E52E3C}"/>
    <cellStyle name="Normal 46 3 3" xfId="20639" xr:uid="{31BA02F7-FAC7-45EC-96EA-D5165929CB7F}"/>
    <cellStyle name="Normal 46 3 3 2" xfId="59901" xr:uid="{CC9367D5-558D-4B1D-9569-31EEA156AE49}"/>
    <cellStyle name="Normal 46 3 4" xfId="59898" xr:uid="{B9B71889-F0AE-47A8-A053-9E50291E6785}"/>
    <cellStyle name="Normal 46 4" xfId="9205" xr:uid="{00AAE5DF-0E70-4654-939C-A998B5497CEB}"/>
    <cellStyle name="Normal 46 4 2" xfId="24618" xr:uid="{3B1E2416-1761-4921-97AF-88890D6CA5BB}"/>
    <cellStyle name="Normal 46 4 2 2" xfId="59903" xr:uid="{28CF3640-D9D2-49A7-AF74-233083A559DD}"/>
    <cellStyle name="Normal 46 4 3" xfId="59902" xr:uid="{87C430D0-017E-40C6-9129-41FB77037E53}"/>
    <cellStyle name="Normal 46 5" xfId="16913" xr:uid="{0CAECD81-F5CA-4D29-8206-9674736EBE27}"/>
    <cellStyle name="Normal 46 5 2" xfId="59904" xr:uid="{C1178866-5191-4978-9CFC-F64F9C963692}"/>
    <cellStyle name="Normal 46 6" xfId="59889" xr:uid="{60C7A826-12EF-45FD-B051-E590F125C162}"/>
    <cellStyle name="Normal 47" xfId="1508" xr:uid="{F5333897-0E7B-46D5-AC68-6B0CACBEE7AF}"/>
    <cellStyle name="Normal 47 2" xfId="2973" xr:uid="{F5146493-EB82-4FE0-A99E-9AE2A22F39F3}"/>
    <cellStyle name="Normal 47 2 2" xfId="6705" xr:uid="{3C5B64B4-98E1-49E3-8210-7778E5442EC7}"/>
    <cellStyle name="Normal 47 2 2 2" xfId="14413" xr:uid="{70B56DD2-D3C8-476F-B151-0B9EBCD939AF}"/>
    <cellStyle name="Normal 47 2 2 2 2" xfId="29825" xr:uid="{86A826E0-452C-4716-81CB-00761221921C}"/>
    <cellStyle name="Normal 47 2 2 2 2 2" xfId="59909" xr:uid="{E3584F5B-33CF-4E2F-B240-F9044CFE21F2}"/>
    <cellStyle name="Normal 47 2 2 2 3" xfId="59908" xr:uid="{ACB77513-9555-4681-9B5E-BB12436B21E8}"/>
    <cellStyle name="Normal 47 2 2 3" xfId="22120" xr:uid="{4D0307B2-DB9F-45D3-AF3B-C21675C5EB47}"/>
    <cellStyle name="Normal 47 2 2 3 2" xfId="59910" xr:uid="{4D669DCC-7C04-4D27-9F62-FBD43AAD7C4A}"/>
    <cellStyle name="Normal 47 2 2 4" xfId="59907" xr:uid="{9134E12E-3FED-4803-A8BF-C7EB00706851}"/>
    <cellStyle name="Normal 47 2 3" xfId="10684" xr:uid="{44582984-3907-4543-BCC4-EE44962872D3}"/>
    <cellStyle name="Normal 47 2 3 2" xfId="26097" xr:uid="{9C217C2C-74B2-4A9E-8A43-418668573473}"/>
    <cellStyle name="Normal 47 2 3 2 2" xfId="59912" xr:uid="{94DFDCCB-72CC-4B97-851B-C16CC12D022C}"/>
    <cellStyle name="Normal 47 2 3 3" xfId="59911" xr:uid="{4D728DA8-EC3D-4E1C-93D4-44C2B1F6BD89}"/>
    <cellStyle name="Normal 47 2 4" xfId="18392" xr:uid="{B5FCB6CF-C213-47A6-9A07-409B8469854D}"/>
    <cellStyle name="Normal 47 2 4 2" xfId="59913" xr:uid="{BEBCFCFD-03C3-4413-8A64-C93EF8A9B758}"/>
    <cellStyle name="Normal 47 2 5" xfId="59906" xr:uid="{A8C430DA-404C-418A-B837-6B373924C7DE}"/>
    <cellStyle name="Normal 47 3" xfId="5244" xr:uid="{7B686DA2-24E0-4462-9DF7-A4FBCDC35F64}"/>
    <cellStyle name="Normal 47 3 2" xfId="12952" xr:uid="{4B823048-EAF0-48E0-869C-30B003D8A435}"/>
    <cellStyle name="Normal 47 3 2 2" xfId="28364" xr:uid="{0B4681E4-AF8A-401A-B70B-16249C811C3B}"/>
    <cellStyle name="Normal 47 3 2 2 2" xfId="59916" xr:uid="{795E429B-F9D0-47E4-9B0A-0477E2E77096}"/>
    <cellStyle name="Normal 47 3 2 3" xfId="59915" xr:uid="{789FD822-6749-4F85-9163-F8D3E77479F0}"/>
    <cellStyle name="Normal 47 3 3" xfId="20659" xr:uid="{4F0E16D6-A6CD-4558-83A1-164206F934C0}"/>
    <cellStyle name="Normal 47 3 3 2" xfId="59917" xr:uid="{77434CC5-4DA5-4FFF-AFE8-71FA28FFA15E}"/>
    <cellStyle name="Normal 47 3 4" xfId="59914" xr:uid="{72AD93C6-D43D-40E5-AF5C-89245F6FA6DF}"/>
    <cellStyle name="Normal 47 4" xfId="9225" xr:uid="{B92750CB-E25D-451E-BBF6-F6BAEA7B68B8}"/>
    <cellStyle name="Normal 47 4 2" xfId="24638" xr:uid="{41564FEE-B2CA-4906-A405-AD469243D74C}"/>
    <cellStyle name="Normal 47 4 2 2" xfId="59919" xr:uid="{0C15B457-606F-48E9-AEA4-F6958F37F9DB}"/>
    <cellStyle name="Normal 47 4 3" xfId="59918" xr:uid="{2861A669-E30E-4E08-92D3-D8DDB279A239}"/>
    <cellStyle name="Normal 47 5" xfId="16933" xr:uid="{028ED976-684D-49D3-8FCD-A794B2FE1943}"/>
    <cellStyle name="Normal 47 5 2" xfId="59920" xr:uid="{BE5377AB-F713-4636-BB07-5668EA241574}"/>
    <cellStyle name="Normal 47 6" xfId="59905" xr:uid="{A0BD8B3F-C984-45DE-8820-310807110913}"/>
    <cellStyle name="Normal 48" xfId="1528" xr:uid="{18FDA81A-62D1-4428-B61A-53E5683A7D61}"/>
    <cellStyle name="Normal 48 2" xfId="2993" xr:uid="{34B699D1-2618-4961-8006-B802AE77D251}"/>
    <cellStyle name="Normal 48 2 2" xfId="6725" xr:uid="{F5C232FA-64B7-44F5-BD3B-9313F55F030B}"/>
    <cellStyle name="Normal 48 2 2 2" xfId="14433" xr:uid="{2F537EB9-B73C-4453-AE3B-61E303476C38}"/>
    <cellStyle name="Normal 48 2 2 2 2" xfId="29845" xr:uid="{1ABA2370-36DD-47C4-8481-CD4AB39131B0}"/>
    <cellStyle name="Normal 48 2 2 2 2 2" xfId="59925" xr:uid="{047AA35B-39DE-4A8B-90E1-28CA394E4551}"/>
    <cellStyle name="Normal 48 2 2 2 3" xfId="59924" xr:uid="{21426066-16A5-4249-B3AE-C28131A7C505}"/>
    <cellStyle name="Normal 48 2 2 3" xfId="22140" xr:uid="{9426DFCF-941A-4542-9F5E-2AA787AD0A33}"/>
    <cellStyle name="Normal 48 2 2 3 2" xfId="59926" xr:uid="{4749CB47-072E-4D06-B28F-118997BAD957}"/>
    <cellStyle name="Normal 48 2 2 4" xfId="59923" xr:uid="{EE3A0C69-B07E-4EF7-A8B6-1CAD5CA7323A}"/>
    <cellStyle name="Normal 48 2 3" xfId="10704" xr:uid="{3210ABEA-F7FD-4B4C-9130-0CBDA73CADB1}"/>
    <cellStyle name="Normal 48 2 3 2" xfId="26117" xr:uid="{435DAB48-4CE1-440F-B19A-B6805A13CC55}"/>
    <cellStyle name="Normal 48 2 3 2 2" xfId="59928" xr:uid="{ADADBDE4-9BE2-4652-A7D1-9758381A927E}"/>
    <cellStyle name="Normal 48 2 3 3" xfId="59927" xr:uid="{CAEEAE79-59B1-462A-BFAD-4499EE9CD437}"/>
    <cellStyle name="Normal 48 2 4" xfId="18412" xr:uid="{4FFBC2C9-EE27-4DE2-AAB7-AD12D5ADECFC}"/>
    <cellStyle name="Normal 48 2 4 2" xfId="59929" xr:uid="{6C08AE07-0138-4D31-96C8-98CA61A2ECE1}"/>
    <cellStyle name="Normal 48 2 5" xfId="59922" xr:uid="{B0078A5A-710E-4F55-BC9B-6CAE0D983574}"/>
    <cellStyle name="Normal 48 3" xfId="5264" xr:uid="{A7C918AE-4C14-4B84-9287-5EE11205BE84}"/>
    <cellStyle name="Normal 48 3 2" xfId="12972" xr:uid="{BAEE92BF-AE7B-499B-81B5-10494491AFEE}"/>
    <cellStyle name="Normal 48 3 2 2" xfId="28384" xr:uid="{867DBC64-F541-46D1-92C1-D8AB88F9F375}"/>
    <cellStyle name="Normal 48 3 2 2 2" xfId="59932" xr:uid="{B0BBC921-EAEE-4487-94D2-4E20609F7741}"/>
    <cellStyle name="Normal 48 3 2 3" xfId="59931" xr:uid="{FA19833F-AC80-4642-8D34-626D2CB03985}"/>
    <cellStyle name="Normal 48 3 3" xfId="20679" xr:uid="{31B80831-5BF5-4825-A150-F4FBD0C2EEDD}"/>
    <cellStyle name="Normal 48 3 3 2" xfId="59933" xr:uid="{F2E74734-804B-41C6-B60D-045AC9E7E18C}"/>
    <cellStyle name="Normal 48 3 4" xfId="59930" xr:uid="{C81E2F30-FA59-4E6A-BBF1-A16B6FDF5495}"/>
    <cellStyle name="Normal 48 4" xfId="9245" xr:uid="{2887A7D7-7A9E-49E3-B213-EB733AF47EB7}"/>
    <cellStyle name="Normal 48 4 2" xfId="24658" xr:uid="{77AB9BCF-904C-4B0E-B9F9-DCDAAD2AC5DE}"/>
    <cellStyle name="Normal 48 4 2 2" xfId="59935" xr:uid="{608FA357-A976-44D9-B44D-D56A683B7875}"/>
    <cellStyle name="Normal 48 4 3" xfId="59934" xr:uid="{129B61D9-7A8B-44EA-9A12-CD3EAAF30D72}"/>
    <cellStyle name="Normal 48 5" xfId="16953" xr:uid="{3CABCCBD-C522-48DB-8B6A-8AB2398C3028}"/>
    <cellStyle name="Normal 48 5 2" xfId="59936" xr:uid="{09B44DEC-37F1-4049-BDC7-B6BC448DE332}"/>
    <cellStyle name="Normal 48 6" xfId="59921" xr:uid="{283CADDA-DAF6-43E6-90C2-068337EF4E9F}"/>
    <cellStyle name="Normal 49" xfId="1548" xr:uid="{3BA3305B-97BD-4F15-B9B0-74C4A50D4221}"/>
    <cellStyle name="Normal 49 2" xfId="3013" xr:uid="{A64CE6DA-9B07-4502-A42B-BA47CC44BF6D}"/>
    <cellStyle name="Normal 49 2 2" xfId="6745" xr:uid="{CF7B845E-5829-4D2C-954C-13AB2912FD40}"/>
    <cellStyle name="Normal 49 2 2 2" xfId="14453" xr:uid="{8A7E9565-9231-4E4B-A752-8777FBDE6B19}"/>
    <cellStyle name="Normal 49 2 2 2 2" xfId="29865" xr:uid="{C380F9E8-D7B4-4009-8443-1E2417C8194C}"/>
    <cellStyle name="Normal 49 2 2 2 2 2" xfId="59941" xr:uid="{F339A842-7045-4EBD-9C24-3A193BF9FA09}"/>
    <cellStyle name="Normal 49 2 2 2 3" xfId="59940" xr:uid="{CD6C79BA-742C-44BD-9D86-373A94ABC43D}"/>
    <cellStyle name="Normal 49 2 2 3" xfId="22160" xr:uid="{9B2A0CAB-8AC7-4259-9A53-43C91F4AE033}"/>
    <cellStyle name="Normal 49 2 2 3 2" xfId="59942" xr:uid="{4AC064F0-4FBB-4B7B-984C-DB67ADD5430A}"/>
    <cellStyle name="Normal 49 2 2 4" xfId="59939" xr:uid="{284D2684-B86B-4543-8940-E4AA5233D70F}"/>
    <cellStyle name="Normal 49 2 3" xfId="10724" xr:uid="{057B4EB5-8B57-4FD2-A2DF-4FCF1B61E2CA}"/>
    <cellStyle name="Normal 49 2 3 2" xfId="26137" xr:uid="{E09519F8-A3A3-46CB-AC2E-49381687C0DF}"/>
    <cellStyle name="Normal 49 2 3 2 2" xfId="59944" xr:uid="{C68B86A4-A170-4844-9FA4-305B096BA437}"/>
    <cellStyle name="Normal 49 2 3 3" xfId="59943" xr:uid="{8C82008F-4943-432E-B1B2-D1D86D0E24C5}"/>
    <cellStyle name="Normal 49 2 4" xfId="18432" xr:uid="{739712F2-1160-42FD-B05C-D37A00AC7BD3}"/>
    <cellStyle name="Normal 49 2 4 2" xfId="59945" xr:uid="{AA26B341-9A30-412E-85DA-F2C479342659}"/>
    <cellStyle name="Normal 49 2 5" xfId="59938" xr:uid="{E155D97F-2664-451B-8803-E1AC336012A8}"/>
    <cellStyle name="Normal 49 3" xfId="5284" xr:uid="{7DF8AF74-BB4A-452B-9D3F-579F2BBEF53E}"/>
    <cellStyle name="Normal 49 3 2" xfId="12992" xr:uid="{7CC3DED7-A1E4-40CD-841A-954E2BB1016D}"/>
    <cellStyle name="Normal 49 3 2 2" xfId="28404" xr:uid="{5DFD7CC0-A9B6-4B62-90BD-5651D8FC05E8}"/>
    <cellStyle name="Normal 49 3 2 2 2" xfId="59948" xr:uid="{730E7DB8-34E3-4069-8874-F26A4CCD9DE4}"/>
    <cellStyle name="Normal 49 3 2 3" xfId="59947" xr:uid="{A2E9BAB0-1DD7-40B0-9B24-BC8C8B432CB2}"/>
    <cellStyle name="Normal 49 3 3" xfId="20699" xr:uid="{C46E4691-64C2-4E6D-8EEC-14BFCB0FDC25}"/>
    <cellStyle name="Normal 49 3 3 2" xfId="59949" xr:uid="{AAABF62E-F95E-4343-B031-D3005F69A420}"/>
    <cellStyle name="Normal 49 3 4" xfId="59946" xr:uid="{358DE590-CB40-4976-89CA-7469C8B743F7}"/>
    <cellStyle name="Normal 49 4" xfId="9265" xr:uid="{BC10F6E4-1010-4E58-A617-85317FC8671F}"/>
    <cellStyle name="Normal 49 4 2" xfId="24678" xr:uid="{8402C281-A683-4ADD-96F0-BC14580FAAD0}"/>
    <cellStyle name="Normal 49 4 2 2" xfId="59951" xr:uid="{C5F82620-708C-47AB-A5BB-C1683E5DD646}"/>
    <cellStyle name="Normal 49 4 3" xfId="59950" xr:uid="{47432EBF-4AC1-4BF0-9B62-BBFD64C9FA65}"/>
    <cellStyle name="Normal 49 5" xfId="16973" xr:uid="{B8DD4D3F-32E1-48EB-BEF3-D89BA65EAD7F}"/>
    <cellStyle name="Normal 49 5 2" xfId="59952" xr:uid="{4703AC89-F947-4B85-81E7-71FD0A1CB44A}"/>
    <cellStyle name="Normal 49 6" xfId="59937" xr:uid="{96D10161-BC01-4764-86EF-CE64F75C7C85}"/>
    <cellStyle name="Normal 5" xfId="58" xr:uid="{68890571-71B7-431F-B393-A4C2D0AF6841}"/>
    <cellStyle name="Normal 5 2" xfId="59953" xr:uid="{F8367B48-53E2-4E77-8389-1CD6B8194203}"/>
    <cellStyle name="Normal 5 3" xfId="124" xr:uid="{B979BDAC-34C7-4644-B21C-7CCBB3970A07}"/>
    <cellStyle name="Normal 50" xfId="1568" xr:uid="{755DB813-4A31-4C64-842D-C47D42012A3B}"/>
    <cellStyle name="Normal 50 2" xfId="3033" xr:uid="{B7DE02F9-851B-49EE-B7FD-B7559C7FE4AB}"/>
    <cellStyle name="Normal 50 2 2" xfId="6765" xr:uid="{7A0EDF88-503E-451D-91A7-9E94F32D65BA}"/>
    <cellStyle name="Normal 50 2 2 2" xfId="14473" xr:uid="{2B05A84E-7733-45AA-A1A1-3D841FFB5D10}"/>
    <cellStyle name="Normal 50 2 2 2 2" xfId="29885" xr:uid="{0CBC8AD4-CE4F-4594-BF0B-BA2FE2B16B78}"/>
    <cellStyle name="Normal 50 2 2 2 2 2" xfId="59958" xr:uid="{F2824ED9-55EC-4863-9364-892D4C6E33B2}"/>
    <cellStyle name="Normal 50 2 2 2 3" xfId="59957" xr:uid="{E18AB4D2-153F-4BF6-A4F7-ED0066B1EFDB}"/>
    <cellStyle name="Normal 50 2 2 3" xfId="22180" xr:uid="{DB64D6B4-51EE-4AFC-8479-8D94FB6FAB80}"/>
    <cellStyle name="Normal 50 2 2 3 2" xfId="59959" xr:uid="{C72EB86F-58B2-48C3-8408-DDF863A6A467}"/>
    <cellStyle name="Normal 50 2 2 4" xfId="59956" xr:uid="{CD34748A-8833-48D3-B35A-31C49D3B9132}"/>
    <cellStyle name="Normal 50 2 3" xfId="10744" xr:uid="{BF479B7D-E479-4A1F-AE4C-95AFA6DF74DF}"/>
    <cellStyle name="Normal 50 2 3 2" xfId="26157" xr:uid="{4F7A9296-F498-4BD1-96F4-CFCFEE1C7449}"/>
    <cellStyle name="Normal 50 2 3 2 2" xfId="59961" xr:uid="{D0E34BC7-424A-4AFE-A228-9447FB0A9DC2}"/>
    <cellStyle name="Normal 50 2 3 3" xfId="59960" xr:uid="{5B71A777-99FB-4513-B7C6-1AF5A7DE2186}"/>
    <cellStyle name="Normal 50 2 4" xfId="18452" xr:uid="{511329E4-4D13-4824-A15F-56A69B96B72E}"/>
    <cellStyle name="Normal 50 2 4 2" xfId="59962" xr:uid="{41F6149C-44A3-4709-B7E1-1FF871207C9F}"/>
    <cellStyle name="Normal 50 2 5" xfId="59955" xr:uid="{DACEE7A3-A82D-4C09-A6B3-7F2E8C109829}"/>
    <cellStyle name="Normal 50 3" xfId="5304" xr:uid="{E7423A61-31C6-4EA0-813C-0E2D16578917}"/>
    <cellStyle name="Normal 50 3 2" xfId="13012" xr:uid="{7B9FCD83-4153-4B71-9A27-9BFB960A7374}"/>
    <cellStyle name="Normal 50 3 2 2" xfId="28424" xr:uid="{3922CA44-D908-4BD1-89D5-883A52CB4969}"/>
    <cellStyle name="Normal 50 3 2 2 2" xfId="59965" xr:uid="{A6660914-79A9-4CC6-AEA6-AB1E2FF51A92}"/>
    <cellStyle name="Normal 50 3 2 3" xfId="59964" xr:uid="{E4283B45-17A2-48ED-920F-B393FFB32AE0}"/>
    <cellStyle name="Normal 50 3 3" xfId="20719" xr:uid="{373D6157-016D-4299-B69C-4390625631B3}"/>
    <cellStyle name="Normal 50 3 3 2" xfId="59966" xr:uid="{8517B08F-5DC2-48AB-9A24-1AE385674BD8}"/>
    <cellStyle name="Normal 50 3 4" xfId="59963" xr:uid="{D2422403-B095-41E6-8C21-228AFA977B75}"/>
    <cellStyle name="Normal 50 4" xfId="9285" xr:uid="{F78E5D4D-9219-4148-B82E-CF033676BC7D}"/>
    <cellStyle name="Normal 50 4 2" xfId="24698" xr:uid="{1954F65B-2E8B-4400-8E70-69EBACC59079}"/>
    <cellStyle name="Normal 50 4 2 2" xfId="59968" xr:uid="{1185F0AF-D544-400E-8B05-B6A8E746C681}"/>
    <cellStyle name="Normal 50 4 3" xfId="59967" xr:uid="{A7EC6860-4AEA-489F-8F3E-38E3B9B36651}"/>
    <cellStyle name="Normal 50 5" xfId="16993" xr:uid="{EC98E91D-779D-42D5-AA06-04E447B31F0D}"/>
    <cellStyle name="Normal 50 5 2" xfId="59969" xr:uid="{CE5CF1E3-E853-450B-86B9-068CA3FDB6A6}"/>
    <cellStyle name="Normal 50 6" xfId="59954" xr:uid="{24F77EF8-CDE1-4F7C-A970-DDB215A9D5C4}"/>
    <cellStyle name="Normal 51" xfId="1588" xr:uid="{4D56495D-3746-4A80-8A1F-1EF8315ABB45}"/>
    <cellStyle name="Normal 51 2" xfId="3053" xr:uid="{E88F9EE0-1B36-4F54-A07C-11ABA15649D4}"/>
    <cellStyle name="Normal 51 2 2" xfId="6785" xr:uid="{187E23F4-E0C3-4B96-A0A7-B0C93410EA09}"/>
    <cellStyle name="Normal 51 2 2 2" xfId="14493" xr:uid="{66BE2EF0-FCEE-40E2-A59E-CA7E28CDB1FC}"/>
    <cellStyle name="Normal 51 2 2 2 2" xfId="29905" xr:uid="{BAA56CB2-D41C-42D9-BCB1-74657970F3F0}"/>
    <cellStyle name="Normal 51 2 2 2 2 2" xfId="59974" xr:uid="{FC05EBE5-8FA4-46B7-AD4C-1E53603FE4F2}"/>
    <cellStyle name="Normal 51 2 2 2 3" xfId="59973" xr:uid="{B1778FA0-6B4E-4548-8EA4-3401837FEAF5}"/>
    <cellStyle name="Normal 51 2 2 3" xfId="22200" xr:uid="{1923E4B3-AC89-4A26-BF0E-C36D25E89868}"/>
    <cellStyle name="Normal 51 2 2 3 2" xfId="59975" xr:uid="{018A5D9A-117E-463F-80F7-C0A094B23B85}"/>
    <cellStyle name="Normal 51 2 2 4" xfId="59972" xr:uid="{C862AD54-129C-4524-BC5D-5185BB1B88E7}"/>
    <cellStyle name="Normal 51 2 3" xfId="10764" xr:uid="{696695C9-E331-4EF0-9CC2-D3E69E3DC449}"/>
    <cellStyle name="Normal 51 2 3 2" xfId="26177" xr:uid="{2A44564C-0BC3-4306-947D-988CF66D3A73}"/>
    <cellStyle name="Normal 51 2 3 2 2" xfId="59977" xr:uid="{621406A0-984B-41A1-B923-CD414E7B6296}"/>
    <cellStyle name="Normal 51 2 3 3" xfId="59976" xr:uid="{E7529022-8E5D-4A8F-A56F-7784D75C034C}"/>
    <cellStyle name="Normal 51 2 4" xfId="18472" xr:uid="{7EC3A6CD-790D-4946-A58A-BFF88E3EA4B9}"/>
    <cellStyle name="Normal 51 2 4 2" xfId="59978" xr:uid="{97A70F28-59A3-4AED-81FF-9EAD0685CA6D}"/>
    <cellStyle name="Normal 51 2 5" xfId="59971" xr:uid="{7C600AA7-C3C7-4B3B-94D1-880DD7B86F03}"/>
    <cellStyle name="Normal 51 3" xfId="5324" xr:uid="{10EFBD12-2671-4DD3-89B5-51131E7C00DF}"/>
    <cellStyle name="Normal 51 3 2" xfId="13032" xr:uid="{7BD6D592-3AE0-4FDA-BD8B-D995DD2F8517}"/>
    <cellStyle name="Normal 51 3 2 2" xfId="28444" xr:uid="{CFD84483-4310-4B3D-B8C7-A78DE8A95040}"/>
    <cellStyle name="Normal 51 3 2 2 2" xfId="59981" xr:uid="{23909550-9E38-43F7-BDAA-AF4FCF84B7B6}"/>
    <cellStyle name="Normal 51 3 2 3" xfId="59980" xr:uid="{6710DCB4-D000-4843-AA18-D2D8FEE7FB9F}"/>
    <cellStyle name="Normal 51 3 3" xfId="20739" xr:uid="{502B6C75-FBDB-4444-89C7-B8D91C35A704}"/>
    <cellStyle name="Normal 51 3 3 2" xfId="59982" xr:uid="{392E6B19-6800-46D9-BB5B-3AD7F1931554}"/>
    <cellStyle name="Normal 51 3 4" xfId="59979" xr:uid="{41221328-3C97-4574-82D3-6A8155AAC5CE}"/>
    <cellStyle name="Normal 51 4" xfId="9305" xr:uid="{B4EBBD47-D226-4A04-A91D-EB8485AEB962}"/>
    <cellStyle name="Normal 51 4 2" xfId="24718" xr:uid="{6370A66A-63EC-48A3-B646-A4D213E5C60F}"/>
    <cellStyle name="Normal 51 4 2 2" xfId="59984" xr:uid="{9868FD38-D28B-40A0-ACF9-31669E493145}"/>
    <cellStyle name="Normal 51 4 3" xfId="59983" xr:uid="{3DFFF412-9408-4092-AFDC-96846E8D9FE9}"/>
    <cellStyle name="Normal 51 5" xfId="17013" xr:uid="{E45F9ACE-FF46-4504-B2C9-AEC246ADF86C}"/>
    <cellStyle name="Normal 51 5 2" xfId="59985" xr:uid="{461F819D-3A05-4D94-A647-53DAE55B6817}"/>
    <cellStyle name="Normal 51 6" xfId="59970" xr:uid="{9DE1AEE8-D248-40F1-A0FB-FE6E304F14E7}"/>
    <cellStyle name="Normal 52" xfId="1589" xr:uid="{57F8E0B6-FEB0-4070-A5E3-6A3309A1DA9E}"/>
    <cellStyle name="Normal 52 2" xfId="3054" xr:uid="{4312404A-1156-4905-9DA2-666CE220CE2B}"/>
    <cellStyle name="Normal 52 2 2" xfId="6786" xr:uid="{F8639E17-A975-446F-8124-51CEB3AA73DD}"/>
    <cellStyle name="Normal 52 2 2 2" xfId="14494" xr:uid="{B0A5428C-8779-4347-A945-43168934366F}"/>
    <cellStyle name="Normal 52 2 2 2 2" xfId="29906" xr:uid="{8C065AB8-444F-428D-8495-D95EA1ACC3C7}"/>
    <cellStyle name="Normal 52 2 2 2 2 2" xfId="59990" xr:uid="{77A13D4F-DEB5-461C-83CF-D6688A414600}"/>
    <cellStyle name="Normal 52 2 2 2 3" xfId="59989" xr:uid="{70DA5099-8B04-4F0F-BF52-239FCE2C5D35}"/>
    <cellStyle name="Normal 52 2 2 3" xfId="22201" xr:uid="{5691442F-BE13-41BE-8097-9C8195064064}"/>
    <cellStyle name="Normal 52 2 2 3 2" xfId="59991" xr:uid="{E0E9704B-90CE-4B2B-9002-741F6C1B053F}"/>
    <cellStyle name="Normal 52 2 2 4" xfId="59988" xr:uid="{26FC74B1-296B-4338-8E81-90ECD844CC86}"/>
    <cellStyle name="Normal 52 2 3" xfId="10765" xr:uid="{40B3836F-B2C1-48C3-9F4B-42CFACF05FD8}"/>
    <cellStyle name="Normal 52 2 3 2" xfId="26178" xr:uid="{5ADBA427-0DDE-4EE5-A105-218A0B7E9110}"/>
    <cellStyle name="Normal 52 2 3 2 2" xfId="59993" xr:uid="{1ADA817B-DDC1-4C6F-B216-A847F4EE8381}"/>
    <cellStyle name="Normal 52 2 3 3" xfId="59992" xr:uid="{2C79257E-DCEC-4101-B85F-283D7E5FF932}"/>
    <cellStyle name="Normal 52 2 4" xfId="18473" xr:uid="{604AD997-8E6E-4162-B050-8A6248091AE9}"/>
    <cellStyle name="Normal 52 2 4 2" xfId="59994" xr:uid="{61739D1E-90F3-4CB6-89DF-22983FD8B9A1}"/>
    <cellStyle name="Normal 52 2 5" xfId="59987" xr:uid="{291542C7-1A2F-41D1-8D42-F4ACFEED2946}"/>
    <cellStyle name="Normal 52 3" xfId="5325" xr:uid="{50987F27-35BC-497C-9E28-8C2688C27E5E}"/>
    <cellStyle name="Normal 52 3 2" xfId="13033" xr:uid="{84D95371-59B9-4DFC-B72F-B7445F5E027B}"/>
    <cellStyle name="Normal 52 3 2 2" xfId="28445" xr:uid="{1F75471D-33B1-496D-89D7-B5BA0219EFBC}"/>
    <cellStyle name="Normal 52 3 2 2 2" xfId="59997" xr:uid="{1D2FA8BE-3301-4A7E-A275-6626BA7D4E6C}"/>
    <cellStyle name="Normal 52 3 2 3" xfId="59996" xr:uid="{E4ADF34F-5C68-4DD9-B402-C405386F65F1}"/>
    <cellStyle name="Normal 52 3 3" xfId="20740" xr:uid="{448DEA58-EFC7-4AAE-9945-2F219F2C3FBB}"/>
    <cellStyle name="Normal 52 3 3 2" xfId="59998" xr:uid="{EDCE20BC-0225-414D-86A8-671298D9D23A}"/>
    <cellStyle name="Normal 52 3 4" xfId="59995" xr:uid="{D5115AC6-8DA7-4002-8426-4797669C619C}"/>
    <cellStyle name="Normal 52 4" xfId="9306" xr:uid="{9CF11D6A-899F-4A43-8C0E-A85D99669EFE}"/>
    <cellStyle name="Normal 52 4 2" xfId="24719" xr:uid="{5583C557-59CD-4902-B055-A7CA6B4D1476}"/>
    <cellStyle name="Normal 52 4 2 2" xfId="60000" xr:uid="{DEFCA023-BE0E-4621-A079-AAE58810BDEC}"/>
    <cellStyle name="Normal 52 4 3" xfId="59999" xr:uid="{259DAB1E-B803-4309-ABEE-215CB772603F}"/>
    <cellStyle name="Normal 52 5" xfId="17014" xr:uid="{47E385B3-621F-4F41-A9C8-4E289CD0BAAA}"/>
    <cellStyle name="Normal 52 5 2" xfId="60001" xr:uid="{74026514-1255-46E6-81CA-EDE61FA356BD}"/>
    <cellStyle name="Normal 52 6" xfId="59986" xr:uid="{4958B818-AAE0-4235-9EA6-8B5CE840C7C4}"/>
    <cellStyle name="Normal 53" xfId="1631" xr:uid="{C62D8714-B6F4-4368-82CD-54B13579A26E}"/>
    <cellStyle name="Normal 54" xfId="1609" xr:uid="{E9240D33-DD3F-4930-B374-3A25A8570C14}"/>
    <cellStyle name="Normal 54 2" xfId="5345" xr:uid="{C62FE508-DEE1-4BE3-9463-CEA9C4BFCBF2}"/>
    <cellStyle name="Normal 54 2 2" xfId="13053" xr:uid="{C1501186-BAE3-44D0-9750-8E278FEADBD8}"/>
    <cellStyle name="Normal 54 2 2 2" xfId="28465" xr:uid="{69004E9A-DEBC-4D61-854B-6FA134BAF5FC}"/>
    <cellStyle name="Normal 54 2 2 2 2" xfId="60005" xr:uid="{3C182CD2-30EF-49EB-996C-7775050F77CD}"/>
    <cellStyle name="Normal 54 2 2 3" xfId="60004" xr:uid="{3FF9D066-7BCC-4791-8D4E-9931E5A2ED14}"/>
    <cellStyle name="Normal 54 2 3" xfId="20760" xr:uid="{70CB52F1-11C4-40BB-A8FC-A3FFBF8D0105}"/>
    <cellStyle name="Normal 54 2 3 2" xfId="60006" xr:uid="{5F162806-CF74-4F6C-AB8B-2E158B5806E1}"/>
    <cellStyle name="Normal 54 2 4" xfId="60003" xr:uid="{AAC585A9-ACC1-48B3-B4A1-538EDB90A587}"/>
    <cellStyle name="Normal 54 3" xfId="9326" xr:uid="{786B425C-3C85-4AB2-AC7E-CB63AA56069B}"/>
    <cellStyle name="Normal 54 3 2" xfId="24739" xr:uid="{5AFC4E22-9174-486A-A223-8491FE575F7E}"/>
    <cellStyle name="Normal 54 3 2 2" xfId="60008" xr:uid="{B903A27A-4E50-4433-AE00-0C780D25B2C9}"/>
    <cellStyle name="Normal 54 3 3" xfId="60007" xr:uid="{F34136DF-93D2-448A-9176-BF4244C19B59}"/>
    <cellStyle name="Normal 54 4" xfId="17034" xr:uid="{1ED09C36-69D6-4286-9957-4CE7CBE9D5D9}"/>
    <cellStyle name="Normal 54 4 2" xfId="60009" xr:uid="{53E3A5BC-6AC2-4E54-8A81-F25CC213A0FF}"/>
    <cellStyle name="Normal 54 5" xfId="60002" xr:uid="{84FE6202-812A-40C1-9D60-EF7498C07DD1}"/>
    <cellStyle name="Normal 55" xfId="3074" xr:uid="{DA50B6F5-747C-47E6-B9C3-8C28C26FA3C8}"/>
    <cellStyle name="Normal 55 2" xfId="6806" xr:uid="{8EDEEB36-D510-4A35-A342-ADE68B55AA4E}"/>
    <cellStyle name="Normal 55 2 2" xfId="14514" xr:uid="{4B97A557-20FE-4A41-8FEA-26AE415F40CA}"/>
    <cellStyle name="Normal 55 2 2 2" xfId="29926" xr:uid="{9255FE64-7D79-4DA7-A53D-575682145C6E}"/>
    <cellStyle name="Normal 55 2 2 2 2" xfId="60013" xr:uid="{A1FE7131-7C42-4D0B-B214-4008A1144BBB}"/>
    <cellStyle name="Normal 55 2 2 3" xfId="60012" xr:uid="{632F3D19-C770-431F-9DB7-03B5D5419584}"/>
    <cellStyle name="Normal 55 2 3" xfId="22221" xr:uid="{F2C85C22-2339-439C-B379-063F7AD4D6DB}"/>
    <cellStyle name="Normal 55 2 3 2" xfId="60014" xr:uid="{8AB65738-9F39-4B23-9ADA-CE5389B80A70}"/>
    <cellStyle name="Normal 55 2 4" xfId="60011" xr:uid="{188F26B8-D917-4833-B04C-721ABD41A767}"/>
    <cellStyle name="Normal 55 3" xfId="10785" xr:uid="{72DB1B48-190B-4FD0-8281-EDB42B90C3B2}"/>
    <cellStyle name="Normal 55 3 2" xfId="26198" xr:uid="{E81E434D-F122-4E40-A3DA-EEBA168C9868}"/>
    <cellStyle name="Normal 55 3 2 2" xfId="60016" xr:uid="{0D1EEE7F-C37E-4B8A-9ADD-F7012725E03D}"/>
    <cellStyle name="Normal 55 3 3" xfId="60015" xr:uid="{2473AC0A-FC69-42DC-97DB-3ACBD6730672}"/>
    <cellStyle name="Normal 55 4" xfId="18493" xr:uid="{B8950B16-4958-4573-8788-685D67DB1E69}"/>
    <cellStyle name="Normal 55 4 2" xfId="60017" xr:uid="{E37873AE-85AB-485D-99FA-A5539CC9924B}"/>
    <cellStyle name="Normal 55 5" xfId="60010" xr:uid="{9D6E1F22-BC8F-4488-B06F-53091D73FFB9}"/>
    <cellStyle name="Normal 56" xfId="3094" xr:uid="{2AB1E35A-DE6D-45D0-8808-29DD8420AFA9}"/>
    <cellStyle name="Normal 56 2" xfId="6826" xr:uid="{89B49163-984C-47A0-856C-80EFD654F494}"/>
    <cellStyle name="Normal 56 2 2" xfId="14534" xr:uid="{F58A9111-D695-4ACF-912F-0040FF4E6CA3}"/>
    <cellStyle name="Normal 56 2 2 2" xfId="29946" xr:uid="{7D05CB2B-9DAA-415C-9570-C739D67D8DE2}"/>
    <cellStyle name="Normal 56 2 2 2 2" xfId="60021" xr:uid="{B1A435BD-FD2F-4C17-AA6E-AF6001EF9D71}"/>
    <cellStyle name="Normal 56 2 2 3" xfId="60020" xr:uid="{28BF18EF-50FB-4BC6-A35F-81449F589D62}"/>
    <cellStyle name="Normal 56 2 3" xfId="22241" xr:uid="{D908E3AB-8009-4044-B49B-C1636A7B30A3}"/>
    <cellStyle name="Normal 56 2 3 2" xfId="60022" xr:uid="{DC0DAB1E-FFEE-4BEE-BF5E-E325655DC1F7}"/>
    <cellStyle name="Normal 56 2 4" xfId="60019" xr:uid="{8B13DD28-6F4F-4D45-B498-5F3B990C1B14}"/>
    <cellStyle name="Normal 56 3" xfId="10805" xr:uid="{A351B593-C512-483C-9707-02665C18809E}"/>
    <cellStyle name="Normal 56 3 2" xfId="26218" xr:uid="{F38AE607-4616-471E-AF18-2A97DB9D3F95}"/>
    <cellStyle name="Normal 56 3 2 2" xfId="60024" xr:uid="{8D042658-B50A-4F0D-BD7E-F31DA13A3CA3}"/>
    <cellStyle name="Normal 56 3 3" xfId="60023" xr:uid="{00EB7F35-3FFA-44AD-84EC-69AA16357B7C}"/>
    <cellStyle name="Normal 56 4" xfId="18513" xr:uid="{A80EEFEB-18DA-4467-8938-D74C2DFD5523}"/>
    <cellStyle name="Normal 56 4 2" xfId="60025" xr:uid="{11D582AC-D06F-44CE-8BD4-A5BF026C937B}"/>
    <cellStyle name="Normal 56 5" xfId="60018" xr:uid="{B66C5A4F-283F-4A14-8797-1C9F93BC7578}"/>
    <cellStyle name="Normal 57" xfId="3114" xr:uid="{DFBE4D9D-E5CE-457D-B657-93A6C570C501}"/>
    <cellStyle name="Normal 57 2" xfId="6846" xr:uid="{4A23731A-70FF-467B-872F-504E2F540F3C}"/>
    <cellStyle name="Normal 57 2 2" xfId="14554" xr:uid="{BFC82B72-273E-46F0-A9A2-B9FDF7D0C7E2}"/>
    <cellStyle name="Normal 57 2 2 2" xfId="29966" xr:uid="{BD85AAF0-4203-433B-BDFD-5A8083C06E25}"/>
    <cellStyle name="Normal 57 2 2 2 2" xfId="60029" xr:uid="{D97D2280-4083-4D9D-8A7E-4E653C2615E2}"/>
    <cellStyle name="Normal 57 2 2 3" xfId="60028" xr:uid="{2FF1C315-C591-4538-987F-226DFA08971A}"/>
    <cellStyle name="Normal 57 2 3" xfId="22261" xr:uid="{5657A25F-4B76-4A27-A559-FCA1D70A5B3E}"/>
    <cellStyle name="Normal 57 2 3 2" xfId="60030" xr:uid="{25E7FF8E-76FF-4A68-803C-03FBA6555E07}"/>
    <cellStyle name="Normal 57 2 4" xfId="60027" xr:uid="{CEECE2EF-BAEC-40AA-844E-F661EED9691D}"/>
    <cellStyle name="Normal 57 3" xfId="10825" xr:uid="{CF7D2E94-F5DB-4F8A-9DF0-719792888877}"/>
    <cellStyle name="Normal 57 3 2" xfId="26238" xr:uid="{9AD65870-07B7-466F-88EE-EB31CF2DF4C9}"/>
    <cellStyle name="Normal 57 3 2 2" xfId="60032" xr:uid="{416AF525-E4E1-43DB-955D-C1106C575319}"/>
    <cellStyle name="Normal 57 3 3" xfId="60031" xr:uid="{988A7BB3-39C8-475E-9C87-7BFB7F7A1D93}"/>
    <cellStyle name="Normal 57 4" xfId="18533" xr:uid="{8F494598-EFFE-41D3-BB9C-EA3060854753}"/>
    <cellStyle name="Normal 57 4 2" xfId="60033" xr:uid="{E97E8112-DCC8-43C3-A240-0DA3E2822C9B}"/>
    <cellStyle name="Normal 57 5" xfId="60026" xr:uid="{8DD352F5-578B-4792-9B7C-3865F7DB28C2}"/>
    <cellStyle name="Normal 58" xfId="3134" xr:uid="{CAD338FF-504F-4191-B330-A57311CB26B0}"/>
    <cellStyle name="Normal 58 2" xfId="6866" xr:uid="{E8C61F57-6C84-4808-B579-F250137F0E00}"/>
    <cellStyle name="Normal 58 2 2" xfId="14574" xr:uid="{32BED561-EEA8-473F-8AB3-A237E77903E6}"/>
    <cellStyle name="Normal 58 2 2 2" xfId="29986" xr:uid="{6E534421-4BCC-40A8-A467-B7B2ED9834A4}"/>
    <cellStyle name="Normal 58 2 2 2 2" xfId="60037" xr:uid="{A7179613-97E2-461B-A175-45F16056C89E}"/>
    <cellStyle name="Normal 58 2 2 3" xfId="60036" xr:uid="{0EFF5E45-C91D-4FEA-B8FB-212E376E3FD2}"/>
    <cellStyle name="Normal 58 2 3" xfId="22281" xr:uid="{5AFB0B3E-2411-4EC8-8002-0BC9EB4D9467}"/>
    <cellStyle name="Normal 58 2 3 2" xfId="60038" xr:uid="{C6762646-B1E6-4849-8AF2-B1AB023D148D}"/>
    <cellStyle name="Normal 58 2 4" xfId="60035" xr:uid="{6F2FF9E3-0D05-46D7-BDBD-221CCDC00311}"/>
    <cellStyle name="Normal 58 3" xfId="10845" xr:uid="{11EAC84E-972C-41E1-900F-6B1D6F7FB095}"/>
    <cellStyle name="Normal 58 3 2" xfId="26258" xr:uid="{AE2E8C6F-CBD7-4A64-B543-CEE182E97289}"/>
    <cellStyle name="Normal 58 3 2 2" xfId="60040" xr:uid="{F6B78564-50A3-4D5B-82B9-035458A94C2C}"/>
    <cellStyle name="Normal 58 3 3" xfId="60039" xr:uid="{DC704939-E755-4E1D-8FE2-D10294B617F2}"/>
    <cellStyle name="Normal 58 4" xfId="18553" xr:uid="{CF4CD2C3-2ABA-49F1-9A43-5A35E1BB90E0}"/>
    <cellStyle name="Normal 58 4 2" xfId="60041" xr:uid="{664380A6-7E1E-42AA-896C-4E3377078BA9}"/>
    <cellStyle name="Normal 58 5" xfId="60034" xr:uid="{E1F1927E-236D-4D21-A7B2-1D9ED7C7F25C}"/>
    <cellStyle name="Normal 59" xfId="3154" xr:uid="{63364CBE-76A8-475C-8468-8F9B362BEFF8}"/>
    <cellStyle name="Normal 59 2" xfId="6886" xr:uid="{70AB4F03-9474-4BDD-AD37-1CBCB8CB9965}"/>
    <cellStyle name="Normal 59 2 2" xfId="14594" xr:uid="{275CD7EA-EB86-4F9C-A65D-2676EB0750BE}"/>
    <cellStyle name="Normal 59 2 2 2" xfId="30006" xr:uid="{13CC6F38-9C84-46BC-A769-C4C274FA5CBD}"/>
    <cellStyle name="Normal 59 2 2 2 2" xfId="60045" xr:uid="{E88C44FB-3CBA-4B8D-99A9-52C89E4DADC7}"/>
    <cellStyle name="Normal 59 2 2 3" xfId="60044" xr:uid="{F5B54451-136C-436F-B89E-E6918382B4BF}"/>
    <cellStyle name="Normal 59 2 3" xfId="22301" xr:uid="{5A26FB47-69EB-4E1C-B00D-2CB55E8DCCE9}"/>
    <cellStyle name="Normal 59 2 3 2" xfId="60046" xr:uid="{D9A43DE3-4293-4FA4-898D-5F45E2E0FED0}"/>
    <cellStyle name="Normal 59 2 4" xfId="60043" xr:uid="{9CDAFA7E-E9B7-4BC4-A03D-0F935B556E8D}"/>
    <cellStyle name="Normal 59 3" xfId="10865" xr:uid="{0487F3C5-ABB1-43D9-911C-7A27FCDB1ED0}"/>
    <cellStyle name="Normal 59 3 2" xfId="26278" xr:uid="{3582E047-F9A8-479B-90CB-C288A33DB066}"/>
    <cellStyle name="Normal 59 3 2 2" xfId="60048" xr:uid="{6DF480A4-ED11-49E8-BD08-75B5B2DC34D2}"/>
    <cellStyle name="Normal 59 3 3" xfId="60047" xr:uid="{7082939C-4A0A-4D76-A2C9-C7F4AB762490}"/>
    <cellStyle name="Normal 59 4" xfId="18573" xr:uid="{D9D669DA-23F4-44BC-9D5C-A780CCA3C908}"/>
    <cellStyle name="Normal 59 4 2" xfId="60049" xr:uid="{1CFFE4DD-1CC8-41FF-9F18-B220BB8030F4}"/>
    <cellStyle name="Normal 59 5" xfId="60042" xr:uid="{76F9AE29-4798-414E-B0A1-941E2149634C}"/>
    <cellStyle name="Normal 6" xfId="63" xr:uid="{D995CE3C-6AAA-4158-9400-CB7BFB647724}"/>
    <cellStyle name="Normal 6 2" xfId="60050" xr:uid="{3E3CCFD8-6BED-4714-B5CD-95BAE98678FC}"/>
    <cellStyle name="Normal 6 3" xfId="125" xr:uid="{6D8D3800-F8F4-4BAE-885A-CC6B1D8A7863}"/>
    <cellStyle name="Normal 60" xfId="3174" xr:uid="{4FDAFFAA-CB9A-424E-B5C6-4CAC33674E33}"/>
    <cellStyle name="Normal 60 2" xfId="6906" xr:uid="{ACA8D1E3-1865-4538-94C6-BAB008ACD8DF}"/>
    <cellStyle name="Normal 60 2 2" xfId="14614" xr:uid="{02FD5A4B-4F03-4068-BB17-80CD4A439815}"/>
    <cellStyle name="Normal 60 2 2 2" xfId="30026" xr:uid="{CF5F3484-E8B0-43C1-BFC7-33BA075C14DE}"/>
    <cellStyle name="Normal 60 2 2 2 2" xfId="60054" xr:uid="{3F8F760B-F35A-48B2-99E8-F8B7F43724BB}"/>
    <cellStyle name="Normal 60 2 2 3" xfId="60053" xr:uid="{DE410BE5-357C-436E-94D8-2938B9F27872}"/>
    <cellStyle name="Normal 60 2 3" xfId="22321" xr:uid="{E4D49F6A-C397-4B2D-B030-8FFC31867597}"/>
    <cellStyle name="Normal 60 2 3 2" xfId="60055" xr:uid="{932323DA-4981-4E9F-A939-B46951546AED}"/>
    <cellStyle name="Normal 60 2 4" xfId="60052" xr:uid="{A605901E-E5C8-4BAF-A1C7-98F1B40E019B}"/>
    <cellStyle name="Normal 60 3" xfId="10885" xr:uid="{4A4D4F14-F45D-41FA-AF9D-C512A15B7C5C}"/>
    <cellStyle name="Normal 60 3 2" xfId="26298" xr:uid="{C5492253-8B33-40C4-A7CA-BA1765904BE9}"/>
    <cellStyle name="Normal 60 3 2 2" xfId="60057" xr:uid="{89391E84-F28A-41C0-ABE7-1A90740B112E}"/>
    <cellStyle name="Normal 60 3 3" xfId="60056" xr:uid="{EBE7E25E-C575-47BB-8560-48964F0F969D}"/>
    <cellStyle name="Normal 60 4" xfId="18593" xr:uid="{47050F3A-7445-4433-8D37-920EC99F2E66}"/>
    <cellStyle name="Normal 60 4 2" xfId="60058" xr:uid="{840B8B78-58D4-4FEB-B44A-5B33C8922F43}"/>
    <cellStyle name="Normal 60 5" xfId="60051" xr:uid="{D4315E54-0693-45E6-BEDA-F634F956DFE4}"/>
    <cellStyle name="Normal 61" xfId="3194" xr:uid="{B532993A-AA4D-4660-BE80-A5C56C02AF65}"/>
    <cellStyle name="Normal 61 2" xfId="6926" xr:uid="{B4D1530F-CFEA-4332-9C2E-F88BFBA61E4F}"/>
    <cellStyle name="Normal 61 2 2" xfId="14634" xr:uid="{EE07560A-FA58-4DAD-A491-3CAE1B7D9C42}"/>
    <cellStyle name="Normal 61 2 2 2" xfId="30046" xr:uid="{182D2E61-119D-4A58-92E5-826E7FD0C6AC}"/>
    <cellStyle name="Normal 61 2 2 2 2" xfId="60062" xr:uid="{78CDB2D9-B38B-4322-9420-363472899D5E}"/>
    <cellStyle name="Normal 61 2 2 3" xfId="60061" xr:uid="{EDBCDA01-86B4-4253-B427-20F68CE998FE}"/>
    <cellStyle name="Normal 61 2 3" xfId="22341" xr:uid="{D4C0F915-D511-4838-B866-89D731C0DCB4}"/>
    <cellStyle name="Normal 61 2 3 2" xfId="60063" xr:uid="{57A8860E-E3BB-4406-B7C4-FB7F17FEFB48}"/>
    <cellStyle name="Normal 61 2 4" xfId="60060" xr:uid="{0F726CA6-C2CE-475A-8F2F-53783CCFE954}"/>
    <cellStyle name="Normal 61 3" xfId="10905" xr:uid="{8939D23D-28DE-4DED-8939-96AEF25BB0C8}"/>
    <cellStyle name="Normal 61 3 2" xfId="26318" xr:uid="{0496522D-AF46-4AA5-A7B4-8C8A9E257CD7}"/>
    <cellStyle name="Normal 61 3 2 2" xfId="60065" xr:uid="{D0D2B2A0-9D08-48B2-8112-4B885FBC36FB}"/>
    <cellStyle name="Normal 61 3 3" xfId="60064" xr:uid="{53D0C1C3-E87D-4C9B-9255-72BA20CB9BFC}"/>
    <cellStyle name="Normal 61 4" xfId="18613" xr:uid="{31399BD4-BDC0-4CDA-A44A-096233B5A532}"/>
    <cellStyle name="Normal 61 4 2" xfId="60066" xr:uid="{92C8E876-39B5-46B3-A9B1-B6449CD76F72}"/>
    <cellStyle name="Normal 61 5" xfId="60059" xr:uid="{F6D3136D-96A0-4891-B5F7-D14AD51D5D1F}"/>
    <cellStyle name="Normal 62" xfId="3214" xr:uid="{EC2A9690-9233-4A39-BFD4-2009D3EA6386}"/>
    <cellStyle name="Normal 62 2" xfId="6946" xr:uid="{9ED187CD-F8FA-4CEE-86B3-7CF77D59FAF3}"/>
    <cellStyle name="Normal 62 2 2" xfId="14654" xr:uid="{773AF119-B951-4938-800C-CB76655BBBC7}"/>
    <cellStyle name="Normal 62 2 2 2" xfId="30066" xr:uid="{BD98D3B5-D4A9-489E-A8EA-0B2456924A25}"/>
    <cellStyle name="Normal 62 2 2 2 2" xfId="60070" xr:uid="{09876D47-0E99-4FD2-962C-5661005A3DF5}"/>
    <cellStyle name="Normal 62 2 2 3" xfId="60069" xr:uid="{ECA528C7-7F1C-4140-9FBD-EC3D880C3198}"/>
    <cellStyle name="Normal 62 2 3" xfId="22361" xr:uid="{DF678E08-CD3E-4B5A-880A-0B850EBC4330}"/>
    <cellStyle name="Normal 62 2 3 2" xfId="60071" xr:uid="{911E539B-BACF-4D06-AD66-DE45B2A78891}"/>
    <cellStyle name="Normal 62 2 4" xfId="60068" xr:uid="{E4BB0D58-2D90-4808-8DE9-601ECACE635F}"/>
    <cellStyle name="Normal 62 3" xfId="10925" xr:uid="{F3A17CA1-C9B7-45EB-905A-C98235D2D999}"/>
    <cellStyle name="Normal 62 3 2" xfId="26338" xr:uid="{A2C1DD7A-1366-48D6-9FA3-6BF41F25C85C}"/>
    <cellStyle name="Normal 62 3 2 2" xfId="60073" xr:uid="{8FE3434C-27C5-4F72-80E0-9E8F75FF8734}"/>
    <cellStyle name="Normal 62 3 3" xfId="60072" xr:uid="{42A335FC-FA68-4C91-9EE4-9CCFE98F08F9}"/>
    <cellStyle name="Normal 62 4" xfId="18633" xr:uid="{AF1A6BA1-3EC9-4E0B-BB59-AFF9EB25F3EC}"/>
    <cellStyle name="Normal 62 4 2" xfId="60074" xr:uid="{19AE7984-CA65-46D9-91DA-CF168B542CDF}"/>
    <cellStyle name="Normal 62 5" xfId="60067" xr:uid="{E1A35AB9-95E0-49B0-B86E-F4EC3CF42E43}"/>
    <cellStyle name="Normal 63" xfId="3234" xr:uid="{0A372F9B-1C91-4BC9-B8B6-213943725A21}"/>
    <cellStyle name="Normal 63 2" xfId="6966" xr:uid="{49D8E9BC-86E3-4A8B-A2F3-18FFFCB7F573}"/>
    <cellStyle name="Normal 63 2 2" xfId="14674" xr:uid="{206938DE-56FF-4F80-89C3-0C64F4E17610}"/>
    <cellStyle name="Normal 63 2 2 2" xfId="30086" xr:uid="{C3C6D222-5356-40AD-8A6D-E9C7B1231EB4}"/>
    <cellStyle name="Normal 63 2 2 2 2" xfId="60078" xr:uid="{A6D26F42-3476-4E7A-912C-30F8527C676A}"/>
    <cellStyle name="Normal 63 2 2 3" xfId="60077" xr:uid="{6D5E7CBE-ECAB-437B-8E76-1F976CAA5093}"/>
    <cellStyle name="Normal 63 2 3" xfId="22381" xr:uid="{2091242B-2D96-4BC0-8F4C-85BCEF8EAB5D}"/>
    <cellStyle name="Normal 63 2 3 2" xfId="60079" xr:uid="{33AEAA1B-DDC2-42CA-8CF0-2CEF48E79C75}"/>
    <cellStyle name="Normal 63 2 4" xfId="60076" xr:uid="{03B1B969-C025-4480-8C51-7CE31D790462}"/>
    <cellStyle name="Normal 63 3" xfId="10945" xr:uid="{1B869FC0-A766-4F48-B198-95AF51895B6F}"/>
    <cellStyle name="Normal 63 3 2" xfId="26358" xr:uid="{3D5FE593-F0AF-4812-8C75-1FA8F06BEDDF}"/>
    <cellStyle name="Normal 63 3 2 2" xfId="60081" xr:uid="{B5571BB4-6E01-40A0-B178-B18CD3FE6BD7}"/>
    <cellStyle name="Normal 63 3 3" xfId="60080" xr:uid="{135E7407-4451-49A0-AF3A-486132D5A3A4}"/>
    <cellStyle name="Normal 63 4" xfId="18653" xr:uid="{EC43966B-10F1-40F0-9C5E-2E6ABD4265A1}"/>
    <cellStyle name="Normal 63 4 2" xfId="60082" xr:uid="{4A41A0BC-4429-46AA-ADF5-F61216EA743A}"/>
    <cellStyle name="Normal 63 5" xfId="60075" xr:uid="{748AE06A-C0F1-4515-B0DE-D53B3CD1FE7F}"/>
    <cellStyle name="Normal 64" xfId="3254" xr:uid="{2374B854-52BA-4FB8-ADAA-80BB5AA36746}"/>
    <cellStyle name="Normal 64 2" xfId="6986" xr:uid="{A05C587F-1D9E-473A-9407-F6A31D927494}"/>
    <cellStyle name="Normal 64 2 2" xfId="14694" xr:uid="{BD3895AE-C094-42CB-BA64-1272E9714303}"/>
    <cellStyle name="Normal 64 2 2 2" xfId="30106" xr:uid="{BC877B87-66F2-4B61-A558-E8BC6AB4A5E8}"/>
    <cellStyle name="Normal 64 2 2 2 2" xfId="60086" xr:uid="{92A42182-0CBF-4B5C-B175-1E39560C72D4}"/>
    <cellStyle name="Normal 64 2 2 3" xfId="60085" xr:uid="{79C4FFCC-C2DD-49BC-AACE-33CD5E8CE299}"/>
    <cellStyle name="Normal 64 2 3" xfId="22401" xr:uid="{391BA2F5-CAA3-4938-A6BB-6286F1B8FB7F}"/>
    <cellStyle name="Normal 64 2 3 2" xfId="60087" xr:uid="{0CCEA468-D62D-458D-A776-5D9A9B358186}"/>
    <cellStyle name="Normal 64 2 4" xfId="60084" xr:uid="{84FB2C80-19C8-42AE-BA13-5FA5E1020E9C}"/>
    <cellStyle name="Normal 64 3" xfId="10965" xr:uid="{6A14E5BE-26C4-4F5F-BF1A-F796A8B07C23}"/>
    <cellStyle name="Normal 64 3 2" xfId="26378" xr:uid="{140605A2-2E85-4ABA-83F8-F9821815C53D}"/>
    <cellStyle name="Normal 64 3 2 2" xfId="60089" xr:uid="{7E76A30B-AD87-4799-96C7-56918E62F8AF}"/>
    <cellStyle name="Normal 64 3 3" xfId="60088" xr:uid="{05C23213-E476-41CA-B7A7-7A025028B459}"/>
    <cellStyle name="Normal 64 4" xfId="18673" xr:uid="{1C851C15-29D9-404E-8AE6-C158E44C263A}"/>
    <cellStyle name="Normal 64 4 2" xfId="60090" xr:uid="{0251DDDD-D38B-4BC4-BA0E-5FEA37ED74E9}"/>
    <cellStyle name="Normal 64 5" xfId="60083" xr:uid="{013556E0-81BF-4743-B64C-4581666EBF67}"/>
    <cellStyle name="Normal 65" xfId="3274" xr:uid="{E1560C5E-4AAF-49D7-B2F5-95D7867ED260}"/>
    <cellStyle name="Normal 65 2" xfId="7006" xr:uid="{282B8923-54D2-441F-A0C9-45DB8E04F913}"/>
    <cellStyle name="Normal 65 2 2" xfId="14714" xr:uid="{7EAB7AA7-9E73-48A0-B1DF-7469C02F459D}"/>
    <cellStyle name="Normal 65 2 2 2" xfId="30126" xr:uid="{8F6D2E25-1902-4FC2-A682-B20D4929814D}"/>
    <cellStyle name="Normal 65 2 2 2 2" xfId="60094" xr:uid="{9FDC91E3-ECCD-4ABE-AD90-4FA2E68BAD33}"/>
    <cellStyle name="Normal 65 2 2 3" xfId="60093" xr:uid="{B0101141-5855-4F9E-8B54-701189D0161E}"/>
    <cellStyle name="Normal 65 2 3" xfId="22421" xr:uid="{73F19715-1B02-4637-A7B9-F6A75DD4C1AA}"/>
    <cellStyle name="Normal 65 2 3 2" xfId="60095" xr:uid="{0DE9C9DE-6426-4D38-84D1-10248C62A303}"/>
    <cellStyle name="Normal 65 2 4" xfId="60092" xr:uid="{40C1DC29-6C49-4DAA-9A90-83517471943C}"/>
    <cellStyle name="Normal 65 3" xfId="10985" xr:uid="{4D88DA5B-E896-4177-8BD2-7F743553319E}"/>
    <cellStyle name="Normal 65 3 2" xfId="26398" xr:uid="{FEF61FFA-6D31-4F9D-8A11-76EA307662D6}"/>
    <cellStyle name="Normal 65 3 2 2" xfId="60097" xr:uid="{B354EE8B-573D-43C7-8A2A-BBBD4ED91351}"/>
    <cellStyle name="Normal 65 3 3" xfId="60096" xr:uid="{C531275E-59F3-4105-BC4D-CA2E7FFCCD91}"/>
    <cellStyle name="Normal 65 4" xfId="18693" xr:uid="{0B1A0CDC-B9D6-406A-85EA-4B21F30B76C7}"/>
    <cellStyle name="Normal 65 4 2" xfId="60098" xr:uid="{F79AF95D-CD3B-4F20-825F-C80C1F27A820}"/>
    <cellStyle name="Normal 65 5" xfId="60091" xr:uid="{D0F38877-15C6-4416-BE63-7689C7351C74}"/>
    <cellStyle name="Normal 66" xfId="3294" xr:uid="{B4CD0477-D260-4458-9742-F4C3062222CC}"/>
    <cellStyle name="Normal 66 2" xfId="7026" xr:uid="{1D031E01-DB97-4FDE-9840-2DFD5F697770}"/>
    <cellStyle name="Normal 66 2 2" xfId="14734" xr:uid="{2EADD112-C2DA-4FB5-98B6-45FA16507317}"/>
    <cellStyle name="Normal 66 2 2 2" xfId="30146" xr:uid="{F3E4E317-3C68-44B6-B85E-074B60387035}"/>
    <cellStyle name="Normal 66 2 2 2 2" xfId="60102" xr:uid="{6FDD1532-62CF-462C-A7EF-DD4BF69B20A7}"/>
    <cellStyle name="Normal 66 2 2 3" xfId="60101" xr:uid="{26BA6A6C-3E01-43F0-9FE7-022C967F4E44}"/>
    <cellStyle name="Normal 66 2 3" xfId="22441" xr:uid="{DC90F010-D7F4-41FC-92FA-33A2D9BBF227}"/>
    <cellStyle name="Normal 66 2 3 2" xfId="60103" xr:uid="{873FB26E-DA88-4C45-9F36-571254C85842}"/>
    <cellStyle name="Normal 66 2 4" xfId="60100" xr:uid="{D340B41A-A73E-4B76-9811-EFC732DA2085}"/>
    <cellStyle name="Normal 66 3" xfId="11005" xr:uid="{48F5497B-C79C-4970-84A3-5384FBB9B708}"/>
    <cellStyle name="Normal 66 3 2" xfId="26418" xr:uid="{139E65A1-96E0-401D-8869-951A73B26DAD}"/>
    <cellStyle name="Normal 66 3 2 2" xfId="60105" xr:uid="{A4FDC428-0A63-4E5B-AB37-8845B9669FF6}"/>
    <cellStyle name="Normal 66 3 3" xfId="60104" xr:uid="{694B9D5D-0FF8-456C-A8AC-9F0EB62DA3CD}"/>
    <cellStyle name="Normal 66 4" xfId="18713" xr:uid="{945B965B-9D40-4DDE-9EFD-7D8D0BB8A742}"/>
    <cellStyle name="Normal 66 4 2" xfId="60106" xr:uid="{78AB6699-1DB1-4199-9BE7-11D9F489637E}"/>
    <cellStyle name="Normal 66 5" xfId="60099" xr:uid="{831453FC-BE75-4FD6-8D9A-DA2F229429AC}"/>
    <cellStyle name="Normal 67" xfId="3314" xr:uid="{8BC84C76-778C-4936-8E96-C60344EF7851}"/>
    <cellStyle name="Normal 67 2" xfId="7046" xr:uid="{687BFACE-CC0D-4501-94EC-7B258A7EAFE2}"/>
    <cellStyle name="Normal 67 2 2" xfId="14754" xr:uid="{87922114-096A-40F9-8F6A-40D5398E468D}"/>
    <cellStyle name="Normal 67 2 2 2" xfId="30166" xr:uid="{B07AA370-78AB-4AEB-827D-897801E824B3}"/>
    <cellStyle name="Normal 67 2 2 2 2" xfId="60110" xr:uid="{4CFD1456-A371-44B3-A86D-A61A54901A3E}"/>
    <cellStyle name="Normal 67 2 2 3" xfId="60109" xr:uid="{B8C75764-0CFD-44B2-BC4E-823A40CE375E}"/>
    <cellStyle name="Normal 67 2 3" xfId="22461" xr:uid="{CBE24DC4-BDB4-467E-9990-069FE66F38FA}"/>
    <cellStyle name="Normal 67 2 3 2" xfId="60111" xr:uid="{03F7F60A-916D-49D5-8577-ED200DE95990}"/>
    <cellStyle name="Normal 67 2 4" xfId="60108" xr:uid="{94693864-862E-4007-9093-BC0CB08351D9}"/>
    <cellStyle name="Normal 67 3" xfId="11025" xr:uid="{857A1DC6-1BED-4118-BE1C-C491F72ECAE0}"/>
    <cellStyle name="Normal 67 3 2" xfId="26438" xr:uid="{04E7DDEC-273D-4D93-A62A-24E20FD2B0EA}"/>
    <cellStyle name="Normal 67 3 2 2" xfId="60113" xr:uid="{41DAA611-01AC-4EB3-8EFF-B78E55EB663C}"/>
    <cellStyle name="Normal 67 3 3" xfId="60112" xr:uid="{A4ACD279-FBAC-4CE6-A72E-EF1A5590F3B8}"/>
    <cellStyle name="Normal 67 4" xfId="18733" xr:uid="{87C6AD3B-C459-4B8D-ABB1-6E9961CB8967}"/>
    <cellStyle name="Normal 67 4 2" xfId="60114" xr:uid="{06EA88F4-92D4-4BDC-A424-75A4E466FB1C}"/>
    <cellStyle name="Normal 67 5" xfId="60107" xr:uid="{1CAF5FC3-383C-4A33-8CF3-38EFF71751D3}"/>
    <cellStyle name="Normal 68" xfId="3334" xr:uid="{DBF65B9A-560F-4F6C-BF0F-90167BA24703}"/>
    <cellStyle name="Normal 68 2" xfId="7066" xr:uid="{67192EC2-49CC-4E7F-8ED9-1BE345AC5089}"/>
    <cellStyle name="Normal 68 2 2" xfId="14774" xr:uid="{853382D0-63CB-4CD1-B29D-88931E075C81}"/>
    <cellStyle name="Normal 68 2 2 2" xfId="30186" xr:uid="{F88F407F-D47D-4729-A32B-D5123FDAAB6F}"/>
    <cellStyle name="Normal 68 2 2 2 2" xfId="60118" xr:uid="{E0CB0249-8B05-450F-B2D2-5EB436BB98F9}"/>
    <cellStyle name="Normal 68 2 2 3" xfId="60117" xr:uid="{B06A10B2-0A61-403F-BCE9-5D421D33140B}"/>
    <cellStyle name="Normal 68 2 3" xfId="22481" xr:uid="{A54DF548-C66B-4CE2-8ACE-AC0C13298F84}"/>
    <cellStyle name="Normal 68 2 3 2" xfId="60119" xr:uid="{A3301155-5DF6-428C-86C6-B269A782AEC7}"/>
    <cellStyle name="Normal 68 2 4" xfId="60116" xr:uid="{7E244071-154B-4B95-B3F4-E1D10CDADEE2}"/>
    <cellStyle name="Normal 68 3" xfId="11045" xr:uid="{45DFEEBA-92FB-4440-90A5-E54BD4E0233F}"/>
    <cellStyle name="Normal 68 3 2" xfId="26458" xr:uid="{49DDBE32-983A-47F8-A35E-BF300ABFB968}"/>
    <cellStyle name="Normal 68 3 2 2" xfId="60121" xr:uid="{F96D3D88-BF7E-453D-8911-AA0FF572C45E}"/>
    <cellStyle name="Normal 68 3 3" xfId="60120" xr:uid="{0E828914-FB42-4266-BF62-749D17A008EA}"/>
    <cellStyle name="Normal 68 4" xfId="18753" xr:uid="{EE0C1D1D-0FF8-4A34-82F7-0894576182C7}"/>
    <cellStyle name="Normal 68 4 2" xfId="60122" xr:uid="{DE62222E-80BF-411A-9957-7E11C90E3413}"/>
    <cellStyle name="Normal 68 5" xfId="60115" xr:uid="{0A7C7205-3B35-45FD-8BE0-B2978520D518}"/>
    <cellStyle name="Normal 69" xfId="3354" xr:uid="{D07C9B4D-9B60-41E0-9F91-059E515F44F5}"/>
    <cellStyle name="Normal 69 2" xfId="7086" xr:uid="{F9E0D78C-0A88-4565-9B98-D4145696050C}"/>
    <cellStyle name="Normal 69 2 2" xfId="14794" xr:uid="{4DEDDF78-0E60-4581-9FAF-67444A5C6AD8}"/>
    <cellStyle name="Normal 69 2 2 2" xfId="30206" xr:uid="{C6AFB4D2-E0B1-471C-85D5-4CD726FEAA02}"/>
    <cellStyle name="Normal 69 2 2 2 2" xfId="60126" xr:uid="{833DBFF4-4FEC-44D2-9224-3570EE49DD7E}"/>
    <cellStyle name="Normal 69 2 2 3" xfId="60125" xr:uid="{B29D5095-62FA-4E1D-B279-4C6AF9E4E734}"/>
    <cellStyle name="Normal 69 2 3" xfId="22501" xr:uid="{7A91C6C0-9FAE-47C9-BA0A-960A4046DFE2}"/>
    <cellStyle name="Normal 69 2 3 2" xfId="60127" xr:uid="{8847732F-90AD-485E-B0CA-920B89DA8F61}"/>
    <cellStyle name="Normal 69 2 4" xfId="60124" xr:uid="{940BE356-5799-4DE5-B356-F02651939450}"/>
    <cellStyle name="Normal 69 3" xfId="11065" xr:uid="{835F337B-E599-4D70-A871-60CF2DCA2FA5}"/>
    <cellStyle name="Normal 69 3 2" xfId="26478" xr:uid="{30F075A6-B388-439F-8E30-6BE2DCB97FCD}"/>
    <cellStyle name="Normal 69 3 2 2" xfId="60129" xr:uid="{D4318AAF-A010-46BF-9AEE-E87662D8AF3E}"/>
    <cellStyle name="Normal 69 3 3" xfId="60128" xr:uid="{518094C5-DD58-4F7B-8CBC-0905E49BB096}"/>
    <cellStyle name="Normal 69 4" xfId="18773" xr:uid="{5255C8BA-D3AA-42A4-919F-CB6C5767D5B3}"/>
    <cellStyle name="Normal 69 4 2" xfId="60130" xr:uid="{FA849674-BEB8-4F86-B682-C7FD3F4DDC42}"/>
    <cellStyle name="Normal 69 5" xfId="60123" xr:uid="{84FC9F10-FA6E-4AB1-9017-73551940A4D2}"/>
    <cellStyle name="Normal 7" xfId="71" xr:uid="{9C86EC9A-1EEE-4BC6-B6F5-DF95BBCA0FCF}"/>
    <cellStyle name="Normal 7 2" xfId="127" xr:uid="{DC7C24E2-F9F5-471C-88B5-8F528411B850}"/>
    <cellStyle name="Normal 7 2 2" xfId="60132" xr:uid="{9846DA4C-6D99-4EBB-B917-B14D1845071C}"/>
    <cellStyle name="Normal 7 3" xfId="60131" xr:uid="{640E52A0-62F3-4EF6-B5CA-108864D0265B}"/>
    <cellStyle name="Normal 7 4" xfId="126" xr:uid="{9E548B1A-6C58-44E9-9A24-EF5C4F5F01D8}"/>
    <cellStyle name="Normal 70" xfId="3374" xr:uid="{F0211278-28CA-4654-A314-2B93F56429B0}"/>
    <cellStyle name="Normal 70 2" xfId="7106" xr:uid="{F6F8A8C1-9E69-4610-9653-C29EA11AD5A0}"/>
    <cellStyle name="Normal 70 2 2" xfId="14814" xr:uid="{92E9BE1A-AD77-413E-89EF-BD6C9190635D}"/>
    <cellStyle name="Normal 70 2 2 2" xfId="30226" xr:uid="{C7B1AC18-BD07-4D82-9FE9-49039E31E515}"/>
    <cellStyle name="Normal 70 2 2 2 2" xfId="60136" xr:uid="{A5D3DDB6-04D1-4D1C-8D13-803176FE9C85}"/>
    <cellStyle name="Normal 70 2 2 3" xfId="60135" xr:uid="{AA9D04F0-4B7B-40CC-85F6-E5879ADA9897}"/>
    <cellStyle name="Normal 70 2 3" xfId="22521" xr:uid="{7E4405E3-295C-41F3-BC39-500FAA04002C}"/>
    <cellStyle name="Normal 70 2 3 2" xfId="60137" xr:uid="{365330A6-E902-44D9-974E-28C1882F22C9}"/>
    <cellStyle name="Normal 70 2 4" xfId="60134" xr:uid="{1E637BBF-1221-4947-BE4E-021C62820743}"/>
    <cellStyle name="Normal 70 3" xfId="11085" xr:uid="{ABFBADD4-7614-4226-A172-5311631DDEC2}"/>
    <cellStyle name="Normal 70 3 2" xfId="26498" xr:uid="{0A1EB30C-25F7-4BAB-BF0B-B9648E89A7BA}"/>
    <cellStyle name="Normal 70 3 2 2" xfId="60139" xr:uid="{5581B576-1529-4633-83B7-FE89198C7281}"/>
    <cellStyle name="Normal 70 3 3" xfId="60138" xr:uid="{F8DF9876-E1A4-43B4-B61B-C383E156E8FA}"/>
    <cellStyle name="Normal 70 4" xfId="18793" xr:uid="{558FE1F2-0BF3-46E9-B7EB-63EE393F455B}"/>
    <cellStyle name="Normal 70 4 2" xfId="60140" xr:uid="{93F79C3A-9A4B-4FED-B359-9223278F83A5}"/>
    <cellStyle name="Normal 70 5" xfId="60133" xr:uid="{1B09BCDF-B785-4A09-99EF-2724DE6CD2FD}"/>
    <cellStyle name="Normal 71" xfId="3394" xr:uid="{F10BB311-72E6-45AC-B3EA-24ADAB87A781}"/>
    <cellStyle name="Normal 71 2" xfId="7126" xr:uid="{2915F699-DC03-4BE3-B72F-6A8A2737B91C}"/>
    <cellStyle name="Normal 71 2 2" xfId="14834" xr:uid="{6701646A-38A6-4139-B7A1-3EA8076D0835}"/>
    <cellStyle name="Normal 71 2 2 2" xfId="30246" xr:uid="{9675E6CB-5468-4090-9DB5-0B2CB6CE3A76}"/>
    <cellStyle name="Normal 71 2 2 2 2" xfId="60144" xr:uid="{838FFB3F-81DC-4581-AA84-03C3BA5953B4}"/>
    <cellStyle name="Normal 71 2 2 3" xfId="60143" xr:uid="{10B5D0C9-4B7A-4ECB-A91C-6E53716EAC93}"/>
    <cellStyle name="Normal 71 2 3" xfId="22541" xr:uid="{37F64D07-E509-496A-992B-51C05F644713}"/>
    <cellStyle name="Normal 71 2 3 2" xfId="60145" xr:uid="{3FE85E12-606F-41D1-B179-92F0E1F3AA3F}"/>
    <cellStyle name="Normal 71 2 4" xfId="60142" xr:uid="{F42A79F1-CF11-41FA-B333-F22076D56558}"/>
    <cellStyle name="Normal 71 3" xfId="11105" xr:uid="{C9811726-F468-4B60-980E-B7FD56ADCE3B}"/>
    <cellStyle name="Normal 71 3 2" xfId="26518" xr:uid="{BD6823C9-6159-4BC4-BDB1-08AF8AA74010}"/>
    <cellStyle name="Normal 71 3 2 2" xfId="60147" xr:uid="{6EC2CCF4-C1D7-4F33-88A7-3C00B24A0763}"/>
    <cellStyle name="Normal 71 3 3" xfId="60146" xr:uid="{94A4BDA7-01B5-4074-B571-8A697F33D0AB}"/>
    <cellStyle name="Normal 71 4" xfId="18813" xr:uid="{F29C575C-5017-4307-BC8F-21DF1661DA5E}"/>
    <cellStyle name="Normal 71 4 2" xfId="60148" xr:uid="{0BFD4FB3-9B33-4926-8817-0CC043B39004}"/>
    <cellStyle name="Normal 71 5" xfId="60141" xr:uid="{C44A255F-3BD6-4E81-BCB4-4D2A9038C38C}"/>
    <cellStyle name="Normal 72" xfId="3414" xr:uid="{EA2AC5DC-D39E-4002-BA6D-C968353DDD1A}"/>
    <cellStyle name="Normal 72 2" xfId="7146" xr:uid="{938E6404-3FE8-4778-9643-2F0A67A9C07D}"/>
    <cellStyle name="Normal 72 2 2" xfId="14854" xr:uid="{00DA7670-EB36-4182-9062-5B774A42BACE}"/>
    <cellStyle name="Normal 72 2 2 2" xfId="30266" xr:uid="{AADE766E-93F1-4C8F-BCD9-524079702881}"/>
    <cellStyle name="Normal 72 2 2 2 2" xfId="60152" xr:uid="{6A49AE64-A3BC-4045-A649-D206427EE0C3}"/>
    <cellStyle name="Normal 72 2 2 3" xfId="60151" xr:uid="{8E6203E9-FB42-4D07-979E-FBF74E6D56D8}"/>
    <cellStyle name="Normal 72 2 3" xfId="22561" xr:uid="{D83A4AB8-299C-4AE5-964B-34DA13FE25AC}"/>
    <cellStyle name="Normal 72 2 3 2" xfId="60153" xr:uid="{9AB86246-C970-4665-9089-B721852DD866}"/>
    <cellStyle name="Normal 72 2 4" xfId="60150" xr:uid="{AC439796-92C7-49A1-B0A2-87FE82ABFB76}"/>
    <cellStyle name="Normal 72 3" xfId="11125" xr:uid="{F66E638E-69D2-4049-919E-3C2B16F018E2}"/>
    <cellStyle name="Normal 72 3 2" xfId="26538" xr:uid="{C92264A3-4AAF-47EB-AB46-47E825B62B87}"/>
    <cellStyle name="Normal 72 3 2 2" xfId="60155" xr:uid="{0CFCED79-E2A2-4C34-AF2B-C33A5DB2C09C}"/>
    <cellStyle name="Normal 72 3 3" xfId="60154" xr:uid="{2A8F8244-8927-4C81-982F-A10E155A47EF}"/>
    <cellStyle name="Normal 72 4" xfId="18833" xr:uid="{69BCFB63-BEA6-48FE-911D-DAA5829558C3}"/>
    <cellStyle name="Normal 72 4 2" xfId="60156" xr:uid="{D7A55D6E-9B85-476C-ADFF-86A1B8A034A7}"/>
    <cellStyle name="Normal 72 5" xfId="60149" xr:uid="{A48078A5-F3D2-4D64-BBB7-A384F6972ED3}"/>
    <cellStyle name="Normal 73" xfId="3434" xr:uid="{B5A4763F-2482-44D1-BF2B-FAA0D260B2DC}"/>
    <cellStyle name="Normal 73 2" xfId="7166" xr:uid="{4CDFDD70-EA9B-474C-98CD-C29C50F0B98E}"/>
    <cellStyle name="Normal 73 2 2" xfId="14874" xr:uid="{E9842276-4EF8-47F7-BE27-3359889C8036}"/>
    <cellStyle name="Normal 73 2 2 2" xfId="30286" xr:uid="{121C7789-643D-4C98-B9BA-B41991EE5316}"/>
    <cellStyle name="Normal 73 2 2 2 2" xfId="60160" xr:uid="{7D8C538D-D61F-458E-BD18-11CBC486C825}"/>
    <cellStyle name="Normal 73 2 2 3" xfId="60159" xr:uid="{E8CC8D40-D028-48D4-A21F-E771849EAA5A}"/>
    <cellStyle name="Normal 73 2 3" xfId="22581" xr:uid="{6FF95F23-66AF-4E30-9DFA-0FB1388A2DBF}"/>
    <cellStyle name="Normal 73 2 3 2" xfId="60161" xr:uid="{6221A0FE-6F6E-4DED-95F4-1A597870D8B4}"/>
    <cellStyle name="Normal 73 2 4" xfId="60158" xr:uid="{30569959-21E1-445B-8B0A-C1960C2611BE}"/>
    <cellStyle name="Normal 73 3" xfId="11145" xr:uid="{10C10429-CFFC-49D9-93BB-C3DE82FB76E6}"/>
    <cellStyle name="Normal 73 3 2" xfId="26558" xr:uid="{89519C64-97E8-42CE-8769-40D46472A8BF}"/>
    <cellStyle name="Normal 73 3 2 2" xfId="60163" xr:uid="{1F4EAB4C-CBF8-465E-A07A-238C5AAA52AF}"/>
    <cellStyle name="Normal 73 3 3" xfId="60162" xr:uid="{01F37454-7B10-4F78-9320-A98D6F8925BD}"/>
    <cellStyle name="Normal 73 4" xfId="18853" xr:uid="{32B786E9-899B-4A13-A6C9-B539AFDADFA8}"/>
    <cellStyle name="Normal 73 4 2" xfId="60164" xr:uid="{A88934CC-FED8-4752-9CD4-EFA8D2CE2885}"/>
    <cellStyle name="Normal 73 5" xfId="60157" xr:uid="{5F3C6CF4-E5FA-4F77-8095-55CDD3C456B8}"/>
    <cellStyle name="Normal 74" xfId="3454" xr:uid="{18E12255-11A2-4E8A-AF88-4314BB597E9F}"/>
    <cellStyle name="Normal 74 2" xfId="7186" xr:uid="{3DDA01F3-BECA-46A1-9302-1CF81540C9CC}"/>
    <cellStyle name="Normal 74 2 2" xfId="14894" xr:uid="{3BDAC3F1-B701-4FAE-AF3D-BB1156276912}"/>
    <cellStyle name="Normal 74 2 2 2" xfId="30306" xr:uid="{DACB33AA-FB38-4C97-AFC7-027DA58252A6}"/>
    <cellStyle name="Normal 74 2 2 2 2" xfId="60168" xr:uid="{80048BF4-4DEB-453A-8262-2E364F63C869}"/>
    <cellStyle name="Normal 74 2 2 3" xfId="60167" xr:uid="{DE7B44D1-A315-4E40-A081-E5F42350AD5A}"/>
    <cellStyle name="Normal 74 2 3" xfId="22601" xr:uid="{DC2CB6A0-ED36-4A3B-9308-8C8754E0D46E}"/>
    <cellStyle name="Normal 74 2 3 2" xfId="60169" xr:uid="{4977FF4F-D5CB-4FA8-AF05-AC460736BCA7}"/>
    <cellStyle name="Normal 74 2 4" xfId="60166" xr:uid="{BA5DEFC8-94E5-4B2D-AB42-E4EDC977450A}"/>
    <cellStyle name="Normal 74 3" xfId="11165" xr:uid="{62DEABC6-52FE-40F8-BF49-DCC216808761}"/>
    <cellStyle name="Normal 74 3 2" xfId="26578" xr:uid="{CCCDEF84-F576-4E76-8F57-73235EC2CFCC}"/>
    <cellStyle name="Normal 74 3 2 2" xfId="60171" xr:uid="{67E6D53E-A550-44D1-A63C-65A5DC919EA1}"/>
    <cellStyle name="Normal 74 3 3" xfId="60170" xr:uid="{329ADA6B-ABB5-4A2E-8D1B-4419869F0D6F}"/>
    <cellStyle name="Normal 74 4" xfId="18873" xr:uid="{D51ADD98-A862-47B6-A699-F344641C5C8B}"/>
    <cellStyle name="Normal 74 4 2" xfId="60172" xr:uid="{BC33B59D-7A39-4868-B334-530E1469D90F}"/>
    <cellStyle name="Normal 74 5" xfId="60165" xr:uid="{BA64A448-A14A-4D3B-8CCB-0389426234C4}"/>
    <cellStyle name="Normal 75" xfId="3474" xr:uid="{4FC2EFE4-0662-4D24-A872-21176AAFEB71}"/>
    <cellStyle name="Normal 75 2" xfId="7206" xr:uid="{A0F92269-ECCD-4FFF-BCD8-8C6B8DE9E16C}"/>
    <cellStyle name="Normal 75 2 2" xfId="14914" xr:uid="{EDAABC65-8ADB-4320-AC71-5E08DB31A6B7}"/>
    <cellStyle name="Normal 75 2 2 2" xfId="30326" xr:uid="{621E074F-5263-4572-B1C0-3078B40FED47}"/>
    <cellStyle name="Normal 75 2 2 2 2" xfId="60176" xr:uid="{9F336ECF-4ADC-47E3-B1CD-575A65747197}"/>
    <cellStyle name="Normal 75 2 2 3" xfId="60175" xr:uid="{747A7382-E457-4080-8514-E4EA1C68F822}"/>
    <cellStyle name="Normal 75 2 3" xfId="22621" xr:uid="{35FE8A07-27CB-4D39-BBB6-E18AE653DBF4}"/>
    <cellStyle name="Normal 75 2 3 2" xfId="60177" xr:uid="{73F9E173-C358-413F-B319-59DE77439E0A}"/>
    <cellStyle name="Normal 75 2 4" xfId="60174" xr:uid="{6F3F9213-C7BA-47E2-9D23-36D431FF73F2}"/>
    <cellStyle name="Normal 75 3" xfId="11185" xr:uid="{9CE36A53-16D9-4C03-8E84-6EB7D30C68F6}"/>
    <cellStyle name="Normal 75 3 2" xfId="26598" xr:uid="{6142BD1E-CFC9-429E-BEE8-34CEAECDFDF5}"/>
    <cellStyle name="Normal 75 3 2 2" xfId="60179" xr:uid="{4BB6552E-A708-49CC-9B51-2108F1F5A3CA}"/>
    <cellStyle name="Normal 75 3 3" xfId="60178" xr:uid="{54865629-AA4C-4E6C-8CEE-F6DA90B219E8}"/>
    <cellStyle name="Normal 75 4" xfId="18893" xr:uid="{259703AA-4C09-42CE-9FF3-A9034DCECF79}"/>
    <cellStyle name="Normal 75 4 2" xfId="60180" xr:uid="{AA3F6453-166F-4FAB-ACF0-E0EDC8C4A22B}"/>
    <cellStyle name="Normal 75 5" xfId="60173" xr:uid="{AC879E40-614D-4CD6-8FE3-789311DF5F9B}"/>
    <cellStyle name="Normal 76" xfId="3494" xr:uid="{D4A1F02C-B490-4490-AD7A-0A6622803B79}"/>
    <cellStyle name="Normal 76 2" xfId="7226" xr:uid="{D452681A-9EAC-4E59-932B-7BCFB11EE3E5}"/>
    <cellStyle name="Normal 76 2 2" xfId="14934" xr:uid="{04C869E9-7F7A-4616-B882-966D169C84B7}"/>
    <cellStyle name="Normal 76 2 2 2" xfId="30346" xr:uid="{3937EC04-77C3-40FA-A322-A81ED5BB7E4D}"/>
    <cellStyle name="Normal 76 2 2 2 2" xfId="60184" xr:uid="{35096183-1640-4EB6-BE1B-35D18F2295DF}"/>
    <cellStyle name="Normal 76 2 2 3" xfId="60183" xr:uid="{14FA4F37-953C-4719-AA19-1B5F400737F9}"/>
    <cellStyle name="Normal 76 2 3" xfId="22641" xr:uid="{DCE23E7D-96C5-4737-A41E-B9369535C1D8}"/>
    <cellStyle name="Normal 76 2 3 2" xfId="60185" xr:uid="{F2C9B54F-4188-4E99-B9A2-76B8FD2F898A}"/>
    <cellStyle name="Normal 76 2 4" xfId="60182" xr:uid="{AE1DB747-5033-4A88-9328-869A44370B97}"/>
    <cellStyle name="Normal 76 3" xfId="11205" xr:uid="{B1455F7B-98B2-43E4-95F8-35ED91A03CB5}"/>
    <cellStyle name="Normal 76 3 2" xfId="26618" xr:uid="{9FE2ECBC-BB88-48C0-BA81-1DC21677A24A}"/>
    <cellStyle name="Normal 76 3 2 2" xfId="60187" xr:uid="{136166C9-0932-45FD-BCBB-24384FE2E81B}"/>
    <cellStyle name="Normal 76 3 3" xfId="60186" xr:uid="{E4306FC7-372B-46ED-B1DC-3C5AF4E299A3}"/>
    <cellStyle name="Normal 76 4" xfId="18913" xr:uid="{6E8A079B-CE64-4884-AAB8-E88580F477D4}"/>
    <cellStyle name="Normal 76 4 2" xfId="60188" xr:uid="{11B4F9A6-3AED-44F8-AD12-A33A5E6EF594}"/>
    <cellStyle name="Normal 76 5" xfId="60181" xr:uid="{F9B0908A-6F94-490D-820F-B01D6CAFDB51}"/>
    <cellStyle name="Normal 77" xfId="3514" xr:uid="{1900171D-686C-4BA1-826E-728C95709634}"/>
    <cellStyle name="Normal 77 2" xfId="7246" xr:uid="{8E03F02A-7D1D-4CFD-B4C5-6E55EDB88076}"/>
    <cellStyle name="Normal 77 2 2" xfId="14954" xr:uid="{2913A451-DCE7-4594-B968-9FC75A2CD51C}"/>
    <cellStyle name="Normal 77 2 2 2" xfId="30366" xr:uid="{971926C8-83CF-4374-8800-41A8CA6D0FBB}"/>
    <cellStyle name="Normal 77 2 2 2 2" xfId="60192" xr:uid="{E6CF78A9-F31F-4494-813A-FDBD339643BC}"/>
    <cellStyle name="Normal 77 2 2 3" xfId="60191" xr:uid="{C8F077F7-1725-47FE-B4CE-05E0288E8FAE}"/>
    <cellStyle name="Normal 77 2 3" xfId="22661" xr:uid="{987FD9DB-2998-4499-8094-06EA383783A7}"/>
    <cellStyle name="Normal 77 2 3 2" xfId="60193" xr:uid="{99963329-EB89-428D-92B5-EB2957329FF1}"/>
    <cellStyle name="Normal 77 2 4" xfId="60190" xr:uid="{6D464C17-D4F1-4E9D-BCE3-F50CD2177261}"/>
    <cellStyle name="Normal 77 3" xfId="11225" xr:uid="{D85FF608-620C-4A5E-8F82-5F87D82C0620}"/>
    <cellStyle name="Normal 77 3 2" xfId="26638" xr:uid="{58139C9E-09D5-4119-9201-0BC0234A2D9C}"/>
    <cellStyle name="Normal 77 3 2 2" xfId="60195" xr:uid="{F0511E99-A39A-45DE-B5B4-08181E110B57}"/>
    <cellStyle name="Normal 77 3 3" xfId="60194" xr:uid="{7B3E8ACB-5059-4049-B96C-DD4C4EB7A5BC}"/>
    <cellStyle name="Normal 77 4" xfId="18933" xr:uid="{AE839B6E-82BB-467A-B6B1-8841665593EA}"/>
    <cellStyle name="Normal 77 4 2" xfId="60196" xr:uid="{7D9CAAA6-DA68-4C31-B8A4-ABF0F5B486C3}"/>
    <cellStyle name="Normal 77 5" xfId="60189" xr:uid="{7127636C-F468-402C-A6D1-F3CFA3A4C43A}"/>
    <cellStyle name="Normal 78" xfId="3534" xr:uid="{7A7D09A5-8640-4493-9E20-EEF073B9151C}"/>
    <cellStyle name="Normal 78 2" xfId="7266" xr:uid="{151EACD5-A455-465B-803A-01649E211880}"/>
    <cellStyle name="Normal 78 2 2" xfId="14974" xr:uid="{CC1D4D64-0C4A-4069-9B8C-87979300204F}"/>
    <cellStyle name="Normal 78 2 2 2" xfId="30386" xr:uid="{8621AA4B-7C47-4B7A-98CA-8E42B856783B}"/>
    <cellStyle name="Normal 78 2 2 2 2" xfId="60200" xr:uid="{281B844F-850D-40EA-AE23-0AC5C9245E8D}"/>
    <cellStyle name="Normal 78 2 2 3" xfId="60199" xr:uid="{9F76F0D8-DE74-4747-B703-49CC477C41CE}"/>
    <cellStyle name="Normal 78 2 3" xfId="22681" xr:uid="{32862CAB-2397-44B9-A166-53F61212681D}"/>
    <cellStyle name="Normal 78 2 3 2" xfId="60201" xr:uid="{FCABC6AF-8BA7-4D27-B4F5-CA9CAB8E50CA}"/>
    <cellStyle name="Normal 78 2 4" xfId="60198" xr:uid="{CA4698BB-F942-433D-99CB-7084D93992E2}"/>
    <cellStyle name="Normal 78 3" xfId="11245" xr:uid="{6E116953-2B97-4718-ACC6-48262B844A8D}"/>
    <cellStyle name="Normal 78 3 2" xfId="26658" xr:uid="{E9B31C97-3DC7-4792-AE4E-802D0AC6461D}"/>
    <cellStyle name="Normal 78 3 2 2" xfId="60203" xr:uid="{ED13904D-3841-42E8-B1F5-9CF93321E078}"/>
    <cellStyle name="Normal 78 3 3" xfId="60202" xr:uid="{E9B20DE0-9D63-444A-9279-C7F1AA058DE9}"/>
    <cellStyle name="Normal 78 4" xfId="18953" xr:uid="{C57C86D7-37AF-4E65-B719-DBBBD9D0DF5A}"/>
    <cellStyle name="Normal 78 4 2" xfId="60204" xr:uid="{B0358FBA-149D-42FB-A5AE-194427469F52}"/>
    <cellStyle name="Normal 78 5" xfId="60197" xr:uid="{11EDF254-9FA3-44C6-868C-B55FDFF51A57}"/>
    <cellStyle name="Normal 79" xfId="3554" xr:uid="{9FB3EB5E-A4BA-4376-8EF6-343E1C05A60D}"/>
    <cellStyle name="Normal 79 2" xfId="7286" xr:uid="{BF54E8CF-9F57-475E-88DA-1010432BF3EF}"/>
    <cellStyle name="Normal 79 2 2" xfId="14994" xr:uid="{98545ED0-AF2F-4E28-AC4C-42F5A497D1EA}"/>
    <cellStyle name="Normal 79 2 2 2" xfId="30406" xr:uid="{9D01C6DD-C692-417C-B02E-CB30AAA56F16}"/>
    <cellStyle name="Normal 79 2 2 2 2" xfId="60208" xr:uid="{41DA999C-D238-4DED-9F9D-0AEDA247A912}"/>
    <cellStyle name="Normal 79 2 2 3" xfId="60207" xr:uid="{DA5441FF-FA64-41A0-8D9F-4975BF7EF9C3}"/>
    <cellStyle name="Normal 79 2 3" xfId="22701" xr:uid="{95A93A36-E089-4D43-9F67-E6CB42F283F9}"/>
    <cellStyle name="Normal 79 2 3 2" xfId="60209" xr:uid="{CCC7DF42-7214-4C5A-953F-D3F6E4AD29BA}"/>
    <cellStyle name="Normal 79 2 4" xfId="60206" xr:uid="{E86E4C9A-0591-4ED8-B01D-B93656E31CE9}"/>
    <cellStyle name="Normal 79 3" xfId="11265" xr:uid="{5C9B6EA8-AC67-46D7-8C6C-3AB43BBF7C44}"/>
    <cellStyle name="Normal 79 3 2" xfId="26678" xr:uid="{C9DBA78D-E36E-4029-95BD-EF266DBA16CF}"/>
    <cellStyle name="Normal 79 3 2 2" xfId="60211" xr:uid="{EB4D88FE-23C0-4779-B187-0B7A17B1B8A6}"/>
    <cellStyle name="Normal 79 3 3" xfId="60210" xr:uid="{447B300D-DEB5-4409-9F8D-E60294BF1294}"/>
    <cellStyle name="Normal 79 4" xfId="18973" xr:uid="{46BEB722-5401-44E7-AC58-6A0793B191EB}"/>
    <cellStyle name="Normal 79 4 2" xfId="60212" xr:uid="{586054E6-6141-4BD8-88A2-5A4F3B7AA4B7}"/>
    <cellStyle name="Normal 79 5" xfId="60205" xr:uid="{732BF9F4-266A-41F3-A10A-9FE07E7019C1}"/>
    <cellStyle name="Normal 8" xfId="72" xr:uid="{8DD7437E-D19E-4C3D-B74D-F82C8933B6FA}"/>
    <cellStyle name="Normal 8 2" xfId="129" xr:uid="{BCBB9C80-5534-43E3-BA5A-C1199DD9E699}"/>
    <cellStyle name="Normal 8 2 2" xfId="60214" xr:uid="{0FD99B89-1D65-465B-89A5-EB25D49F90FB}"/>
    <cellStyle name="Normal 8 3" xfId="60213" xr:uid="{180D898F-E413-4E60-9D4D-0FC65C80927F}"/>
    <cellStyle name="Normal 8 4" xfId="128" xr:uid="{54F1BD24-925E-4534-B1BA-D631603D7334}"/>
    <cellStyle name="Normal 80" xfId="3574" xr:uid="{400559C2-FCBA-463F-9D35-C913457808CC}"/>
    <cellStyle name="Normal 81" xfId="3575" xr:uid="{D0471B25-0223-46EF-A149-F8ED149EF871}"/>
    <cellStyle name="Normal 81 2" xfId="7306" xr:uid="{36506891-5FF7-4581-BD6C-02C298D91960}"/>
    <cellStyle name="Normal 81 2 2" xfId="15014" xr:uid="{AE785110-C3E6-41CF-A407-9BC65567427A}"/>
    <cellStyle name="Normal 81 2 2 2" xfId="30426" xr:uid="{4CDCAA83-D282-4B7C-9C01-37BAC742281C}"/>
    <cellStyle name="Normal 81 2 2 2 2" xfId="60218" xr:uid="{5C83D0E8-3A77-4A66-8331-948D00A9BB54}"/>
    <cellStyle name="Normal 81 2 2 3" xfId="60217" xr:uid="{03A6EC9D-5FFF-4D0F-8F06-4BF7166C934A}"/>
    <cellStyle name="Normal 81 2 3" xfId="22721" xr:uid="{F828FBEA-4CB1-4CA6-B378-438884967637}"/>
    <cellStyle name="Normal 81 2 3 2" xfId="60219" xr:uid="{CAB78ECC-2875-4684-8CE1-03A81878FBC6}"/>
    <cellStyle name="Normal 81 2 4" xfId="60216" xr:uid="{FB7B57D7-13C3-48E7-B98F-B08AD8E1981E}"/>
    <cellStyle name="Normal 81 3" xfId="11285" xr:uid="{FF258945-6E15-46E4-B4ED-DB59A725D0DF}"/>
    <cellStyle name="Normal 81 3 2" xfId="26698" xr:uid="{D0D0DE62-A96A-40EE-A50B-49D13F255874}"/>
    <cellStyle name="Normal 81 3 2 2" xfId="60221" xr:uid="{7AA24FB6-7A71-45BC-8854-EDCE7389F712}"/>
    <cellStyle name="Normal 81 3 3" xfId="60220" xr:uid="{722EF53A-6A28-452E-9F9F-A80B3ABCC23E}"/>
    <cellStyle name="Normal 81 4" xfId="18993" xr:uid="{C5E3D59F-BF78-4735-A553-9AC94D9FBD63}"/>
    <cellStyle name="Normal 81 4 2" xfId="60222" xr:uid="{EB031D67-276F-4C7B-9B9A-41B0CC647243}"/>
    <cellStyle name="Normal 81 5" xfId="60215" xr:uid="{E00B8BCA-89F3-4B9F-BEA6-BF8A6390D138}"/>
    <cellStyle name="Normal 82" xfId="3595" xr:uid="{0C6AD36C-C7E6-4512-8919-91775C83747E}"/>
    <cellStyle name="Normal 82 2" xfId="7326" xr:uid="{C94F458A-D8E3-4BD8-AF65-0BA2484269F9}"/>
    <cellStyle name="Normal 82 2 2" xfId="15034" xr:uid="{9A8D3A4C-5AC0-4A9A-95C8-3246BC529081}"/>
    <cellStyle name="Normal 82 2 2 2" xfId="30446" xr:uid="{7C1E1277-5C50-407F-9B83-D8AB1AF8D2E0}"/>
    <cellStyle name="Normal 82 2 2 2 2" xfId="60226" xr:uid="{FE35E82A-A834-457F-AC84-E1C58D3BE12C}"/>
    <cellStyle name="Normal 82 2 2 3" xfId="60225" xr:uid="{9BFE3A70-BB2E-4020-B181-0CD3FB49AEDE}"/>
    <cellStyle name="Normal 82 2 3" xfId="22741" xr:uid="{78C14EBD-192C-4C79-A9D3-C698826A99B9}"/>
    <cellStyle name="Normal 82 2 3 2" xfId="60227" xr:uid="{89EEAAA8-C196-4EB8-9C18-98F47E31CAD4}"/>
    <cellStyle name="Normal 82 2 4" xfId="60224" xr:uid="{A0D548B8-586D-40A6-861F-D03CD7055919}"/>
    <cellStyle name="Normal 82 3" xfId="11305" xr:uid="{14B6BBB5-9477-4C4F-8BF7-171B80E6DDC4}"/>
    <cellStyle name="Normal 82 3 2" xfId="26718" xr:uid="{7A53794C-EE22-463E-854E-5E8CD668D5C8}"/>
    <cellStyle name="Normal 82 3 2 2" xfId="60229" xr:uid="{D5E41E78-761A-48E7-9D08-22968FB0FE1A}"/>
    <cellStyle name="Normal 82 3 3" xfId="60228" xr:uid="{1B983FEA-D30B-4E97-847F-5AC79257E525}"/>
    <cellStyle name="Normal 82 4" xfId="19013" xr:uid="{AC6B29C0-AFC3-441F-AF74-64FF6D1F72FC}"/>
    <cellStyle name="Normal 82 4 2" xfId="60230" xr:uid="{3551DAB8-6305-4EC0-A5F6-6374B90F2126}"/>
    <cellStyle name="Normal 82 5" xfId="60223" xr:uid="{FF0E3A10-8F15-4BFC-96B1-A7ACC155EC31}"/>
    <cellStyle name="Normal 83" xfId="3615" xr:uid="{E862ED1F-E927-4E00-AD87-E152B4C5B849}"/>
    <cellStyle name="Normal 83 2" xfId="7346" xr:uid="{5D04EE24-B1E3-4605-8E22-1FC50D678AB4}"/>
    <cellStyle name="Normal 83 2 2" xfId="15054" xr:uid="{D31C96ED-7355-48A9-9DC0-E267D4B3B016}"/>
    <cellStyle name="Normal 83 2 2 2" xfId="30466" xr:uid="{52527A9B-E3FA-4B62-B758-55AA952AD45B}"/>
    <cellStyle name="Normal 83 2 2 2 2" xfId="60234" xr:uid="{7D901113-9C5E-4EAA-B516-E5D3D4D469DA}"/>
    <cellStyle name="Normal 83 2 2 3" xfId="60233" xr:uid="{55379F20-4AE7-4E65-BE63-42A7AC6477D0}"/>
    <cellStyle name="Normal 83 2 3" xfId="22761" xr:uid="{085CCC54-A034-49A7-9FC9-8C5FA172F52B}"/>
    <cellStyle name="Normal 83 2 3 2" xfId="60235" xr:uid="{B932A0C0-B11C-41D9-9F2F-685BCDA3E287}"/>
    <cellStyle name="Normal 83 2 4" xfId="60232" xr:uid="{BD519DA1-D7D9-473D-AF8E-5B179F7885FB}"/>
    <cellStyle name="Normal 83 3" xfId="11325" xr:uid="{0722D465-97E8-4749-BA0A-552C12AACF8D}"/>
    <cellStyle name="Normal 83 3 2" xfId="26738" xr:uid="{466A3252-20F9-40DB-A934-15AB6A780A6E}"/>
    <cellStyle name="Normal 83 3 2 2" xfId="60237" xr:uid="{1DBD3D69-0024-4126-9AE8-9036C7B1C14C}"/>
    <cellStyle name="Normal 83 3 3" xfId="60236" xr:uid="{5879E46D-7E92-4771-9839-5FA3472B19A0}"/>
    <cellStyle name="Normal 83 4" xfId="19033" xr:uid="{B981F1C4-3D82-4707-982F-A5D2911CCBE3}"/>
    <cellStyle name="Normal 83 4 2" xfId="60238" xr:uid="{F70F62A4-8CD6-439F-948A-CC3F42386131}"/>
    <cellStyle name="Normal 83 5" xfId="60231" xr:uid="{1EF6502C-F9C6-4E25-A594-1E74C4879F3E}"/>
    <cellStyle name="Normal 84" xfId="3635" xr:uid="{DECFA3FB-67DA-4CEC-A711-D22F91810C37}"/>
    <cellStyle name="Normal 84 2" xfId="7366" xr:uid="{49A89E59-540A-431F-A920-2FCFEA794683}"/>
    <cellStyle name="Normal 84 2 2" xfId="15074" xr:uid="{A0437EF4-A3C7-4FF6-9E82-6C4C8887B221}"/>
    <cellStyle name="Normal 84 2 2 2" xfId="30486" xr:uid="{391C706F-9DEE-4E44-9E31-51258983067F}"/>
    <cellStyle name="Normal 84 2 2 2 2" xfId="60242" xr:uid="{7EF7308C-56E7-46DF-B469-BAB59B101FF5}"/>
    <cellStyle name="Normal 84 2 2 3" xfId="60241" xr:uid="{A2FB3800-8A3E-4A37-851F-EB1EF6241581}"/>
    <cellStyle name="Normal 84 2 3" xfId="22781" xr:uid="{98A82C52-4A90-481C-8AC1-FC2A1F2CCFC4}"/>
    <cellStyle name="Normal 84 2 3 2" xfId="60243" xr:uid="{3CB77F3F-659B-4019-A08B-1C29E50276F8}"/>
    <cellStyle name="Normal 84 2 4" xfId="60240" xr:uid="{1C935490-CDBF-415B-B2CA-2CB18D5CE2B0}"/>
    <cellStyle name="Normal 84 3" xfId="11345" xr:uid="{3C27C4C4-6500-407A-A363-61EEA093FA4B}"/>
    <cellStyle name="Normal 84 3 2" xfId="26758" xr:uid="{AB12C281-93F2-400B-8312-A236AC1140D0}"/>
    <cellStyle name="Normal 84 3 2 2" xfId="60245" xr:uid="{E3C1EFE2-EFDD-4E8D-8CD2-C2A01F5A19A4}"/>
    <cellStyle name="Normal 84 3 3" xfId="60244" xr:uid="{2BFCFD6D-7930-4F15-98DF-D37AC5EC8B41}"/>
    <cellStyle name="Normal 84 4" xfId="19053" xr:uid="{47018A7F-1F47-4B99-AFBC-EDA228F3F65A}"/>
    <cellStyle name="Normal 84 4 2" xfId="60246" xr:uid="{A2DC4FD1-CDBD-4B7C-94C7-7B4DD264835F}"/>
    <cellStyle name="Normal 84 5" xfId="60239" xr:uid="{1279C89F-39ED-4B73-9322-B31253AAC5FA}"/>
    <cellStyle name="Normal 85" xfId="3655" xr:uid="{08F6901B-FA73-485A-8508-2167E1D33F60}"/>
    <cellStyle name="Normal 85 2" xfId="7386" xr:uid="{75D658BD-C6EE-46A8-A012-3774A9173498}"/>
    <cellStyle name="Normal 85 2 2" xfId="15094" xr:uid="{C7325725-3A74-4804-9A60-B0F23F18486E}"/>
    <cellStyle name="Normal 85 2 2 2" xfId="30506" xr:uid="{393A0E7D-BD0A-42FE-9A89-0534427853D8}"/>
    <cellStyle name="Normal 85 2 2 2 2" xfId="60250" xr:uid="{0C75F01D-C168-474E-87E8-5CA8F7FE1839}"/>
    <cellStyle name="Normal 85 2 2 3" xfId="60249" xr:uid="{DF8CD33F-36B4-479C-A5D3-F833AD6ABC1F}"/>
    <cellStyle name="Normal 85 2 3" xfId="22801" xr:uid="{1922F3FE-941E-46C6-89BF-59B4A337A4B3}"/>
    <cellStyle name="Normal 85 2 3 2" xfId="60251" xr:uid="{D72468C2-C995-4778-8153-E9A825F9F096}"/>
    <cellStyle name="Normal 85 2 4" xfId="60248" xr:uid="{DB5008F6-C417-4523-9632-6A654E510F3B}"/>
    <cellStyle name="Normal 85 3" xfId="11365" xr:uid="{9BD3CDEA-4554-447A-9583-25B94D97BEC7}"/>
    <cellStyle name="Normal 85 3 2" xfId="26778" xr:uid="{07DFF9AC-3B56-4829-9C18-C90FED1F6061}"/>
    <cellStyle name="Normal 85 3 2 2" xfId="60253" xr:uid="{06E428A3-47B8-4C3B-B984-1AA95032D515}"/>
    <cellStyle name="Normal 85 3 3" xfId="60252" xr:uid="{1283A84C-0815-4553-8154-BE5371C99F14}"/>
    <cellStyle name="Normal 85 4" xfId="19073" xr:uid="{354E0051-BDE7-4E42-9D00-08525D7DE889}"/>
    <cellStyle name="Normal 85 4 2" xfId="60254" xr:uid="{3F0E0ED2-5610-4F57-8E95-5471A000EC0E}"/>
    <cellStyle name="Normal 85 5" xfId="60247" xr:uid="{001F21D9-B577-4BED-A414-35BE583093E0}"/>
    <cellStyle name="Normal 86" xfId="3675" xr:uid="{DE115E58-DEA3-4721-AFB5-D90A8FF4C80D}"/>
    <cellStyle name="Normal 86 2" xfId="7406" xr:uid="{C6A1AAB2-AD01-4BDF-B233-6CEAB38EF0DB}"/>
    <cellStyle name="Normal 86 2 2" xfId="15114" xr:uid="{280C3F5D-26A1-4F07-9F1C-BC334466F263}"/>
    <cellStyle name="Normal 86 2 2 2" xfId="30526" xr:uid="{BE429779-217D-46EA-9F97-A3625687E601}"/>
    <cellStyle name="Normal 86 2 2 2 2" xfId="60258" xr:uid="{4D69CA0D-36B6-4236-9E5F-9DBF4A79089F}"/>
    <cellStyle name="Normal 86 2 2 3" xfId="60257" xr:uid="{52211208-9F8C-44C0-B4EA-9901BE99F16D}"/>
    <cellStyle name="Normal 86 2 3" xfId="22821" xr:uid="{744D8EB6-E2DA-4B19-97DC-1AF29E7CBEBC}"/>
    <cellStyle name="Normal 86 2 3 2" xfId="60259" xr:uid="{76F55A66-D05C-41AB-AD23-B28F69807D9F}"/>
    <cellStyle name="Normal 86 2 4" xfId="60256" xr:uid="{D8382F21-CD0E-49E9-99AA-66E09115848D}"/>
    <cellStyle name="Normal 86 3" xfId="11385" xr:uid="{78BC7250-2F16-47B1-98CC-114756748178}"/>
    <cellStyle name="Normal 86 3 2" xfId="26798" xr:uid="{BE249C69-D55C-4027-ABB2-9E915A9F9A73}"/>
    <cellStyle name="Normal 86 3 2 2" xfId="60261" xr:uid="{EEA43B22-2327-4431-9CC9-56A33584B8BC}"/>
    <cellStyle name="Normal 86 3 3" xfId="60260" xr:uid="{7D276886-1F9C-4C1C-BD9B-05A171DD136A}"/>
    <cellStyle name="Normal 86 4" xfId="19093" xr:uid="{0EB20FA4-3D1A-4767-9749-A15DEC0433EA}"/>
    <cellStyle name="Normal 86 4 2" xfId="60262" xr:uid="{FD6CE2FC-2C20-40F2-B4AD-0A7622A8297A}"/>
    <cellStyle name="Normal 86 5" xfId="60255" xr:uid="{7CE1D4A5-217D-405C-919A-F0F5AE44ADB4}"/>
    <cellStyle name="Normal 87" xfId="3695" xr:uid="{B6888C7C-4CBF-41A6-9042-D2409DB24EC8}"/>
    <cellStyle name="Normal 87 2" xfId="7426" xr:uid="{BA07F6FA-2F7C-4FD9-971D-2366E936F734}"/>
    <cellStyle name="Normal 87 2 2" xfId="15134" xr:uid="{E7A40764-BA73-4074-8814-7A116CDF8BEE}"/>
    <cellStyle name="Normal 87 2 2 2" xfId="30546" xr:uid="{373E4362-E0BC-4ADC-B7D2-617428C86D1D}"/>
    <cellStyle name="Normal 87 2 2 2 2" xfId="60266" xr:uid="{AB0C8C36-17AA-424E-82DE-32F702AA8CDB}"/>
    <cellStyle name="Normal 87 2 2 3" xfId="60265" xr:uid="{C851AFCA-9968-467C-BFDA-64BB22766962}"/>
    <cellStyle name="Normal 87 2 3" xfId="22841" xr:uid="{7524B675-2750-4E4C-BBB4-4C6A9BC2D628}"/>
    <cellStyle name="Normal 87 2 3 2" xfId="60267" xr:uid="{E33C3C4F-C727-439F-80B6-8E0E9B3B6509}"/>
    <cellStyle name="Normal 87 2 4" xfId="60264" xr:uid="{A7FDFEA7-0812-47B8-A925-00F5ADBFDCEC}"/>
    <cellStyle name="Normal 87 3" xfId="11405" xr:uid="{30F39632-5E65-4545-966D-297F57946E46}"/>
    <cellStyle name="Normal 87 3 2" xfId="26818" xr:uid="{361926D5-FC88-456D-9EBB-4316CD4ABE40}"/>
    <cellStyle name="Normal 87 3 2 2" xfId="60269" xr:uid="{7EB95CC7-7B35-4A0F-B640-6B89C075B66C}"/>
    <cellStyle name="Normal 87 3 3" xfId="60268" xr:uid="{983F5089-27D6-4B61-84AF-5C71E8B1A1AD}"/>
    <cellStyle name="Normal 87 4" xfId="19113" xr:uid="{6DCF1ED3-CD51-4F60-9B56-34E9C0430C9A}"/>
    <cellStyle name="Normal 87 4 2" xfId="60270" xr:uid="{41B012FD-5B88-4DC0-9CC2-9EAB652AA45E}"/>
    <cellStyle name="Normal 87 5" xfId="60263" xr:uid="{6A40DCF9-766D-42DD-9ACB-856E10ED0FFC}"/>
    <cellStyle name="Normal 88" xfId="3715" xr:uid="{ED8175A3-F2B9-4AC6-A952-0258D400EC45}"/>
    <cellStyle name="Normal 88 2" xfId="7446" xr:uid="{57F11CD3-8653-440E-AB5F-1CD546F94E7D}"/>
    <cellStyle name="Normal 88 2 2" xfId="15154" xr:uid="{FC845148-8D40-446D-B165-27A1168896EA}"/>
    <cellStyle name="Normal 88 2 2 2" xfId="30566" xr:uid="{D11D1114-1EA3-40BD-89FD-6F31FCEE651A}"/>
    <cellStyle name="Normal 88 2 2 2 2" xfId="60274" xr:uid="{7EC1D717-BBFD-4242-9F7A-0C38203885F0}"/>
    <cellStyle name="Normal 88 2 2 3" xfId="60273" xr:uid="{47DE90C5-F9FB-44E3-B455-9E4C6B56CE46}"/>
    <cellStyle name="Normal 88 2 3" xfId="22861" xr:uid="{E6EC8021-7B95-4807-9745-1533323DEA87}"/>
    <cellStyle name="Normal 88 2 3 2" xfId="60275" xr:uid="{1F5D7C73-5B01-4037-B330-F69B8543DC03}"/>
    <cellStyle name="Normal 88 2 4" xfId="60272" xr:uid="{17EEDDF0-50E5-450C-AAC1-21E9E2261608}"/>
    <cellStyle name="Normal 88 3" xfId="11425" xr:uid="{2D941F40-D474-4815-ADFB-F0C6858C54A8}"/>
    <cellStyle name="Normal 88 3 2" xfId="26838" xr:uid="{971A63CA-D2D9-4EC3-9EA3-5DA95267045E}"/>
    <cellStyle name="Normal 88 3 2 2" xfId="60277" xr:uid="{4CC5014A-55E7-46B5-B18C-E16C34927479}"/>
    <cellStyle name="Normal 88 3 3" xfId="60276" xr:uid="{50733E76-AC92-41EE-9F1B-15D30FE09C69}"/>
    <cellStyle name="Normal 88 4" xfId="19133" xr:uid="{4EE3E9D8-B1FF-42C9-B2E3-0F26C7FD49F9}"/>
    <cellStyle name="Normal 88 4 2" xfId="60278" xr:uid="{8D7E0822-A21E-4E2A-ADD8-09ED10471FB9}"/>
    <cellStyle name="Normal 88 5" xfId="60271" xr:uid="{389393F2-F2BA-4ED5-92E8-F7A1F47C5B73}"/>
    <cellStyle name="Normal 89" xfId="3735" xr:uid="{1B9CF0BB-4F23-454B-94B6-5E21D0FCDF50}"/>
    <cellStyle name="Normal 89 2" xfId="7466" xr:uid="{BE77CDA0-ADBD-48C6-9DBE-2177913E9BA2}"/>
    <cellStyle name="Normal 89 2 2" xfId="15174" xr:uid="{617DA6C4-ADB9-4721-ACA1-6E19E8A3CBC6}"/>
    <cellStyle name="Normal 89 2 2 2" xfId="30586" xr:uid="{78BCEAED-E678-458A-AEFC-F6AC73334BF6}"/>
    <cellStyle name="Normal 89 2 2 2 2" xfId="60282" xr:uid="{BD04CFE0-465C-4F66-AFB9-2C9128C83AE9}"/>
    <cellStyle name="Normal 89 2 2 3" xfId="60281" xr:uid="{89E1D720-A34E-4FF4-98CC-ECA10366F644}"/>
    <cellStyle name="Normal 89 2 3" xfId="22881" xr:uid="{789D064D-D8D3-4EE6-BE8E-60565DF3FF78}"/>
    <cellStyle name="Normal 89 2 3 2" xfId="60283" xr:uid="{CCDCE9ED-6DB2-440B-891B-E880C071C441}"/>
    <cellStyle name="Normal 89 2 4" xfId="60280" xr:uid="{CF91B109-4B7A-418A-BA9E-FA75784B927A}"/>
    <cellStyle name="Normal 89 3" xfId="11445" xr:uid="{E92335B8-7F2F-4AAA-80C2-157E4940F8AF}"/>
    <cellStyle name="Normal 89 3 2" xfId="26858" xr:uid="{B4F32AAF-2537-448D-A66A-01C6AFD8FDFD}"/>
    <cellStyle name="Normal 89 3 2 2" xfId="60285" xr:uid="{D6DC6FDE-6E07-472C-A578-0B53EB526818}"/>
    <cellStyle name="Normal 89 3 3" xfId="60284" xr:uid="{1545A53C-859B-4330-8A3C-24B4246490EA}"/>
    <cellStyle name="Normal 89 4" xfId="19153" xr:uid="{3150C42D-FA98-4A56-8BD4-7862DED47529}"/>
    <cellStyle name="Normal 89 4 2" xfId="60286" xr:uid="{FFDB07F1-5334-4234-928B-84E6F11C6376}"/>
    <cellStyle name="Normal 89 5" xfId="60279" xr:uid="{E6A04E46-5507-47EE-A079-CA0096DA46D5}"/>
    <cellStyle name="Normal 9" xfId="74" xr:uid="{41E22870-4C3C-47DC-903D-A641E8387363}"/>
    <cellStyle name="Normal 9 2" xfId="60287" xr:uid="{2BA25066-A333-4CC1-B394-651DE4341172}"/>
    <cellStyle name="Normal 9 3" xfId="130" xr:uid="{2AB3D92F-B0BC-4F5A-9BE2-40AD7B452797}"/>
    <cellStyle name="Normal 90" xfId="3755" xr:uid="{093E3917-4A58-41DB-A2DB-31BA4D2EFED7}"/>
    <cellStyle name="Normal 90 2" xfId="7486" xr:uid="{F5CBF41E-E73D-44A9-B925-075EE929D304}"/>
    <cellStyle name="Normal 90 2 2" xfId="15194" xr:uid="{59494345-07BD-4BCB-8161-06495AD3C0FE}"/>
    <cellStyle name="Normal 90 2 2 2" xfId="30606" xr:uid="{BAD149D1-A4C7-48A9-8B7A-DD1D74F4380F}"/>
    <cellStyle name="Normal 90 2 2 2 2" xfId="60291" xr:uid="{DF59A36D-15BF-4EA3-99CC-F484300B3EB7}"/>
    <cellStyle name="Normal 90 2 2 3" xfId="60290" xr:uid="{57C683C6-EB09-4932-8D98-EF09D93415BB}"/>
    <cellStyle name="Normal 90 2 3" xfId="22901" xr:uid="{2066CB86-ECF7-4213-92D8-EFF09A1E5A32}"/>
    <cellStyle name="Normal 90 2 3 2" xfId="60292" xr:uid="{3AAB12DB-D3A5-49E1-912B-A1497FB728C1}"/>
    <cellStyle name="Normal 90 2 4" xfId="60289" xr:uid="{2D82FF9F-F6FD-4905-8106-289FF1568D71}"/>
    <cellStyle name="Normal 90 3" xfId="11465" xr:uid="{309B807A-2E06-4FB3-A547-6FCABB6E3016}"/>
    <cellStyle name="Normal 90 3 2" xfId="26878" xr:uid="{04E38E28-FB00-46B7-AB9B-0F4A0C8C815E}"/>
    <cellStyle name="Normal 90 3 2 2" xfId="60294" xr:uid="{B4FA1799-4C5B-470F-92ED-D35337F79556}"/>
    <cellStyle name="Normal 90 3 3" xfId="60293" xr:uid="{2DFC6528-A531-4667-9736-D61690343EAC}"/>
    <cellStyle name="Normal 90 4" xfId="19173" xr:uid="{7829CC20-FA52-481C-93C5-3E16EB6C1F0F}"/>
    <cellStyle name="Normal 90 4 2" xfId="60295" xr:uid="{486C4FDA-EE57-43EF-9CF1-0E11A1B712C5}"/>
    <cellStyle name="Normal 90 5" xfId="60288" xr:uid="{10442660-4BFF-4591-B3D4-02B672BF2510}"/>
    <cellStyle name="Normal 91" xfId="3775" xr:uid="{8C314578-3CFD-4D35-B34D-8950691C8A57}"/>
    <cellStyle name="Normal 91 2" xfId="7506" xr:uid="{07034282-8C52-41C5-8BFF-5387D6E7338A}"/>
    <cellStyle name="Normal 91 2 2" xfId="15214" xr:uid="{88C533EE-74F1-4BA0-8271-54CB3A1CA2BD}"/>
    <cellStyle name="Normal 91 2 2 2" xfId="30626" xr:uid="{96CEF750-C137-41D1-939D-AE4B39DFAE2E}"/>
    <cellStyle name="Normal 91 2 2 2 2" xfId="60299" xr:uid="{BD19EB1E-16AC-44F6-8431-E0D575455C52}"/>
    <cellStyle name="Normal 91 2 2 3" xfId="60298" xr:uid="{E878987D-BD8C-4CD9-8625-515FE858B1B2}"/>
    <cellStyle name="Normal 91 2 3" xfId="22921" xr:uid="{48DE8210-A844-4727-978B-F9000F335027}"/>
    <cellStyle name="Normal 91 2 3 2" xfId="60300" xr:uid="{FD3B7AF0-CDAD-44E2-939A-B708544B45BD}"/>
    <cellStyle name="Normal 91 2 4" xfId="60297" xr:uid="{309DAEB2-B53E-47D1-BAD8-81091CDBCEBF}"/>
    <cellStyle name="Normal 91 3" xfId="11485" xr:uid="{EE439794-704F-4DDA-8BFE-64A39CEA4AAA}"/>
    <cellStyle name="Normal 91 3 2" xfId="26898" xr:uid="{0BDE157B-73CE-4F6C-A2C8-B15F546CF1B0}"/>
    <cellStyle name="Normal 91 3 2 2" xfId="60302" xr:uid="{7CE8C223-3E14-4014-B504-70A778FEB8E5}"/>
    <cellStyle name="Normal 91 3 3" xfId="60301" xr:uid="{CD932CDB-E2D7-49BD-A9A1-5365A2F98746}"/>
    <cellStyle name="Normal 91 4" xfId="19193" xr:uid="{F17FC69E-9A61-4542-976B-E0E7906D762F}"/>
    <cellStyle name="Normal 91 4 2" xfId="60303" xr:uid="{0D5917A7-4910-4A8F-AC2A-045F7E92D639}"/>
    <cellStyle name="Normal 91 5" xfId="60296" xr:uid="{24FEC804-ED7B-4303-B889-F93B92DF085F}"/>
    <cellStyle name="Normal 92" xfId="3795" xr:uid="{7CBB9F1D-7862-4FC8-A3E0-C2104C436C88}"/>
    <cellStyle name="Normal 92 2" xfId="7526" xr:uid="{3D301BFC-D117-4C74-B8AC-75FBBA72C65C}"/>
    <cellStyle name="Normal 92 2 2" xfId="15234" xr:uid="{AAAE2EDC-2270-4D99-AA09-C9352A1D1FB8}"/>
    <cellStyle name="Normal 92 2 2 2" xfId="30646" xr:uid="{26E28B33-0C68-4741-B302-C0ED665B29A7}"/>
    <cellStyle name="Normal 92 2 2 2 2" xfId="60307" xr:uid="{FF0743EF-E8F8-4FB3-94D8-D68CF711DDAE}"/>
    <cellStyle name="Normal 92 2 2 3" xfId="60306" xr:uid="{DB3C14FE-4EA7-4682-B339-4FC15212CAB3}"/>
    <cellStyle name="Normal 92 2 3" xfId="22941" xr:uid="{EA34A3F4-EA6D-480B-AC08-3310FE9DDFD5}"/>
    <cellStyle name="Normal 92 2 3 2" xfId="60308" xr:uid="{5F372EF2-8338-499A-B2B7-EEFCC52D449F}"/>
    <cellStyle name="Normal 92 2 4" xfId="60305" xr:uid="{C59CD8FE-72E8-43FA-A143-636850288157}"/>
    <cellStyle name="Normal 92 3" xfId="11505" xr:uid="{C2663F50-2512-4E40-92B2-7FADBF080998}"/>
    <cellStyle name="Normal 92 3 2" xfId="26918" xr:uid="{ABF8A0B4-55CA-4D36-9224-B5C395C4D393}"/>
    <cellStyle name="Normal 92 3 2 2" xfId="60310" xr:uid="{11B29FDB-C66D-45B5-8623-DFC2A16A8FCF}"/>
    <cellStyle name="Normal 92 3 3" xfId="60309" xr:uid="{B0A1A1E0-D80E-4C62-A069-CF0D71B85EC3}"/>
    <cellStyle name="Normal 92 4" xfId="19213" xr:uid="{CEBBBB00-F448-4C97-B2B9-F705BD842366}"/>
    <cellStyle name="Normal 92 4 2" xfId="60311" xr:uid="{104DF447-61B7-413E-B623-32A662155629}"/>
    <cellStyle name="Normal 92 5" xfId="60304" xr:uid="{BB35D749-4C43-4601-9E23-FB983B7EF121}"/>
    <cellStyle name="Normal 93" xfId="3815" xr:uid="{3E7320CB-651F-49ED-B703-739D3B6888B9}"/>
    <cellStyle name="Normal 93 2" xfId="7546" xr:uid="{F4C9CE86-E6F0-489B-A2B7-7C9C1EB8E4D3}"/>
    <cellStyle name="Normal 93 2 2" xfId="15254" xr:uid="{15DC1F01-3F79-4CAF-B027-3ACCBF01F3E5}"/>
    <cellStyle name="Normal 93 2 2 2" xfId="30666" xr:uid="{04C7A89F-5828-44B8-86D9-720A82C70B76}"/>
    <cellStyle name="Normal 93 2 2 2 2" xfId="60315" xr:uid="{1BA8DDD2-9E55-404A-91FE-543A385CBDFF}"/>
    <cellStyle name="Normal 93 2 2 3" xfId="60314" xr:uid="{6AC7A837-0F47-4DC3-A498-37BA99EB4D59}"/>
    <cellStyle name="Normal 93 2 3" xfId="22961" xr:uid="{292E8B06-8BD4-42A5-80E1-F303FD4B82F8}"/>
    <cellStyle name="Normal 93 2 3 2" xfId="60316" xr:uid="{CA7095FA-6897-4AEA-B8AB-37FDBA93D19B}"/>
    <cellStyle name="Normal 93 2 4" xfId="60313" xr:uid="{DF0F980F-A3F3-4028-8130-6F4FE2E2D3DD}"/>
    <cellStyle name="Normal 93 3" xfId="11525" xr:uid="{FDCB1BE4-D867-468E-9024-D507BE7A0C55}"/>
    <cellStyle name="Normal 93 3 2" xfId="26938" xr:uid="{1A627DED-D179-4E67-80BD-DFBF4E5FD0BB}"/>
    <cellStyle name="Normal 93 3 2 2" xfId="60318" xr:uid="{D3C3269F-F04B-4D1B-8E34-1D9F7381CF92}"/>
    <cellStyle name="Normal 93 3 3" xfId="60317" xr:uid="{F2ED2F8C-69CE-4336-905A-9BA4E933C478}"/>
    <cellStyle name="Normal 93 4" xfId="19233" xr:uid="{C2B26268-043F-4E10-B7ED-4F34FD2E3DA4}"/>
    <cellStyle name="Normal 93 4 2" xfId="60319" xr:uid="{3305CFE1-FECD-4D13-A355-32328F6DBA3F}"/>
    <cellStyle name="Normal 93 5" xfId="60312" xr:uid="{E329A568-8C17-42D1-BD67-91F2FFB22545}"/>
    <cellStyle name="Normal 94" xfId="3835" xr:uid="{FBAB4212-B767-4693-BF9C-AF87B4B5880C}"/>
    <cellStyle name="Normal 94 2" xfId="11545" xr:uid="{DBA84159-D791-46FA-ACCD-1C1D09EABA74}"/>
    <cellStyle name="Normal 94 2 2" xfId="60321" xr:uid="{B7FF06D8-1598-4AD5-8FAE-07FD661C0AF4}"/>
    <cellStyle name="Normal 94 3" xfId="60320" xr:uid="{E97E2895-FAC6-4665-A275-8C22669578DB}"/>
    <cellStyle name="Normal 95" xfId="3836" xr:uid="{7283DF9B-1928-4EA1-9D7F-B85D2F0ECF6D}"/>
    <cellStyle name="Normal 95 2" xfId="7566" xr:uid="{9A237383-E2FC-482A-9E79-3A6E34FB6012}"/>
    <cellStyle name="Normal 95 2 2" xfId="15274" xr:uid="{D792597F-751B-4CB7-9CEC-CC6D948FE6A0}"/>
    <cellStyle name="Normal 95 2 2 2" xfId="30686" xr:uid="{42AB76A6-D6C5-451A-AB54-B63C82376711}"/>
    <cellStyle name="Normal 95 2 2 2 2" xfId="60325" xr:uid="{DA69D013-6C8A-4B54-AF37-B3DD9A2BBACD}"/>
    <cellStyle name="Normal 95 2 2 3" xfId="60324" xr:uid="{278CEB5A-F09F-43B9-9FCE-829B1621F25A}"/>
    <cellStyle name="Normal 95 2 3" xfId="22981" xr:uid="{3307C1EE-6E3E-4F8C-8133-9D52236D6933}"/>
    <cellStyle name="Normal 95 2 3 2" xfId="60326" xr:uid="{B2B87386-36E8-4EF8-B83B-AE55BD788808}"/>
    <cellStyle name="Normal 95 2 4" xfId="60323" xr:uid="{C5BDD257-0481-4C7C-AD66-D3F50A0C52A6}"/>
    <cellStyle name="Normal 95 3" xfId="11546" xr:uid="{EBB7D303-83EF-48A5-A870-3BBC419B2F3F}"/>
    <cellStyle name="Normal 95 3 2" xfId="26958" xr:uid="{CC3AAB3D-D72E-4D1C-8A86-1F590664F710}"/>
    <cellStyle name="Normal 95 3 2 2" xfId="60328" xr:uid="{34E4DBC1-8565-4909-8176-6C427DC1499D}"/>
    <cellStyle name="Normal 95 3 3" xfId="60327" xr:uid="{E7AC8F2E-3455-415C-8F27-0FDCE5BF8FC3}"/>
    <cellStyle name="Normal 95 4" xfId="19253" xr:uid="{36E49981-7D1A-48D9-AC3E-A1D201104193}"/>
    <cellStyle name="Normal 95 4 2" xfId="60329" xr:uid="{EC7875C7-2E5F-4247-8D73-CF862E1BA781}"/>
    <cellStyle name="Normal 95 5" xfId="60322" xr:uid="{AA5D734E-B3F7-4D8B-8FC0-ACA74F193965}"/>
    <cellStyle name="Normal 96" xfId="3875" xr:uid="{95568424-6E04-4639-A306-E1C83EFCDD85}"/>
    <cellStyle name="Normal 97" xfId="3856" xr:uid="{2E2CE2CB-120E-41D1-A339-4D1A9F68EDDA}"/>
    <cellStyle name="Normal 97 2" xfId="11566" xr:uid="{0C0CFF6B-9A3E-43DE-80A7-D6D4D5ABA857}"/>
    <cellStyle name="Normal 97 2 2" xfId="26978" xr:uid="{4872ADF7-F1FC-4DE1-B263-2F4C7EE41FF5}"/>
    <cellStyle name="Normal 97 2 2 2" xfId="60333" xr:uid="{C43044D9-078B-426A-A42E-84AD8EA06DF0}"/>
    <cellStyle name="Normal 97 2 3" xfId="60332" xr:uid="{FC5A5115-B5A2-4483-8CDA-F7FBCAD168B9}"/>
    <cellStyle name="Normal 97 3" xfId="19273" xr:uid="{CA157FB4-2B19-474B-85D5-590B2870DA53}"/>
    <cellStyle name="Normal 97 3 2" xfId="60334" xr:uid="{D85961B1-F31D-48E8-9F3A-CD6E347F06EB}"/>
    <cellStyle name="Normal 97 4" xfId="60331" xr:uid="{64D94341-36C9-41A3-9D09-846CF1EF60BB}"/>
    <cellStyle name="Normal 98" xfId="7586" xr:uid="{525E3E9E-ED2D-4671-AD45-15BF15880FA6}"/>
    <cellStyle name="Normal 98 2" xfId="15294" xr:uid="{8BF69FD9-62AD-404A-884D-00730C355EDB}"/>
    <cellStyle name="Normal 98 2 2" xfId="30706" xr:uid="{12D1B644-EFB0-4960-AAF0-84BB5DA853A7}"/>
    <cellStyle name="Normal 98 2 2 2" xfId="60337" xr:uid="{16B6A7C6-5C3D-4EED-B63E-633F78B7B194}"/>
    <cellStyle name="Normal 98 2 3" xfId="60336" xr:uid="{385B22F7-11BD-404A-A754-4CE81DCB8DCB}"/>
    <cellStyle name="Normal 98 3" xfId="23001" xr:uid="{32F7BCC8-C247-4C6F-BD6B-5267FF8F6020}"/>
    <cellStyle name="Normal 98 3 2" xfId="60338" xr:uid="{836B122C-386E-4FD8-8908-01D354F0AECE}"/>
    <cellStyle name="Normal 98 4" xfId="60335" xr:uid="{AA0637C9-44C2-4512-AC44-2E82220A70C2}"/>
    <cellStyle name="Normal 99" xfId="7606" xr:uid="{28A81997-30A9-42C1-8AFC-BB1D3F3E303D}"/>
    <cellStyle name="Normal 99 2" xfId="15314" xr:uid="{C5AA9F51-7B7F-4671-996F-C12CCB7D3DFB}"/>
    <cellStyle name="Normal 99 2 2" xfId="30726" xr:uid="{1C7E6B48-7B5B-4857-BB64-0D11F71E3198}"/>
    <cellStyle name="Normal 99 2 2 2" xfId="60341" xr:uid="{5902ACE2-F5E4-4D6F-86D9-05500DA12AA9}"/>
    <cellStyle name="Normal 99 2 3" xfId="60340" xr:uid="{66DCD4FD-291A-42B7-9B53-F75157FB61AD}"/>
    <cellStyle name="Normal 99 3" xfId="23021" xr:uid="{24A2AFC9-DF76-4F59-9D2A-B9712D9C0513}"/>
    <cellStyle name="Normal 99 3 2" xfId="60342" xr:uid="{5A1D3B61-FD1A-4001-B917-4E2A3405D627}"/>
    <cellStyle name="Normal 99 4" xfId="60339" xr:uid="{AECE486B-2BA3-4DA0-A494-AFF05C3BBC15}"/>
    <cellStyle name="Notas" xfId="20" builtinId="10" customBuiltin="1"/>
    <cellStyle name="Notas 10" xfId="583" xr:uid="{D5133C93-A95B-4B02-91B5-CA486A5435F6}"/>
    <cellStyle name="Notas 10 2" xfId="1244" xr:uid="{49280707-4C52-4820-8121-3ADC5B352A5D}"/>
    <cellStyle name="Notas 10 2 2" xfId="2712" xr:uid="{EB47FDEC-27CE-4013-AC16-F8A001F3B22A}"/>
    <cellStyle name="Notas 10 2 2 2" xfId="6444" xr:uid="{86FBB4E9-C0C9-4276-BAA7-90677C211B64}"/>
    <cellStyle name="Notas 10 2 2 2 2" xfId="14152" xr:uid="{C05CA3DD-269C-464C-B2E0-0F0E1FDB8137}"/>
    <cellStyle name="Notas 10 2 2 2 2 2" xfId="29564" xr:uid="{30F940CB-4FF1-4872-81DE-D9930B6D26D4}"/>
    <cellStyle name="Notas 10 2 2 2 2 2 2" xfId="60349" xr:uid="{E443E431-16BE-43B2-8A5E-71B90D4C23D9}"/>
    <cellStyle name="Notas 10 2 2 2 2 3" xfId="60348" xr:uid="{40E79C09-4C69-456E-A89C-213648F35C81}"/>
    <cellStyle name="Notas 10 2 2 2 3" xfId="21859" xr:uid="{33DFC4EC-0D5B-42E0-A990-CA29BED85583}"/>
    <cellStyle name="Notas 10 2 2 2 3 2" xfId="60350" xr:uid="{582E398C-9E22-4308-8775-9D52BC5CBCD8}"/>
    <cellStyle name="Notas 10 2 2 2 4" xfId="60347" xr:uid="{6041F6C7-A680-49F1-B5A0-34615EADAD08}"/>
    <cellStyle name="Notas 10 2 2 3" xfId="10423" xr:uid="{83A8F88F-0F6E-41E2-9F8D-8E7F86A9125C}"/>
    <cellStyle name="Notas 10 2 2 3 2" xfId="25836" xr:uid="{B3475118-C58B-44BE-A00B-C28B1AC5E1D7}"/>
    <cellStyle name="Notas 10 2 2 3 2 2" xfId="60352" xr:uid="{77731C02-BA02-4C40-B46C-5661286BF7AB}"/>
    <cellStyle name="Notas 10 2 2 3 3" xfId="60351" xr:uid="{D3D8A276-89BB-44D3-B92A-A28B5A5C5E92}"/>
    <cellStyle name="Notas 10 2 2 4" xfId="18131" xr:uid="{9A6B2C35-F650-4469-B828-1D4FF89ADF2A}"/>
    <cellStyle name="Notas 10 2 2 4 2" xfId="60353" xr:uid="{39BD67DC-304F-4619-8B24-4655D7BC4CFB}"/>
    <cellStyle name="Notas 10 2 2 5" xfId="60346" xr:uid="{E6E32D4C-AEE9-478E-9E1D-34163DF6CECA}"/>
    <cellStyle name="Notas 10 2 3" xfId="4981" xr:uid="{083C6E67-D848-48CD-92D4-9F2E3090594F}"/>
    <cellStyle name="Notas 10 2 3 2" xfId="12689" xr:uid="{39FC352A-A375-4910-ABFF-FC9384B3B6C1}"/>
    <cellStyle name="Notas 10 2 3 2 2" xfId="28101" xr:uid="{D468AC39-B982-41B2-878A-F69CFF446735}"/>
    <cellStyle name="Notas 10 2 3 2 2 2" xfId="60356" xr:uid="{D3A06D4C-BF7E-4610-891D-D29364484161}"/>
    <cellStyle name="Notas 10 2 3 2 3" xfId="60355" xr:uid="{05A837A7-C23A-42E8-A567-BCD3CC86618F}"/>
    <cellStyle name="Notas 10 2 3 3" xfId="20396" xr:uid="{DAC58D44-AB00-4711-890E-9ACB986A889B}"/>
    <cellStyle name="Notas 10 2 3 3 2" xfId="60357" xr:uid="{B7374690-D588-488A-B3E9-74A3985D4C5B}"/>
    <cellStyle name="Notas 10 2 3 4" xfId="60354" xr:uid="{FF6094EC-4E28-48B3-AED1-BCB31640DDF3}"/>
    <cellStyle name="Notas 10 2 4" xfId="8964" xr:uid="{75BB6E1A-BADA-4125-8B13-A4DA8782F12A}"/>
    <cellStyle name="Notas 10 2 4 2" xfId="24377" xr:uid="{F5DD0B82-96E3-4E2B-BED9-84A58A86F1F3}"/>
    <cellStyle name="Notas 10 2 4 2 2" xfId="60359" xr:uid="{6C1C5FB2-3D03-4A10-8B45-3DA5839B2456}"/>
    <cellStyle name="Notas 10 2 4 3" xfId="60358" xr:uid="{96EF891D-FE55-405A-A342-6391BF5389A3}"/>
    <cellStyle name="Notas 10 2 5" xfId="16672" xr:uid="{52C669C6-4D1E-4D87-B90C-3C0FF238A74C}"/>
    <cellStyle name="Notas 10 2 5 2" xfId="60360" xr:uid="{DF4B08EF-1540-450B-A00F-3B0AFE3B20A0}"/>
    <cellStyle name="Notas 10 2 6" xfId="60345" xr:uid="{E4A7F235-79CB-45C5-9805-449C5BC25AB4}"/>
    <cellStyle name="Notas 10 3" xfId="2074" xr:uid="{F3F522F9-CE5B-4401-8D09-460C23031DD6}"/>
    <cellStyle name="Notas 10 3 2" xfId="5806" xr:uid="{3BDDB063-0CE7-4740-AE31-4B1F551F926B}"/>
    <cellStyle name="Notas 10 3 2 2" xfId="13514" xr:uid="{C36DBD19-D180-4673-BF79-B602460B63EF}"/>
    <cellStyle name="Notas 10 3 2 2 2" xfId="28926" xr:uid="{04D46D63-4268-4D3F-8A16-C348D58CA6B5}"/>
    <cellStyle name="Notas 10 3 2 2 2 2" xfId="60364" xr:uid="{1F29DD0E-EBA7-4C27-98F6-79299205898E}"/>
    <cellStyle name="Notas 10 3 2 2 3" xfId="60363" xr:uid="{56AF5A9A-8F61-4FB5-8A85-C65B7C2E0E24}"/>
    <cellStyle name="Notas 10 3 2 3" xfId="21221" xr:uid="{44902C9D-B688-466A-A6BC-B5EB829B3346}"/>
    <cellStyle name="Notas 10 3 2 3 2" xfId="60365" xr:uid="{F845D7A8-AE9D-449D-9DF4-1E59DE5B88A3}"/>
    <cellStyle name="Notas 10 3 2 4" xfId="60362" xr:uid="{54E503A5-79C4-42E4-9097-43A9320E6F9A}"/>
    <cellStyle name="Notas 10 3 3" xfId="9785" xr:uid="{92D6A265-B3A5-42FF-BF5B-CAF55B7FFC58}"/>
    <cellStyle name="Notas 10 3 3 2" xfId="25198" xr:uid="{04C8455C-5F53-46D2-94F9-20ED32714470}"/>
    <cellStyle name="Notas 10 3 3 2 2" xfId="60367" xr:uid="{2B508493-3FC0-41BD-97DB-CA30EC27D332}"/>
    <cellStyle name="Notas 10 3 3 3" xfId="60366" xr:uid="{D9960EBE-0291-48E6-B35C-30AFCE2F8AAE}"/>
    <cellStyle name="Notas 10 3 4" xfId="17493" xr:uid="{FF1F7588-A4D3-4763-91E0-A1F844844F6A}"/>
    <cellStyle name="Notas 10 3 4 2" xfId="60368" xr:uid="{495511C7-460B-4B20-A452-8A9833797A7D}"/>
    <cellStyle name="Notas 10 3 5" xfId="60361" xr:uid="{98C18AC9-DCFA-4413-9167-C18E745FDF87}"/>
    <cellStyle name="Notas 10 4" xfId="4329" xr:uid="{BA284334-8438-4737-B905-0DF422AD4055}"/>
    <cellStyle name="Notas 10 4 2" xfId="12037" xr:uid="{1992292E-D506-4D08-AD0A-776F1BC5E9DF}"/>
    <cellStyle name="Notas 10 4 2 2" xfId="27449" xr:uid="{3B45D302-4E76-4F40-BDF0-6F70AB4F1F40}"/>
    <cellStyle name="Notas 10 4 2 2 2" xfId="60371" xr:uid="{2F599D48-6AD3-427E-8F48-A86AB74EA25C}"/>
    <cellStyle name="Notas 10 4 2 3" xfId="60370" xr:uid="{08D00168-3D68-4EB3-8818-B672CB98DFC7}"/>
    <cellStyle name="Notas 10 4 3" xfId="19744" xr:uid="{5A1C8C40-E78F-4AAD-BCDE-029134AD25A8}"/>
    <cellStyle name="Notas 10 4 3 2" xfId="60372" xr:uid="{93594A6D-85AC-4081-972D-ED112EC46EC2}"/>
    <cellStyle name="Notas 10 4 4" xfId="60369" xr:uid="{053132EB-E8CF-4BCE-A470-FDA08DB636BD}"/>
    <cellStyle name="Notas 10 5" xfId="8326" xr:uid="{0C1FFCC8-AD66-4CA5-926D-E81D24DBB705}"/>
    <cellStyle name="Notas 10 5 2" xfId="23739" xr:uid="{78D2AC19-34D5-49C0-9B98-577EC5CECDB7}"/>
    <cellStyle name="Notas 10 5 2 2" xfId="60374" xr:uid="{7409C3E4-C56A-4E61-8AA1-C115503B6BE5}"/>
    <cellStyle name="Notas 10 5 3" xfId="60373" xr:uid="{90913FBE-B083-45B8-880B-C595D4ACD74F}"/>
    <cellStyle name="Notas 10 6" xfId="16034" xr:uid="{856F1411-F3D1-4C04-BD0B-8F95DD68E83B}"/>
    <cellStyle name="Notas 10 6 2" xfId="60375" xr:uid="{A43D9423-E666-4BEF-884A-A5C41BF31219}"/>
    <cellStyle name="Notas 10 7" xfId="60344" xr:uid="{8DC594D8-DBDA-4A0D-B129-DFE1BCFDFB17}"/>
    <cellStyle name="Notas 11" xfId="604" xr:uid="{182B5F7C-CC01-47F5-9C4E-C2A9C65AF1D4}"/>
    <cellStyle name="Notas 11 2" xfId="1265" xr:uid="{82A3B614-C2F8-4C76-87C9-CF87F251B284}"/>
    <cellStyle name="Notas 11 2 2" xfId="2732" xr:uid="{71B1FBC4-737F-4B9D-A441-BC35687A094F}"/>
    <cellStyle name="Notas 11 2 2 2" xfId="6464" xr:uid="{391E1497-6DE9-4AB0-85DB-6151BAD2F1D5}"/>
    <cellStyle name="Notas 11 2 2 2 2" xfId="14172" xr:uid="{E2E3A614-33CE-40A8-9AEF-ED8170752580}"/>
    <cellStyle name="Notas 11 2 2 2 2 2" xfId="29584" xr:uid="{AA9D8B57-3A7C-4CE5-BBE1-44F87553203A}"/>
    <cellStyle name="Notas 11 2 2 2 2 2 2" xfId="60381" xr:uid="{B1A3F586-8604-4AB1-A75A-A8D1B7467296}"/>
    <cellStyle name="Notas 11 2 2 2 2 3" xfId="60380" xr:uid="{6C68DD97-2D00-49F7-9517-220974C19F95}"/>
    <cellStyle name="Notas 11 2 2 2 3" xfId="21879" xr:uid="{A55E09D8-ED84-4F4A-8623-1E3F228EC363}"/>
    <cellStyle name="Notas 11 2 2 2 3 2" xfId="60382" xr:uid="{9A0A0CCA-AAD5-4002-926D-8CC61D5B3E53}"/>
    <cellStyle name="Notas 11 2 2 2 4" xfId="60379" xr:uid="{31A42943-D70F-450C-9E5C-63457728BA86}"/>
    <cellStyle name="Notas 11 2 2 3" xfId="10443" xr:uid="{893B3AFB-3B6F-4F70-8870-9CD414638288}"/>
    <cellStyle name="Notas 11 2 2 3 2" xfId="25856" xr:uid="{7D1AAC5E-ACED-42D6-9299-DAFE4D8AB7D5}"/>
    <cellStyle name="Notas 11 2 2 3 2 2" xfId="60384" xr:uid="{362BE29B-931A-4749-8BD0-EED7C9767A54}"/>
    <cellStyle name="Notas 11 2 2 3 3" xfId="60383" xr:uid="{8CC85301-F3A6-4AEF-B203-AB3EA788B10F}"/>
    <cellStyle name="Notas 11 2 2 4" xfId="18151" xr:uid="{F50AF6E9-8E8B-44A2-9804-7AADBF6F03AD}"/>
    <cellStyle name="Notas 11 2 2 4 2" xfId="60385" xr:uid="{BC091233-C534-45F9-80BB-0672854169C8}"/>
    <cellStyle name="Notas 11 2 2 5" xfId="60378" xr:uid="{F2F546ED-746C-49CA-B5AD-E27464F16CB3}"/>
    <cellStyle name="Notas 11 2 3" xfId="5001" xr:uid="{86BFE9D3-CDDE-4F69-87AF-67F570001C5E}"/>
    <cellStyle name="Notas 11 2 3 2" xfId="12709" xr:uid="{32A440AA-D11F-4A36-8391-F2EB94C5C5C0}"/>
    <cellStyle name="Notas 11 2 3 2 2" xfId="28121" xr:uid="{C247B4FC-F4CE-4BAC-9ECD-A3A13E18B938}"/>
    <cellStyle name="Notas 11 2 3 2 2 2" xfId="60388" xr:uid="{83D791A1-C16D-4E73-B9A4-2D79C37F1E1F}"/>
    <cellStyle name="Notas 11 2 3 2 3" xfId="60387" xr:uid="{CCC13795-BC37-4D88-8C54-5F2504EE15AF}"/>
    <cellStyle name="Notas 11 2 3 3" xfId="20416" xr:uid="{38E6E041-082D-4586-B3AA-30784132A276}"/>
    <cellStyle name="Notas 11 2 3 3 2" xfId="60389" xr:uid="{FA45685D-782D-4748-8013-997098123C20}"/>
    <cellStyle name="Notas 11 2 3 4" xfId="60386" xr:uid="{6B2ADBA4-E3ED-43F3-B9BD-8C7F0B2A5295}"/>
    <cellStyle name="Notas 11 2 4" xfId="8984" xr:uid="{EAB1AC5B-086F-47FC-A189-D472E0C7FB7F}"/>
    <cellStyle name="Notas 11 2 4 2" xfId="24397" xr:uid="{38CB84F2-A5BC-47ED-B448-58AC7907EBB9}"/>
    <cellStyle name="Notas 11 2 4 2 2" xfId="60391" xr:uid="{2A6DB631-C632-4FCB-AB3F-198D9EA8485D}"/>
    <cellStyle name="Notas 11 2 4 3" xfId="60390" xr:uid="{4FA8FA13-B9A0-4EF0-8AA1-80A898168593}"/>
    <cellStyle name="Notas 11 2 5" xfId="16692" xr:uid="{DCC4D9FB-2DBF-48DB-80A0-699172FC62D9}"/>
    <cellStyle name="Notas 11 2 5 2" xfId="60392" xr:uid="{0155CC86-2D04-4771-ADCE-A0E0D6582D0F}"/>
    <cellStyle name="Notas 11 2 6" xfId="60377" xr:uid="{1B720931-9655-419B-B17C-21505D77043B}"/>
    <cellStyle name="Notas 11 3" xfId="2094" xr:uid="{C9AF8E94-CC10-49A9-972B-D0FB8C24B4D2}"/>
    <cellStyle name="Notas 11 3 2" xfId="5826" xr:uid="{9CBFFC09-CD83-4AEE-A3F7-367E8F58116F}"/>
    <cellStyle name="Notas 11 3 2 2" xfId="13534" xr:uid="{54323EB7-7B2B-409C-A7B6-0D910AB8021F}"/>
    <cellStyle name="Notas 11 3 2 2 2" xfId="28946" xr:uid="{3EBC4A52-8DA2-4A77-943D-BB78D31FE377}"/>
    <cellStyle name="Notas 11 3 2 2 2 2" xfId="60396" xr:uid="{443674B8-BA80-44BD-8D45-30CBF08021DE}"/>
    <cellStyle name="Notas 11 3 2 2 3" xfId="60395" xr:uid="{76320BDF-8036-423F-B33A-F8DE774BC24F}"/>
    <cellStyle name="Notas 11 3 2 3" xfId="21241" xr:uid="{E82A65A2-67C6-4BC6-9B38-F2690C85FBCB}"/>
    <cellStyle name="Notas 11 3 2 3 2" xfId="60397" xr:uid="{1822D3AE-BB27-455A-9099-13561D40BEB3}"/>
    <cellStyle name="Notas 11 3 2 4" xfId="60394" xr:uid="{998391C8-1F02-442F-98EE-1BD379DCFC08}"/>
    <cellStyle name="Notas 11 3 3" xfId="9805" xr:uid="{7B8B269C-5A69-4109-B90E-907BC701180F}"/>
    <cellStyle name="Notas 11 3 3 2" xfId="25218" xr:uid="{E880A646-219E-447F-8725-12C83B7B17B9}"/>
    <cellStyle name="Notas 11 3 3 2 2" xfId="60399" xr:uid="{BDDDBEC3-50E9-469A-8CAD-16C6F4E54E65}"/>
    <cellStyle name="Notas 11 3 3 3" xfId="60398" xr:uid="{869C7EC6-2DA3-4A7C-9342-49EE9A27B6C2}"/>
    <cellStyle name="Notas 11 3 4" xfId="17513" xr:uid="{9571EABD-FD50-427C-AA6C-00242523C60B}"/>
    <cellStyle name="Notas 11 3 4 2" xfId="60400" xr:uid="{F43D9F99-B7A8-4954-B9F9-10F00D6078EC}"/>
    <cellStyle name="Notas 11 3 5" xfId="60393" xr:uid="{E39696FF-8563-4464-8ECF-15E1BFC5C366}"/>
    <cellStyle name="Notas 11 4" xfId="4349" xr:uid="{5FE1D755-5954-4C5B-99E5-00C7B6DD33F2}"/>
    <cellStyle name="Notas 11 4 2" xfId="12057" xr:uid="{F3216981-E253-4113-958B-D13BE4CB9577}"/>
    <cellStyle name="Notas 11 4 2 2" xfId="27469" xr:uid="{565E88AE-FD6B-4E7F-8335-C722962E3C4F}"/>
    <cellStyle name="Notas 11 4 2 2 2" xfId="60403" xr:uid="{CEF33EA8-CFC4-4868-867C-82F17A15B1B5}"/>
    <cellStyle name="Notas 11 4 2 3" xfId="60402" xr:uid="{790AE542-0F83-41C4-8469-146DD90E2C54}"/>
    <cellStyle name="Notas 11 4 3" xfId="19764" xr:uid="{509E7730-4B30-4CD6-B1C6-661DD10067C0}"/>
    <cellStyle name="Notas 11 4 3 2" xfId="60404" xr:uid="{4DAD8D4A-4ECB-418E-9B4D-E8ACCC1CC2AF}"/>
    <cellStyle name="Notas 11 4 4" xfId="60401" xr:uid="{23515E6D-89E4-4F24-BD9C-463C00AAD845}"/>
    <cellStyle name="Notas 11 5" xfId="8346" xr:uid="{C2CE68FB-24D8-4D67-B000-BD6D746601A6}"/>
    <cellStyle name="Notas 11 5 2" xfId="23759" xr:uid="{93D3AC7A-F9CF-4167-9B1D-E8C9F00A2930}"/>
    <cellStyle name="Notas 11 5 2 2" xfId="60406" xr:uid="{ACDAD0BA-70D3-48B5-BDB9-1E29072B1D11}"/>
    <cellStyle name="Notas 11 5 3" xfId="60405" xr:uid="{183B158B-7DDB-4D58-91EA-6DAC92CC4FE8}"/>
    <cellStyle name="Notas 11 6" xfId="16054" xr:uid="{6720AD89-8360-4D90-B93C-9559EFC94E5F}"/>
    <cellStyle name="Notas 11 6 2" xfId="60407" xr:uid="{0783E762-F956-4B30-AA03-F11BBC53503B}"/>
    <cellStyle name="Notas 11 7" xfId="60376" xr:uid="{8DB8B8B8-C78A-4E39-A6C6-59BB57A2FC82}"/>
    <cellStyle name="Notas 12" xfId="624" xr:uid="{538F5391-120C-464B-8E06-0CCE0C01DAD3}"/>
    <cellStyle name="Notas 12 2" xfId="1285" xr:uid="{2FEF573E-6F11-4506-9738-1CA81B2C09D6}"/>
    <cellStyle name="Notas 12 2 2" xfId="2752" xr:uid="{EB96665E-48BF-4864-8DA4-78EB64CCD6A2}"/>
    <cellStyle name="Notas 12 2 2 2" xfId="6484" xr:uid="{9DECB6AD-291F-47C4-BB63-EAE9D9532612}"/>
    <cellStyle name="Notas 12 2 2 2 2" xfId="14192" xr:uid="{EE83EFA4-4B0A-4BE2-909A-D07351AD0B21}"/>
    <cellStyle name="Notas 12 2 2 2 2 2" xfId="29604" xr:uid="{23E75C5D-D896-42F0-B198-4C80747AA0F7}"/>
    <cellStyle name="Notas 12 2 2 2 2 2 2" xfId="60413" xr:uid="{CFA5FBF6-44AF-47CA-985A-DD33B156AE6A}"/>
    <cellStyle name="Notas 12 2 2 2 2 3" xfId="60412" xr:uid="{F036A196-D8E6-46B0-96CC-A4F3A43485E8}"/>
    <cellStyle name="Notas 12 2 2 2 3" xfId="21899" xr:uid="{3CF6C738-A25D-4562-BE1E-FA2719DCF163}"/>
    <cellStyle name="Notas 12 2 2 2 3 2" xfId="60414" xr:uid="{D001F1C4-E008-4488-A918-67A4EA8E2C04}"/>
    <cellStyle name="Notas 12 2 2 2 4" xfId="60411" xr:uid="{30BF28C2-060E-4B16-9B4C-2AD80EEA220D}"/>
    <cellStyle name="Notas 12 2 2 3" xfId="10463" xr:uid="{7D3368C6-5689-4E79-A129-49E6E0DA91B0}"/>
    <cellStyle name="Notas 12 2 2 3 2" xfId="25876" xr:uid="{B944A59F-347C-4DDF-ABB8-A3846121BB6E}"/>
    <cellStyle name="Notas 12 2 2 3 2 2" xfId="60416" xr:uid="{C03CA2A2-2DFA-4E55-B208-CCE7F608955D}"/>
    <cellStyle name="Notas 12 2 2 3 3" xfId="60415" xr:uid="{8D8E2130-1FBC-4C1C-9FF1-8E30723CDE19}"/>
    <cellStyle name="Notas 12 2 2 4" xfId="18171" xr:uid="{89DB2C05-158A-42E0-AFDF-242F567E391C}"/>
    <cellStyle name="Notas 12 2 2 4 2" xfId="60417" xr:uid="{BCF38F79-C05D-4388-A70A-AA9BC1E0FA99}"/>
    <cellStyle name="Notas 12 2 2 5" xfId="60410" xr:uid="{3413AAF9-02BE-4383-AA66-D67626FAF478}"/>
    <cellStyle name="Notas 12 2 3" xfId="5021" xr:uid="{9607290B-5A7A-4104-AC4C-E62AA8A67437}"/>
    <cellStyle name="Notas 12 2 3 2" xfId="12729" xr:uid="{1BEF4984-91DD-4B39-B41C-7D2ACED4888E}"/>
    <cellStyle name="Notas 12 2 3 2 2" xfId="28141" xr:uid="{48DA5A0E-5ACD-4E6F-8E3A-46CCBF72CEF9}"/>
    <cellStyle name="Notas 12 2 3 2 2 2" xfId="60420" xr:uid="{FE3E4017-E8E7-46DA-B83D-58503ED584BB}"/>
    <cellStyle name="Notas 12 2 3 2 3" xfId="60419" xr:uid="{DB1FB813-441B-4CF7-BAE0-CACEE09DE091}"/>
    <cellStyle name="Notas 12 2 3 3" xfId="20436" xr:uid="{0437209F-E875-42A8-8A79-611AB892D2F4}"/>
    <cellStyle name="Notas 12 2 3 3 2" xfId="60421" xr:uid="{71C81088-D55F-4086-BA24-A2D1E8661782}"/>
    <cellStyle name="Notas 12 2 3 4" xfId="60418" xr:uid="{6A679137-7125-4BC3-BF33-ACB15C810E43}"/>
    <cellStyle name="Notas 12 2 4" xfId="9004" xr:uid="{5D7CF252-26C0-41DF-9538-B2E4CFD77664}"/>
    <cellStyle name="Notas 12 2 4 2" xfId="24417" xr:uid="{7F3B2D6F-87D6-4DBB-B9AA-FBEF8DDE62BF}"/>
    <cellStyle name="Notas 12 2 4 2 2" xfId="60423" xr:uid="{6634EEF7-0DB9-4BC4-9F10-E49CF7A3CFF9}"/>
    <cellStyle name="Notas 12 2 4 3" xfId="60422" xr:uid="{04A2B5F1-A18D-4480-821B-F2581B024B07}"/>
    <cellStyle name="Notas 12 2 5" xfId="16712" xr:uid="{1CF926CF-4B9E-4C31-99F2-51C2B20B5575}"/>
    <cellStyle name="Notas 12 2 5 2" xfId="60424" xr:uid="{6D963AB8-FA2E-40C7-9C7B-93C61C04FC81}"/>
    <cellStyle name="Notas 12 2 6" xfId="60409" xr:uid="{EF087BB8-F1B2-4FBC-9681-A054518C8F3F}"/>
    <cellStyle name="Notas 12 3" xfId="2114" xr:uid="{3B812A05-8212-4E42-8E1A-429135370AD9}"/>
    <cellStyle name="Notas 12 3 2" xfId="5846" xr:uid="{8C02C72B-2143-4A56-8827-40B7982A5E54}"/>
    <cellStyle name="Notas 12 3 2 2" xfId="13554" xr:uid="{AF2F5A12-94A1-48F4-B359-36F4CC0E82CB}"/>
    <cellStyle name="Notas 12 3 2 2 2" xfId="28966" xr:uid="{F85EFFE0-D983-4C86-ADAA-70B292C02FBF}"/>
    <cellStyle name="Notas 12 3 2 2 2 2" xfId="60428" xr:uid="{80C55E38-43C6-494F-8EE1-497F475865D3}"/>
    <cellStyle name="Notas 12 3 2 2 3" xfId="60427" xr:uid="{6F8F400F-7A7D-459F-B00C-CF0B7474CBD6}"/>
    <cellStyle name="Notas 12 3 2 3" xfId="21261" xr:uid="{5D48F9EC-BD3F-41A0-BF33-632B3A7DE8EB}"/>
    <cellStyle name="Notas 12 3 2 3 2" xfId="60429" xr:uid="{92C50141-0DC7-498F-9BCA-FA4EC38F8AFF}"/>
    <cellStyle name="Notas 12 3 2 4" xfId="60426" xr:uid="{3FBAE024-BFEF-4B12-A98E-B5BAC2AF4A77}"/>
    <cellStyle name="Notas 12 3 3" xfId="9825" xr:uid="{E5929F21-9A17-4162-8238-FE22B542F41D}"/>
    <cellStyle name="Notas 12 3 3 2" xfId="25238" xr:uid="{B157DFCE-90A5-40A1-94DB-4C9EF75C1C44}"/>
    <cellStyle name="Notas 12 3 3 2 2" xfId="60431" xr:uid="{F9ECC3DB-779F-47FA-BD1B-50BC06239DD1}"/>
    <cellStyle name="Notas 12 3 3 3" xfId="60430" xr:uid="{EF5A6832-D293-4937-8937-66B243EAE519}"/>
    <cellStyle name="Notas 12 3 4" xfId="17533" xr:uid="{BB1B331C-6235-4D2F-8CED-0384D233EA11}"/>
    <cellStyle name="Notas 12 3 4 2" xfId="60432" xr:uid="{3AD0F036-9CBB-49EB-AE9E-303D785802D4}"/>
    <cellStyle name="Notas 12 3 5" xfId="60425" xr:uid="{091C3E57-402E-4B1C-9D3E-4E0BE817531C}"/>
    <cellStyle name="Notas 12 4" xfId="4369" xr:uid="{DE1619C6-E6B7-4F07-A88A-C12127F8A6FF}"/>
    <cellStyle name="Notas 12 4 2" xfId="12077" xr:uid="{608DCF03-DE9E-46CF-99C4-2D478F7B17A0}"/>
    <cellStyle name="Notas 12 4 2 2" xfId="27489" xr:uid="{797C75CA-C9F3-41E9-A9D1-A53051743794}"/>
    <cellStyle name="Notas 12 4 2 2 2" xfId="60435" xr:uid="{A77664B7-4383-4EB0-B21E-38B986523523}"/>
    <cellStyle name="Notas 12 4 2 3" xfId="60434" xr:uid="{288A6025-BEDF-449A-B219-55211CB34D87}"/>
    <cellStyle name="Notas 12 4 3" xfId="19784" xr:uid="{F061CF0E-96F9-44B7-9C3E-01026B336220}"/>
    <cellStyle name="Notas 12 4 3 2" xfId="60436" xr:uid="{8D37E2A2-855A-43D6-A882-398EDF4D2FCC}"/>
    <cellStyle name="Notas 12 4 4" xfId="60433" xr:uid="{A14E3894-3B3E-4534-B31D-5A368E1BC46C}"/>
    <cellStyle name="Notas 12 5" xfId="8366" xr:uid="{4B2654BB-2201-4815-81B9-FD5A4E595E3B}"/>
    <cellStyle name="Notas 12 5 2" xfId="23779" xr:uid="{62ACDC5A-6F12-418C-8FDB-A7557E555F55}"/>
    <cellStyle name="Notas 12 5 2 2" xfId="60438" xr:uid="{323C8908-1369-46F6-A767-B0EFD8FDF0A3}"/>
    <cellStyle name="Notas 12 5 3" xfId="60437" xr:uid="{DDCF9061-C5F6-463E-9EA7-E1E3B4DA5F11}"/>
    <cellStyle name="Notas 12 6" xfId="16074" xr:uid="{70782236-9D17-42CC-942A-6320EC833AF5}"/>
    <cellStyle name="Notas 12 6 2" xfId="60439" xr:uid="{3F4297F0-E271-49A4-B0AF-A4DF23518974}"/>
    <cellStyle name="Notas 12 7" xfId="60408" xr:uid="{8D12750F-98A0-4162-8BA5-50F957761E6A}"/>
    <cellStyle name="Notas 13" xfId="645" xr:uid="{85B82C85-34CC-455A-AE62-912C2F463A1F}"/>
    <cellStyle name="Notas 13 2" xfId="1306" xr:uid="{8AF9446F-4FDA-4830-A0B0-C89BB0B0F124}"/>
    <cellStyle name="Notas 13 2 2" xfId="2773" xr:uid="{8F049F35-E548-4980-8BED-DC78C732EF46}"/>
    <cellStyle name="Notas 13 2 2 2" xfId="6505" xr:uid="{2FC403A3-877C-4981-8B8E-002EA2FB1D82}"/>
    <cellStyle name="Notas 13 2 2 2 2" xfId="14213" xr:uid="{BA2BA6D0-6352-42B6-9458-2C0BA00B40AB}"/>
    <cellStyle name="Notas 13 2 2 2 2 2" xfId="29625" xr:uid="{14C9BEA5-E49A-455A-8D2D-F0477407C3CF}"/>
    <cellStyle name="Notas 13 2 2 2 2 2 2" xfId="60445" xr:uid="{2C477A35-1B62-464B-901A-A8B45180B9EF}"/>
    <cellStyle name="Notas 13 2 2 2 2 3" xfId="60444" xr:uid="{7A8BABA1-9D46-49C2-B891-ABCBC110DB0A}"/>
    <cellStyle name="Notas 13 2 2 2 3" xfId="21920" xr:uid="{55E32077-0025-423E-9635-D7A51471EA1E}"/>
    <cellStyle name="Notas 13 2 2 2 3 2" xfId="60446" xr:uid="{AA4DBF96-EC94-4DF2-B52D-259226C894C4}"/>
    <cellStyle name="Notas 13 2 2 2 4" xfId="60443" xr:uid="{B5140F6A-ED66-40E6-84A3-57A2102885D4}"/>
    <cellStyle name="Notas 13 2 2 3" xfId="10484" xr:uid="{02553C45-569E-4D39-9126-4559C59D2540}"/>
    <cellStyle name="Notas 13 2 2 3 2" xfId="25897" xr:uid="{E5A8BFBD-E5B6-4FEC-B29C-BF9E1CFFC258}"/>
    <cellStyle name="Notas 13 2 2 3 2 2" xfId="60448" xr:uid="{D21FAD80-5023-4321-BC73-46B7E5162EA7}"/>
    <cellStyle name="Notas 13 2 2 3 3" xfId="60447" xr:uid="{7C2B46D0-E29A-4679-93C1-836B9610F87D}"/>
    <cellStyle name="Notas 13 2 2 4" xfId="18192" xr:uid="{9BEC736C-30F3-40E9-9F98-C662C7AC642A}"/>
    <cellStyle name="Notas 13 2 2 4 2" xfId="60449" xr:uid="{78D81BCD-4F0A-4520-AE33-5847A8C1FA8B}"/>
    <cellStyle name="Notas 13 2 2 5" xfId="60442" xr:uid="{5AD81A73-77A2-4D72-B47D-308132B96C80}"/>
    <cellStyle name="Notas 13 2 3" xfId="5042" xr:uid="{0FB032F5-627E-4A21-A6E8-3CB52BFBAA92}"/>
    <cellStyle name="Notas 13 2 3 2" xfId="12750" xr:uid="{A466B828-8CE8-4312-9C55-3831FB516F64}"/>
    <cellStyle name="Notas 13 2 3 2 2" xfId="28162" xr:uid="{AB2EEC01-7AD1-46D3-94AF-B24944FA5706}"/>
    <cellStyle name="Notas 13 2 3 2 2 2" xfId="60452" xr:uid="{D40A5317-EC00-4F1D-91F1-DFB16DC4B96E}"/>
    <cellStyle name="Notas 13 2 3 2 3" xfId="60451" xr:uid="{57D8AD5F-9B4E-415B-BDE3-B8D3CB53B450}"/>
    <cellStyle name="Notas 13 2 3 3" xfId="20457" xr:uid="{19ACC15F-FF4E-4879-B20B-9F0D510A8EC1}"/>
    <cellStyle name="Notas 13 2 3 3 2" xfId="60453" xr:uid="{E718984B-002E-4106-9264-8A322E1CBC3E}"/>
    <cellStyle name="Notas 13 2 3 4" xfId="60450" xr:uid="{B48F8505-60CC-4E02-B713-FBE5D6B45A5C}"/>
    <cellStyle name="Notas 13 2 4" xfId="9025" xr:uid="{1104A5CC-4D7F-40EF-9B39-6D94D5AE7D11}"/>
    <cellStyle name="Notas 13 2 4 2" xfId="24438" xr:uid="{6697D42B-FEC2-4CA0-8046-BAC19F090AE7}"/>
    <cellStyle name="Notas 13 2 4 2 2" xfId="60455" xr:uid="{5CF6C720-E38A-409B-A521-9581252D970E}"/>
    <cellStyle name="Notas 13 2 4 3" xfId="60454" xr:uid="{6616E321-338E-4044-9676-745560B65DC2}"/>
    <cellStyle name="Notas 13 2 5" xfId="16733" xr:uid="{9D130A16-A605-4F22-A0F8-71BDCC64C394}"/>
    <cellStyle name="Notas 13 2 5 2" xfId="60456" xr:uid="{2A9D8C59-56DD-4665-8B3C-E45EE1940040}"/>
    <cellStyle name="Notas 13 2 6" xfId="60441" xr:uid="{C1D285FD-6E23-4914-99EF-DB463E9ABD16}"/>
    <cellStyle name="Notas 13 3" xfId="2135" xr:uid="{2941FE82-F8B2-4A97-B710-523873EE72B4}"/>
    <cellStyle name="Notas 13 3 2" xfId="5867" xr:uid="{9BD70BFF-604B-4265-BD84-2E03FC60D0D5}"/>
    <cellStyle name="Notas 13 3 2 2" xfId="13575" xr:uid="{DE5900D7-8F0C-4C43-8076-C4FB1DE7018F}"/>
    <cellStyle name="Notas 13 3 2 2 2" xfId="28987" xr:uid="{BF97D559-2373-4801-83BB-322F6B2E9D86}"/>
    <cellStyle name="Notas 13 3 2 2 2 2" xfId="60460" xr:uid="{8708BCC4-FFC6-4B73-83C4-7E380ED9927A}"/>
    <cellStyle name="Notas 13 3 2 2 3" xfId="60459" xr:uid="{62572727-21D0-43B6-BB29-38462201B9D3}"/>
    <cellStyle name="Notas 13 3 2 3" xfId="21282" xr:uid="{22EB305F-3E0E-46F5-BCD7-A25167A9C194}"/>
    <cellStyle name="Notas 13 3 2 3 2" xfId="60461" xr:uid="{063E0A81-04DA-4A52-8251-566A3FACA36C}"/>
    <cellStyle name="Notas 13 3 2 4" xfId="60458" xr:uid="{4C061848-02D5-443B-AFBA-09E460186F23}"/>
    <cellStyle name="Notas 13 3 3" xfId="9846" xr:uid="{5683FF8D-B18A-4889-9594-342092E7C1A0}"/>
    <cellStyle name="Notas 13 3 3 2" xfId="25259" xr:uid="{201FAF03-6BCF-4D2F-AD3F-6EFEDAEF7DE4}"/>
    <cellStyle name="Notas 13 3 3 2 2" xfId="60463" xr:uid="{B460798F-DC01-45F9-81D4-7F4C85EC9F1B}"/>
    <cellStyle name="Notas 13 3 3 3" xfId="60462" xr:uid="{7EED8AF6-BA6E-4526-985B-6E22EF5DF8CF}"/>
    <cellStyle name="Notas 13 3 4" xfId="17554" xr:uid="{82D1EB55-BE4E-40F6-B6A5-AA98B4A5E3F6}"/>
    <cellStyle name="Notas 13 3 4 2" xfId="60464" xr:uid="{97D46211-6F7D-42B4-83B4-23A7AAA27D9A}"/>
    <cellStyle name="Notas 13 3 5" xfId="60457" xr:uid="{72DB2492-E213-42A4-A7DC-5F2C124F31B4}"/>
    <cellStyle name="Notas 13 4" xfId="4390" xr:uid="{8DC6455D-6F39-4947-99E8-166BACDDF100}"/>
    <cellStyle name="Notas 13 4 2" xfId="12098" xr:uid="{479748FE-EA3C-4409-BFF5-48EF88067F2C}"/>
    <cellStyle name="Notas 13 4 2 2" xfId="27510" xr:uid="{43B1CDDA-4E90-4FF3-B699-D77C5070F7B4}"/>
    <cellStyle name="Notas 13 4 2 2 2" xfId="60467" xr:uid="{30831695-B87C-45C7-9583-FEE9BC153391}"/>
    <cellStyle name="Notas 13 4 2 3" xfId="60466" xr:uid="{E3A84F9B-6315-4FFB-8E35-28E2FCC363DA}"/>
    <cellStyle name="Notas 13 4 3" xfId="19805" xr:uid="{960A6965-CBEF-44BB-A50A-EB297D269231}"/>
    <cellStyle name="Notas 13 4 3 2" xfId="60468" xr:uid="{9E5517C7-131E-4337-88D0-F3FF82B715A4}"/>
    <cellStyle name="Notas 13 4 4" xfId="60465" xr:uid="{24DAFABD-03A0-401D-BE76-6B12A537DBBA}"/>
    <cellStyle name="Notas 13 5" xfId="8387" xr:uid="{624590FE-FAD4-4136-8C4F-ACAB3FB0765A}"/>
    <cellStyle name="Notas 13 5 2" xfId="23800" xr:uid="{360C6E46-7F93-4721-830D-7BC9E3E7D7CD}"/>
    <cellStyle name="Notas 13 5 2 2" xfId="60470" xr:uid="{7EEED6DE-4402-47A5-9520-2073FEB6BC63}"/>
    <cellStyle name="Notas 13 5 3" xfId="60469" xr:uid="{F4D23181-C7DE-45BD-9676-8E92F109257D}"/>
    <cellStyle name="Notas 13 6" xfId="16095" xr:uid="{2389B1FF-73AC-46C0-9293-6F16150D01C6}"/>
    <cellStyle name="Notas 13 6 2" xfId="60471" xr:uid="{62E2EBF0-0FED-460A-9A39-9BF41DB8C88D}"/>
    <cellStyle name="Notas 13 7" xfId="60440" xr:uid="{90BFFB2E-4B23-4324-BA8B-9C064237423F}"/>
    <cellStyle name="Notas 14" xfId="665" xr:uid="{0FF17260-2FD5-4A35-A7CB-1FAC5E894918}"/>
    <cellStyle name="Notas 14 2" xfId="1326" xr:uid="{251B4F1A-D388-4466-94E3-997F8298B1CF}"/>
    <cellStyle name="Notas 14 2 2" xfId="2793" xr:uid="{3067E7E0-F2C9-4CE1-9F30-FF08A0EF6D7B}"/>
    <cellStyle name="Notas 14 2 2 2" xfId="6525" xr:uid="{FF81E468-BF9F-4E6B-9DD8-3168B8158AD9}"/>
    <cellStyle name="Notas 14 2 2 2 2" xfId="14233" xr:uid="{C6AB4E45-E37F-4E26-BA9A-0959DC2E47E2}"/>
    <cellStyle name="Notas 14 2 2 2 2 2" xfId="29645" xr:uid="{5F010C05-DC13-43AD-A1E7-223B82443800}"/>
    <cellStyle name="Notas 14 2 2 2 2 2 2" xfId="60477" xr:uid="{EB635F32-467E-47AA-B1FD-1504DA9928AC}"/>
    <cellStyle name="Notas 14 2 2 2 2 3" xfId="60476" xr:uid="{5263C45D-4D4C-4F35-932C-E7FCB5E6C461}"/>
    <cellStyle name="Notas 14 2 2 2 3" xfId="21940" xr:uid="{6686A782-F1EB-411E-AE5E-44DDCA2B9CCD}"/>
    <cellStyle name="Notas 14 2 2 2 3 2" xfId="60478" xr:uid="{DCC399CE-D0D0-422B-AF90-544B5D4E2409}"/>
    <cellStyle name="Notas 14 2 2 2 4" xfId="60475" xr:uid="{26B9496A-B980-4291-AE0D-5F363D0AC085}"/>
    <cellStyle name="Notas 14 2 2 3" xfId="10504" xr:uid="{0E2F17BD-495A-4504-8814-FEC3EB464F6A}"/>
    <cellStyle name="Notas 14 2 2 3 2" xfId="25917" xr:uid="{61B0A866-EEDD-4D0E-ACD1-3721E30F23F5}"/>
    <cellStyle name="Notas 14 2 2 3 2 2" xfId="60480" xr:uid="{0C55D621-0650-4E8F-B10D-93ADF9B24512}"/>
    <cellStyle name="Notas 14 2 2 3 3" xfId="60479" xr:uid="{4BF40862-2D73-4770-8D0F-4746F3CB0DEA}"/>
    <cellStyle name="Notas 14 2 2 4" xfId="18212" xr:uid="{E662438A-203D-457D-85B2-2E9E33CE339A}"/>
    <cellStyle name="Notas 14 2 2 4 2" xfId="60481" xr:uid="{441FE016-CA4D-49AF-8018-8D22ECAF87F2}"/>
    <cellStyle name="Notas 14 2 2 5" xfId="60474" xr:uid="{5C490ADC-6BAB-4EEA-B398-BD72FB23EAD6}"/>
    <cellStyle name="Notas 14 2 3" xfId="5062" xr:uid="{17FC80A4-5459-4F36-A720-2721E9F12D6D}"/>
    <cellStyle name="Notas 14 2 3 2" xfId="12770" xr:uid="{FBBE1BF6-C33C-4C58-8B97-EAD2595F0C3D}"/>
    <cellStyle name="Notas 14 2 3 2 2" xfId="28182" xr:uid="{D04E5A21-B87D-4CA4-ACA7-F7DACC58D6B8}"/>
    <cellStyle name="Notas 14 2 3 2 2 2" xfId="60484" xr:uid="{EBC30D2E-EDF0-4898-B342-2D803F4E5240}"/>
    <cellStyle name="Notas 14 2 3 2 3" xfId="60483" xr:uid="{FA9DBFCD-34FC-4251-B5CB-29C89E044902}"/>
    <cellStyle name="Notas 14 2 3 3" xfId="20477" xr:uid="{912B15FD-A1CC-40D1-B587-932D0C6DB639}"/>
    <cellStyle name="Notas 14 2 3 3 2" xfId="60485" xr:uid="{8CC81114-BE96-4020-B739-420F86930B1C}"/>
    <cellStyle name="Notas 14 2 3 4" xfId="60482" xr:uid="{2308EA77-9B4E-43CE-9182-9CAB4A79546F}"/>
    <cellStyle name="Notas 14 2 4" xfId="9045" xr:uid="{A4DF195F-6382-44F7-A131-43BB6DEEACCF}"/>
    <cellStyle name="Notas 14 2 4 2" xfId="24458" xr:uid="{6A412FAA-73C8-44C4-A803-824CAEC87F6F}"/>
    <cellStyle name="Notas 14 2 4 2 2" xfId="60487" xr:uid="{B5146AB7-E8C5-42B9-AE9B-90E4F76CE464}"/>
    <cellStyle name="Notas 14 2 4 3" xfId="60486" xr:uid="{5F0AECC4-81AC-47EE-9485-BEE4CAA3C5E6}"/>
    <cellStyle name="Notas 14 2 5" xfId="16753" xr:uid="{AE581D88-A765-43A8-9A27-FD40E6ED0C5B}"/>
    <cellStyle name="Notas 14 2 5 2" xfId="60488" xr:uid="{BF763F6B-F20E-46A5-8CA9-5E5D23438DC8}"/>
    <cellStyle name="Notas 14 2 6" xfId="60473" xr:uid="{B89F3907-6793-4BDC-B939-944FCA144D1A}"/>
    <cellStyle name="Notas 14 3" xfId="2155" xr:uid="{2C8E37AB-F25D-4405-B02F-21B892DE61DC}"/>
    <cellStyle name="Notas 14 3 2" xfId="5887" xr:uid="{22316086-2430-471B-8C1F-305AE706452F}"/>
    <cellStyle name="Notas 14 3 2 2" xfId="13595" xr:uid="{83FAE394-193E-4A32-B58D-C93B6BC6FCD8}"/>
    <cellStyle name="Notas 14 3 2 2 2" xfId="29007" xr:uid="{F8D194AF-A9DF-4539-A2ED-E511B8B64F9C}"/>
    <cellStyle name="Notas 14 3 2 2 2 2" xfId="60492" xr:uid="{F1199760-61B7-4A6C-99CF-20ACE32F5D67}"/>
    <cellStyle name="Notas 14 3 2 2 3" xfId="60491" xr:uid="{7D7570CF-8B05-42B6-914D-FBDA9C0CBA43}"/>
    <cellStyle name="Notas 14 3 2 3" xfId="21302" xr:uid="{DBF21711-0C95-44BE-8259-E5DE4512C326}"/>
    <cellStyle name="Notas 14 3 2 3 2" xfId="60493" xr:uid="{5D073308-4B9C-4085-937E-2483CA449A3A}"/>
    <cellStyle name="Notas 14 3 2 4" xfId="60490" xr:uid="{80CA8EDB-E67D-4A7F-8322-F9CD4823B267}"/>
    <cellStyle name="Notas 14 3 3" xfId="9866" xr:uid="{AA709D07-9C00-4651-8162-B080330C8E6E}"/>
    <cellStyle name="Notas 14 3 3 2" xfId="25279" xr:uid="{0E566AE2-FB53-462A-9F69-E6901C046DFD}"/>
    <cellStyle name="Notas 14 3 3 2 2" xfId="60495" xr:uid="{E398B968-0C4F-4592-9571-9F498734A766}"/>
    <cellStyle name="Notas 14 3 3 3" xfId="60494" xr:uid="{2F2E6ED2-B122-4EB7-855C-F59D98F9DF0A}"/>
    <cellStyle name="Notas 14 3 4" xfId="17574" xr:uid="{257D5EFE-AE6B-40C6-A520-5F840300451A}"/>
    <cellStyle name="Notas 14 3 4 2" xfId="60496" xr:uid="{EBB5EE96-3818-4CDC-830A-65149D1E8BD6}"/>
    <cellStyle name="Notas 14 3 5" xfId="60489" xr:uid="{65AA3A99-F276-44C3-B11E-7B9607D7CC95}"/>
    <cellStyle name="Notas 14 4" xfId="4410" xr:uid="{51AA9B95-F6D3-40FB-8C14-F58FE3A9DC44}"/>
    <cellStyle name="Notas 14 4 2" xfId="12118" xr:uid="{E86C0A47-26C5-4FBE-81C8-8AD683F5982B}"/>
    <cellStyle name="Notas 14 4 2 2" xfId="27530" xr:uid="{F1CF64F2-725B-47BC-A90F-4770D7C71431}"/>
    <cellStyle name="Notas 14 4 2 2 2" xfId="60499" xr:uid="{B94DFA14-3569-4AE0-9940-505D9B214085}"/>
    <cellStyle name="Notas 14 4 2 3" xfId="60498" xr:uid="{B8EBB7EA-4AD0-4D3B-8AAA-BCC4ECD364E8}"/>
    <cellStyle name="Notas 14 4 3" xfId="19825" xr:uid="{18B1C53D-CC8B-40F5-AB34-6F8D37C2D605}"/>
    <cellStyle name="Notas 14 4 3 2" xfId="60500" xr:uid="{52720997-B2E9-40B9-B6F6-98981E72476F}"/>
    <cellStyle name="Notas 14 4 4" xfId="60497" xr:uid="{5A8F9706-5B54-42DD-859E-2BEA7C2B46C0}"/>
    <cellStyle name="Notas 14 5" xfId="8407" xr:uid="{EB996172-5A25-4185-B629-208401ECE9B8}"/>
    <cellStyle name="Notas 14 5 2" xfId="23820" xr:uid="{9ACFDFF6-4E79-45C5-BCC3-4A9814A5BCB6}"/>
    <cellStyle name="Notas 14 5 2 2" xfId="60502" xr:uid="{48193CF6-9BDB-4850-8D19-A4CE7C684D85}"/>
    <cellStyle name="Notas 14 5 3" xfId="60501" xr:uid="{A16A58F4-DA2A-43E5-95EF-BEC5BBD66DAB}"/>
    <cellStyle name="Notas 14 6" xfId="16115" xr:uid="{CD49C634-35C8-40C5-B922-8EED5965BDC5}"/>
    <cellStyle name="Notas 14 6 2" xfId="60503" xr:uid="{20F8BFF3-59A4-4E3D-BC6E-C7EABC1A51C9}"/>
    <cellStyle name="Notas 14 7" xfId="60472" xr:uid="{A03E27CE-8EBB-449D-84EC-1CD0A4ECD54A}"/>
    <cellStyle name="Notas 15" xfId="685" xr:uid="{2E79F096-CB1F-44BB-A344-6D17D1F119FE}"/>
    <cellStyle name="Notas 15 2" xfId="1346" xr:uid="{E576D820-82EE-4E6D-BE8E-49A3C978A4BB}"/>
    <cellStyle name="Notas 15 2 2" xfId="2813" xr:uid="{E923C4E2-5127-4758-8D7D-565240E5ECDC}"/>
    <cellStyle name="Notas 15 2 2 2" xfId="6545" xr:uid="{0CCB62D2-1751-4F1C-9C71-A421A1369686}"/>
    <cellStyle name="Notas 15 2 2 2 2" xfId="14253" xr:uid="{3FE56427-54E4-4F6A-B16E-332633515E90}"/>
    <cellStyle name="Notas 15 2 2 2 2 2" xfId="29665" xr:uid="{7AC31EAB-B8FA-409A-B7D0-40F6DD1E7CB6}"/>
    <cellStyle name="Notas 15 2 2 2 2 2 2" xfId="60509" xr:uid="{0FB694B2-203F-4020-A8B2-82E74D597663}"/>
    <cellStyle name="Notas 15 2 2 2 2 3" xfId="60508" xr:uid="{7C90DA00-373F-4F6F-8EEE-E0A6E1ED032F}"/>
    <cellStyle name="Notas 15 2 2 2 3" xfId="21960" xr:uid="{99185769-70E5-4B73-9322-884FF51BA975}"/>
    <cellStyle name="Notas 15 2 2 2 3 2" xfId="60510" xr:uid="{793F2D68-2892-4379-BF1B-728EA5F94B7F}"/>
    <cellStyle name="Notas 15 2 2 2 4" xfId="60507" xr:uid="{57CE66B1-ACFC-46EA-9EBD-C44FF74007B9}"/>
    <cellStyle name="Notas 15 2 2 3" xfId="10524" xr:uid="{AF6EE5C3-4EAF-4967-BD5D-B224744A54E7}"/>
    <cellStyle name="Notas 15 2 2 3 2" xfId="25937" xr:uid="{2CEE804D-8424-442D-B7E6-A5AF382E9812}"/>
    <cellStyle name="Notas 15 2 2 3 2 2" xfId="60512" xr:uid="{0B15F05B-AF33-4868-888C-FAFFE1E606D8}"/>
    <cellStyle name="Notas 15 2 2 3 3" xfId="60511" xr:uid="{98C89660-788F-4934-90DA-BB10932F6C81}"/>
    <cellStyle name="Notas 15 2 2 4" xfId="18232" xr:uid="{E306AB4A-E0C7-4F72-BCE6-4A9EF1631E84}"/>
    <cellStyle name="Notas 15 2 2 4 2" xfId="60513" xr:uid="{43A8AFB4-4F50-4DB3-89AD-F9E84078C1F5}"/>
    <cellStyle name="Notas 15 2 2 5" xfId="60506" xr:uid="{40CAAC05-71D5-4CFD-900A-4756505791BA}"/>
    <cellStyle name="Notas 15 2 3" xfId="5082" xr:uid="{3451E20E-B1CF-4E5B-85B3-63CF6CC32C84}"/>
    <cellStyle name="Notas 15 2 3 2" xfId="12790" xr:uid="{E62DD595-1B70-4684-AC5B-2886BA96A954}"/>
    <cellStyle name="Notas 15 2 3 2 2" xfId="28202" xr:uid="{F8EF4984-C5E8-4C57-8085-450EC294F2B5}"/>
    <cellStyle name="Notas 15 2 3 2 2 2" xfId="60516" xr:uid="{D92DC4A7-CD63-41C3-89AB-741018026D64}"/>
    <cellStyle name="Notas 15 2 3 2 3" xfId="60515" xr:uid="{0035406D-4B5A-42E3-BF42-DEA369770C83}"/>
    <cellStyle name="Notas 15 2 3 3" xfId="20497" xr:uid="{FC86ECEB-A01A-433C-A489-FF9FB91D7EA4}"/>
    <cellStyle name="Notas 15 2 3 3 2" xfId="60517" xr:uid="{44FB6E72-8D36-42EA-98EA-17A9375F004F}"/>
    <cellStyle name="Notas 15 2 3 4" xfId="60514" xr:uid="{C7D8FC82-FFF8-46F3-8B57-FC56E3E2B360}"/>
    <cellStyle name="Notas 15 2 4" xfId="9065" xr:uid="{3C1D13EE-7DA4-4CCE-825C-BF899A251028}"/>
    <cellStyle name="Notas 15 2 4 2" xfId="24478" xr:uid="{3856DD25-5F64-4B8F-97D0-2811C305CB50}"/>
    <cellStyle name="Notas 15 2 4 2 2" xfId="60519" xr:uid="{36F6C772-860B-4B2B-82EF-EEFF818A5C16}"/>
    <cellStyle name="Notas 15 2 4 3" xfId="60518" xr:uid="{48759F6D-DAE1-4AC5-858D-B98C1514DF5B}"/>
    <cellStyle name="Notas 15 2 5" xfId="16773" xr:uid="{8C93E898-BE1C-414F-9D13-C98DA96DE532}"/>
    <cellStyle name="Notas 15 2 5 2" xfId="60520" xr:uid="{96F514D4-50E5-4345-A5F8-5C5ABF84D9AE}"/>
    <cellStyle name="Notas 15 2 6" xfId="60505" xr:uid="{08D636F2-E94C-4843-A934-3D810A726A17}"/>
    <cellStyle name="Notas 15 3" xfId="2175" xr:uid="{C7C6FB14-725A-4888-8AE7-0ECD3983C8BF}"/>
    <cellStyle name="Notas 15 3 2" xfId="5907" xr:uid="{88819C4B-4C6D-48E3-B3FF-113E47F75138}"/>
    <cellStyle name="Notas 15 3 2 2" xfId="13615" xr:uid="{654A601E-AB7B-4629-BA6C-374CDBACA2D6}"/>
    <cellStyle name="Notas 15 3 2 2 2" xfId="29027" xr:uid="{DE9DEB0F-CAD0-4096-B057-55446B9C7AA0}"/>
    <cellStyle name="Notas 15 3 2 2 2 2" xfId="60524" xr:uid="{AD4D3C06-079B-461A-B80E-2EAD946C955E}"/>
    <cellStyle name="Notas 15 3 2 2 3" xfId="60523" xr:uid="{85635170-2015-4D6D-980C-C7608D3A0C18}"/>
    <cellStyle name="Notas 15 3 2 3" xfId="21322" xr:uid="{9D26A8F0-8C89-4753-9815-C4E3E77672F9}"/>
    <cellStyle name="Notas 15 3 2 3 2" xfId="60525" xr:uid="{698CEE8C-1125-4DBF-9BB7-28A73394149B}"/>
    <cellStyle name="Notas 15 3 2 4" xfId="60522" xr:uid="{0F2064D5-A6BD-4B45-ADC6-92BEEE00216F}"/>
    <cellStyle name="Notas 15 3 3" xfId="9886" xr:uid="{3AEE03A6-979F-468C-820A-28985C8E6148}"/>
    <cellStyle name="Notas 15 3 3 2" xfId="25299" xr:uid="{1667CEED-DDC0-44F0-857C-D9DA49EC4D4A}"/>
    <cellStyle name="Notas 15 3 3 2 2" xfId="60527" xr:uid="{CD40FB56-7B7E-4556-A3B2-A0A55489152B}"/>
    <cellStyle name="Notas 15 3 3 3" xfId="60526" xr:uid="{63F5D3A8-CF49-42E0-9F42-293C22AC40E6}"/>
    <cellStyle name="Notas 15 3 4" xfId="17594" xr:uid="{5871EFEE-E40E-45F6-849C-C8825D8A032E}"/>
    <cellStyle name="Notas 15 3 4 2" xfId="60528" xr:uid="{689E5B76-6F26-44BC-A228-8A5F3F624ABC}"/>
    <cellStyle name="Notas 15 3 5" xfId="60521" xr:uid="{4AA6AE71-86E5-4266-89FF-92249BEAB493}"/>
    <cellStyle name="Notas 15 4" xfId="4430" xr:uid="{DC666D78-B3CF-4F5C-A95A-E86C59EF70E3}"/>
    <cellStyle name="Notas 15 4 2" xfId="12138" xr:uid="{35620339-F313-405A-B919-6E651E8D0F8B}"/>
    <cellStyle name="Notas 15 4 2 2" xfId="27550" xr:uid="{79F8CE54-A5B7-423D-99A2-38C6B254240E}"/>
    <cellStyle name="Notas 15 4 2 2 2" xfId="60531" xr:uid="{F5646935-9605-40A8-94BC-FE436D63FDCF}"/>
    <cellStyle name="Notas 15 4 2 3" xfId="60530" xr:uid="{069B02B9-E0A4-4D9D-8FC4-7553B6DABB32}"/>
    <cellStyle name="Notas 15 4 3" xfId="19845" xr:uid="{77F272F5-BD37-45EE-BECF-1C47F2C599E7}"/>
    <cellStyle name="Notas 15 4 3 2" xfId="60532" xr:uid="{4AA6B060-8932-4A48-B36B-C8C2ED138395}"/>
    <cellStyle name="Notas 15 4 4" xfId="60529" xr:uid="{A980D41C-45B8-4B44-A765-1D9C0EB12884}"/>
    <cellStyle name="Notas 15 5" xfId="8427" xr:uid="{2899D6CE-ADD1-4C70-8BF3-D8E0BC26F478}"/>
    <cellStyle name="Notas 15 5 2" xfId="23840" xr:uid="{434867B3-FCFB-40C2-84A4-F781192DDECC}"/>
    <cellStyle name="Notas 15 5 2 2" xfId="60534" xr:uid="{EDAC91AF-D68E-42AF-9B17-F68918340F74}"/>
    <cellStyle name="Notas 15 5 3" xfId="60533" xr:uid="{6DD96667-DE34-4348-AE30-0DC446141805}"/>
    <cellStyle name="Notas 15 6" xfId="16135" xr:uid="{0E175481-345F-4155-A866-97731EBA4BEE}"/>
    <cellStyle name="Notas 15 6 2" xfId="60535" xr:uid="{82448116-6C35-4DF2-8171-D79B8CE80EE6}"/>
    <cellStyle name="Notas 15 7" xfId="60504" xr:uid="{ED5017AA-8EAE-4058-92CA-AAB2C1530F95}"/>
    <cellStyle name="Notas 16" xfId="706" xr:uid="{4191B11F-34E8-4DAA-B2DD-99990A1E64E4}"/>
    <cellStyle name="Notas 16 2" xfId="1367" xr:uid="{666C3C0E-04CE-4AF1-8806-1FCA8EC5C274}"/>
    <cellStyle name="Notas 16 2 2" xfId="2834" xr:uid="{58B24943-AF8E-4E36-92F7-05B8B43A7D75}"/>
    <cellStyle name="Notas 16 2 2 2" xfId="6566" xr:uid="{C0350581-75E7-45E7-97CB-2AFF4CC804C7}"/>
    <cellStyle name="Notas 16 2 2 2 2" xfId="14274" xr:uid="{00A513ED-ADA5-4079-953D-C9D54D3B2F8A}"/>
    <cellStyle name="Notas 16 2 2 2 2 2" xfId="29686" xr:uid="{ABC92533-265F-451D-8290-D204AE47323E}"/>
    <cellStyle name="Notas 16 2 2 2 2 2 2" xfId="60541" xr:uid="{D90BDDE5-C56B-4418-9097-2B9B1051D795}"/>
    <cellStyle name="Notas 16 2 2 2 2 3" xfId="60540" xr:uid="{5C98EEFB-2814-4A0E-AF0C-E3EC64B1D243}"/>
    <cellStyle name="Notas 16 2 2 2 3" xfId="21981" xr:uid="{06CD6E65-ECB9-41C2-B6E8-D9BAE589DE46}"/>
    <cellStyle name="Notas 16 2 2 2 3 2" xfId="60542" xr:uid="{24D5CFF5-7CC7-4937-89CB-741F2E97FDB7}"/>
    <cellStyle name="Notas 16 2 2 2 4" xfId="60539" xr:uid="{9B7178AC-FD42-4041-8D08-E9A78C28E569}"/>
    <cellStyle name="Notas 16 2 2 3" xfId="10545" xr:uid="{39CBE3E1-6D39-4904-89FB-40E74BCAE1AC}"/>
    <cellStyle name="Notas 16 2 2 3 2" xfId="25958" xr:uid="{401BDFFB-4870-4941-8FB9-7E9223424298}"/>
    <cellStyle name="Notas 16 2 2 3 2 2" xfId="60544" xr:uid="{0280C88A-711A-41BE-B49E-BF5E94328296}"/>
    <cellStyle name="Notas 16 2 2 3 3" xfId="60543" xr:uid="{13B76E93-5A16-4FBC-880C-40B9CA26DB0D}"/>
    <cellStyle name="Notas 16 2 2 4" xfId="18253" xr:uid="{CAAFC800-B36C-4C7A-80DA-B25EA68C6923}"/>
    <cellStyle name="Notas 16 2 2 4 2" xfId="60545" xr:uid="{1AE302C3-D24D-4109-870B-C1878E4ABF2F}"/>
    <cellStyle name="Notas 16 2 2 5" xfId="60538" xr:uid="{AABB4213-486B-4EC0-8152-AC728E448BF8}"/>
    <cellStyle name="Notas 16 2 3" xfId="5103" xr:uid="{27075F3C-60AA-4169-92A5-A194D47D101D}"/>
    <cellStyle name="Notas 16 2 3 2" xfId="12811" xr:uid="{0679FB06-C001-4DBB-8F55-2D4458227DBE}"/>
    <cellStyle name="Notas 16 2 3 2 2" xfId="28223" xr:uid="{C7DF15EA-0BCC-459F-B16D-676F522B1036}"/>
    <cellStyle name="Notas 16 2 3 2 2 2" xfId="60548" xr:uid="{462FA8E9-6224-49D4-A74D-BC86B8AA633A}"/>
    <cellStyle name="Notas 16 2 3 2 3" xfId="60547" xr:uid="{0A50DBC0-D355-4C2E-81D4-89614EF2C86B}"/>
    <cellStyle name="Notas 16 2 3 3" xfId="20518" xr:uid="{92FDD098-E697-4C3E-AE78-78A8EDE13FCA}"/>
    <cellStyle name="Notas 16 2 3 3 2" xfId="60549" xr:uid="{77E8A775-C88F-4056-8D92-7BA0FB7AA7D7}"/>
    <cellStyle name="Notas 16 2 3 4" xfId="60546" xr:uid="{C3D1A70A-CBA1-4148-9AC5-A04C80D42F08}"/>
    <cellStyle name="Notas 16 2 4" xfId="9086" xr:uid="{F9DBCF2E-6AA3-4E49-8B4F-5A19268BF539}"/>
    <cellStyle name="Notas 16 2 4 2" xfId="24499" xr:uid="{2C2010CC-7CB1-4B49-A717-BEE2A010E8FF}"/>
    <cellStyle name="Notas 16 2 4 2 2" xfId="60551" xr:uid="{A0267F94-6409-4559-AD0D-4ECEEBECD8A6}"/>
    <cellStyle name="Notas 16 2 4 3" xfId="60550" xr:uid="{928779E8-873A-4FAB-8304-559BB7347925}"/>
    <cellStyle name="Notas 16 2 5" xfId="16794" xr:uid="{B57D7F10-4DB4-49B8-9A59-CA02CF86D0A6}"/>
    <cellStyle name="Notas 16 2 5 2" xfId="60552" xr:uid="{11DB153A-27BE-4995-968B-6B73A2824A12}"/>
    <cellStyle name="Notas 16 2 6" xfId="60537" xr:uid="{7B44D348-CF6F-456F-BFA7-D279C150FD41}"/>
    <cellStyle name="Notas 16 3" xfId="2196" xr:uid="{26DD01B1-200C-4F2E-82A5-D6020144407F}"/>
    <cellStyle name="Notas 16 3 2" xfId="5928" xr:uid="{1E284AF9-4541-41AB-A9FB-3FFC34A907F1}"/>
    <cellStyle name="Notas 16 3 2 2" xfId="13636" xr:uid="{ABFAF4D3-2DA2-4262-BB67-7A37437499D1}"/>
    <cellStyle name="Notas 16 3 2 2 2" xfId="29048" xr:uid="{38E5834C-A7EC-480B-8C5B-2F1679131489}"/>
    <cellStyle name="Notas 16 3 2 2 2 2" xfId="60556" xr:uid="{D2B586EA-FBFA-4926-BE7D-BF3A8D7EB175}"/>
    <cellStyle name="Notas 16 3 2 2 3" xfId="60555" xr:uid="{8937B74A-C0BC-4C7C-B806-543C6C5933A4}"/>
    <cellStyle name="Notas 16 3 2 3" xfId="21343" xr:uid="{943FDBAF-61FD-4CC6-BAA8-86CDF53480EF}"/>
    <cellStyle name="Notas 16 3 2 3 2" xfId="60557" xr:uid="{57EAE0BA-C5C7-4EBA-8319-EB1112014CA8}"/>
    <cellStyle name="Notas 16 3 2 4" xfId="60554" xr:uid="{DD2DECB6-5829-4AAD-AACE-EB99DF7B95C1}"/>
    <cellStyle name="Notas 16 3 3" xfId="9907" xr:uid="{92C1BFB4-0268-46D4-AD8A-DF4B61525E04}"/>
    <cellStyle name="Notas 16 3 3 2" xfId="25320" xr:uid="{8A5A5CBD-CA53-42C3-8BE7-4A69E213CE4A}"/>
    <cellStyle name="Notas 16 3 3 2 2" xfId="60559" xr:uid="{18826F69-A62F-4457-861D-96B58B15780B}"/>
    <cellStyle name="Notas 16 3 3 3" xfId="60558" xr:uid="{775910E0-3FCE-421A-8172-2789CDA55C9C}"/>
    <cellStyle name="Notas 16 3 4" xfId="17615" xr:uid="{1AB188EC-30DA-4F16-979B-9E09C257FB06}"/>
    <cellStyle name="Notas 16 3 4 2" xfId="60560" xr:uid="{69451BFE-02AF-49B1-B630-EFC05B9E87EA}"/>
    <cellStyle name="Notas 16 3 5" xfId="60553" xr:uid="{1BB5CB66-F1D9-45C7-9E78-B1253798463B}"/>
    <cellStyle name="Notas 16 4" xfId="4451" xr:uid="{3EAFFCA0-A56F-4A7C-B09E-05BC181F0C4D}"/>
    <cellStyle name="Notas 16 4 2" xfId="12159" xr:uid="{EA6F2D07-B7AE-4534-BA11-A0FA426C6CCF}"/>
    <cellStyle name="Notas 16 4 2 2" xfId="27571" xr:uid="{399CAEB8-829B-4026-96DB-1364B0FA1DF1}"/>
    <cellStyle name="Notas 16 4 2 2 2" xfId="60563" xr:uid="{890DC8E4-4423-425F-97D3-0E0AA8B653AF}"/>
    <cellStyle name="Notas 16 4 2 3" xfId="60562" xr:uid="{BEF987BD-1EB7-4FA7-8471-1251447A30AD}"/>
    <cellStyle name="Notas 16 4 3" xfId="19866" xr:uid="{36D3B86C-5C4B-4574-88E1-2EA96DDEF66A}"/>
    <cellStyle name="Notas 16 4 3 2" xfId="60564" xr:uid="{3961C105-0D91-4546-931A-896158F4879A}"/>
    <cellStyle name="Notas 16 4 4" xfId="60561" xr:uid="{095E9A93-5A5E-4274-A6AB-AC43A07E1ED5}"/>
    <cellStyle name="Notas 16 5" xfId="8448" xr:uid="{24937352-B53E-4E18-9A83-728D4CD43E5F}"/>
    <cellStyle name="Notas 16 5 2" xfId="23861" xr:uid="{B35895CD-14B9-486D-969A-8A2964266C47}"/>
    <cellStyle name="Notas 16 5 2 2" xfId="60566" xr:uid="{366A94C1-4A0F-4CF4-B867-25D3E9A00425}"/>
    <cellStyle name="Notas 16 5 3" xfId="60565" xr:uid="{393D8C41-2906-4701-A59E-52736C8B9AEA}"/>
    <cellStyle name="Notas 16 6" xfId="16156" xr:uid="{990E7DA3-07BF-4710-AAF7-C9E9C6EA6958}"/>
    <cellStyle name="Notas 16 6 2" xfId="60567" xr:uid="{41D15D31-3002-43C5-A56A-F3D8EFF7262D}"/>
    <cellStyle name="Notas 16 7" xfId="60536" xr:uid="{6F3B1F85-710B-4E93-9AA7-D32E129447C2}"/>
    <cellStyle name="Notas 17" xfId="726" xr:uid="{F99C5C43-4779-4EF0-B543-9D81B435A623}"/>
    <cellStyle name="Notas 17 2" xfId="1387" xr:uid="{245C71F1-1490-4F80-A5A5-C162BBD7D8B1}"/>
    <cellStyle name="Notas 17 2 2" xfId="2854" xr:uid="{D6C7C290-D691-4542-BC26-8609FAD4AE4A}"/>
    <cellStyle name="Notas 17 2 2 2" xfId="6586" xr:uid="{ED18692D-1DDE-4DCB-9291-B98F35B211B1}"/>
    <cellStyle name="Notas 17 2 2 2 2" xfId="14294" xr:uid="{53654D80-BDB3-4190-BB6F-CD341C73B711}"/>
    <cellStyle name="Notas 17 2 2 2 2 2" xfId="29706" xr:uid="{09D34B16-CC23-45FB-B2BB-2BBB7A4612CE}"/>
    <cellStyle name="Notas 17 2 2 2 2 2 2" xfId="60573" xr:uid="{C53E24EE-DA5B-40CD-9D3C-00FC69F08202}"/>
    <cellStyle name="Notas 17 2 2 2 2 3" xfId="60572" xr:uid="{BEA44AD5-0054-4DB1-B905-9AB70BD74068}"/>
    <cellStyle name="Notas 17 2 2 2 3" xfId="22001" xr:uid="{54420A5D-301B-43AC-8DB5-A12DE9B903FF}"/>
    <cellStyle name="Notas 17 2 2 2 3 2" xfId="60574" xr:uid="{5C46C14D-AD67-445C-9F81-47C086DACB81}"/>
    <cellStyle name="Notas 17 2 2 2 4" xfId="60571" xr:uid="{F4EBE5DB-E135-4406-92D4-4A0B12BDE3F6}"/>
    <cellStyle name="Notas 17 2 2 3" xfId="10565" xr:uid="{DEC4CDC4-F1BA-40D8-B61F-520F71ACFFB8}"/>
    <cellStyle name="Notas 17 2 2 3 2" xfId="25978" xr:uid="{AA2553FB-DB92-4E11-90C1-5B44800DAB72}"/>
    <cellStyle name="Notas 17 2 2 3 2 2" xfId="60576" xr:uid="{4ABF8A9B-7EA1-4D05-ADE6-B680B93B8833}"/>
    <cellStyle name="Notas 17 2 2 3 3" xfId="60575" xr:uid="{8FB85845-6B77-40C3-9DD4-D963B110C81B}"/>
    <cellStyle name="Notas 17 2 2 4" xfId="18273" xr:uid="{6603B2FE-5C1F-43D9-85BE-CBDB3778FED3}"/>
    <cellStyle name="Notas 17 2 2 4 2" xfId="60577" xr:uid="{E753CBE1-1C3D-40EE-ABEA-11E75949D1E2}"/>
    <cellStyle name="Notas 17 2 2 5" xfId="60570" xr:uid="{16DB35B2-DF14-48AF-86B6-9295AA7281EE}"/>
    <cellStyle name="Notas 17 2 3" xfId="5123" xr:uid="{D9E230D4-0986-4A51-8DFE-D71CBEE3B8FF}"/>
    <cellStyle name="Notas 17 2 3 2" xfId="12831" xr:uid="{9FA1CF53-00C9-4026-AAD5-44043C270139}"/>
    <cellStyle name="Notas 17 2 3 2 2" xfId="28243" xr:uid="{A02CCDB8-EB94-486E-93A9-C65749247A89}"/>
    <cellStyle name="Notas 17 2 3 2 2 2" xfId="60580" xr:uid="{0D76DBBC-9D19-45CE-BA5B-20F35EB7D5D5}"/>
    <cellStyle name="Notas 17 2 3 2 3" xfId="60579" xr:uid="{D49FBD09-1EF5-40C5-959A-917DEBE0D4DA}"/>
    <cellStyle name="Notas 17 2 3 3" xfId="20538" xr:uid="{A27BC843-E848-496A-9802-0D575BAA97C3}"/>
    <cellStyle name="Notas 17 2 3 3 2" xfId="60581" xr:uid="{34CBA4E7-1F4B-4769-83E3-4C3876BDB982}"/>
    <cellStyle name="Notas 17 2 3 4" xfId="60578" xr:uid="{84DDE332-EC81-477E-AF50-1B72D8D4ADE1}"/>
    <cellStyle name="Notas 17 2 4" xfId="9106" xr:uid="{19C75DCE-47A6-4706-96A4-73F7A5FD6AF2}"/>
    <cellStyle name="Notas 17 2 4 2" xfId="24519" xr:uid="{FB0043C5-A2D5-4C7B-AA8F-EAF4D6B7A566}"/>
    <cellStyle name="Notas 17 2 4 2 2" xfId="60583" xr:uid="{268789A9-34C6-43B4-9152-BB4FAE7B8D9B}"/>
    <cellStyle name="Notas 17 2 4 3" xfId="60582" xr:uid="{771A2ED5-596D-42BE-AEE5-DDB5EFEFD71F}"/>
    <cellStyle name="Notas 17 2 5" xfId="16814" xr:uid="{E1246548-62F4-4EE8-AD8E-D5EE52D9F625}"/>
    <cellStyle name="Notas 17 2 5 2" xfId="60584" xr:uid="{A2D87D7A-DA55-4595-A30A-256CD9307E2B}"/>
    <cellStyle name="Notas 17 2 6" xfId="60569" xr:uid="{C189809F-99D3-4E51-A5B8-05430162D268}"/>
    <cellStyle name="Notas 17 3" xfId="2216" xr:uid="{01E134CC-3D2F-4B77-9DEC-4574E1E36F8B}"/>
    <cellStyle name="Notas 17 3 2" xfId="5948" xr:uid="{E2051EC5-CB3E-406E-8DE9-46046F2DB69E}"/>
    <cellStyle name="Notas 17 3 2 2" xfId="13656" xr:uid="{3BA5731F-5A26-4E69-90DA-1369788BC904}"/>
    <cellStyle name="Notas 17 3 2 2 2" xfId="29068" xr:uid="{560CFD9E-335D-4C3D-A476-01AAC8FE8A11}"/>
    <cellStyle name="Notas 17 3 2 2 2 2" xfId="60588" xr:uid="{061A669A-95E7-45B5-93B2-9D8C03B54337}"/>
    <cellStyle name="Notas 17 3 2 2 3" xfId="60587" xr:uid="{9BDF18D8-13C2-41D9-8A5B-4DCAE4B0E587}"/>
    <cellStyle name="Notas 17 3 2 3" xfId="21363" xr:uid="{9622DC16-8A1C-4D84-ABF5-8EE0E8B60A35}"/>
    <cellStyle name="Notas 17 3 2 3 2" xfId="60589" xr:uid="{083C4E14-9F5F-4495-A391-0EF7A2E1FDCD}"/>
    <cellStyle name="Notas 17 3 2 4" xfId="60586" xr:uid="{69A10C3E-07D7-4A71-A1EF-3A66856E021D}"/>
    <cellStyle name="Notas 17 3 3" xfId="9927" xr:uid="{54C91A0E-0CCF-40B1-9844-60E88394952A}"/>
    <cellStyle name="Notas 17 3 3 2" xfId="25340" xr:uid="{5C833B06-464B-4651-A5D1-60CD452BF1DD}"/>
    <cellStyle name="Notas 17 3 3 2 2" xfId="60591" xr:uid="{8B70EABE-0AF0-484A-A800-DCC60205149B}"/>
    <cellStyle name="Notas 17 3 3 3" xfId="60590" xr:uid="{74DB5E54-CE39-40BE-AF27-D819E1EB3A77}"/>
    <cellStyle name="Notas 17 3 4" xfId="17635" xr:uid="{F6878EE2-310A-4924-9903-A14A1D4EAD2D}"/>
    <cellStyle name="Notas 17 3 4 2" xfId="60592" xr:uid="{F79E3AEB-D38E-4042-BCE1-C73E1911DB2F}"/>
    <cellStyle name="Notas 17 3 5" xfId="60585" xr:uid="{CEDE96B5-CBE7-4C97-ACB5-47FD068C6071}"/>
    <cellStyle name="Notas 17 4" xfId="4471" xr:uid="{F5E3839F-77B6-4180-A3EC-5EB6CCA98413}"/>
    <cellStyle name="Notas 17 4 2" xfId="12179" xr:uid="{917B0AD7-7E19-4AF5-998F-A26A8188E5A9}"/>
    <cellStyle name="Notas 17 4 2 2" xfId="27591" xr:uid="{0315D96C-1909-43AB-8F44-E0A31009335B}"/>
    <cellStyle name="Notas 17 4 2 2 2" xfId="60595" xr:uid="{255AB5AA-1827-4575-9259-688272E58F77}"/>
    <cellStyle name="Notas 17 4 2 3" xfId="60594" xr:uid="{2D43D125-E2E3-4CED-B186-787FDE624BD2}"/>
    <cellStyle name="Notas 17 4 3" xfId="19886" xr:uid="{37CDDF9D-4956-4797-922E-877EBF5674A3}"/>
    <cellStyle name="Notas 17 4 3 2" xfId="60596" xr:uid="{7F493A50-F6E0-48D0-8213-FEFF0193E67D}"/>
    <cellStyle name="Notas 17 4 4" xfId="60593" xr:uid="{387B8C15-08A0-4EFF-908C-C19A68E6FDED}"/>
    <cellStyle name="Notas 17 5" xfId="8468" xr:uid="{CBA921D9-58AA-477D-B0B1-DFEBD714FCDB}"/>
    <cellStyle name="Notas 17 5 2" xfId="23881" xr:uid="{D24850D8-20A0-44D4-8EFB-ADC28931BC0C}"/>
    <cellStyle name="Notas 17 5 2 2" xfId="60598" xr:uid="{5C6DD24F-7294-4A20-BC86-48E789FCFA6B}"/>
    <cellStyle name="Notas 17 5 3" xfId="60597" xr:uid="{30148721-E17F-4DF4-8532-4785C98B0753}"/>
    <cellStyle name="Notas 17 6" xfId="16176" xr:uid="{5C634E1E-FDE7-44BA-B686-31D4C50B56BC}"/>
    <cellStyle name="Notas 17 6 2" xfId="60599" xr:uid="{DEDB9F85-7F77-4EEA-8E57-759996DF8F07}"/>
    <cellStyle name="Notas 17 7" xfId="60568" xr:uid="{69C321B4-6F01-455B-BFC8-7226ADA131B0}"/>
    <cellStyle name="Notas 18" xfId="746" xr:uid="{07A21628-3911-421D-8C8F-C5C309DB9E9C}"/>
    <cellStyle name="Notas 18 2" xfId="1407" xr:uid="{FFC433D0-735D-40DB-8452-771B2F94291E}"/>
    <cellStyle name="Notas 18 2 2" xfId="2874" xr:uid="{B7D23112-526B-4A33-9859-ACC9CC3D522D}"/>
    <cellStyle name="Notas 18 2 2 2" xfId="6606" xr:uid="{45083E26-6050-4393-A1B6-F0B818E288EA}"/>
    <cellStyle name="Notas 18 2 2 2 2" xfId="14314" xr:uid="{B523FFF9-E560-4A53-8D5F-C95DF15C1FBB}"/>
    <cellStyle name="Notas 18 2 2 2 2 2" xfId="29726" xr:uid="{7E004659-EDAA-4E74-BCF6-228118A3034B}"/>
    <cellStyle name="Notas 18 2 2 2 2 2 2" xfId="60605" xr:uid="{FA8C8F8D-1DCB-48E4-B8B5-1F8C131DD41C}"/>
    <cellStyle name="Notas 18 2 2 2 2 3" xfId="60604" xr:uid="{DF155BF9-5D28-44F2-970C-D316260258B9}"/>
    <cellStyle name="Notas 18 2 2 2 3" xfId="22021" xr:uid="{A619379E-E0E7-4D2C-BA2D-89774E5D4E00}"/>
    <cellStyle name="Notas 18 2 2 2 3 2" xfId="60606" xr:uid="{D914F348-6F30-40C4-8B40-43FB2577C858}"/>
    <cellStyle name="Notas 18 2 2 2 4" xfId="60603" xr:uid="{98886049-2B9C-4546-A934-5E9690AC25BB}"/>
    <cellStyle name="Notas 18 2 2 3" xfId="10585" xr:uid="{DC35A28E-AFDD-4042-ABA8-32FCEA521323}"/>
    <cellStyle name="Notas 18 2 2 3 2" xfId="25998" xr:uid="{D6FF33AC-F1C4-4C5D-B7D0-B493AD7438E9}"/>
    <cellStyle name="Notas 18 2 2 3 2 2" xfId="60608" xr:uid="{F9B53EDE-04FC-45D0-9CDB-4BFA23F7AEBF}"/>
    <cellStyle name="Notas 18 2 2 3 3" xfId="60607" xr:uid="{3FBAE063-2156-4CDE-B4EE-9A36EE02477E}"/>
    <cellStyle name="Notas 18 2 2 4" xfId="18293" xr:uid="{BE261962-A3A8-41D3-BE44-62C7BFAED073}"/>
    <cellStyle name="Notas 18 2 2 4 2" xfId="60609" xr:uid="{3FBA5ECF-6189-4ECC-BB14-FAD7C363B017}"/>
    <cellStyle name="Notas 18 2 2 5" xfId="60602" xr:uid="{775C0268-BC1C-4FE9-A973-5EAC191F1857}"/>
    <cellStyle name="Notas 18 2 3" xfId="5143" xr:uid="{6B641A9D-BF39-4C81-94B6-8C0443EDFD31}"/>
    <cellStyle name="Notas 18 2 3 2" xfId="12851" xr:uid="{3E4ADE44-5C38-4A75-9D6C-C75B81F3A8D7}"/>
    <cellStyle name="Notas 18 2 3 2 2" xfId="28263" xr:uid="{83AA05EC-F216-4468-8352-CC96F6447443}"/>
    <cellStyle name="Notas 18 2 3 2 2 2" xfId="60612" xr:uid="{FD53E5BA-7F00-441C-9FFD-9BB1B35DCFE0}"/>
    <cellStyle name="Notas 18 2 3 2 3" xfId="60611" xr:uid="{E7D676C4-2834-45EE-87A0-4EFB29B526FF}"/>
    <cellStyle name="Notas 18 2 3 3" xfId="20558" xr:uid="{6DBFA2E9-8860-45A6-A0A3-39CF7028A2A8}"/>
    <cellStyle name="Notas 18 2 3 3 2" xfId="60613" xr:uid="{5FFE6932-7482-48E2-AD18-A48B7A7FA8C5}"/>
    <cellStyle name="Notas 18 2 3 4" xfId="60610" xr:uid="{C874D0DD-89A4-4E48-949E-7DBBFF672A3D}"/>
    <cellStyle name="Notas 18 2 4" xfId="9126" xr:uid="{F866979D-2D78-4060-AF22-4F9DD201213D}"/>
    <cellStyle name="Notas 18 2 4 2" xfId="24539" xr:uid="{ABC44B9D-4DC4-4C8E-A83B-97045E979586}"/>
    <cellStyle name="Notas 18 2 4 2 2" xfId="60615" xr:uid="{D05D58C3-A490-4ABA-A07C-65291C4C80BC}"/>
    <cellStyle name="Notas 18 2 4 3" xfId="60614" xr:uid="{6FF0A76F-18D0-4D38-962B-3BB447FF3339}"/>
    <cellStyle name="Notas 18 2 5" xfId="16834" xr:uid="{AC0C19A1-C9F6-47ED-9341-DF0EC3426503}"/>
    <cellStyle name="Notas 18 2 5 2" xfId="60616" xr:uid="{E9554404-0EAE-42D8-BDD1-18E3A4F8FEC8}"/>
    <cellStyle name="Notas 18 2 6" xfId="60601" xr:uid="{DD219448-3F63-45C5-ABB7-AA03C8CBD70E}"/>
    <cellStyle name="Notas 18 3" xfId="2236" xr:uid="{8061985A-F8AA-413E-81AB-AF5AA1423176}"/>
    <cellStyle name="Notas 18 3 2" xfId="5968" xr:uid="{6676BD87-4506-4C77-96EA-93CD97889F37}"/>
    <cellStyle name="Notas 18 3 2 2" xfId="13676" xr:uid="{4F106FCA-B685-4C13-80F5-2F82B9D62B1E}"/>
    <cellStyle name="Notas 18 3 2 2 2" xfId="29088" xr:uid="{7FA0ED80-9ADC-4403-9A9C-E560B4E88D88}"/>
    <cellStyle name="Notas 18 3 2 2 2 2" xfId="60620" xr:uid="{B6BEE189-D247-405D-B009-85C89AAE9DD8}"/>
    <cellStyle name="Notas 18 3 2 2 3" xfId="60619" xr:uid="{10D1FA2F-E272-4037-8B48-AD6C852DA279}"/>
    <cellStyle name="Notas 18 3 2 3" xfId="21383" xr:uid="{D6E684E3-5069-4E09-B0BD-18A8B4E0287D}"/>
    <cellStyle name="Notas 18 3 2 3 2" xfId="60621" xr:uid="{188BA288-891B-4F00-8BCF-5FDA9831D90A}"/>
    <cellStyle name="Notas 18 3 2 4" xfId="60618" xr:uid="{68CC2A62-5019-4510-AB77-3F2E12F2ACB9}"/>
    <cellStyle name="Notas 18 3 3" xfId="9947" xr:uid="{2E33B866-A647-48F1-B19C-0530F89052C5}"/>
    <cellStyle name="Notas 18 3 3 2" xfId="25360" xr:uid="{A42F0A05-DA2C-460F-A71E-56BF156FE942}"/>
    <cellStyle name="Notas 18 3 3 2 2" xfId="60623" xr:uid="{7983E8DB-7BA0-48C9-B70B-1961227720CF}"/>
    <cellStyle name="Notas 18 3 3 3" xfId="60622" xr:uid="{FC4A2F53-7A93-4009-A677-9A4D09019833}"/>
    <cellStyle name="Notas 18 3 4" xfId="17655" xr:uid="{5B902293-783F-4908-A6EC-A6C69FEB30FF}"/>
    <cellStyle name="Notas 18 3 4 2" xfId="60624" xr:uid="{732E95B7-6A91-47A2-A4C7-44C94747CF6A}"/>
    <cellStyle name="Notas 18 3 5" xfId="60617" xr:uid="{C0AFAA10-33EB-46A7-B26D-8F6B49AE2F12}"/>
    <cellStyle name="Notas 18 4" xfId="4491" xr:uid="{E1E8CCCF-03FC-4398-9CF9-B1CD82FEE7FE}"/>
    <cellStyle name="Notas 18 4 2" xfId="12199" xr:uid="{4967B050-A4F8-4588-9959-5F7C75B4DB26}"/>
    <cellStyle name="Notas 18 4 2 2" xfId="27611" xr:uid="{35549618-889F-420B-B322-CCA1229B4760}"/>
    <cellStyle name="Notas 18 4 2 2 2" xfId="60627" xr:uid="{356A6635-1851-4F56-8A24-D7C9100C703C}"/>
    <cellStyle name="Notas 18 4 2 3" xfId="60626" xr:uid="{A144FE89-47B2-4B7F-9420-CF832AC3DCD3}"/>
    <cellStyle name="Notas 18 4 3" xfId="19906" xr:uid="{4A27EFEC-BCDE-43E1-A368-5963414B5406}"/>
    <cellStyle name="Notas 18 4 3 2" xfId="60628" xr:uid="{0A41BA7C-D512-4CCC-B777-2E474CA5A343}"/>
    <cellStyle name="Notas 18 4 4" xfId="60625" xr:uid="{F94EA244-317D-4BBF-9BDD-5BA01F823583}"/>
    <cellStyle name="Notas 18 5" xfId="8488" xr:uid="{BF006013-343A-4C43-9170-D2B22DDE4871}"/>
    <cellStyle name="Notas 18 5 2" xfId="23901" xr:uid="{867CC228-2C13-4D61-9ABD-8AACBA04E65B}"/>
    <cellStyle name="Notas 18 5 2 2" xfId="60630" xr:uid="{ED043857-49F9-4BDE-8177-EBB969BBDE08}"/>
    <cellStyle name="Notas 18 5 3" xfId="60629" xr:uid="{F129DD1A-4711-477F-A500-A18AE4B3C46F}"/>
    <cellStyle name="Notas 18 6" xfId="16196" xr:uid="{80FA722D-64B6-4004-B2D9-E4139C9857D1}"/>
    <cellStyle name="Notas 18 6 2" xfId="60631" xr:uid="{0647C9D9-C786-4122-BF60-CAED22DA31F6}"/>
    <cellStyle name="Notas 18 7" xfId="60600" xr:uid="{77DE8BFF-780E-41AC-AF9C-40CA4C3F5186}"/>
    <cellStyle name="Notas 19" xfId="808" xr:uid="{F5A4B140-B140-46B9-93FA-7890E129C2AD}"/>
    <cellStyle name="Notas 19 2" xfId="60632" xr:uid="{3A2D8949-DC94-480E-803C-FAB64CE28471}"/>
    <cellStyle name="Notas 2" xfId="167" xr:uid="{6CD7FC60-9DF4-416A-8373-740F453BD7DF}"/>
    <cellStyle name="Notas 2 2" xfId="231" xr:uid="{3D837A9C-A680-443B-96EA-33A441F27CD6}"/>
    <cellStyle name="Notas 2 2 2" xfId="433" xr:uid="{BD058EE9-1C9E-4DF7-BE4D-04B9A81292B3}"/>
    <cellStyle name="Notas 2 2 2 2" xfId="1095" xr:uid="{FC3EDE91-F51A-4DCC-9261-A01715ABB50B}"/>
    <cellStyle name="Notas 2 2 2 2 2" xfId="2563" xr:uid="{F77041E3-8E9F-4721-A3A2-6DA2E84851EF}"/>
    <cellStyle name="Notas 2 2 2 2 2 2" xfId="6295" xr:uid="{451794B6-1A94-484D-B50B-CB7BAB54A7A6}"/>
    <cellStyle name="Notas 2 2 2 2 2 2 2" xfId="14003" xr:uid="{F27D90B3-EDEE-4055-A2A6-4EBE825E20E6}"/>
    <cellStyle name="Notas 2 2 2 2 2 2 2 2" xfId="29415" xr:uid="{0299964C-1D0D-4E97-BC1E-9BC122DD19D4}"/>
    <cellStyle name="Notas 2 2 2 2 2 2 2 2 2" xfId="60640" xr:uid="{8890BA49-8609-48A6-9D30-301BCE14778B}"/>
    <cellStyle name="Notas 2 2 2 2 2 2 2 3" xfId="60639" xr:uid="{1025D595-0389-4C51-80EB-D1C6CA02CAF2}"/>
    <cellStyle name="Notas 2 2 2 2 2 2 3" xfId="21710" xr:uid="{BD444CA8-6F89-4D61-BD9A-8E5287AF8228}"/>
    <cellStyle name="Notas 2 2 2 2 2 2 3 2" xfId="60641" xr:uid="{D5EC5A9D-42A0-47AD-86B8-B11518134EA8}"/>
    <cellStyle name="Notas 2 2 2 2 2 2 4" xfId="60638" xr:uid="{DFEBF7D6-4C6E-43E7-B9E4-9582F4BC4012}"/>
    <cellStyle name="Notas 2 2 2 2 2 3" xfId="10274" xr:uid="{C67169A4-56B5-43C2-937B-267ECB037E7E}"/>
    <cellStyle name="Notas 2 2 2 2 2 3 2" xfId="25687" xr:uid="{63E9C9BA-C487-4B39-BE1B-1A4B4B58D941}"/>
    <cellStyle name="Notas 2 2 2 2 2 3 2 2" xfId="60643" xr:uid="{32A4E695-6E5E-4956-87F7-D8954522E9B5}"/>
    <cellStyle name="Notas 2 2 2 2 2 3 3" xfId="60642" xr:uid="{14F4C487-E00F-4432-A537-B5E58CF4AA78}"/>
    <cellStyle name="Notas 2 2 2 2 2 4" xfId="17982" xr:uid="{7B04CE36-221F-46F9-BE78-25D420B339C2}"/>
    <cellStyle name="Notas 2 2 2 2 2 4 2" xfId="60644" xr:uid="{A2491FBB-339A-4E42-8721-630080DE8C9F}"/>
    <cellStyle name="Notas 2 2 2 2 2 5" xfId="60637" xr:uid="{2DB65EDB-AB30-4CEE-A73B-BEF78E393D0A}"/>
    <cellStyle name="Notas 2 2 2 2 3" xfId="4832" xr:uid="{68B1D297-CB13-4320-9B84-938AF048059A}"/>
    <cellStyle name="Notas 2 2 2 2 3 2" xfId="12540" xr:uid="{9346AD2C-9602-4932-8531-19D2CA9F980A}"/>
    <cellStyle name="Notas 2 2 2 2 3 2 2" xfId="27952" xr:uid="{2AD86B27-8405-4D11-A9BD-B5EF29067C2D}"/>
    <cellStyle name="Notas 2 2 2 2 3 2 2 2" xfId="60647" xr:uid="{DE95C803-907B-45E1-A4DB-6AB968723D88}"/>
    <cellStyle name="Notas 2 2 2 2 3 2 3" xfId="60646" xr:uid="{3466AD51-54AF-4F0B-8401-B893338913EE}"/>
    <cellStyle name="Notas 2 2 2 2 3 3" xfId="20247" xr:uid="{CBCB91DF-D1D0-4044-9885-B9B68FBA5091}"/>
    <cellStyle name="Notas 2 2 2 2 3 3 2" xfId="60648" xr:uid="{7C3D879B-9FE4-41BA-9102-94CAA45898B2}"/>
    <cellStyle name="Notas 2 2 2 2 3 4" xfId="60645" xr:uid="{AB5C239E-0E61-4E27-8D03-123FCC10DC52}"/>
    <cellStyle name="Notas 2 2 2 2 4" xfId="8815" xr:uid="{6172E736-F792-498F-932A-D18D240C0ED6}"/>
    <cellStyle name="Notas 2 2 2 2 4 2" xfId="24228" xr:uid="{A19E137D-07BF-4002-978E-F723A01C1729}"/>
    <cellStyle name="Notas 2 2 2 2 4 2 2" xfId="60650" xr:uid="{CFB7875D-9145-484B-9959-B23654580F0E}"/>
    <cellStyle name="Notas 2 2 2 2 4 3" xfId="60649" xr:uid="{D5B73AA7-0D8E-4782-A204-E520FCF58E4A}"/>
    <cellStyle name="Notas 2 2 2 2 5" xfId="16523" xr:uid="{BBC1948D-9359-4289-80C9-C1C8942BB069}"/>
    <cellStyle name="Notas 2 2 2 2 5 2" xfId="60651" xr:uid="{EB98362F-D3A7-49A9-8331-06F0142ECF62}"/>
    <cellStyle name="Notas 2 2 2 2 6" xfId="60636" xr:uid="{EF44FF75-4E19-4D61-A94C-B9E989135865}"/>
    <cellStyle name="Notas 2 2 2 3" xfId="1925" xr:uid="{0979A3E9-183A-420D-ABAD-CD9F30A85FB5}"/>
    <cellStyle name="Notas 2 2 2 3 2" xfId="5657" xr:uid="{59354D87-47F5-487D-BD48-2D60A742135B}"/>
    <cellStyle name="Notas 2 2 2 3 2 2" xfId="13365" xr:uid="{8875EDF7-E9B5-41DC-B216-72716B6D5127}"/>
    <cellStyle name="Notas 2 2 2 3 2 2 2" xfId="28777" xr:uid="{F0919162-2899-487B-995C-71D17A753397}"/>
    <cellStyle name="Notas 2 2 2 3 2 2 2 2" xfId="60655" xr:uid="{2B0D53D4-D341-48F9-8D5E-54D8D479C618}"/>
    <cellStyle name="Notas 2 2 2 3 2 2 3" xfId="60654" xr:uid="{EC84BA38-8F48-4A36-BC91-C9790921AF53}"/>
    <cellStyle name="Notas 2 2 2 3 2 3" xfId="21072" xr:uid="{43660AE7-C012-4AB4-9A62-ECD0BDAADB88}"/>
    <cellStyle name="Notas 2 2 2 3 2 3 2" xfId="60656" xr:uid="{C7254A34-EA8B-4AD2-AAD1-9CD5881D5F50}"/>
    <cellStyle name="Notas 2 2 2 3 2 4" xfId="60653" xr:uid="{464B27F2-8F96-4FFA-AA5F-490FAB1CC080}"/>
    <cellStyle name="Notas 2 2 2 3 3" xfId="9636" xr:uid="{9B939977-026F-4425-BD5F-C04507C0C04A}"/>
    <cellStyle name="Notas 2 2 2 3 3 2" xfId="25049" xr:uid="{1EDFAEF0-3F3B-42A9-B006-1176AA7E0AA6}"/>
    <cellStyle name="Notas 2 2 2 3 3 2 2" xfId="60658" xr:uid="{F80FCEC6-CD1D-4400-85F3-22E6251D3B10}"/>
    <cellStyle name="Notas 2 2 2 3 3 3" xfId="60657" xr:uid="{BDFCB89D-98B5-4C31-8599-E264860CF88C}"/>
    <cellStyle name="Notas 2 2 2 3 4" xfId="17344" xr:uid="{8F563443-7C1E-431A-AAE8-9B886E3D3662}"/>
    <cellStyle name="Notas 2 2 2 3 4 2" xfId="60659" xr:uid="{7935099A-6438-4FF0-AAC9-9B3BE985FC62}"/>
    <cellStyle name="Notas 2 2 2 3 5" xfId="60652" xr:uid="{6834F195-6AE4-4E96-B1F3-9704206E2748}"/>
    <cellStyle name="Notas 2 2 2 4" xfId="4180" xr:uid="{4BA176C5-2FB0-4239-80EC-F535D76C46A8}"/>
    <cellStyle name="Notas 2 2 2 4 2" xfId="11888" xr:uid="{8C5EE288-FEC7-415E-A52C-DA1A21EA50F2}"/>
    <cellStyle name="Notas 2 2 2 4 2 2" xfId="27300" xr:uid="{321876C1-5BC6-42E8-BCBD-B340300DBD27}"/>
    <cellStyle name="Notas 2 2 2 4 2 2 2" xfId="60662" xr:uid="{4D68E14C-64DA-4084-BE52-080175C12187}"/>
    <cellStyle name="Notas 2 2 2 4 2 3" xfId="60661" xr:uid="{625A0790-6A36-43F4-BF4B-1373F5E7BE0A}"/>
    <cellStyle name="Notas 2 2 2 4 3" xfId="19595" xr:uid="{6278E743-54CF-44CD-8ADE-E4875396AE02}"/>
    <cellStyle name="Notas 2 2 2 4 3 2" xfId="60663" xr:uid="{73B82CA9-01E3-4B39-ACF4-9EFDB006325D}"/>
    <cellStyle name="Notas 2 2 2 4 4" xfId="60660" xr:uid="{8B2EF778-CDEC-4CAA-B3AE-0EAD1A925AEB}"/>
    <cellStyle name="Notas 2 2 2 5" xfId="8177" xr:uid="{DCFB183D-D223-49C1-A9E3-3E221490176A}"/>
    <cellStyle name="Notas 2 2 2 5 2" xfId="23590" xr:uid="{8FFB1250-8F34-4ACB-AF2F-A189F2F415D6}"/>
    <cellStyle name="Notas 2 2 2 5 2 2" xfId="60665" xr:uid="{F14C58E4-B012-40C5-8CD6-AD0AC4ED0838}"/>
    <cellStyle name="Notas 2 2 2 5 3" xfId="60664" xr:uid="{24C840D0-1ED3-4F0B-B9BF-8A98B58564C2}"/>
    <cellStyle name="Notas 2 2 2 6" xfId="15885" xr:uid="{0785C217-3407-4D77-88C1-BA7C4C621253}"/>
    <cellStyle name="Notas 2 2 2 6 2" xfId="60666" xr:uid="{A026159C-52A5-48DC-BACA-BED3D83585E8}"/>
    <cellStyle name="Notas 2 2 2 7" xfId="60635" xr:uid="{9DAD5061-E5DE-4021-A468-DB860C61B433}"/>
    <cellStyle name="Notas 2 2 3" xfId="895" xr:uid="{A97D2915-ED1A-406E-AD6B-91A5B3169A44}"/>
    <cellStyle name="Notas 2 2 3 2" xfId="2365" xr:uid="{93CDE44E-9DFF-432C-A067-02BBAD943AFB}"/>
    <cellStyle name="Notas 2 2 3 2 2" xfId="6097" xr:uid="{88F7B55D-892C-4DD9-8203-BC336789EB04}"/>
    <cellStyle name="Notas 2 2 3 2 2 2" xfId="13805" xr:uid="{922FE173-EBBC-4338-A3FF-11DE99F59010}"/>
    <cellStyle name="Notas 2 2 3 2 2 2 2" xfId="29217" xr:uid="{00D39E1F-DE1C-41D0-B47C-5BD5252648D3}"/>
    <cellStyle name="Notas 2 2 3 2 2 2 2 2" xfId="60671" xr:uid="{8860E78B-1F6E-4ECB-9B46-592C25A656D1}"/>
    <cellStyle name="Notas 2 2 3 2 2 2 3" xfId="60670" xr:uid="{F430AED9-37CB-44C1-A84E-C3025343BEA8}"/>
    <cellStyle name="Notas 2 2 3 2 2 3" xfId="21512" xr:uid="{8C84595E-E588-4F5F-B907-862201106DAC}"/>
    <cellStyle name="Notas 2 2 3 2 2 3 2" xfId="60672" xr:uid="{53ECC018-C4E7-48F2-89FB-C4DDD6712FC0}"/>
    <cellStyle name="Notas 2 2 3 2 2 4" xfId="60669" xr:uid="{0FA02868-0720-4029-91F9-C0E27B6E7B47}"/>
    <cellStyle name="Notas 2 2 3 2 3" xfId="10076" xr:uid="{F883F800-F3C3-4597-8909-76CC6278FAEF}"/>
    <cellStyle name="Notas 2 2 3 2 3 2" xfId="25489" xr:uid="{794A95BA-72AF-44E4-B92F-1C70566CCFD3}"/>
    <cellStyle name="Notas 2 2 3 2 3 2 2" xfId="60674" xr:uid="{FD729DE5-8590-4159-B35C-527677B14BB1}"/>
    <cellStyle name="Notas 2 2 3 2 3 3" xfId="60673" xr:uid="{9833A833-6160-4C02-878B-1307897046C0}"/>
    <cellStyle name="Notas 2 2 3 2 4" xfId="17784" xr:uid="{BC40779C-0A2A-4EB0-8607-90D31FDBCD8E}"/>
    <cellStyle name="Notas 2 2 3 2 4 2" xfId="60675" xr:uid="{8FB58B73-26B4-42F6-B4D1-A8283060E4BA}"/>
    <cellStyle name="Notas 2 2 3 2 5" xfId="60668" xr:uid="{A3439F16-559B-46DA-B2E0-85D267E73258}"/>
    <cellStyle name="Notas 2 2 3 3" xfId="4632" xr:uid="{278D359D-CACD-478A-9592-2C674A6F60C9}"/>
    <cellStyle name="Notas 2 2 3 3 2" xfId="12340" xr:uid="{75E3A017-BE02-4E30-8A38-5E5CA8CF9AF8}"/>
    <cellStyle name="Notas 2 2 3 3 2 2" xfId="27752" xr:uid="{498F6B1D-0C10-4D92-B78F-64C07B8549DF}"/>
    <cellStyle name="Notas 2 2 3 3 2 2 2" xfId="60678" xr:uid="{AB974B21-861D-4A5F-8652-7FFD79BC3059}"/>
    <cellStyle name="Notas 2 2 3 3 2 3" xfId="60677" xr:uid="{17CF17F0-A0AA-448C-8656-3CB37BCF86F7}"/>
    <cellStyle name="Notas 2 2 3 3 3" xfId="20047" xr:uid="{A6DE430E-6F36-4714-ACDF-137A9DE4E5B6}"/>
    <cellStyle name="Notas 2 2 3 3 3 2" xfId="60679" xr:uid="{BF1A1853-B90F-44D3-A9B0-A1F257D5BBBE}"/>
    <cellStyle name="Notas 2 2 3 3 4" xfId="60676" xr:uid="{F3230F26-065B-401B-8DDA-CD2DF78993BB}"/>
    <cellStyle name="Notas 2 2 3 4" xfId="8617" xr:uid="{CC7193BC-AC41-482C-8D64-2B63E410D07C}"/>
    <cellStyle name="Notas 2 2 3 4 2" xfId="24030" xr:uid="{5DE914B0-D4FC-4724-973F-40B0537B5646}"/>
    <cellStyle name="Notas 2 2 3 4 2 2" xfId="60681" xr:uid="{E8F962FF-5572-4F08-8B30-D3A0E9DED1CC}"/>
    <cellStyle name="Notas 2 2 3 4 3" xfId="60680" xr:uid="{96AA6E11-F270-4032-9728-DB33F0CFEB36}"/>
    <cellStyle name="Notas 2 2 3 5" xfId="16325" xr:uid="{88580955-88DC-43BF-9B3A-5D835C27D39C}"/>
    <cellStyle name="Notas 2 2 3 5 2" xfId="60682" xr:uid="{5569BD6A-06E5-45A8-8B91-CA593121DF90}"/>
    <cellStyle name="Notas 2 2 3 6" xfId="60667" xr:uid="{25A1CD81-7386-4F6C-A138-C841447556A0}"/>
    <cellStyle name="Notas 2 2 4" xfId="1727" xr:uid="{B11A3234-93F8-4A17-A34B-45574388D6D7}"/>
    <cellStyle name="Notas 2 2 4 2" xfId="5459" xr:uid="{BAF132BF-D4CF-4382-AB70-8797AA5D651D}"/>
    <cellStyle name="Notas 2 2 4 2 2" xfId="13167" xr:uid="{FFAAB588-65FC-4DB8-8946-B94ADAEF95BB}"/>
    <cellStyle name="Notas 2 2 4 2 2 2" xfId="28579" xr:uid="{5430633F-4693-426F-BB04-15E32E5615D4}"/>
    <cellStyle name="Notas 2 2 4 2 2 2 2" xfId="60686" xr:uid="{C2CB9E87-2A9B-4021-BF5B-EA41D37EEF5F}"/>
    <cellStyle name="Notas 2 2 4 2 2 3" xfId="60685" xr:uid="{9ED65323-C1C5-4D3C-8E2E-B7B8EC559A25}"/>
    <cellStyle name="Notas 2 2 4 2 3" xfId="20874" xr:uid="{61FBF8B2-AD19-494E-9A01-45C264AB5114}"/>
    <cellStyle name="Notas 2 2 4 2 3 2" xfId="60687" xr:uid="{F0691AF5-5D63-490E-B807-A2E82DB1DD53}"/>
    <cellStyle name="Notas 2 2 4 2 4" xfId="60684" xr:uid="{909097C4-BF44-40E6-98D0-CD8DC7098002}"/>
    <cellStyle name="Notas 2 2 4 3" xfId="9438" xr:uid="{47CC460D-3333-4012-A962-59684E0B08E3}"/>
    <cellStyle name="Notas 2 2 4 3 2" xfId="24851" xr:uid="{A2DAE5B5-8686-4674-9A48-D66AC53A30DC}"/>
    <cellStyle name="Notas 2 2 4 3 2 2" xfId="60689" xr:uid="{EF7F21B0-CF5D-416E-AF3F-EB4A7DE85299}"/>
    <cellStyle name="Notas 2 2 4 3 3" xfId="60688" xr:uid="{3F549A30-927D-498C-AC73-63B36D3D196D}"/>
    <cellStyle name="Notas 2 2 4 4" xfId="17146" xr:uid="{8C20F587-BDD1-4969-93B4-6E44E4B9E988}"/>
    <cellStyle name="Notas 2 2 4 4 2" xfId="60690" xr:uid="{6C04B946-ADD2-476E-A78A-B316DA575F93}"/>
    <cellStyle name="Notas 2 2 4 5" xfId="60683" xr:uid="{DB9295C9-EB4F-475B-89E2-8CF1AE64DFD0}"/>
    <cellStyle name="Notas 2 2 5" xfId="3980" xr:uid="{1C4B40D9-AA54-4A7D-83F1-8C415507E3A0}"/>
    <cellStyle name="Notas 2 2 5 2" xfId="11688" xr:uid="{E5092161-9D59-4BD1-96F7-DAB12760A48A}"/>
    <cellStyle name="Notas 2 2 5 2 2" xfId="27100" xr:uid="{4DBBE9E2-151E-4E05-A0D3-6B776A82FED0}"/>
    <cellStyle name="Notas 2 2 5 2 2 2" xfId="60693" xr:uid="{23BC8D3B-62C0-45C5-B4A9-4F9CF598F737}"/>
    <cellStyle name="Notas 2 2 5 2 3" xfId="60692" xr:uid="{9CBF4BAD-7822-4063-B046-439228FA6057}"/>
    <cellStyle name="Notas 2 2 5 3" xfId="19395" xr:uid="{EECAB9E8-8EC8-4519-865D-91474E817512}"/>
    <cellStyle name="Notas 2 2 5 3 2" xfId="60694" xr:uid="{3A2101F0-CAA9-4468-BDD2-721F52C9A7B6}"/>
    <cellStyle name="Notas 2 2 5 4" xfId="60691" xr:uid="{4D4A7B59-CF8F-4426-B666-824B27167F97}"/>
    <cellStyle name="Notas 2 2 6" xfId="7979" xr:uid="{A5EDE9CC-DFD9-4722-B763-E71B9A80822D}"/>
    <cellStyle name="Notas 2 2 6 2" xfId="23392" xr:uid="{8A8ADF08-AE05-46BA-9137-F846507C4CA3}"/>
    <cellStyle name="Notas 2 2 6 2 2" xfId="60696" xr:uid="{5832CEA4-9A07-4369-AD15-8EF5502EC933}"/>
    <cellStyle name="Notas 2 2 6 3" xfId="60695" xr:uid="{DEFA95A0-10C1-4B20-B73A-90F4220D8D7A}"/>
    <cellStyle name="Notas 2 2 7" xfId="15687" xr:uid="{28DA13B7-B63F-4715-BF6F-41A46C05382C}"/>
    <cellStyle name="Notas 2 2 7 2" xfId="60697" xr:uid="{5F3A40EA-DF9E-418E-A2B3-4416E02E51AC}"/>
    <cellStyle name="Notas 2 2 8" xfId="60634" xr:uid="{E0999019-4325-4573-ABD9-6A48F3809340}"/>
    <cellStyle name="Notas 2 3" xfId="377" xr:uid="{6F05B372-3730-4AAF-8D9F-8E22C769EA0C}"/>
    <cellStyle name="Notas 2 3 2" xfId="1039" xr:uid="{06D982F3-BAE4-4F18-B93D-D16AA5A2AAB3}"/>
    <cellStyle name="Notas 2 3 2 2" xfId="2507" xr:uid="{BDBD87DE-DAEF-41D3-8336-24C87EB4FDA7}"/>
    <cellStyle name="Notas 2 3 2 2 2" xfId="6239" xr:uid="{450E6898-F982-4EBA-94E7-913E7C2A297E}"/>
    <cellStyle name="Notas 2 3 2 2 2 2" xfId="13947" xr:uid="{66155445-1EE0-4AE9-9A9B-A5AFCCB0DE7E}"/>
    <cellStyle name="Notas 2 3 2 2 2 2 2" xfId="29359" xr:uid="{528FB4D2-0B4E-4FB7-B53B-69BFD93137D1}"/>
    <cellStyle name="Notas 2 3 2 2 2 2 2 2" xfId="60703" xr:uid="{CBF859E6-7D87-4856-B5FC-C848D3F863AA}"/>
    <cellStyle name="Notas 2 3 2 2 2 2 3" xfId="60702" xr:uid="{AB53084A-A6EC-48B1-B80C-20544C6F9C08}"/>
    <cellStyle name="Notas 2 3 2 2 2 3" xfId="21654" xr:uid="{ACE4ED9B-1974-44A0-9324-12BA149BA9F2}"/>
    <cellStyle name="Notas 2 3 2 2 2 3 2" xfId="60704" xr:uid="{C8D3299F-B642-42B2-930C-FF5B28DC6D94}"/>
    <cellStyle name="Notas 2 3 2 2 2 4" xfId="60701" xr:uid="{309AC73C-0A91-4982-B46A-C7B1AC8BA0B9}"/>
    <cellStyle name="Notas 2 3 2 2 3" xfId="10218" xr:uid="{FE01965C-9C43-438A-82FE-C78A60636D69}"/>
    <cellStyle name="Notas 2 3 2 2 3 2" xfId="25631" xr:uid="{D3FB08DB-BA61-449A-A117-8A33D8FB1EC9}"/>
    <cellStyle name="Notas 2 3 2 2 3 2 2" xfId="60706" xr:uid="{3B7DC57A-354B-44E7-A41B-0FD35B3F93BB}"/>
    <cellStyle name="Notas 2 3 2 2 3 3" xfId="60705" xr:uid="{CADF5A3C-C74E-41E6-B285-FF0B98E17F91}"/>
    <cellStyle name="Notas 2 3 2 2 4" xfId="17926" xr:uid="{4BF9CB46-5992-409D-A0C4-4767429FB0A2}"/>
    <cellStyle name="Notas 2 3 2 2 4 2" xfId="60707" xr:uid="{0268FD7A-D811-4B62-92AF-79E983DB7150}"/>
    <cellStyle name="Notas 2 3 2 2 5" xfId="60700" xr:uid="{5DF28FC9-07E5-4CAB-AAF8-070E51A9B9A3}"/>
    <cellStyle name="Notas 2 3 2 3" xfId="4776" xr:uid="{D2A8224A-2010-4CE8-B782-B87A825758F6}"/>
    <cellStyle name="Notas 2 3 2 3 2" xfId="12484" xr:uid="{8F7CC427-39A9-4C34-A4D7-7D21BACCEBB7}"/>
    <cellStyle name="Notas 2 3 2 3 2 2" xfId="27896" xr:uid="{F2A92D65-97FA-4A72-AA8E-84A340ACC554}"/>
    <cellStyle name="Notas 2 3 2 3 2 2 2" xfId="60710" xr:uid="{E0D049DA-297B-471F-8F09-76ECD4840196}"/>
    <cellStyle name="Notas 2 3 2 3 2 3" xfId="60709" xr:uid="{8F535E9E-DD20-4D13-A747-E4BAB3183028}"/>
    <cellStyle name="Notas 2 3 2 3 3" xfId="20191" xr:uid="{03CDF6AD-F863-4E6B-9472-3CEAC1B2A583}"/>
    <cellStyle name="Notas 2 3 2 3 3 2" xfId="60711" xr:uid="{9049F256-3390-4134-8FF5-83E49FDC50FB}"/>
    <cellStyle name="Notas 2 3 2 3 4" xfId="60708" xr:uid="{09DD73B3-D6C1-4361-8667-EB342DFB16BC}"/>
    <cellStyle name="Notas 2 3 2 4" xfId="8759" xr:uid="{D4EA18B3-A8E7-4C97-BF6D-BBC10873E464}"/>
    <cellStyle name="Notas 2 3 2 4 2" xfId="24172" xr:uid="{E83B8E85-D822-4F6C-AD6A-C54203515565}"/>
    <cellStyle name="Notas 2 3 2 4 2 2" xfId="60713" xr:uid="{1AD55B9A-E2C6-49EA-A8DF-C129271DCD3B}"/>
    <cellStyle name="Notas 2 3 2 4 3" xfId="60712" xr:uid="{DB6C0D54-6738-41EC-9F90-00B0B413FB72}"/>
    <cellStyle name="Notas 2 3 2 5" xfId="16467" xr:uid="{A24FEC78-542C-4A13-8058-4273FD74F6A4}"/>
    <cellStyle name="Notas 2 3 2 5 2" xfId="60714" xr:uid="{9F3869BE-04E2-4224-A5E0-B1E43B2E97D0}"/>
    <cellStyle name="Notas 2 3 2 6" xfId="60699" xr:uid="{C1281D46-6783-4B6A-80F7-F676D5C947FC}"/>
    <cellStyle name="Notas 2 3 3" xfId="1869" xr:uid="{4A695274-76FA-4945-9DCC-E9F77E559D46}"/>
    <cellStyle name="Notas 2 3 3 2" xfId="5601" xr:uid="{D20A9E49-7EEC-46B8-8709-2357B7356226}"/>
    <cellStyle name="Notas 2 3 3 2 2" xfId="13309" xr:uid="{19DCBE72-0A64-4849-8D7A-B18899EA1056}"/>
    <cellStyle name="Notas 2 3 3 2 2 2" xfId="28721" xr:uid="{AF392BEC-9D82-487D-B5B5-DEE40768E19D}"/>
    <cellStyle name="Notas 2 3 3 2 2 2 2" xfId="60718" xr:uid="{1BBFB582-9496-4216-80A6-05B7D0E37FF1}"/>
    <cellStyle name="Notas 2 3 3 2 2 3" xfId="60717" xr:uid="{7AA01DAA-F635-465D-98C5-B7E1BE76521F}"/>
    <cellStyle name="Notas 2 3 3 2 3" xfId="21016" xr:uid="{BDBB9A23-193E-495B-A044-CAB57F8DB459}"/>
    <cellStyle name="Notas 2 3 3 2 3 2" xfId="60719" xr:uid="{38C29EBF-2A15-4B7E-A67A-0BB9F9330E67}"/>
    <cellStyle name="Notas 2 3 3 2 4" xfId="60716" xr:uid="{C884D810-5479-49BB-B26F-511A6F912EC5}"/>
    <cellStyle name="Notas 2 3 3 3" xfId="9580" xr:uid="{6FF80830-AC56-4A44-B458-A1D18154D390}"/>
    <cellStyle name="Notas 2 3 3 3 2" xfId="24993" xr:uid="{07664E2F-96F9-425B-84D3-8D584708FE9D}"/>
    <cellStyle name="Notas 2 3 3 3 2 2" xfId="60721" xr:uid="{747B01F3-3DA0-4364-8690-5FFEB96CEB98}"/>
    <cellStyle name="Notas 2 3 3 3 3" xfId="60720" xr:uid="{F9FD4493-89A9-49CD-B712-EDBB3A90874F}"/>
    <cellStyle name="Notas 2 3 3 4" xfId="17288" xr:uid="{1D08C3B8-B7F4-4DAB-B4F3-1292872DE791}"/>
    <cellStyle name="Notas 2 3 3 4 2" xfId="60722" xr:uid="{BC958F06-A3FF-4D07-B3AA-CFAE98F7719E}"/>
    <cellStyle name="Notas 2 3 3 5" xfId="60715" xr:uid="{5600A96E-191F-410B-A640-966FABCD33DC}"/>
    <cellStyle name="Notas 2 3 4" xfId="4124" xr:uid="{F873771B-11AA-41FD-8AD8-FF3819AC9636}"/>
    <cellStyle name="Notas 2 3 4 2" xfId="11832" xr:uid="{C5340E75-3186-4CFE-8295-4214DF45F13B}"/>
    <cellStyle name="Notas 2 3 4 2 2" xfId="27244" xr:uid="{68D29EB4-AA94-439D-8B2C-620D8BE20C07}"/>
    <cellStyle name="Notas 2 3 4 2 2 2" xfId="60725" xr:uid="{B9BD9697-151C-433B-847C-B7AA55430FD8}"/>
    <cellStyle name="Notas 2 3 4 2 3" xfId="60724" xr:uid="{099FD044-1310-42F3-A664-7130717B01E7}"/>
    <cellStyle name="Notas 2 3 4 3" xfId="19539" xr:uid="{4C325478-1A08-44A0-B7B9-6D44C7ED96FB}"/>
    <cellStyle name="Notas 2 3 4 3 2" xfId="60726" xr:uid="{FF5D44FE-5500-4F12-9514-D1F6834A58B8}"/>
    <cellStyle name="Notas 2 3 4 4" xfId="60723" xr:uid="{DF3E5E50-0188-486D-90CB-E7A612A82C43}"/>
    <cellStyle name="Notas 2 3 5" xfId="8121" xr:uid="{6A4F3ADA-C91C-4286-95A4-0EFB974ECE80}"/>
    <cellStyle name="Notas 2 3 5 2" xfId="23534" xr:uid="{63887782-B94E-4F2A-BA7A-E672201B9C39}"/>
    <cellStyle name="Notas 2 3 5 2 2" xfId="60728" xr:uid="{4A9C7E3B-2190-4F71-9BE3-B5763DE60E2E}"/>
    <cellStyle name="Notas 2 3 5 3" xfId="60727" xr:uid="{D1727C7D-4886-44DE-88CB-976178C9C5ED}"/>
    <cellStyle name="Notas 2 3 6" xfId="15829" xr:uid="{6506DAAB-C77C-4752-9CBB-FF4CDBC751C4}"/>
    <cellStyle name="Notas 2 3 6 2" xfId="60729" xr:uid="{97197AAC-C780-402B-8EB9-78782FEDFFBF}"/>
    <cellStyle name="Notas 2 3 7" xfId="60698" xr:uid="{B6EED173-D81A-4AD5-B3BB-8A398FF713C3}"/>
    <cellStyle name="Notas 2 4" xfId="834" xr:uid="{E34BB80A-590E-4487-8E41-05D714B6B8D3}"/>
    <cellStyle name="Notas 2 4 2" xfId="2309" xr:uid="{23BE05AC-A5A4-4E20-A006-B9F0F802C2D3}"/>
    <cellStyle name="Notas 2 4 2 2" xfId="6041" xr:uid="{DC17CB83-6C97-4216-B3B4-668F8B89539B}"/>
    <cellStyle name="Notas 2 4 2 2 2" xfId="13749" xr:uid="{7CA29487-28CE-467E-9275-9821B5C8D813}"/>
    <cellStyle name="Notas 2 4 2 2 2 2" xfId="29161" xr:uid="{2F88537F-34CB-4A77-AC98-C139183D30BB}"/>
    <cellStyle name="Notas 2 4 2 2 2 2 2" xfId="60734" xr:uid="{7E70951B-2F6F-4661-8E12-79B6B4102B94}"/>
    <cellStyle name="Notas 2 4 2 2 2 3" xfId="60733" xr:uid="{6D063363-F5F9-410A-9F19-75B5A776439E}"/>
    <cellStyle name="Notas 2 4 2 2 3" xfId="21456" xr:uid="{77E2E066-6A57-4A6B-91A2-44836C6B8456}"/>
    <cellStyle name="Notas 2 4 2 2 3 2" xfId="60735" xr:uid="{10EF4022-7F6D-4EE5-9545-276F6816547C}"/>
    <cellStyle name="Notas 2 4 2 2 4" xfId="60732" xr:uid="{22F5C63B-7949-482D-9828-E30A1B8D62C5}"/>
    <cellStyle name="Notas 2 4 2 3" xfId="10020" xr:uid="{ECDEC097-E51D-4162-A7B8-D1107F23421D}"/>
    <cellStyle name="Notas 2 4 2 3 2" xfId="25433" xr:uid="{1CF5AFED-A0AD-476D-86A2-2E25F7C5995C}"/>
    <cellStyle name="Notas 2 4 2 3 2 2" xfId="60737" xr:uid="{147F6B81-FAC9-4948-91B7-8B6F4CDDBECC}"/>
    <cellStyle name="Notas 2 4 2 3 3" xfId="60736" xr:uid="{4A4C772B-8B78-4401-9341-7FF873B0D66E}"/>
    <cellStyle name="Notas 2 4 2 4" xfId="17728" xr:uid="{3A0455B4-A2DA-4E26-80C6-BDFDDBEE2411}"/>
    <cellStyle name="Notas 2 4 2 4 2" xfId="60738" xr:uid="{11A16092-F6CD-4984-BF4D-C8384D087426}"/>
    <cellStyle name="Notas 2 4 2 5" xfId="60731" xr:uid="{307CDBE8-90D0-40C7-94D2-7632F2840AE7}"/>
    <cellStyle name="Notas 2 4 3" xfId="4571" xr:uid="{7D9FD07C-D537-4DEC-B884-22851D84E118}"/>
    <cellStyle name="Notas 2 4 3 2" xfId="12279" xr:uid="{31EABF4D-9273-455E-B826-9E99B08BC047}"/>
    <cellStyle name="Notas 2 4 3 2 2" xfId="27691" xr:uid="{25D7B6B7-A243-41C8-8738-8E175D0422CF}"/>
    <cellStyle name="Notas 2 4 3 2 2 2" xfId="60741" xr:uid="{EFAC1E3D-29A9-45B6-A6B1-2296A9C1FA3D}"/>
    <cellStyle name="Notas 2 4 3 2 3" xfId="60740" xr:uid="{5F65BAF9-029B-4AC5-97D0-43B360E720CC}"/>
    <cellStyle name="Notas 2 4 3 3" xfId="19986" xr:uid="{38A4C100-E6DB-4FD0-A83B-CE8147D2E261}"/>
    <cellStyle name="Notas 2 4 3 3 2" xfId="60742" xr:uid="{68F46224-46C6-4B7C-80ED-B379F6BE5850}"/>
    <cellStyle name="Notas 2 4 3 4" xfId="60739" xr:uid="{2F29F644-F467-457C-8C99-C780AB553347}"/>
    <cellStyle name="Notas 2 4 4" xfId="8561" xr:uid="{2C023C72-7D4E-4386-8970-CA2F8BEB359C}"/>
    <cellStyle name="Notas 2 4 4 2" xfId="23974" xr:uid="{D0FA0C73-F464-4288-BF60-4137DBA125F3}"/>
    <cellStyle name="Notas 2 4 4 2 2" xfId="60744" xr:uid="{149F422B-68A1-4537-8A50-AEBC132B354D}"/>
    <cellStyle name="Notas 2 4 4 3" xfId="60743" xr:uid="{FF876D70-CBE2-4221-B728-04A013359401}"/>
    <cellStyle name="Notas 2 4 5" xfId="16269" xr:uid="{B05F7E6F-1201-4143-9383-4C657F82141C}"/>
    <cellStyle name="Notas 2 4 5 2" xfId="60745" xr:uid="{6E2EE412-8E70-4292-B8C3-AF512C1017AC}"/>
    <cellStyle name="Notas 2 4 6" xfId="60730" xr:uid="{1D9F57B1-C11A-4857-8CE1-B28F73C16DE5}"/>
    <cellStyle name="Notas 2 5" xfId="1671" xr:uid="{EC1D4F0F-C0FD-42AC-BF03-DB9A58AFF5C2}"/>
    <cellStyle name="Notas 2 5 2" xfId="5403" xr:uid="{BA1D632C-5136-4ABE-B4F1-74FF2E2C7F59}"/>
    <cellStyle name="Notas 2 5 2 2" xfId="13111" xr:uid="{9D80F2B4-1479-48D5-A01D-630005553A3F}"/>
    <cellStyle name="Notas 2 5 2 2 2" xfId="28523" xr:uid="{ABD789A8-BA68-48E7-8766-09B6B20B4211}"/>
    <cellStyle name="Notas 2 5 2 2 2 2" xfId="60749" xr:uid="{2D7404F8-BE1B-4991-A9A6-408C1F586B40}"/>
    <cellStyle name="Notas 2 5 2 2 3" xfId="60748" xr:uid="{3F9D18F7-40BF-4ACC-816D-FF09BD4DEB2D}"/>
    <cellStyle name="Notas 2 5 2 3" xfId="20818" xr:uid="{DCAC6061-5DE8-4B5F-A65C-583183203838}"/>
    <cellStyle name="Notas 2 5 2 3 2" xfId="60750" xr:uid="{57910F91-83C1-4BBE-A3B5-132EB7871365}"/>
    <cellStyle name="Notas 2 5 2 4" xfId="60747" xr:uid="{7CD7ABD1-C5DA-41E3-9F1F-174AA38063BC}"/>
    <cellStyle name="Notas 2 5 3" xfId="9382" xr:uid="{50642720-7154-45DF-A665-69A68478D036}"/>
    <cellStyle name="Notas 2 5 3 2" xfId="24795" xr:uid="{B3D41ABB-6CA6-4904-9EDF-003D234EC4CF}"/>
    <cellStyle name="Notas 2 5 3 2 2" xfId="60752" xr:uid="{D62D7018-4184-48E3-9AB4-3763616AFB2B}"/>
    <cellStyle name="Notas 2 5 3 3" xfId="60751" xr:uid="{D067E4BD-D1A6-4EE1-ABA7-414350629776}"/>
    <cellStyle name="Notas 2 5 4" xfId="17090" xr:uid="{ABCE2679-5F6B-4FFD-B1EF-6C8133D128D1}"/>
    <cellStyle name="Notas 2 5 4 2" xfId="60753" xr:uid="{6EC8F069-7BB2-4E1B-8BD5-574944E7286B}"/>
    <cellStyle name="Notas 2 5 5" xfId="60746" xr:uid="{CB029C43-CFF1-403B-A484-44ACEA23E1F4}"/>
    <cellStyle name="Notas 2 6" xfId="3919" xr:uid="{92AB4726-489A-4D1F-A6B8-F37E84A3B70A}"/>
    <cellStyle name="Notas 2 6 2" xfId="11627" xr:uid="{0AD86996-9920-4FB8-8065-D749F827C26F}"/>
    <cellStyle name="Notas 2 6 2 2" xfId="27039" xr:uid="{8E374CF7-33F6-46D4-A52F-90BF0C229377}"/>
    <cellStyle name="Notas 2 6 2 2 2" xfId="60756" xr:uid="{065CF024-7890-485C-A60F-584EC582C96E}"/>
    <cellStyle name="Notas 2 6 2 3" xfId="60755" xr:uid="{CABCEBAF-3DE7-4864-AD3C-BCCA28B36DAD}"/>
    <cellStyle name="Notas 2 6 3" xfId="19334" xr:uid="{E840DD93-0DF4-4FB0-9D82-763BA7328BF0}"/>
    <cellStyle name="Notas 2 6 3 2" xfId="60757" xr:uid="{43ACB0CB-BE7F-43EE-BA44-9DC8865F2AB4}"/>
    <cellStyle name="Notas 2 6 4" xfId="60754" xr:uid="{F46C4D55-13A5-4557-B055-1F0F7C5BDD3D}"/>
    <cellStyle name="Notas 2 7" xfId="7923" xr:uid="{46B64DE0-077F-4BD0-937D-E9F3B6E4684B}"/>
    <cellStyle name="Notas 2 7 2" xfId="23336" xr:uid="{2F71A627-6A53-4E4A-A8F7-D4EEB841C5F6}"/>
    <cellStyle name="Notas 2 7 2 2" xfId="60759" xr:uid="{380A4AD1-36E1-409A-882E-754A373E4482}"/>
    <cellStyle name="Notas 2 7 3" xfId="60758" xr:uid="{9D06D14D-D4D8-466F-86EF-DCCD8E28ECD6}"/>
    <cellStyle name="Notas 2 8" xfId="15631" xr:uid="{F96E9C57-60A2-461B-9BCA-9D8D92C217D1}"/>
    <cellStyle name="Notas 2 8 2" xfId="60760" xr:uid="{286600BF-0996-4601-9D4A-733D14DE6AF7}"/>
    <cellStyle name="Notas 2 9" xfId="60633" xr:uid="{16EF62B4-5445-4199-B49B-363911D0CA76}"/>
    <cellStyle name="Notas 20" xfId="1429" xr:uid="{5E1D9FAE-B9AD-438D-A4A5-77E0E109BED0}"/>
    <cellStyle name="Notas 20 2" xfId="2894" xr:uid="{833866A9-84B5-4867-804D-617B9B3025AA}"/>
    <cellStyle name="Notas 20 2 2" xfId="6626" xr:uid="{CDC00B5C-30DF-4036-93B6-5E80825A8C0F}"/>
    <cellStyle name="Notas 20 2 2 2" xfId="14334" xr:uid="{B3B3541C-10D0-4D6E-96F5-E7CFB3262FB6}"/>
    <cellStyle name="Notas 20 2 2 2 2" xfId="29746" xr:uid="{098DDE05-5078-4963-876B-84C300BEC78A}"/>
    <cellStyle name="Notas 20 2 2 2 2 2" xfId="60765" xr:uid="{AA6BB8A3-71B8-4FB9-A630-A33DB0C262BA}"/>
    <cellStyle name="Notas 20 2 2 2 3" xfId="60764" xr:uid="{C0C54968-34E5-4B6C-99A3-8C2E80D85D60}"/>
    <cellStyle name="Notas 20 2 2 3" xfId="22041" xr:uid="{D2915CCA-910E-4671-B828-1B37DF0DE141}"/>
    <cellStyle name="Notas 20 2 2 3 2" xfId="60766" xr:uid="{23CC0208-0EF7-45AC-AEB4-E181F2C8505B}"/>
    <cellStyle name="Notas 20 2 2 4" xfId="60763" xr:uid="{95950BFB-8404-46B5-A8B9-977465E64222}"/>
    <cellStyle name="Notas 20 2 3" xfId="10605" xr:uid="{6C9FFC1B-779E-4A73-8D51-2128B1FDA51E}"/>
    <cellStyle name="Notas 20 2 3 2" xfId="26018" xr:uid="{949FC0EB-9442-489F-969C-097753C8FEE0}"/>
    <cellStyle name="Notas 20 2 3 2 2" xfId="60768" xr:uid="{3A962934-B922-471F-81D6-E4F647ED2073}"/>
    <cellStyle name="Notas 20 2 3 3" xfId="60767" xr:uid="{C520BC26-A380-42E5-9996-4AFA4766D17C}"/>
    <cellStyle name="Notas 20 2 4" xfId="18313" xr:uid="{2A7F00F1-ADC0-4193-9936-39A1E09BA047}"/>
    <cellStyle name="Notas 20 2 4 2" xfId="60769" xr:uid="{EA95C34A-C99E-4F9A-85A6-0F611805F631}"/>
    <cellStyle name="Notas 20 2 5" xfId="60762" xr:uid="{AB8F8B9D-D816-43B8-8C5F-A3A4D7D31F8F}"/>
    <cellStyle name="Notas 20 3" xfId="5165" xr:uid="{0F6F4DDA-8879-410E-9A01-8454B9BBF738}"/>
    <cellStyle name="Notas 20 3 2" xfId="12873" xr:uid="{275142AB-3F45-4CD3-9277-69E259AF473B}"/>
    <cellStyle name="Notas 20 3 2 2" xfId="28285" xr:uid="{AB6F45E6-6F46-4EBD-B2D1-9B5609FF8CB6}"/>
    <cellStyle name="Notas 20 3 2 2 2" xfId="60772" xr:uid="{42EA873A-1D1C-4CF7-83BD-9DE45D2A227C}"/>
    <cellStyle name="Notas 20 3 2 3" xfId="60771" xr:uid="{3AAD4F11-0106-4B20-9EA9-263601ECB02B}"/>
    <cellStyle name="Notas 20 3 3" xfId="20580" xr:uid="{032755F5-FD61-44BF-8869-3D7A0A6BA23E}"/>
    <cellStyle name="Notas 20 3 3 2" xfId="60773" xr:uid="{A7759492-6DDA-4201-AF1E-F2790C131627}"/>
    <cellStyle name="Notas 20 3 4" xfId="60770" xr:uid="{CB96B79C-5B3F-42F0-A521-ED9AAA8229E3}"/>
    <cellStyle name="Notas 20 4" xfId="9146" xr:uid="{FF149B71-8A85-41AE-9307-139207EB2A8C}"/>
    <cellStyle name="Notas 20 4 2" xfId="24559" xr:uid="{F56592EF-C894-4BEA-AC0A-E782FB4B0F28}"/>
    <cellStyle name="Notas 20 4 2 2" xfId="60775" xr:uid="{BA7A326D-3ED6-4D9C-8743-62649904A55F}"/>
    <cellStyle name="Notas 20 4 3" xfId="60774" xr:uid="{3E3D04C8-EF4D-431A-ABAB-925857AD5E76}"/>
    <cellStyle name="Notas 20 5" xfId="16854" xr:uid="{A181DAA7-3EF8-40B0-AE0A-28E9C5814E20}"/>
    <cellStyle name="Notas 20 5 2" xfId="60776" xr:uid="{2240C8F0-26FF-42D7-B42B-1ACB47456106}"/>
    <cellStyle name="Notas 20 6" xfId="60761" xr:uid="{8F996D78-7E53-4C10-9994-270D09EEFAD6}"/>
    <cellStyle name="Notas 21" xfId="1449" xr:uid="{AB9EFFCD-8D75-43AF-AA1F-04D8F8571730}"/>
    <cellStyle name="Notas 21 2" xfId="2914" xr:uid="{3821E1D0-938B-43BC-8B6C-277F28655DCB}"/>
    <cellStyle name="Notas 21 2 2" xfId="6646" xr:uid="{76B5B25D-F2B8-4E8B-BDA6-2113C65F9EC4}"/>
    <cellStyle name="Notas 21 2 2 2" xfId="14354" xr:uid="{F70E272B-9D3C-40EE-8984-FA2B9C70C573}"/>
    <cellStyle name="Notas 21 2 2 2 2" xfId="29766" xr:uid="{53933A39-5E7D-42A8-A0C1-9DD319607ADD}"/>
    <cellStyle name="Notas 21 2 2 2 2 2" xfId="60781" xr:uid="{D399E159-BF21-4BA6-AD48-3718AFDF560A}"/>
    <cellStyle name="Notas 21 2 2 2 3" xfId="60780" xr:uid="{F576590D-E965-4265-B26B-DA7698D2B9DA}"/>
    <cellStyle name="Notas 21 2 2 3" xfId="22061" xr:uid="{1E6664B8-AB18-4945-808A-8D0B95F51FC9}"/>
    <cellStyle name="Notas 21 2 2 3 2" xfId="60782" xr:uid="{EBB5DFD1-8A3F-484E-BAE3-CF06BA8A830F}"/>
    <cellStyle name="Notas 21 2 2 4" xfId="60779" xr:uid="{C105E90C-5B97-4106-B324-E67C273BA352}"/>
    <cellStyle name="Notas 21 2 3" xfId="10625" xr:uid="{014444DC-1B3D-4F78-89CA-F1F8F5DF8981}"/>
    <cellStyle name="Notas 21 2 3 2" xfId="26038" xr:uid="{ED11DD13-A4C9-42CC-A706-91A6492107FB}"/>
    <cellStyle name="Notas 21 2 3 2 2" xfId="60784" xr:uid="{F800AFA4-67BA-44DB-8E21-CB5021BABEA6}"/>
    <cellStyle name="Notas 21 2 3 3" xfId="60783" xr:uid="{44BCC6F4-4AB3-4492-95F5-4CDDFB71F5ED}"/>
    <cellStyle name="Notas 21 2 4" xfId="18333" xr:uid="{0524E6C9-1D7B-4BC0-BC09-9C9F3C111BDE}"/>
    <cellStyle name="Notas 21 2 4 2" xfId="60785" xr:uid="{3CB08013-3FF0-49EE-B3DA-17F8900A6D48}"/>
    <cellStyle name="Notas 21 2 5" xfId="60778" xr:uid="{3B346FEA-B48D-47C6-824F-C6BFAC62707F}"/>
    <cellStyle name="Notas 21 3" xfId="5185" xr:uid="{1ED916B3-5267-4D05-8FEC-C842F4D15CB2}"/>
    <cellStyle name="Notas 21 3 2" xfId="12893" xr:uid="{C048262B-D75C-48E8-8D03-C31D11B5FD4E}"/>
    <cellStyle name="Notas 21 3 2 2" xfId="28305" xr:uid="{1D33A6B1-885E-423B-8E4F-F179B765F717}"/>
    <cellStyle name="Notas 21 3 2 2 2" xfId="60788" xr:uid="{F32D8868-F792-4C93-8B34-E39E1BF9BAFE}"/>
    <cellStyle name="Notas 21 3 2 3" xfId="60787" xr:uid="{C9AF8041-5CCE-460C-81D0-A7A5B9AFD507}"/>
    <cellStyle name="Notas 21 3 3" xfId="20600" xr:uid="{29650DB3-7B02-4940-9E15-A31F4B9E4E17}"/>
    <cellStyle name="Notas 21 3 3 2" xfId="60789" xr:uid="{23C7F17E-84A1-4A32-AB90-316BA2E2AF01}"/>
    <cellStyle name="Notas 21 3 4" xfId="60786" xr:uid="{44021C02-4472-421A-B6DC-3A5BA50F9565}"/>
    <cellStyle name="Notas 21 4" xfId="9166" xr:uid="{B2256B55-5D6A-4B4F-AE44-20026E5A760A}"/>
    <cellStyle name="Notas 21 4 2" xfId="24579" xr:uid="{69F855B0-26AE-4331-BE1A-DAEEB6BDE473}"/>
    <cellStyle name="Notas 21 4 2 2" xfId="60791" xr:uid="{4E93FB0B-676B-4470-821B-D6CF24D17D2F}"/>
    <cellStyle name="Notas 21 4 3" xfId="60790" xr:uid="{3A8D0853-277C-4359-B978-28ED60DD2C84}"/>
    <cellStyle name="Notas 21 5" xfId="16874" xr:uid="{7FE51166-3C4F-4EF5-9151-14FF3F11A0F1}"/>
    <cellStyle name="Notas 21 5 2" xfId="60792" xr:uid="{E6018FD4-2F26-4C93-B96D-2AAC3875FA57}"/>
    <cellStyle name="Notas 21 6" xfId="60777" xr:uid="{CD6F7338-13E7-432B-B151-6D25141699BE}"/>
    <cellStyle name="Notas 22" xfId="1469" xr:uid="{4A03ADA8-8BBC-43D6-BADE-2A74C8B40F77}"/>
    <cellStyle name="Notas 22 2" xfId="2934" xr:uid="{18111F5B-7CF5-482C-A735-0122C81F8117}"/>
    <cellStyle name="Notas 22 2 2" xfId="6666" xr:uid="{44358488-6990-46BE-9971-C5A932B3CD7A}"/>
    <cellStyle name="Notas 22 2 2 2" xfId="14374" xr:uid="{AD84F797-F299-409B-A24F-8860687B83DF}"/>
    <cellStyle name="Notas 22 2 2 2 2" xfId="29786" xr:uid="{A49BEB38-1A7B-4F96-B6F5-F0F75D2CF719}"/>
    <cellStyle name="Notas 22 2 2 2 2 2" xfId="60797" xr:uid="{32571546-E64A-4181-87E2-DA9FDBE5EDB5}"/>
    <cellStyle name="Notas 22 2 2 2 3" xfId="60796" xr:uid="{1F1008E9-1CB4-4398-9F79-CF933F5148F3}"/>
    <cellStyle name="Notas 22 2 2 3" xfId="22081" xr:uid="{559A88E5-9B9D-43F7-A3F4-477F62ECD978}"/>
    <cellStyle name="Notas 22 2 2 3 2" xfId="60798" xr:uid="{7AA59A00-0935-47DC-A7B2-AD32539712D8}"/>
    <cellStyle name="Notas 22 2 2 4" xfId="60795" xr:uid="{05A0FD6D-5DBF-41EE-B158-39A1299C31C3}"/>
    <cellStyle name="Notas 22 2 3" xfId="10645" xr:uid="{EDEF9C71-BA78-4E74-A923-04F955B8D7EF}"/>
    <cellStyle name="Notas 22 2 3 2" xfId="26058" xr:uid="{173CE46F-CF94-44C2-A131-C01033F36E48}"/>
    <cellStyle name="Notas 22 2 3 2 2" xfId="60800" xr:uid="{26443AAB-3628-4E75-895C-504B3678E24A}"/>
    <cellStyle name="Notas 22 2 3 3" xfId="60799" xr:uid="{A3A5F455-E676-4659-8ADB-AD3CAF6074D1}"/>
    <cellStyle name="Notas 22 2 4" xfId="18353" xr:uid="{9CF7E5DB-F4FD-4B9B-90B9-154A0A016BDB}"/>
    <cellStyle name="Notas 22 2 4 2" xfId="60801" xr:uid="{15DCCF9D-2E82-4EE9-BEDD-C2DDA0ACD7F1}"/>
    <cellStyle name="Notas 22 2 5" xfId="60794" xr:uid="{19BC3850-82BA-4A38-926C-5EA0AD77DD8E}"/>
    <cellStyle name="Notas 22 3" xfId="5205" xr:uid="{4A16A8E9-E090-4F98-A3F2-AA3AD1C75160}"/>
    <cellStyle name="Notas 22 3 2" xfId="12913" xr:uid="{A5AF9C98-C7AE-498C-8FF6-7170D739AAF6}"/>
    <cellStyle name="Notas 22 3 2 2" xfId="28325" xr:uid="{AB302D9C-A729-4D87-AB9C-96B5508E5031}"/>
    <cellStyle name="Notas 22 3 2 2 2" xfId="60804" xr:uid="{B5FD91A7-12DE-42C9-9E6F-E483C6607CEA}"/>
    <cellStyle name="Notas 22 3 2 3" xfId="60803" xr:uid="{077508F0-95DE-476D-8DB2-2BBFEF9B5F1C}"/>
    <cellStyle name="Notas 22 3 3" xfId="20620" xr:uid="{8B91F8E0-DF43-4804-B1F2-8C8E3A690EC0}"/>
    <cellStyle name="Notas 22 3 3 2" xfId="60805" xr:uid="{7D5C7A1F-F26D-43E8-A197-CEDDF9D95A73}"/>
    <cellStyle name="Notas 22 3 4" xfId="60802" xr:uid="{50D3F916-580B-4D4F-BCEB-74CEBB10970A}"/>
    <cellStyle name="Notas 22 4" xfId="9186" xr:uid="{DDB172DC-92E4-40F6-9236-8F25B93A5F78}"/>
    <cellStyle name="Notas 22 4 2" xfId="24599" xr:uid="{154ACE2D-1A81-46DE-BCD5-33A9C3552235}"/>
    <cellStyle name="Notas 22 4 2 2" xfId="60807" xr:uid="{7E8C1D90-00E2-4E8F-BD09-1702303430AB}"/>
    <cellStyle name="Notas 22 4 3" xfId="60806" xr:uid="{330954F5-574B-4D92-9407-47C53C94363E}"/>
    <cellStyle name="Notas 22 5" xfId="16894" xr:uid="{B69C9968-923A-4957-A786-CE1969F6F6D3}"/>
    <cellStyle name="Notas 22 5 2" xfId="60808" xr:uid="{09D8B50C-0C35-4229-852F-77A5C92D6D81}"/>
    <cellStyle name="Notas 22 6" xfId="60793" xr:uid="{95D99B4E-7F03-41BB-ABFA-7344C33EE50D}"/>
    <cellStyle name="Notas 23" xfId="1489" xr:uid="{93E5EA8F-8C1F-4F26-AFEC-76D39A992723}"/>
    <cellStyle name="Notas 23 2" xfId="2954" xr:uid="{71C438B3-4827-4980-BE41-FCBA34E45CB6}"/>
    <cellStyle name="Notas 23 2 2" xfId="6686" xr:uid="{D6C6FCEC-462C-440D-B047-66F54BE33E4B}"/>
    <cellStyle name="Notas 23 2 2 2" xfId="14394" xr:uid="{528ED20D-D6B4-465B-A306-FD739A3CE8A3}"/>
    <cellStyle name="Notas 23 2 2 2 2" xfId="29806" xr:uid="{731F5FDF-82B4-40BD-B12F-714E98D9D5AE}"/>
    <cellStyle name="Notas 23 2 2 2 2 2" xfId="60813" xr:uid="{F4D385E5-4951-4AC8-90BC-CEF1797C5B97}"/>
    <cellStyle name="Notas 23 2 2 2 3" xfId="60812" xr:uid="{156E790F-A5EE-4915-8B1E-3FA544130FB1}"/>
    <cellStyle name="Notas 23 2 2 3" xfId="22101" xr:uid="{0ED575A7-F758-4492-855C-0F3E76008303}"/>
    <cellStyle name="Notas 23 2 2 3 2" xfId="60814" xr:uid="{AB2F5C58-732A-43EF-8EB1-51FB8F6BC302}"/>
    <cellStyle name="Notas 23 2 2 4" xfId="60811" xr:uid="{F4CAB8D0-0BC8-4DB7-880A-22917A5AEF58}"/>
    <cellStyle name="Notas 23 2 3" xfId="10665" xr:uid="{16AB524A-5655-445F-ACE2-3B1AB376B745}"/>
    <cellStyle name="Notas 23 2 3 2" xfId="26078" xr:uid="{8A870AA2-FCA1-4B6F-886D-98F7601795E1}"/>
    <cellStyle name="Notas 23 2 3 2 2" xfId="60816" xr:uid="{66BFCE0D-B5B9-46B0-92CD-3DBB070D2D04}"/>
    <cellStyle name="Notas 23 2 3 3" xfId="60815" xr:uid="{E7C90C35-8BF2-4CC9-99F8-BD8608782B7E}"/>
    <cellStyle name="Notas 23 2 4" xfId="18373" xr:uid="{F903BE5C-ED3B-412C-B10F-D7F53BD779D0}"/>
    <cellStyle name="Notas 23 2 4 2" xfId="60817" xr:uid="{E31D5F71-7931-4F28-875A-302B612FC587}"/>
    <cellStyle name="Notas 23 2 5" xfId="60810" xr:uid="{E7C938E5-EF10-411E-AE61-3410B073E455}"/>
    <cellStyle name="Notas 23 3" xfId="5225" xr:uid="{095E4545-9479-4033-A44A-C195AF65C118}"/>
    <cellStyle name="Notas 23 3 2" xfId="12933" xr:uid="{14114C6A-AAD6-48E7-ABF2-974EE38F8B8E}"/>
    <cellStyle name="Notas 23 3 2 2" xfId="28345" xr:uid="{445C485A-D14D-493F-81BF-C049923AFF60}"/>
    <cellStyle name="Notas 23 3 2 2 2" xfId="60820" xr:uid="{2EA6CE95-7B83-49E0-9C5B-9D23A439A91C}"/>
    <cellStyle name="Notas 23 3 2 3" xfId="60819" xr:uid="{42FA9298-1580-4CE7-8F8B-1920A3699F11}"/>
    <cellStyle name="Notas 23 3 3" xfId="20640" xr:uid="{74577F28-06D7-42DF-AE1E-317601382BB5}"/>
    <cellStyle name="Notas 23 3 3 2" xfId="60821" xr:uid="{273D7DDA-F1F5-4B8A-9B1F-79B4FF1798B3}"/>
    <cellStyle name="Notas 23 3 4" xfId="60818" xr:uid="{E059A8A0-89CA-4F4C-94B6-6BA06A98ABBD}"/>
    <cellStyle name="Notas 23 4" xfId="9206" xr:uid="{C9EF68D7-7C85-425F-AC2B-E4A2C493275D}"/>
    <cellStyle name="Notas 23 4 2" xfId="24619" xr:uid="{36EC686B-7250-48D7-951F-6BCDD25CDF5C}"/>
    <cellStyle name="Notas 23 4 2 2" xfId="60823" xr:uid="{A6BFA08F-C2BD-492C-AEAB-6E4EC4ADA6D9}"/>
    <cellStyle name="Notas 23 4 3" xfId="60822" xr:uid="{54B61B6B-92C9-45BA-A0E6-077B8953E01C}"/>
    <cellStyle name="Notas 23 5" xfId="16914" xr:uid="{6061D36A-8D25-4735-8EFD-962E26E05AAB}"/>
    <cellStyle name="Notas 23 5 2" xfId="60824" xr:uid="{7227C4BB-E8D5-4448-94D9-7F489F76D809}"/>
    <cellStyle name="Notas 23 6" xfId="60809" xr:uid="{998D7F0F-14CF-4F99-B31C-EE92C98EF416}"/>
    <cellStyle name="Notas 24" xfId="1509" xr:uid="{FB376242-A821-4C9B-BABD-8CC3D9FCC315}"/>
    <cellStyle name="Notas 24 2" xfId="2974" xr:uid="{6B8AAAA8-16D1-46FB-B0D3-D49E654FCBCD}"/>
    <cellStyle name="Notas 24 2 2" xfId="6706" xr:uid="{F7C62820-7D0E-410C-8D91-79401635D046}"/>
    <cellStyle name="Notas 24 2 2 2" xfId="14414" xr:uid="{AB6ECAD1-0F24-4EE7-B8E8-6CDF9C359433}"/>
    <cellStyle name="Notas 24 2 2 2 2" xfId="29826" xr:uid="{2E4EA8C4-C5D6-446E-9E3D-897E31E476F6}"/>
    <cellStyle name="Notas 24 2 2 2 2 2" xfId="60829" xr:uid="{B6F29183-619F-4FB0-BD87-B840493DFAC2}"/>
    <cellStyle name="Notas 24 2 2 2 3" xfId="60828" xr:uid="{591A68C9-7CF9-4DEE-A338-B77F3C0E63E3}"/>
    <cellStyle name="Notas 24 2 2 3" xfId="22121" xr:uid="{ECEE5BFB-3C4C-49B2-BAD8-ED79B2FD7FEA}"/>
    <cellStyle name="Notas 24 2 2 3 2" xfId="60830" xr:uid="{10EEC8F6-0727-4D9F-A0D5-4BD256370F3F}"/>
    <cellStyle name="Notas 24 2 2 4" xfId="60827" xr:uid="{E953D75E-41C4-4154-9CC7-BFBF57ABB3A8}"/>
    <cellStyle name="Notas 24 2 3" xfId="10685" xr:uid="{C98301BA-0075-48C1-9593-DFD458F17FA8}"/>
    <cellStyle name="Notas 24 2 3 2" xfId="26098" xr:uid="{4309E6DE-253C-4ABD-85C0-5909525B4863}"/>
    <cellStyle name="Notas 24 2 3 2 2" xfId="60832" xr:uid="{10920068-79BA-4D1E-AD0B-447FF69C6703}"/>
    <cellStyle name="Notas 24 2 3 3" xfId="60831" xr:uid="{A427E66F-C3B7-4C88-9AB2-2519D3B325D7}"/>
    <cellStyle name="Notas 24 2 4" xfId="18393" xr:uid="{13761366-E09D-40E1-AE6B-DF2F8AED1B37}"/>
    <cellStyle name="Notas 24 2 4 2" xfId="60833" xr:uid="{9E9A96D0-87DA-49BB-9269-34349331C643}"/>
    <cellStyle name="Notas 24 2 5" xfId="60826" xr:uid="{8DD07652-C348-40BC-9BC3-4EB01CAD731C}"/>
    <cellStyle name="Notas 24 3" xfId="5245" xr:uid="{77164812-1BED-44DF-A212-2D978D5863F8}"/>
    <cellStyle name="Notas 24 3 2" xfId="12953" xr:uid="{1AEC5B43-78EF-48C6-B09B-5DA0CFB9FB46}"/>
    <cellStyle name="Notas 24 3 2 2" xfId="28365" xr:uid="{4E4B0DB8-62AC-4EBA-899F-09C845FAFCA3}"/>
    <cellStyle name="Notas 24 3 2 2 2" xfId="60836" xr:uid="{AAC30460-1EDE-4DA9-99BF-F12B096C0DFC}"/>
    <cellStyle name="Notas 24 3 2 3" xfId="60835" xr:uid="{82F5CFF7-190B-4EE6-9379-5CF8EC1D0BF8}"/>
    <cellStyle name="Notas 24 3 3" xfId="20660" xr:uid="{341B4F01-DA08-4A1E-B078-11B7317774AF}"/>
    <cellStyle name="Notas 24 3 3 2" xfId="60837" xr:uid="{1A1C1081-EF2F-4F6B-BEF6-30C897B44DF9}"/>
    <cellStyle name="Notas 24 3 4" xfId="60834" xr:uid="{9F3982B2-8BB3-4BC4-9544-E77283C68E5A}"/>
    <cellStyle name="Notas 24 4" xfId="9226" xr:uid="{04112951-ACE3-46FF-81AD-8A5AD31E21E0}"/>
    <cellStyle name="Notas 24 4 2" xfId="24639" xr:uid="{7BC0B791-48F4-4128-B0D1-5F43E6B21AEC}"/>
    <cellStyle name="Notas 24 4 2 2" xfId="60839" xr:uid="{AD4135CF-72BE-4522-86E1-D0BBD5A94558}"/>
    <cellStyle name="Notas 24 4 3" xfId="60838" xr:uid="{7853E41B-71BE-476D-9C0D-48284A49EF4F}"/>
    <cellStyle name="Notas 24 5" xfId="16934" xr:uid="{47B0CAAD-5AB8-4390-A9DA-C573F2E79F66}"/>
    <cellStyle name="Notas 24 5 2" xfId="60840" xr:uid="{EC4CF5AC-732A-4E6C-A561-6A67AD557A90}"/>
    <cellStyle name="Notas 24 6" xfId="60825" xr:uid="{26903E73-A608-4706-8F99-68B3271C96D7}"/>
    <cellStyle name="Notas 25" xfId="1529" xr:uid="{46CE6E7E-8CB2-49C5-85A6-0EE650687696}"/>
    <cellStyle name="Notas 25 2" xfId="2994" xr:uid="{0609C03B-0242-40CE-82C3-D205B03A01F4}"/>
    <cellStyle name="Notas 25 2 2" xfId="6726" xr:uid="{3DD98573-2449-4E47-980A-587345C95674}"/>
    <cellStyle name="Notas 25 2 2 2" xfId="14434" xr:uid="{39F2D5F2-538F-4921-B478-A4BDBF668C15}"/>
    <cellStyle name="Notas 25 2 2 2 2" xfId="29846" xr:uid="{D17559BD-7D0A-4C66-9641-BC14E5770644}"/>
    <cellStyle name="Notas 25 2 2 2 2 2" xfId="60845" xr:uid="{C5250FEE-0DBD-45C7-8B43-C7AE1256A5E6}"/>
    <cellStyle name="Notas 25 2 2 2 3" xfId="60844" xr:uid="{6882D41D-BE20-4EAD-8604-92212BD400C8}"/>
    <cellStyle name="Notas 25 2 2 3" xfId="22141" xr:uid="{462C5C33-D12D-4021-9FA6-C03F304E4FA1}"/>
    <cellStyle name="Notas 25 2 2 3 2" xfId="60846" xr:uid="{2FA82057-AFD4-4DA5-8407-43C05F235C5D}"/>
    <cellStyle name="Notas 25 2 2 4" xfId="60843" xr:uid="{A2F7E9AB-9A32-4170-BB48-422A9872F5FF}"/>
    <cellStyle name="Notas 25 2 3" xfId="10705" xr:uid="{10CD392B-64B1-41CC-9B57-D5DDC4D66AAA}"/>
    <cellStyle name="Notas 25 2 3 2" xfId="26118" xr:uid="{EB5F2A55-9300-4B2A-9D36-35D2FD582642}"/>
    <cellStyle name="Notas 25 2 3 2 2" xfId="60848" xr:uid="{E06707C0-5193-4E08-B5CA-8A416BCB0227}"/>
    <cellStyle name="Notas 25 2 3 3" xfId="60847" xr:uid="{9211192E-35E2-4592-A871-729B46F47C86}"/>
    <cellStyle name="Notas 25 2 4" xfId="18413" xr:uid="{CF0BBCE8-850D-4CE4-9C0B-753520FBD076}"/>
    <cellStyle name="Notas 25 2 4 2" xfId="60849" xr:uid="{3C25324A-6967-47FE-8D1A-D6BB1616EB6E}"/>
    <cellStyle name="Notas 25 2 5" xfId="60842" xr:uid="{978F9FAF-4A65-40DC-A965-CAFE09FC058F}"/>
    <cellStyle name="Notas 25 3" xfId="5265" xr:uid="{C336B9E1-B13D-48B4-B2C3-9B296B98668C}"/>
    <cellStyle name="Notas 25 3 2" xfId="12973" xr:uid="{1E76ECEF-458B-401B-9D15-7AA71A391814}"/>
    <cellStyle name="Notas 25 3 2 2" xfId="28385" xr:uid="{BDCEC2A7-77AA-49D7-B456-C3952FCBDA00}"/>
    <cellStyle name="Notas 25 3 2 2 2" xfId="60852" xr:uid="{2425C1C7-D3CD-43AA-A07F-19FD90267DC9}"/>
    <cellStyle name="Notas 25 3 2 3" xfId="60851" xr:uid="{9D2D568F-D98B-4B07-8681-510EA8C4C526}"/>
    <cellStyle name="Notas 25 3 3" xfId="20680" xr:uid="{2E34FC7A-D5B4-448D-823C-B394AEDDB91B}"/>
    <cellStyle name="Notas 25 3 3 2" xfId="60853" xr:uid="{87E18EA3-1A95-4AF4-924F-8B05955F0530}"/>
    <cellStyle name="Notas 25 3 4" xfId="60850" xr:uid="{165D4F14-24C6-47B9-A380-96DBE7638BBA}"/>
    <cellStyle name="Notas 25 4" xfId="9246" xr:uid="{423E4DE1-18CD-4248-9395-B8B9F8082A97}"/>
    <cellStyle name="Notas 25 4 2" xfId="24659" xr:uid="{2EA259E5-506D-4290-9B36-94DFAD94481C}"/>
    <cellStyle name="Notas 25 4 2 2" xfId="60855" xr:uid="{F1143E82-71AC-4789-AC44-1C02F047CD94}"/>
    <cellStyle name="Notas 25 4 3" xfId="60854" xr:uid="{4C3DC84B-9707-4BF0-B3BC-47D7B39DFD44}"/>
    <cellStyle name="Notas 25 5" xfId="16954" xr:uid="{6406240A-695A-4D8F-A22C-8194A5EE498E}"/>
    <cellStyle name="Notas 25 5 2" xfId="60856" xr:uid="{247503EA-6390-4806-BE4C-54F5EF95185A}"/>
    <cellStyle name="Notas 25 6" xfId="60841" xr:uid="{29E85496-E682-47A4-9994-8604FCC955D8}"/>
    <cellStyle name="Notas 26" xfId="1549" xr:uid="{331B2E14-8E03-45A0-8858-F84BA1617472}"/>
    <cellStyle name="Notas 26 2" xfId="3014" xr:uid="{7A7B7C29-367F-4331-B373-7D92C914EB1F}"/>
    <cellStyle name="Notas 26 2 2" xfId="6746" xr:uid="{5E491A19-A0B2-4013-AFC2-112FBA18FDBC}"/>
    <cellStyle name="Notas 26 2 2 2" xfId="14454" xr:uid="{85A64EFD-8109-4A5C-9A1B-78CA81749C64}"/>
    <cellStyle name="Notas 26 2 2 2 2" xfId="29866" xr:uid="{6DC293B3-6B53-410B-9280-ACDEE9398402}"/>
    <cellStyle name="Notas 26 2 2 2 2 2" xfId="60861" xr:uid="{BF8B9ECB-DD70-4843-8B8F-E807B5F2DA32}"/>
    <cellStyle name="Notas 26 2 2 2 3" xfId="60860" xr:uid="{64EC64DC-7080-4CE8-B2FB-0683AA4C3285}"/>
    <cellStyle name="Notas 26 2 2 3" xfId="22161" xr:uid="{0704C3CA-C777-48AE-97E1-CA3C499E2703}"/>
    <cellStyle name="Notas 26 2 2 3 2" xfId="60862" xr:uid="{C8D9A314-8D92-4652-9CFC-74EBA56AAC6F}"/>
    <cellStyle name="Notas 26 2 2 4" xfId="60859" xr:uid="{6772FC60-1656-46C4-BF13-AFE4C0A0EEAB}"/>
    <cellStyle name="Notas 26 2 3" xfId="10725" xr:uid="{23EEAB16-B5DE-4970-BC89-7FE227A50010}"/>
    <cellStyle name="Notas 26 2 3 2" xfId="26138" xr:uid="{EA444784-2C84-4237-9C0E-066244C4FAB2}"/>
    <cellStyle name="Notas 26 2 3 2 2" xfId="60864" xr:uid="{7A184D33-B923-4A03-919A-EBED46D2593B}"/>
    <cellStyle name="Notas 26 2 3 3" xfId="60863" xr:uid="{C4AFA434-3D3D-47D5-B617-BCEF5690204B}"/>
    <cellStyle name="Notas 26 2 4" xfId="18433" xr:uid="{1E07422C-C66E-4E1E-83BA-741FC049877F}"/>
    <cellStyle name="Notas 26 2 4 2" xfId="60865" xr:uid="{8BDC704A-B575-480D-80AD-E4333D402FC2}"/>
    <cellStyle name="Notas 26 2 5" xfId="60858" xr:uid="{87DA12B8-31C0-4051-8301-BE94E3E61ECD}"/>
    <cellStyle name="Notas 26 3" xfId="5285" xr:uid="{5FE39542-562D-4D0C-A117-6C2DBD7F514C}"/>
    <cellStyle name="Notas 26 3 2" xfId="12993" xr:uid="{ADD91009-19C7-4A16-A785-6365357AC014}"/>
    <cellStyle name="Notas 26 3 2 2" xfId="28405" xr:uid="{AE4A1F56-1E81-44D9-ACC9-7F4ABC2FB042}"/>
    <cellStyle name="Notas 26 3 2 2 2" xfId="60868" xr:uid="{08589A15-6FB2-4A93-89AF-C46E6C27CE0B}"/>
    <cellStyle name="Notas 26 3 2 3" xfId="60867" xr:uid="{14CD1083-8BDD-48B3-AD8D-1E1286FDF957}"/>
    <cellStyle name="Notas 26 3 3" xfId="20700" xr:uid="{83AA10A5-2505-4F3E-B5FB-DE5D44970498}"/>
    <cellStyle name="Notas 26 3 3 2" xfId="60869" xr:uid="{559D50FA-F25C-482B-BBC9-FDF7E7977CB8}"/>
    <cellStyle name="Notas 26 3 4" xfId="60866" xr:uid="{12A3A726-E60F-4C43-A5AF-9EBAAA2DDD34}"/>
    <cellStyle name="Notas 26 4" xfId="9266" xr:uid="{F6DF654E-BC08-49C1-AFCD-8B224E084CB0}"/>
    <cellStyle name="Notas 26 4 2" xfId="24679" xr:uid="{1B91560E-B3A1-4EA6-BB6C-33032DAE715D}"/>
    <cellStyle name="Notas 26 4 2 2" xfId="60871" xr:uid="{1C35DAC5-D260-4E2F-9BDD-BA1FEF0E508B}"/>
    <cellStyle name="Notas 26 4 3" xfId="60870" xr:uid="{5B2F013C-A088-40CA-882C-8665EA46B203}"/>
    <cellStyle name="Notas 26 5" xfId="16974" xr:uid="{ECECE618-4B39-4BD8-B6CE-7FD8BCCBF756}"/>
    <cellStyle name="Notas 26 5 2" xfId="60872" xr:uid="{F7344FCC-E263-412B-AD21-25F33CCE07A3}"/>
    <cellStyle name="Notas 26 6" xfId="60857" xr:uid="{CA28338B-E77E-4BCF-980A-B774281241B1}"/>
    <cellStyle name="Notas 27" xfId="1569" xr:uid="{FD4D4F37-CF4B-4FB5-B16B-BE9EA196D286}"/>
    <cellStyle name="Notas 27 2" xfId="3034" xr:uid="{375E55C1-2125-40B9-9D1D-4CC5A2298283}"/>
    <cellStyle name="Notas 27 2 2" xfId="6766" xr:uid="{1304094A-E462-4850-B942-023466CF6209}"/>
    <cellStyle name="Notas 27 2 2 2" xfId="14474" xr:uid="{1C2FA29D-1513-4923-820F-A6FA9BC28F75}"/>
    <cellStyle name="Notas 27 2 2 2 2" xfId="29886" xr:uid="{E8C6949D-40BA-433F-AA89-8AE228780E03}"/>
    <cellStyle name="Notas 27 2 2 2 2 2" xfId="60877" xr:uid="{7E421DC1-6667-46B1-8786-948B9950CAC2}"/>
    <cellStyle name="Notas 27 2 2 2 3" xfId="60876" xr:uid="{61829764-6C33-4A34-AA88-5DF43E63C283}"/>
    <cellStyle name="Notas 27 2 2 3" xfId="22181" xr:uid="{9DFC4078-494F-4A30-B8AD-FA7DC70A0437}"/>
    <cellStyle name="Notas 27 2 2 3 2" xfId="60878" xr:uid="{AE8E23C8-7385-41E1-96F6-E8F56491D66B}"/>
    <cellStyle name="Notas 27 2 2 4" xfId="60875" xr:uid="{6D4C0D68-4618-4570-ACF4-810428CBF444}"/>
    <cellStyle name="Notas 27 2 3" xfId="10745" xr:uid="{98A72434-E99C-4395-816D-D27F2E0E6ACF}"/>
    <cellStyle name="Notas 27 2 3 2" xfId="26158" xr:uid="{A031B79B-A2F1-4D63-8312-1B44BFFBB573}"/>
    <cellStyle name="Notas 27 2 3 2 2" xfId="60880" xr:uid="{6B0EC94C-AE6C-4BBE-BA57-2B5B87A4B811}"/>
    <cellStyle name="Notas 27 2 3 3" xfId="60879" xr:uid="{D3767C60-2EB2-4776-8FB5-5992D9EAE78C}"/>
    <cellStyle name="Notas 27 2 4" xfId="18453" xr:uid="{4DE3B762-3238-49A3-9437-FDF155491EF0}"/>
    <cellStyle name="Notas 27 2 4 2" xfId="60881" xr:uid="{3B026547-3B00-4B91-ADB4-2FE9B05C294E}"/>
    <cellStyle name="Notas 27 2 5" xfId="60874" xr:uid="{5FC885B5-B71E-4950-81AB-0F6996218C76}"/>
    <cellStyle name="Notas 27 3" xfId="5305" xr:uid="{E5A9EEF0-13C5-4FBA-A058-4B279C08F2A1}"/>
    <cellStyle name="Notas 27 3 2" xfId="13013" xr:uid="{00523D5F-A6E7-4DBF-97FB-66859DF03BBE}"/>
    <cellStyle name="Notas 27 3 2 2" xfId="28425" xr:uid="{56CB876F-E211-47BD-A494-D394483B6B89}"/>
    <cellStyle name="Notas 27 3 2 2 2" xfId="60884" xr:uid="{628B72B1-13AD-4B4E-A878-81170E9B2E78}"/>
    <cellStyle name="Notas 27 3 2 3" xfId="60883" xr:uid="{A64E64A5-C32D-4501-98FD-B6301F90C55A}"/>
    <cellStyle name="Notas 27 3 3" xfId="20720" xr:uid="{FC04D1FA-24CD-4C2A-9BC2-38665839DCF8}"/>
    <cellStyle name="Notas 27 3 3 2" xfId="60885" xr:uid="{A68C4742-3132-46D4-8952-913E6AF84E92}"/>
    <cellStyle name="Notas 27 3 4" xfId="60882" xr:uid="{AB9D39C7-0426-48D5-88D6-3A8E3F12D42E}"/>
    <cellStyle name="Notas 27 4" xfId="9286" xr:uid="{C94BDEA1-F8EC-437A-9113-E7B1993EA0F0}"/>
    <cellStyle name="Notas 27 4 2" xfId="24699" xr:uid="{16FBD93A-CAEE-4F81-B3E8-239ECAF00CC5}"/>
    <cellStyle name="Notas 27 4 2 2" xfId="60887" xr:uid="{9038D249-1876-4AF2-9C7B-A3D071A81840}"/>
    <cellStyle name="Notas 27 4 3" xfId="60886" xr:uid="{EF5D5F9D-0CAC-4926-BB93-653A8F47F02A}"/>
    <cellStyle name="Notas 27 5" xfId="16994" xr:uid="{09AF06AE-C259-4BF0-9CAF-634554600224}"/>
    <cellStyle name="Notas 27 5 2" xfId="60888" xr:uid="{C5F703A5-51D1-4AA3-8812-1AE244FAD99A}"/>
    <cellStyle name="Notas 27 6" xfId="60873" xr:uid="{D13956B4-4A12-4C80-87BA-CA83C42189A7}"/>
    <cellStyle name="Notas 28" xfId="1590" xr:uid="{D263F9BA-9A2C-47D7-84CA-225AC085D31D}"/>
    <cellStyle name="Notas 28 2" xfId="3055" xr:uid="{60125EA8-B7C4-4833-A251-52F4626B3357}"/>
    <cellStyle name="Notas 28 2 2" xfId="6787" xr:uid="{D3802176-66B4-4371-BC0E-B5E30EADBC1A}"/>
    <cellStyle name="Notas 28 2 2 2" xfId="14495" xr:uid="{8C8696CD-75C3-41F0-AA5F-C454D674E5F4}"/>
    <cellStyle name="Notas 28 2 2 2 2" xfId="29907" xr:uid="{E6CE68BD-0008-415B-BF4B-66F946001CE8}"/>
    <cellStyle name="Notas 28 2 2 2 2 2" xfId="60893" xr:uid="{30F40333-4F93-4EEC-BD70-98013BF984B8}"/>
    <cellStyle name="Notas 28 2 2 2 3" xfId="60892" xr:uid="{2A4317B5-BF83-4C3D-A2D9-A4FAF89FC249}"/>
    <cellStyle name="Notas 28 2 2 3" xfId="22202" xr:uid="{58E8FEBB-FF35-4794-B1B7-8DFAADA2D32D}"/>
    <cellStyle name="Notas 28 2 2 3 2" xfId="60894" xr:uid="{C191B25A-292A-40C9-AC2A-88624AA4B0B8}"/>
    <cellStyle name="Notas 28 2 2 4" xfId="60891" xr:uid="{BA6EF9D9-02FF-4A4F-B1B7-C6B2181CD6C1}"/>
    <cellStyle name="Notas 28 2 3" xfId="10766" xr:uid="{54F23276-278A-4475-969B-C7E5DB319409}"/>
    <cellStyle name="Notas 28 2 3 2" xfId="26179" xr:uid="{14B73208-6183-48A0-A19E-A49CE10DC4C1}"/>
    <cellStyle name="Notas 28 2 3 2 2" xfId="60896" xr:uid="{54BA3729-457A-4B32-BBA8-A8B3470FC576}"/>
    <cellStyle name="Notas 28 2 3 3" xfId="60895" xr:uid="{9677D4A9-2FEE-4508-B0F0-E780C3624DFF}"/>
    <cellStyle name="Notas 28 2 4" xfId="18474" xr:uid="{095E4B8B-0904-4E95-98E4-0E1355B2BA37}"/>
    <cellStyle name="Notas 28 2 4 2" xfId="60897" xr:uid="{28C41409-5A55-4AB7-A9A9-6787BC6E9F6F}"/>
    <cellStyle name="Notas 28 2 5" xfId="60890" xr:uid="{BF8E33DC-4BA9-42D2-9585-FAC26D549501}"/>
    <cellStyle name="Notas 28 3" xfId="5326" xr:uid="{949E9F4E-64C4-4D1F-80F6-854704351FB1}"/>
    <cellStyle name="Notas 28 3 2" xfId="13034" xr:uid="{30713B7F-E5DE-4812-929C-2FF9F1B24DFC}"/>
    <cellStyle name="Notas 28 3 2 2" xfId="28446" xr:uid="{A233BDAC-194A-4D52-B534-8C1B80E5F769}"/>
    <cellStyle name="Notas 28 3 2 2 2" xfId="60900" xr:uid="{B1727A67-1715-4BE1-9F30-3AAF664DF475}"/>
    <cellStyle name="Notas 28 3 2 3" xfId="60899" xr:uid="{E0D354F2-8431-4FB0-B881-CF0D71E1E5EE}"/>
    <cellStyle name="Notas 28 3 3" xfId="20741" xr:uid="{5C986481-95F5-452E-8775-2B18D39F3B2A}"/>
    <cellStyle name="Notas 28 3 3 2" xfId="60901" xr:uid="{051BAB2D-50BE-41F9-96A7-8EE55AF8D104}"/>
    <cellStyle name="Notas 28 3 4" xfId="60898" xr:uid="{F7502491-1C35-4AEE-B1E4-46D5EDFFA998}"/>
    <cellStyle name="Notas 28 4" xfId="9307" xr:uid="{96ED9050-0F22-4F58-B282-C712D616FD51}"/>
    <cellStyle name="Notas 28 4 2" xfId="24720" xr:uid="{5D739E04-93D1-4654-880F-086D5F36DFDF}"/>
    <cellStyle name="Notas 28 4 2 2" xfId="60903" xr:uid="{3EB5A7D5-482F-40C2-B2CD-4D751D068833}"/>
    <cellStyle name="Notas 28 4 3" xfId="60902" xr:uid="{01B877CB-D787-46F0-AB3B-0E705143803E}"/>
    <cellStyle name="Notas 28 5" xfId="17015" xr:uid="{0E304CBA-A8E4-4AE6-BE6F-B55E9E7975DE}"/>
    <cellStyle name="Notas 28 5 2" xfId="60904" xr:uid="{E94B81B0-7CFD-470D-9ECD-521983F84ED8}"/>
    <cellStyle name="Notas 28 6" xfId="60889" xr:uid="{F751B710-FB8C-434A-90EA-5D485196C368}"/>
    <cellStyle name="Notas 29" xfId="3075" xr:uid="{A75D1C03-F406-44DE-A971-5B05D3053CD3}"/>
    <cellStyle name="Notas 29 2" xfId="6807" xr:uid="{75F0401E-734D-4C0C-AF26-E642AD843B56}"/>
    <cellStyle name="Notas 29 2 2" xfId="14515" xr:uid="{1FB3CCE5-71B1-4EE0-B6A2-CC376023ACDA}"/>
    <cellStyle name="Notas 29 2 2 2" xfId="29927" xr:uid="{F6F793E3-D176-4293-B77C-E760EE610A33}"/>
    <cellStyle name="Notas 29 2 2 2 2" xfId="60908" xr:uid="{504980BB-EE00-47F7-8BE5-B1BE293D8EDF}"/>
    <cellStyle name="Notas 29 2 2 3" xfId="60907" xr:uid="{C08E44D4-33B4-4261-B6F1-31479BB8E38B}"/>
    <cellStyle name="Notas 29 2 3" xfId="22222" xr:uid="{BA665E6E-2967-4E64-B6C9-72D0DC31BC16}"/>
    <cellStyle name="Notas 29 2 3 2" xfId="60909" xr:uid="{3748873E-94C2-4161-99E9-4A4B74C9CC32}"/>
    <cellStyle name="Notas 29 2 4" xfId="60906" xr:uid="{C45F481E-2EAC-42F4-8114-62B8344C935C}"/>
    <cellStyle name="Notas 29 3" xfId="10786" xr:uid="{D556E551-441A-40F5-8139-CFB9389D6250}"/>
    <cellStyle name="Notas 29 3 2" xfId="26199" xr:uid="{D1065132-28A0-45BA-AEE2-52BE5263DCFB}"/>
    <cellStyle name="Notas 29 3 2 2" xfId="60911" xr:uid="{34DC0F10-E053-4F47-A0A0-1D7348AC2437}"/>
    <cellStyle name="Notas 29 3 3" xfId="60910" xr:uid="{FDA0BD30-E3BF-43D8-AB36-F1311090F12B}"/>
    <cellStyle name="Notas 29 4" xfId="18494" xr:uid="{51625945-E8E4-4393-BEF7-BE206D00BA61}"/>
    <cellStyle name="Notas 29 4 2" xfId="60912" xr:uid="{EFBDD530-ECAA-47D1-AF32-1F1DF98FA43B}"/>
    <cellStyle name="Notas 29 5" xfId="60905" xr:uid="{8CA6117B-4A3E-4158-9106-34F2DC15151C}"/>
    <cellStyle name="Notas 3" xfId="237" xr:uid="{D7EFA238-7C39-426C-86DD-D15CDB4981D9}"/>
    <cellStyle name="Notas 3 2" xfId="439" xr:uid="{1AF8D3E3-A349-4842-85D9-BA04E9C2447F}"/>
    <cellStyle name="Notas 3 2 2" xfId="1100" xr:uid="{A3AB6C81-202E-4873-B2CB-69B9960E1ED2}"/>
    <cellStyle name="Notas 3 2 2 2" xfId="2568" xr:uid="{422CA437-7954-432A-8591-136C00500451}"/>
    <cellStyle name="Notas 3 2 2 2 2" xfId="6300" xr:uid="{994682B2-4BF3-4D5E-B9FA-A64568BDCF11}"/>
    <cellStyle name="Notas 3 2 2 2 2 2" xfId="14008" xr:uid="{AACC2EBA-64BE-4B22-A0E5-63F0E0759FD5}"/>
    <cellStyle name="Notas 3 2 2 2 2 2 2" xfId="29420" xr:uid="{2EDAEF0F-EF28-454B-AF62-60D0190B2E74}"/>
    <cellStyle name="Notas 3 2 2 2 2 2 2 2" xfId="60919" xr:uid="{59193344-A058-4715-B903-4AAA05E18752}"/>
    <cellStyle name="Notas 3 2 2 2 2 2 3" xfId="60918" xr:uid="{92924DC0-1AE3-44B2-AF1B-0BF7205299A6}"/>
    <cellStyle name="Notas 3 2 2 2 2 3" xfId="21715" xr:uid="{F3F9048A-0A1A-415A-A883-67776A425EC0}"/>
    <cellStyle name="Notas 3 2 2 2 2 3 2" xfId="60920" xr:uid="{6ABA5968-26EC-456E-9E6A-ADB6400CBF07}"/>
    <cellStyle name="Notas 3 2 2 2 2 4" xfId="60917" xr:uid="{2C2A721A-89CF-43AB-AF5F-0609FE84E682}"/>
    <cellStyle name="Notas 3 2 2 2 3" xfId="10279" xr:uid="{B60E1A7A-4C62-4A09-B430-9BEF3E632DF2}"/>
    <cellStyle name="Notas 3 2 2 2 3 2" xfId="25692" xr:uid="{6D6744C9-5D5F-43FE-AD4B-AF31BED28F9E}"/>
    <cellStyle name="Notas 3 2 2 2 3 2 2" xfId="60922" xr:uid="{4A8A5D91-8ED2-40C1-8EB8-5C65C7C1A08B}"/>
    <cellStyle name="Notas 3 2 2 2 3 3" xfId="60921" xr:uid="{AF00420C-1DEC-4D49-8011-3B81B0649A22}"/>
    <cellStyle name="Notas 3 2 2 2 4" xfId="17987" xr:uid="{DE219422-97E2-434A-9FBA-5DC97BCBBAC2}"/>
    <cellStyle name="Notas 3 2 2 2 4 2" xfId="60923" xr:uid="{7187A018-5D91-47E1-9FDF-85C345928AF3}"/>
    <cellStyle name="Notas 3 2 2 2 5" xfId="60916" xr:uid="{67F03D22-3797-43D0-B785-D3EA95D342AD}"/>
    <cellStyle name="Notas 3 2 2 3" xfId="4837" xr:uid="{404CC916-C5A7-4B1B-9F05-5675C79E4208}"/>
    <cellStyle name="Notas 3 2 2 3 2" xfId="12545" xr:uid="{627D326C-8DFA-4605-BC41-36FDF54858F6}"/>
    <cellStyle name="Notas 3 2 2 3 2 2" xfId="27957" xr:uid="{50DE8115-B474-482E-A151-AF4F30EC5AE6}"/>
    <cellStyle name="Notas 3 2 2 3 2 2 2" xfId="60926" xr:uid="{DD335A1A-A804-4D0D-BEE2-43EA35717D23}"/>
    <cellStyle name="Notas 3 2 2 3 2 3" xfId="60925" xr:uid="{F85515AE-0EA7-40C8-AEB6-58C488F3C9B5}"/>
    <cellStyle name="Notas 3 2 2 3 3" xfId="20252" xr:uid="{416D4140-879E-40B4-A7C7-63F54D4DAE7C}"/>
    <cellStyle name="Notas 3 2 2 3 3 2" xfId="60927" xr:uid="{561455BD-34D9-459D-9319-90E3234467C1}"/>
    <cellStyle name="Notas 3 2 2 3 4" xfId="60924" xr:uid="{6A4257AF-3661-4A19-85F1-56EDA522D894}"/>
    <cellStyle name="Notas 3 2 2 4" xfId="8820" xr:uid="{23714F97-CEB4-49FA-8799-2962E6615C36}"/>
    <cellStyle name="Notas 3 2 2 4 2" xfId="24233" xr:uid="{A099BED7-AAC5-4B5F-8C18-86CAC7D498A7}"/>
    <cellStyle name="Notas 3 2 2 4 2 2" xfId="60929" xr:uid="{B260741E-1FE8-437A-810F-2590494D9189}"/>
    <cellStyle name="Notas 3 2 2 4 3" xfId="60928" xr:uid="{851B7026-5DA0-4A51-A0A1-523DE908C02F}"/>
    <cellStyle name="Notas 3 2 2 5" xfId="16528" xr:uid="{5AE33367-8B4F-4ADE-95BA-6CDC1373398C}"/>
    <cellStyle name="Notas 3 2 2 5 2" xfId="60930" xr:uid="{1EE3AD6A-DA5D-47C3-A829-2092D52910B5}"/>
    <cellStyle name="Notas 3 2 2 6" xfId="60915" xr:uid="{F3A9B3FC-ABFE-46FC-A97E-5E86364A2972}"/>
    <cellStyle name="Notas 3 2 3" xfId="1930" xr:uid="{1704C55B-9B6F-4D44-A12D-360E9FB1B438}"/>
    <cellStyle name="Notas 3 2 3 2" xfId="5662" xr:uid="{A4799EF6-4CB0-4A54-99ED-5F5DEC1B8DA0}"/>
    <cellStyle name="Notas 3 2 3 2 2" xfId="13370" xr:uid="{D6E1014E-9105-4B0E-AB84-47B46A1E9649}"/>
    <cellStyle name="Notas 3 2 3 2 2 2" xfId="28782" xr:uid="{263DF0E1-AAD0-4722-9FC8-14FFF19506B0}"/>
    <cellStyle name="Notas 3 2 3 2 2 2 2" xfId="60934" xr:uid="{836E373E-2F56-48B6-AFAF-A51B22F79B67}"/>
    <cellStyle name="Notas 3 2 3 2 2 3" xfId="60933" xr:uid="{E740184B-6139-45EF-9794-6DCB21FFFC4B}"/>
    <cellStyle name="Notas 3 2 3 2 3" xfId="21077" xr:uid="{071E9D30-549D-4345-870B-EE4DE4094839}"/>
    <cellStyle name="Notas 3 2 3 2 3 2" xfId="60935" xr:uid="{8D26B3DF-0F70-46C0-B7EC-C3D0E2F46F1F}"/>
    <cellStyle name="Notas 3 2 3 2 4" xfId="60932" xr:uid="{6052CD4D-B6BC-40A3-8439-741ED15BB00B}"/>
    <cellStyle name="Notas 3 2 3 3" xfId="9641" xr:uid="{C0646AEF-F6FA-4A5F-9AF7-1A14C88179E1}"/>
    <cellStyle name="Notas 3 2 3 3 2" xfId="25054" xr:uid="{DEF0DBFE-2581-4AA3-9FBE-81E348055328}"/>
    <cellStyle name="Notas 3 2 3 3 2 2" xfId="60937" xr:uid="{C39B08E5-E1AA-49ED-A99B-B98B51437FB1}"/>
    <cellStyle name="Notas 3 2 3 3 3" xfId="60936" xr:uid="{567F4903-A942-44CF-BC68-8D0261A217A8}"/>
    <cellStyle name="Notas 3 2 3 4" xfId="17349" xr:uid="{DA6B90D4-ADD8-4384-8B17-86F0506F60A9}"/>
    <cellStyle name="Notas 3 2 3 4 2" xfId="60938" xr:uid="{4BBF8338-A283-47D0-97E4-5A89BFCDF20D}"/>
    <cellStyle name="Notas 3 2 3 5" xfId="60931" xr:uid="{4FB4DD0D-5E1A-4C03-867B-C898A6256BA5}"/>
    <cellStyle name="Notas 3 2 4" xfId="4185" xr:uid="{B0BB7624-BB35-4D1B-AEAA-1264DC5CFE1C}"/>
    <cellStyle name="Notas 3 2 4 2" xfId="11893" xr:uid="{C2B5B6B3-5FF4-4E9B-ADA7-5A443FD6288A}"/>
    <cellStyle name="Notas 3 2 4 2 2" xfId="27305" xr:uid="{547AE66B-C352-47FB-B86B-975810038F73}"/>
    <cellStyle name="Notas 3 2 4 2 2 2" xfId="60941" xr:uid="{E9124134-00D6-49DB-8527-033992460998}"/>
    <cellStyle name="Notas 3 2 4 2 3" xfId="60940" xr:uid="{EF260926-059F-4CDF-B520-E7C22EA9D8F8}"/>
    <cellStyle name="Notas 3 2 4 3" xfId="19600" xr:uid="{F0C8148F-1842-4EC0-B97D-A878426FC080}"/>
    <cellStyle name="Notas 3 2 4 3 2" xfId="60942" xr:uid="{A876951B-E8D9-4FDB-B183-50AAAF84DFFB}"/>
    <cellStyle name="Notas 3 2 4 4" xfId="60939" xr:uid="{D124CAF8-2270-4442-B1AB-79E1FF2BB800}"/>
    <cellStyle name="Notas 3 2 5" xfId="8182" xr:uid="{4C8679D9-8A91-4CDE-9744-4EF5C32B411F}"/>
    <cellStyle name="Notas 3 2 5 2" xfId="23595" xr:uid="{F449822C-7C32-4465-9EEE-1DB87565C7EB}"/>
    <cellStyle name="Notas 3 2 5 2 2" xfId="60944" xr:uid="{AE79E6E8-3BBA-4DD4-B26C-73A7B314B44A}"/>
    <cellStyle name="Notas 3 2 5 3" xfId="60943" xr:uid="{B56AD8BE-A85A-436B-BE1C-F28A0B063BDE}"/>
    <cellStyle name="Notas 3 2 6" xfId="15890" xr:uid="{C4B5F208-32BA-443D-B195-3B93BE867778}"/>
    <cellStyle name="Notas 3 2 6 2" xfId="60945" xr:uid="{FEA79872-0675-496A-AF33-03D903BF3A6B}"/>
    <cellStyle name="Notas 3 2 7" xfId="60914" xr:uid="{05B137DD-4AAC-4453-B23E-68D1D524B811}"/>
    <cellStyle name="Notas 3 3" xfId="900" xr:uid="{87E5DB58-A1AD-4B9A-94C3-C5C7F656D99B}"/>
    <cellStyle name="Notas 3 3 2" xfId="2370" xr:uid="{13FA1BE7-7C82-42AC-BC45-EE5D6D164904}"/>
    <cellStyle name="Notas 3 3 2 2" xfId="6102" xr:uid="{4817A609-A2F4-4413-8562-1B4F9FB40D91}"/>
    <cellStyle name="Notas 3 3 2 2 2" xfId="13810" xr:uid="{139D6E1F-E746-4AB0-9BD8-2C57D9D124F4}"/>
    <cellStyle name="Notas 3 3 2 2 2 2" xfId="29222" xr:uid="{4B6BD3CB-CA4F-4918-BD18-09D8E695D378}"/>
    <cellStyle name="Notas 3 3 2 2 2 2 2" xfId="60950" xr:uid="{4FA91615-1804-44E5-A8B4-F161B1FA8509}"/>
    <cellStyle name="Notas 3 3 2 2 2 3" xfId="60949" xr:uid="{340CDC54-B1B8-4114-8B27-F47404FBF84A}"/>
    <cellStyle name="Notas 3 3 2 2 3" xfId="21517" xr:uid="{7211DA0F-6E1D-42D5-95C5-4F7637F0B2E4}"/>
    <cellStyle name="Notas 3 3 2 2 3 2" xfId="60951" xr:uid="{944FA12C-59E5-409F-BD6D-309BB316548D}"/>
    <cellStyle name="Notas 3 3 2 2 4" xfId="60948" xr:uid="{95203529-CDB9-4D49-83C5-D4DE785F3755}"/>
    <cellStyle name="Notas 3 3 2 3" xfId="10081" xr:uid="{81CE1892-B758-4F05-8678-D943F95B65FD}"/>
    <cellStyle name="Notas 3 3 2 3 2" xfId="25494" xr:uid="{14ADAD1D-4A1F-4DE8-AF57-D17E3DDBFF46}"/>
    <cellStyle name="Notas 3 3 2 3 2 2" xfId="60953" xr:uid="{8E9D2163-E2A3-43CF-A0D5-8EE63716C55A}"/>
    <cellStyle name="Notas 3 3 2 3 3" xfId="60952" xr:uid="{0FBA2CB7-F768-4C6B-9A74-7A17463EA260}"/>
    <cellStyle name="Notas 3 3 2 4" xfId="17789" xr:uid="{843531AE-1C6F-436C-BA61-33AF4132537D}"/>
    <cellStyle name="Notas 3 3 2 4 2" xfId="60954" xr:uid="{515C852B-5DA6-4829-B319-72E1B675D98F}"/>
    <cellStyle name="Notas 3 3 2 5" xfId="60947" xr:uid="{8F06AC6A-2601-4EEA-8FD7-558F3614135A}"/>
    <cellStyle name="Notas 3 3 3" xfId="4637" xr:uid="{909E3BD9-0DFD-4A7A-B3A1-951AAFBEA000}"/>
    <cellStyle name="Notas 3 3 3 2" xfId="12345" xr:uid="{68F043F2-391E-49C1-87BA-4122FFA4606F}"/>
    <cellStyle name="Notas 3 3 3 2 2" xfId="27757" xr:uid="{5B9C8482-06BC-43D1-95DF-FD733057DE33}"/>
    <cellStyle name="Notas 3 3 3 2 2 2" xfId="60957" xr:uid="{A1C41E38-A429-4BEB-8B5D-88515813CA3A}"/>
    <cellStyle name="Notas 3 3 3 2 3" xfId="60956" xr:uid="{D6671FFD-CE52-45D6-8463-599534D1F0C3}"/>
    <cellStyle name="Notas 3 3 3 3" xfId="20052" xr:uid="{8632D0C6-406C-4748-9299-41559B8F01E1}"/>
    <cellStyle name="Notas 3 3 3 3 2" xfId="60958" xr:uid="{A102215E-566D-44AB-8863-814C4690F014}"/>
    <cellStyle name="Notas 3 3 3 4" xfId="60955" xr:uid="{D4268F6B-49EF-42D9-B571-74F09301FBEE}"/>
    <cellStyle name="Notas 3 3 4" xfId="8622" xr:uid="{65ED4C47-BC78-4281-ABD7-4E74021014CC}"/>
    <cellStyle name="Notas 3 3 4 2" xfId="24035" xr:uid="{4C92212B-AAAF-41AA-A38E-712CB162604D}"/>
    <cellStyle name="Notas 3 3 4 2 2" xfId="60960" xr:uid="{2BEE1AF2-5A58-481A-9977-A788AA51529D}"/>
    <cellStyle name="Notas 3 3 4 3" xfId="60959" xr:uid="{A28AB840-4090-4DDE-B57A-3F1833C79B8E}"/>
    <cellStyle name="Notas 3 3 5" xfId="16330" xr:uid="{A1BDDBA3-8505-4C70-B003-BB5A911CCC7B}"/>
    <cellStyle name="Notas 3 3 5 2" xfId="60961" xr:uid="{CA78B7C0-43A4-4B6C-BAE4-BF2D7C3C841A}"/>
    <cellStyle name="Notas 3 3 6" xfId="60946" xr:uid="{FF3B4411-59D6-4690-910E-D56C5ACF14B4}"/>
    <cellStyle name="Notas 3 4" xfId="1732" xr:uid="{B7A09E49-D46A-4207-A891-D11A5F826EE3}"/>
    <cellStyle name="Notas 3 4 2" xfId="5464" xr:uid="{9434E429-F58C-4404-996C-80549D7A5C31}"/>
    <cellStyle name="Notas 3 4 2 2" xfId="13172" xr:uid="{3826F1BD-BD63-427F-9483-9ECB228903C0}"/>
    <cellStyle name="Notas 3 4 2 2 2" xfId="28584" xr:uid="{F4222C03-573E-4589-9024-6976FEB410C5}"/>
    <cellStyle name="Notas 3 4 2 2 2 2" xfId="60965" xr:uid="{8C2F8970-84C9-4798-B44F-E332918EB801}"/>
    <cellStyle name="Notas 3 4 2 2 3" xfId="60964" xr:uid="{27F32FC0-CEE5-405C-9A1B-DADA8BAB89C7}"/>
    <cellStyle name="Notas 3 4 2 3" xfId="20879" xr:uid="{43C23F4C-4A27-4B33-BF56-AAFF67658C29}"/>
    <cellStyle name="Notas 3 4 2 3 2" xfId="60966" xr:uid="{B4ED7E8C-50EA-4BAD-A8B3-66CD0830D6E2}"/>
    <cellStyle name="Notas 3 4 2 4" xfId="60963" xr:uid="{7164B291-3AAD-4ADA-B416-40D6D69A2EDB}"/>
    <cellStyle name="Notas 3 4 3" xfId="9443" xr:uid="{9BF66DD8-2900-482F-B92A-D307584259A9}"/>
    <cellStyle name="Notas 3 4 3 2" xfId="24856" xr:uid="{1B33BD9F-49F7-4715-AFFD-BB5D7792F636}"/>
    <cellStyle name="Notas 3 4 3 2 2" xfId="60968" xr:uid="{24AF242D-AAF7-4192-952A-8F3E1A780169}"/>
    <cellStyle name="Notas 3 4 3 3" xfId="60967" xr:uid="{480CB2C0-E7E6-4865-82A9-9D23BC55A581}"/>
    <cellStyle name="Notas 3 4 4" xfId="17151" xr:uid="{63CB50BF-3A9A-429D-93C9-23E295EBD329}"/>
    <cellStyle name="Notas 3 4 4 2" xfId="60969" xr:uid="{0F38DB58-1291-487E-B5D2-666E1B15F666}"/>
    <cellStyle name="Notas 3 4 5" xfId="60962" xr:uid="{52C4CB84-93BC-4AFB-8AB7-FDF8B00279C1}"/>
    <cellStyle name="Notas 3 5" xfId="3985" xr:uid="{72CCC324-F013-4481-A6E3-BF9E629270C2}"/>
    <cellStyle name="Notas 3 5 2" xfId="11693" xr:uid="{77EC3862-143E-423A-BD5E-BBC5FCD09136}"/>
    <cellStyle name="Notas 3 5 2 2" xfId="27105" xr:uid="{1343D329-CD0F-48B1-BADB-C5AAEF3D5FB6}"/>
    <cellStyle name="Notas 3 5 2 2 2" xfId="60972" xr:uid="{BCBE5F94-2F45-4516-B299-5189D46D485C}"/>
    <cellStyle name="Notas 3 5 2 3" xfId="60971" xr:uid="{D2DE4BC8-31C5-4A2F-9D38-8AD359C760B7}"/>
    <cellStyle name="Notas 3 5 3" xfId="19400" xr:uid="{9E42ADC3-0F31-4741-9516-5E9B90799CBF}"/>
    <cellStyle name="Notas 3 5 3 2" xfId="60973" xr:uid="{F717423B-2AAB-4805-A99A-6BDC10F19AA8}"/>
    <cellStyle name="Notas 3 5 4" xfId="60970" xr:uid="{83DBD79A-67E0-4D4D-AF41-B18A0C3FA341}"/>
    <cellStyle name="Notas 3 6" xfId="7984" xr:uid="{CF7AFA68-FD5C-4582-9E26-75902A412FED}"/>
    <cellStyle name="Notas 3 6 2" xfId="23397" xr:uid="{A3000400-D62D-4D81-BD30-25E1411A22B9}"/>
    <cellStyle name="Notas 3 6 2 2" xfId="60975" xr:uid="{A39FDE7A-A229-4353-9C8D-24998FF846AB}"/>
    <cellStyle name="Notas 3 6 3" xfId="60974" xr:uid="{2B4BD2A5-E0D5-4D59-98F8-DCCED76C6524}"/>
    <cellStyle name="Notas 3 7" xfId="15692" xr:uid="{3665D434-90C5-4D48-85AB-1B998E46BEA3}"/>
    <cellStyle name="Notas 3 7 2" xfId="60976" xr:uid="{1C8BD811-1421-41AD-88E4-31667CB34C82}"/>
    <cellStyle name="Notas 3 8" xfId="60913" xr:uid="{B41CACFF-01FD-40CE-B162-371741D0F78E}"/>
    <cellStyle name="Notas 30" xfId="3095" xr:uid="{562AB8F9-2AE2-41DD-A53D-AC3D88E73530}"/>
    <cellStyle name="Notas 30 2" xfId="6827" xr:uid="{9EB95777-AA39-4C81-B453-7002B1D47018}"/>
    <cellStyle name="Notas 30 2 2" xfId="14535" xr:uid="{498257D1-DD1E-412F-9318-2246291BB905}"/>
    <cellStyle name="Notas 30 2 2 2" xfId="29947" xr:uid="{B1375917-19F2-46D0-B748-17B82B48820E}"/>
    <cellStyle name="Notas 30 2 2 2 2" xfId="60980" xr:uid="{621FA4FE-6A2A-42BB-ACB0-328A83AED446}"/>
    <cellStyle name="Notas 30 2 2 3" xfId="60979" xr:uid="{46942EBF-86C2-4DAE-A467-0A304F9D8CC5}"/>
    <cellStyle name="Notas 30 2 3" xfId="22242" xr:uid="{779EEA44-45E6-4481-B901-D06CF4C3A823}"/>
    <cellStyle name="Notas 30 2 3 2" xfId="60981" xr:uid="{BB62435B-5AA5-4E0A-8DF1-3EA5C271BF37}"/>
    <cellStyle name="Notas 30 2 4" xfId="60978" xr:uid="{2273DAAB-EAE6-44EA-97A2-5883D9F83FE5}"/>
    <cellStyle name="Notas 30 3" xfId="10806" xr:uid="{B8A6B7CD-DF13-4D44-9954-CCA576B71F9A}"/>
    <cellStyle name="Notas 30 3 2" xfId="26219" xr:uid="{509FA3CB-2499-42EB-AD2E-8424FB1BC1EE}"/>
    <cellStyle name="Notas 30 3 2 2" xfId="60983" xr:uid="{F2F0635F-389C-47FC-9331-8A32FBC6DBFD}"/>
    <cellStyle name="Notas 30 3 3" xfId="60982" xr:uid="{23B0CA8B-2030-49E5-8F34-327E2CFB8069}"/>
    <cellStyle name="Notas 30 4" xfId="18514" xr:uid="{688328B4-1F85-4C6B-AC28-1891D8DD6644}"/>
    <cellStyle name="Notas 30 4 2" xfId="60984" xr:uid="{7DCD14CF-1A15-4D0E-A866-8063210DB9D7}"/>
    <cellStyle name="Notas 30 5" xfId="60977" xr:uid="{34745EF7-2A1D-4CAB-A1F6-97A84F1B3934}"/>
    <cellStyle name="Notas 31" xfId="3115" xr:uid="{6E52C724-CC8A-4FFD-BD25-95D99D1D821D}"/>
    <cellStyle name="Notas 31 2" xfId="6847" xr:uid="{363CF4E8-C6E3-4A71-B283-7B49E6627FB7}"/>
    <cellStyle name="Notas 31 2 2" xfId="14555" xr:uid="{A8E16C4F-EEDC-4303-BE49-887721F64E56}"/>
    <cellStyle name="Notas 31 2 2 2" xfId="29967" xr:uid="{0833748E-5FBE-4A17-BE6C-4BEB91D4D4DE}"/>
    <cellStyle name="Notas 31 2 2 2 2" xfId="60988" xr:uid="{623BA2B9-0574-4FE4-91D0-7DB343B1B984}"/>
    <cellStyle name="Notas 31 2 2 3" xfId="60987" xr:uid="{AABCFAE3-4227-4B6A-802A-DF2CF1B4824D}"/>
    <cellStyle name="Notas 31 2 3" xfId="22262" xr:uid="{403CE625-CE6C-446D-949D-A2BCFBECBF11}"/>
    <cellStyle name="Notas 31 2 3 2" xfId="60989" xr:uid="{70179C5F-E804-4448-903A-62A4072C10A5}"/>
    <cellStyle name="Notas 31 2 4" xfId="60986" xr:uid="{37D4A9CE-8B12-476A-B55A-A7C030D2120C}"/>
    <cellStyle name="Notas 31 3" xfId="10826" xr:uid="{4B2C9C2A-2986-497D-A14D-8F836280F8F3}"/>
    <cellStyle name="Notas 31 3 2" xfId="26239" xr:uid="{F0F29AF2-B6DC-4BAB-83BD-0A6D9B7734B9}"/>
    <cellStyle name="Notas 31 3 2 2" xfId="60991" xr:uid="{B92D1480-7EB7-4839-8DA2-4473C760DF6A}"/>
    <cellStyle name="Notas 31 3 3" xfId="60990" xr:uid="{D576C3B2-F203-43FC-AD47-33C59C9B5304}"/>
    <cellStyle name="Notas 31 4" xfId="18534" xr:uid="{01D0DF6E-8FF0-47A5-89EE-811579BE03EE}"/>
    <cellStyle name="Notas 31 4 2" xfId="60992" xr:uid="{6D545F65-F7E0-4325-AE6A-D25FCEB4F477}"/>
    <cellStyle name="Notas 31 5" xfId="60985" xr:uid="{EC964113-0F59-4EBD-B75F-0A9861D5DFBE}"/>
    <cellStyle name="Notas 32" xfId="3135" xr:uid="{176675E6-F611-43F6-9F58-D14C7FC63866}"/>
    <cellStyle name="Notas 32 2" xfId="6867" xr:uid="{2EE89B46-8390-40DE-A06D-67CD3B09D61E}"/>
    <cellStyle name="Notas 32 2 2" xfId="14575" xr:uid="{7AD0E1AE-6850-435D-8222-518C90511E5A}"/>
    <cellStyle name="Notas 32 2 2 2" xfId="29987" xr:uid="{5EFB11F2-07A1-4E5D-9167-81C7108E75CC}"/>
    <cellStyle name="Notas 32 2 2 2 2" xfId="60996" xr:uid="{7049751D-041D-4182-BB64-B2B4807F4045}"/>
    <cellStyle name="Notas 32 2 2 3" xfId="60995" xr:uid="{D76EF334-DBD2-4250-BCF0-CFA26061BF50}"/>
    <cellStyle name="Notas 32 2 3" xfId="22282" xr:uid="{B9657DE5-04E3-4ABF-A768-98E2FF94AF2C}"/>
    <cellStyle name="Notas 32 2 3 2" xfId="60997" xr:uid="{BAA87D10-9FBD-4CCF-8D80-055ADC0F5DAA}"/>
    <cellStyle name="Notas 32 2 4" xfId="60994" xr:uid="{FF106401-81D0-4F47-AC1B-1C986AFADCE5}"/>
    <cellStyle name="Notas 32 3" xfId="10846" xr:uid="{A07338F3-84B7-4A77-BF27-DF58CBC4A79F}"/>
    <cellStyle name="Notas 32 3 2" xfId="26259" xr:uid="{53E597DE-FFD3-49CF-842A-0166F9A48936}"/>
    <cellStyle name="Notas 32 3 2 2" xfId="60999" xr:uid="{B91B0BD4-76DB-4A42-A9F6-053CD195B28C}"/>
    <cellStyle name="Notas 32 3 3" xfId="60998" xr:uid="{C8C5864D-3887-4C16-B95F-30085B4D94D9}"/>
    <cellStyle name="Notas 32 4" xfId="18554" xr:uid="{711F7247-95E1-4168-949E-2881E4E113AD}"/>
    <cellStyle name="Notas 32 4 2" xfId="61000" xr:uid="{14151C2E-C046-4833-A39F-CF4A2CF28E73}"/>
    <cellStyle name="Notas 32 5" xfId="60993" xr:uid="{9E7AECE0-1931-431F-B1F3-0B411A54AFB8}"/>
    <cellStyle name="Notas 33" xfId="3155" xr:uid="{7A1F7423-42CE-4CF8-A62B-E160695311E9}"/>
    <cellStyle name="Notas 33 2" xfId="6887" xr:uid="{4F291258-367A-4371-A4CC-E84B47364306}"/>
    <cellStyle name="Notas 33 2 2" xfId="14595" xr:uid="{77BA6D77-FBC1-417F-9440-AC45909D96F2}"/>
    <cellStyle name="Notas 33 2 2 2" xfId="30007" xr:uid="{1EFFFE4D-C791-4461-A011-AF66962BB715}"/>
    <cellStyle name="Notas 33 2 2 2 2" xfId="61004" xr:uid="{03B7E7E4-FE71-47C5-A4EE-F3043DE47554}"/>
    <cellStyle name="Notas 33 2 2 3" xfId="61003" xr:uid="{1F5401B8-14E2-4C75-864E-A01069801B0B}"/>
    <cellStyle name="Notas 33 2 3" xfId="22302" xr:uid="{14059BFA-5A4F-4734-AE92-C91900256D23}"/>
    <cellStyle name="Notas 33 2 3 2" xfId="61005" xr:uid="{0DC3B45B-BD25-4189-AF9F-BF53DBC657E2}"/>
    <cellStyle name="Notas 33 2 4" xfId="61002" xr:uid="{7D35C5CD-1BAD-43B0-90A5-782A5F9135AA}"/>
    <cellStyle name="Notas 33 3" xfId="10866" xr:uid="{BDB45071-5C6D-444C-8FE5-0E7A2F0D2CED}"/>
    <cellStyle name="Notas 33 3 2" xfId="26279" xr:uid="{B2F209BD-59D3-40CA-97D5-1AAF7B22A852}"/>
    <cellStyle name="Notas 33 3 2 2" xfId="61007" xr:uid="{FB316037-30C8-4C3C-937E-F51C89F67E91}"/>
    <cellStyle name="Notas 33 3 3" xfId="61006" xr:uid="{F65FEF67-B985-4FC2-A392-22CF05815838}"/>
    <cellStyle name="Notas 33 4" xfId="18574" xr:uid="{7A2312C0-A5E9-4047-AE35-78CBCC7F9C52}"/>
    <cellStyle name="Notas 33 4 2" xfId="61008" xr:uid="{567FD6DF-482C-404F-BD66-BA966AE20970}"/>
    <cellStyle name="Notas 33 5" xfId="61001" xr:uid="{0A3833AE-7BC9-4CFA-A599-C3B0BC013FA7}"/>
    <cellStyle name="Notas 34" xfId="3175" xr:uid="{729E7BA0-FCA4-46A5-94A4-5E72D0969FDF}"/>
    <cellStyle name="Notas 34 2" xfId="6907" xr:uid="{9A4AAE04-631D-4086-9A1A-CB5039C86651}"/>
    <cellStyle name="Notas 34 2 2" xfId="14615" xr:uid="{EA73644E-CC83-4D1E-8C0F-5F09884CF2E3}"/>
    <cellStyle name="Notas 34 2 2 2" xfId="30027" xr:uid="{5653906C-5616-4E96-8442-EF17F0EBE943}"/>
    <cellStyle name="Notas 34 2 2 2 2" xfId="61012" xr:uid="{EBD3DE55-0EA1-4F8C-B3C4-0AFA1C927956}"/>
    <cellStyle name="Notas 34 2 2 3" xfId="61011" xr:uid="{C74AEF5B-B34A-4762-8577-06A816F81D45}"/>
    <cellStyle name="Notas 34 2 3" xfId="22322" xr:uid="{BDB2EA06-607B-448A-A501-38592C9A0CB9}"/>
    <cellStyle name="Notas 34 2 3 2" xfId="61013" xr:uid="{924BBAA6-216E-446E-B3B1-A16640C673F5}"/>
    <cellStyle name="Notas 34 2 4" xfId="61010" xr:uid="{E9A9A282-DF3F-46D8-94F9-6613F7BD1604}"/>
    <cellStyle name="Notas 34 3" xfId="10886" xr:uid="{F684CF63-AC78-4082-8720-7D5A74ED5A3E}"/>
    <cellStyle name="Notas 34 3 2" xfId="26299" xr:uid="{4D325F44-D43D-441D-B8DA-739499EE4E73}"/>
    <cellStyle name="Notas 34 3 2 2" xfId="61015" xr:uid="{BA82AFF1-4D86-4619-9B1A-EE63297CCC19}"/>
    <cellStyle name="Notas 34 3 3" xfId="61014" xr:uid="{641DACE1-1749-4AF5-97A0-42585A487F5F}"/>
    <cellStyle name="Notas 34 4" xfId="18594" xr:uid="{23E33743-CE6D-4D3E-B544-BE549E889D3C}"/>
    <cellStyle name="Notas 34 4 2" xfId="61016" xr:uid="{8DF8E473-2DFA-4FA6-9F76-4DAA7BE91A20}"/>
    <cellStyle name="Notas 34 5" xfId="61009" xr:uid="{5F06A144-983C-493F-A036-D8087973E67B}"/>
    <cellStyle name="Notas 35" xfId="3195" xr:uid="{11E05F1E-B7EC-458D-A74A-772C447CC141}"/>
    <cellStyle name="Notas 35 2" xfId="6927" xr:uid="{2E63730C-CE57-401A-B71E-705483675521}"/>
    <cellStyle name="Notas 35 2 2" xfId="14635" xr:uid="{AE1FD32E-597A-47A3-8A12-911BEA713A98}"/>
    <cellStyle name="Notas 35 2 2 2" xfId="30047" xr:uid="{453B5BD3-816B-4128-9FED-938989ACE5C1}"/>
    <cellStyle name="Notas 35 2 2 2 2" xfId="61020" xr:uid="{E61D1349-2FF9-4C4C-A1B8-A9BF6C8681CB}"/>
    <cellStyle name="Notas 35 2 2 3" xfId="61019" xr:uid="{F7229B0B-DBC2-4597-805E-819FE2EFBB17}"/>
    <cellStyle name="Notas 35 2 3" xfId="22342" xr:uid="{AD05E440-93A0-4EC6-9BAD-2FC5FFBCA586}"/>
    <cellStyle name="Notas 35 2 3 2" xfId="61021" xr:uid="{57D95467-5EFA-4067-8ADE-DD25A80CCD5D}"/>
    <cellStyle name="Notas 35 2 4" xfId="61018" xr:uid="{11ADDD38-10F3-4CBD-A801-796C0C909D5D}"/>
    <cellStyle name="Notas 35 3" xfId="10906" xr:uid="{80F2A04B-101C-461C-A13A-DCD2F25D3496}"/>
    <cellStyle name="Notas 35 3 2" xfId="26319" xr:uid="{0A1AF7AA-D17F-4E80-93C4-24C6F1EEE28D}"/>
    <cellStyle name="Notas 35 3 2 2" xfId="61023" xr:uid="{EDC362BE-691D-4E9F-85AB-A52D586A1670}"/>
    <cellStyle name="Notas 35 3 3" xfId="61022" xr:uid="{C94FDE82-901B-47F0-AB38-AAF6EE04BCE5}"/>
    <cellStyle name="Notas 35 4" xfId="18614" xr:uid="{1E36DABE-B871-4378-8D78-436652214C23}"/>
    <cellStyle name="Notas 35 4 2" xfId="61024" xr:uid="{65FB3EFC-3F12-47D4-B73A-5790827518CE}"/>
    <cellStyle name="Notas 35 5" xfId="61017" xr:uid="{A3683861-F915-4370-85E9-47532FF3B2E6}"/>
    <cellStyle name="Notas 36" xfId="3215" xr:uid="{DAC030E8-8E36-48E0-9540-3349DB98C9B6}"/>
    <cellStyle name="Notas 36 2" xfId="6947" xr:uid="{5640C0DB-2217-467B-87CD-BC5459962EDA}"/>
    <cellStyle name="Notas 36 2 2" xfId="14655" xr:uid="{CAC42DBE-F7AD-4E6D-8CB6-8DAC60D9E76E}"/>
    <cellStyle name="Notas 36 2 2 2" xfId="30067" xr:uid="{0B9E332A-E72D-4143-B33E-12D46039B6D5}"/>
    <cellStyle name="Notas 36 2 2 2 2" xfId="61028" xr:uid="{190DBB6D-33A8-4D4D-99D2-946F2020CDB1}"/>
    <cellStyle name="Notas 36 2 2 3" xfId="61027" xr:uid="{CA1902AD-68D7-4A5D-B436-2A8BBD02F7B2}"/>
    <cellStyle name="Notas 36 2 3" xfId="22362" xr:uid="{1D8D7552-A0DA-4B46-873C-F0F4B6F27078}"/>
    <cellStyle name="Notas 36 2 3 2" xfId="61029" xr:uid="{4F52CD24-E9BB-4C72-9C7F-BE90A1BE3F94}"/>
    <cellStyle name="Notas 36 2 4" xfId="61026" xr:uid="{3B449869-A01E-4388-AE31-536DBB5DB130}"/>
    <cellStyle name="Notas 36 3" xfId="10926" xr:uid="{EEFA7857-476D-4E33-A53F-982000FC6F82}"/>
    <cellStyle name="Notas 36 3 2" xfId="26339" xr:uid="{7AFA6446-CAFA-4392-B641-06F78DF9EEBF}"/>
    <cellStyle name="Notas 36 3 2 2" xfId="61031" xr:uid="{863876CE-F235-4A24-8EC8-44788242E42C}"/>
    <cellStyle name="Notas 36 3 3" xfId="61030" xr:uid="{1B15FC24-3A76-431F-84AB-E02DF02463E7}"/>
    <cellStyle name="Notas 36 4" xfId="18634" xr:uid="{9902B764-64A0-4B6C-AF87-6B3EB95AF808}"/>
    <cellStyle name="Notas 36 4 2" xfId="61032" xr:uid="{666F520F-F642-4DD4-8FDB-39B3DE9DB45F}"/>
    <cellStyle name="Notas 36 5" xfId="61025" xr:uid="{35914FEB-61D8-4282-819F-1732AC7CB3BF}"/>
    <cellStyle name="Notas 37" xfId="3235" xr:uid="{AD23D36B-2105-4497-866A-A5920BDD6EE3}"/>
    <cellStyle name="Notas 37 2" xfId="6967" xr:uid="{09D25E65-B223-41D8-899F-D10D0A06BDA6}"/>
    <cellStyle name="Notas 37 2 2" xfId="14675" xr:uid="{2D987CFF-1ABC-460D-AEC0-3FCEBD2EEEB2}"/>
    <cellStyle name="Notas 37 2 2 2" xfId="30087" xr:uid="{628276B0-3DDE-4033-B560-6AC5112388DE}"/>
    <cellStyle name="Notas 37 2 2 2 2" xfId="61036" xr:uid="{819CECCF-0A38-46D7-8EDB-329CC036AA76}"/>
    <cellStyle name="Notas 37 2 2 3" xfId="61035" xr:uid="{EBD1130E-9823-44B1-873C-E6C3BD082AA1}"/>
    <cellStyle name="Notas 37 2 3" xfId="22382" xr:uid="{7F14102C-0D02-48A2-8542-55A2D79C98DE}"/>
    <cellStyle name="Notas 37 2 3 2" xfId="61037" xr:uid="{83D36DC2-ADC7-4A98-B737-97181829690F}"/>
    <cellStyle name="Notas 37 2 4" xfId="61034" xr:uid="{27706477-36BF-42C1-B4F5-60F12C5AE63C}"/>
    <cellStyle name="Notas 37 3" xfId="10946" xr:uid="{8490C120-D821-4FCF-9CE2-1EC057CBE94B}"/>
    <cellStyle name="Notas 37 3 2" xfId="26359" xr:uid="{F69211AD-2780-4F32-9396-6E761E1ED505}"/>
    <cellStyle name="Notas 37 3 2 2" xfId="61039" xr:uid="{6C4F0881-0829-4BCD-960A-02B9318D21B1}"/>
    <cellStyle name="Notas 37 3 3" xfId="61038" xr:uid="{75D02F5D-0BE0-4A13-94CE-5D82CC9811AE}"/>
    <cellStyle name="Notas 37 4" xfId="18654" xr:uid="{6746A48F-A0CE-40D2-AC97-7A10CDB8516F}"/>
    <cellStyle name="Notas 37 4 2" xfId="61040" xr:uid="{086E7408-027C-46BC-9497-640C8968BD4D}"/>
    <cellStyle name="Notas 37 5" xfId="61033" xr:uid="{954D5C57-98F4-434E-B72D-F2EA34CC0E19}"/>
    <cellStyle name="Notas 38" xfId="3255" xr:uid="{488394DB-0BEC-450C-9D26-467CA3D8C5E9}"/>
    <cellStyle name="Notas 38 2" xfId="6987" xr:uid="{586A97B2-CE04-494D-A5F5-80B544EBC3C6}"/>
    <cellStyle name="Notas 38 2 2" xfId="14695" xr:uid="{1B4A5444-E1DD-44D7-8025-8EE72CCD592D}"/>
    <cellStyle name="Notas 38 2 2 2" xfId="30107" xr:uid="{421DD818-2B39-439B-84B4-8501B38F1C87}"/>
    <cellStyle name="Notas 38 2 2 2 2" xfId="61044" xr:uid="{74AA3ADD-8C31-447B-AA5F-277ADC8B3FB8}"/>
    <cellStyle name="Notas 38 2 2 3" xfId="61043" xr:uid="{57C03652-76F8-45CF-ABA2-E5AD10A76CC9}"/>
    <cellStyle name="Notas 38 2 3" xfId="22402" xr:uid="{90F87A81-4C0D-4851-90D4-892F4E215D44}"/>
    <cellStyle name="Notas 38 2 3 2" xfId="61045" xr:uid="{5485A1DA-7F15-4E3F-B7A5-A3A3DF2BE897}"/>
    <cellStyle name="Notas 38 2 4" xfId="61042" xr:uid="{F19A4578-7410-478E-895C-B89BB8E7507B}"/>
    <cellStyle name="Notas 38 3" xfId="10966" xr:uid="{AB144C39-359B-4CB6-985A-0D17F6DD5D3D}"/>
    <cellStyle name="Notas 38 3 2" xfId="26379" xr:uid="{66B75D05-2B9C-4A4A-AFD0-17D29A57E666}"/>
    <cellStyle name="Notas 38 3 2 2" xfId="61047" xr:uid="{0E2B1110-E657-40AA-9FC4-0FD89B3C25E9}"/>
    <cellStyle name="Notas 38 3 3" xfId="61046" xr:uid="{40682C42-CF83-4D12-A0C4-4123F20A80EE}"/>
    <cellStyle name="Notas 38 4" xfId="18674" xr:uid="{AEEF5103-5174-43C0-82F6-205F45B52C1B}"/>
    <cellStyle name="Notas 38 4 2" xfId="61048" xr:uid="{1D9CC14F-4058-49A8-B871-328524C5201F}"/>
    <cellStyle name="Notas 38 5" xfId="61041" xr:uid="{70116943-B2D7-460F-929C-0133E29499EF}"/>
    <cellStyle name="Notas 39" xfId="3275" xr:uid="{8BEBC19D-4A09-44F4-B80E-8EABF1139363}"/>
    <cellStyle name="Notas 39 2" xfId="7007" xr:uid="{816AE3DE-A990-4C9C-8B98-A84371282874}"/>
    <cellStyle name="Notas 39 2 2" xfId="14715" xr:uid="{E08BE064-5E0B-41FB-8449-3247EE214FD0}"/>
    <cellStyle name="Notas 39 2 2 2" xfId="30127" xr:uid="{FF685D42-3365-40D0-A1C3-384DAA758C86}"/>
    <cellStyle name="Notas 39 2 2 2 2" xfId="61052" xr:uid="{0A270269-7F00-4931-94F7-F592DD8460F0}"/>
    <cellStyle name="Notas 39 2 2 3" xfId="61051" xr:uid="{F2870C80-399E-4993-8C26-531450ACA485}"/>
    <cellStyle name="Notas 39 2 3" xfId="22422" xr:uid="{D992FC80-2934-48B6-837B-381F9CE4C980}"/>
    <cellStyle name="Notas 39 2 3 2" xfId="61053" xr:uid="{FC9C553E-F03C-44DD-BBF9-9D9962E9AAA3}"/>
    <cellStyle name="Notas 39 2 4" xfId="61050" xr:uid="{A9CB42A8-92BA-4389-B1C0-8877D5247C75}"/>
    <cellStyle name="Notas 39 3" xfId="10986" xr:uid="{D7EC1850-D801-4130-9774-871B823E2BC3}"/>
    <cellStyle name="Notas 39 3 2" xfId="26399" xr:uid="{62819F03-4253-426D-AFDE-58345B4CCFB6}"/>
    <cellStyle name="Notas 39 3 2 2" xfId="61055" xr:uid="{C4B7FA4F-08A2-471A-A329-D86A032DEE08}"/>
    <cellStyle name="Notas 39 3 3" xfId="61054" xr:uid="{70478349-6499-4ECC-B3A4-195E03F57B0C}"/>
    <cellStyle name="Notas 39 4" xfId="18694" xr:uid="{BC519034-1EB3-42F6-8782-F1D5B2BDCA99}"/>
    <cellStyle name="Notas 39 4 2" xfId="61056" xr:uid="{B7FA6BCB-E77F-461F-B96C-1092EE13B6D9}"/>
    <cellStyle name="Notas 39 5" xfId="61049" xr:uid="{74180B64-BFE4-4061-96C9-DB1AA7112835}"/>
    <cellStyle name="Notas 4" xfId="262" xr:uid="{7EF6BE71-922A-46D1-B841-2D4E868FD079}"/>
    <cellStyle name="Notas 4 2" xfId="465" xr:uid="{5108482A-B12D-4623-AE5D-E53692CB757A}"/>
    <cellStyle name="Notas 4 2 2" xfId="1126" xr:uid="{8B8EC8BC-A8D6-474F-A237-9EF383FA0DE4}"/>
    <cellStyle name="Notas 4 2 2 2" xfId="2594" xr:uid="{5B7C6C30-C4C4-4631-89F2-91381379956D}"/>
    <cellStyle name="Notas 4 2 2 2 2" xfId="6326" xr:uid="{4C65AADA-A636-4B34-A1EF-72BF3B95136C}"/>
    <cellStyle name="Notas 4 2 2 2 2 2" xfId="14034" xr:uid="{5574CB90-6420-4474-BB39-DD4420964D00}"/>
    <cellStyle name="Notas 4 2 2 2 2 2 2" xfId="29446" xr:uid="{EEA74AFF-4260-417F-A303-7D602BE1DD30}"/>
    <cellStyle name="Notas 4 2 2 2 2 2 2 2" xfId="61063" xr:uid="{14CB264B-FDDD-4A93-9A9E-793E9F053E79}"/>
    <cellStyle name="Notas 4 2 2 2 2 2 3" xfId="61062" xr:uid="{FFCE9B27-EFC0-4038-B949-9DF88AF18556}"/>
    <cellStyle name="Notas 4 2 2 2 2 3" xfId="21741" xr:uid="{3BBAC196-ADB7-4C66-8EE5-8FF9071C70A2}"/>
    <cellStyle name="Notas 4 2 2 2 2 3 2" xfId="61064" xr:uid="{F4287BDD-4CC8-4A20-A5D2-6F839CAD593D}"/>
    <cellStyle name="Notas 4 2 2 2 2 4" xfId="61061" xr:uid="{187F2793-5D4C-4865-B34F-8AB8BE53BAAC}"/>
    <cellStyle name="Notas 4 2 2 2 3" xfId="10305" xr:uid="{C2A06023-74F0-4A70-B2C4-ACD7A457D696}"/>
    <cellStyle name="Notas 4 2 2 2 3 2" xfId="25718" xr:uid="{E14E90BF-E145-4E84-BBF3-3A5B924E6CA3}"/>
    <cellStyle name="Notas 4 2 2 2 3 2 2" xfId="61066" xr:uid="{C608E154-DB9F-45C5-9146-0B813C5FF32E}"/>
    <cellStyle name="Notas 4 2 2 2 3 3" xfId="61065" xr:uid="{26B92FE0-BD5F-4F82-A142-50EB21A0A049}"/>
    <cellStyle name="Notas 4 2 2 2 4" xfId="18013" xr:uid="{ED768083-80BD-45B2-9F39-9505E131AFA4}"/>
    <cellStyle name="Notas 4 2 2 2 4 2" xfId="61067" xr:uid="{3ABE90BF-E170-4D3F-B47C-2D1230934E29}"/>
    <cellStyle name="Notas 4 2 2 2 5" xfId="61060" xr:uid="{6803A372-6D3F-4CF2-AD27-551623AFEE16}"/>
    <cellStyle name="Notas 4 2 2 3" xfId="4863" xr:uid="{B12E53F4-FFE4-4F74-9FE3-137ED4FF86BF}"/>
    <cellStyle name="Notas 4 2 2 3 2" xfId="12571" xr:uid="{A7C7206E-1BB1-4BB5-97C5-3B1C8FC450E3}"/>
    <cellStyle name="Notas 4 2 2 3 2 2" xfId="27983" xr:uid="{060B4F33-241F-48C6-A5C4-0EB42AC3EB6A}"/>
    <cellStyle name="Notas 4 2 2 3 2 2 2" xfId="61070" xr:uid="{15EF6801-1FD3-42D5-81AF-FB52D3DA6228}"/>
    <cellStyle name="Notas 4 2 2 3 2 3" xfId="61069" xr:uid="{41BFA0C5-B757-42D1-A1EE-7712FB215C32}"/>
    <cellStyle name="Notas 4 2 2 3 3" xfId="20278" xr:uid="{A5581BF9-1BFF-4E1A-8F21-035FC10A4603}"/>
    <cellStyle name="Notas 4 2 2 3 3 2" xfId="61071" xr:uid="{9697B975-52CB-4BAF-A5B0-73D459DC5374}"/>
    <cellStyle name="Notas 4 2 2 3 4" xfId="61068" xr:uid="{5E8593F5-3C4E-40EA-91E5-6E4249658B94}"/>
    <cellStyle name="Notas 4 2 2 4" xfId="8846" xr:uid="{F41D4F0C-481F-462B-AE5F-B6D7CF9D9232}"/>
    <cellStyle name="Notas 4 2 2 4 2" xfId="24259" xr:uid="{DF2CCAA9-3EDA-49FB-9766-540F20C27366}"/>
    <cellStyle name="Notas 4 2 2 4 2 2" xfId="61073" xr:uid="{75358F60-7D1A-4D5F-8231-B58135254D11}"/>
    <cellStyle name="Notas 4 2 2 4 3" xfId="61072" xr:uid="{19129CA4-F542-4005-93E5-F4B59C9C8855}"/>
    <cellStyle name="Notas 4 2 2 5" xfId="16554" xr:uid="{DD71998A-177B-4A80-BFD9-24BE78ACBF0C}"/>
    <cellStyle name="Notas 4 2 2 5 2" xfId="61074" xr:uid="{E33C99CA-5FED-4733-9AAD-8C364A88B702}"/>
    <cellStyle name="Notas 4 2 2 6" xfId="61059" xr:uid="{FF13C2E7-7447-4FDB-BC49-8F95B95E389B}"/>
    <cellStyle name="Notas 4 2 3" xfId="1956" xr:uid="{3F3790F7-CD3A-4ACB-9480-CF0923CEC07E}"/>
    <cellStyle name="Notas 4 2 3 2" xfId="5688" xr:uid="{4CDB345D-C807-417F-B3AB-422DA578A891}"/>
    <cellStyle name="Notas 4 2 3 2 2" xfId="13396" xr:uid="{C2516E1F-A500-4BEC-90DB-6B9EBC3B737B}"/>
    <cellStyle name="Notas 4 2 3 2 2 2" xfId="28808" xr:uid="{D1C71398-DFF7-4C86-8F45-76DFF71ADBA1}"/>
    <cellStyle name="Notas 4 2 3 2 2 2 2" xfId="61078" xr:uid="{FD19C5D3-EFAA-4264-9A65-AEF1E0C0A595}"/>
    <cellStyle name="Notas 4 2 3 2 2 3" xfId="61077" xr:uid="{F2491E6B-10A5-4438-95CB-BDFF45A92C9F}"/>
    <cellStyle name="Notas 4 2 3 2 3" xfId="21103" xr:uid="{9A0F9A80-EAB3-4A17-869E-2EEA84D4CDED}"/>
    <cellStyle name="Notas 4 2 3 2 3 2" xfId="61079" xr:uid="{CC1C87C2-88F9-40C5-8FA4-8A4F41450AB7}"/>
    <cellStyle name="Notas 4 2 3 2 4" xfId="61076" xr:uid="{A0A4E155-F160-464C-86B8-9B8A5A12C026}"/>
    <cellStyle name="Notas 4 2 3 3" xfId="9667" xr:uid="{CA6EBBF7-C969-4BF5-865F-6A821FD9BACD}"/>
    <cellStyle name="Notas 4 2 3 3 2" xfId="25080" xr:uid="{44B9623D-DC1C-4B6E-9BE7-D690772CC3E6}"/>
    <cellStyle name="Notas 4 2 3 3 2 2" xfId="61081" xr:uid="{25E7A700-B08F-48E6-8759-0ED673745D60}"/>
    <cellStyle name="Notas 4 2 3 3 3" xfId="61080" xr:uid="{EF1844B9-E42E-4E1D-9A99-3C5939D154FA}"/>
    <cellStyle name="Notas 4 2 3 4" xfId="17375" xr:uid="{683104E3-0124-487D-ABE1-75247D9AB297}"/>
    <cellStyle name="Notas 4 2 3 4 2" xfId="61082" xr:uid="{64CD6279-CE64-4908-A771-BA08A74F75C4}"/>
    <cellStyle name="Notas 4 2 3 5" xfId="61075" xr:uid="{106B6A77-BBEC-473B-A797-8429175DA7B7}"/>
    <cellStyle name="Notas 4 2 4" xfId="4211" xr:uid="{0526017D-0C5A-4F8E-A5D2-295C83609B4B}"/>
    <cellStyle name="Notas 4 2 4 2" xfId="11919" xr:uid="{A25AF49D-BFDD-4AC7-9EB6-59F8079D6959}"/>
    <cellStyle name="Notas 4 2 4 2 2" xfId="27331" xr:uid="{31160BEC-CE79-4A3D-B69C-0EBF4C5D546A}"/>
    <cellStyle name="Notas 4 2 4 2 2 2" xfId="61085" xr:uid="{5C3108DF-A77B-4964-A500-20FD66A29DC3}"/>
    <cellStyle name="Notas 4 2 4 2 3" xfId="61084" xr:uid="{9EB5AE46-BB3D-4CDB-9715-4B7E23C9E04B}"/>
    <cellStyle name="Notas 4 2 4 3" xfId="19626" xr:uid="{C534F899-334E-4EDC-9173-AB1F785E500F}"/>
    <cellStyle name="Notas 4 2 4 3 2" xfId="61086" xr:uid="{BD437AA7-43E2-418D-BDBB-99A79B5A359A}"/>
    <cellStyle name="Notas 4 2 4 4" xfId="61083" xr:uid="{7B3F2B43-C338-4152-9DB8-84BA5B74D071}"/>
    <cellStyle name="Notas 4 2 5" xfId="8208" xr:uid="{634DAD33-C8E4-498E-80BD-C40BD36A9272}"/>
    <cellStyle name="Notas 4 2 5 2" xfId="23621" xr:uid="{503468E9-956E-4251-AFF3-214A0B6D8DC4}"/>
    <cellStyle name="Notas 4 2 5 2 2" xfId="61088" xr:uid="{0AA94A20-747F-4709-B4B1-FCCE3923AD0E}"/>
    <cellStyle name="Notas 4 2 5 3" xfId="61087" xr:uid="{93E6AD3D-CAB9-4115-9836-1990BD5F1D06}"/>
    <cellStyle name="Notas 4 2 6" xfId="15916" xr:uid="{078A4DAF-BAA6-430D-B9AD-6F6BC7A055BE}"/>
    <cellStyle name="Notas 4 2 6 2" xfId="61089" xr:uid="{4A950790-11FB-4AF7-94D3-2DA5B5B04ED7}"/>
    <cellStyle name="Notas 4 2 7" xfId="61058" xr:uid="{77D875EC-E44F-45D1-A8F4-8D05C196CA62}"/>
    <cellStyle name="Notas 4 3" xfId="926" xr:uid="{AD157D33-5720-46F5-AA07-DBE747F0C00D}"/>
    <cellStyle name="Notas 4 3 2" xfId="2396" xr:uid="{1BA688F1-F45D-4BFC-AF7D-32D7EDA85532}"/>
    <cellStyle name="Notas 4 3 2 2" xfId="6128" xr:uid="{6211F76D-E2C3-4952-BFA0-0529168A5C79}"/>
    <cellStyle name="Notas 4 3 2 2 2" xfId="13836" xr:uid="{7BCB372C-9494-4BF3-87B7-413C14D16D02}"/>
    <cellStyle name="Notas 4 3 2 2 2 2" xfId="29248" xr:uid="{D012541C-3F97-42D8-B346-91B221966B75}"/>
    <cellStyle name="Notas 4 3 2 2 2 2 2" xfId="61094" xr:uid="{AA2CD7F6-5724-47ED-B0FB-06F4F04A7DC1}"/>
    <cellStyle name="Notas 4 3 2 2 2 3" xfId="61093" xr:uid="{3C886749-B915-4DFA-A446-42905F304989}"/>
    <cellStyle name="Notas 4 3 2 2 3" xfId="21543" xr:uid="{58DDAB79-0D31-4855-B765-A27EF317AB6D}"/>
    <cellStyle name="Notas 4 3 2 2 3 2" xfId="61095" xr:uid="{33EEA516-605C-477B-B009-DEA5125EBEBE}"/>
    <cellStyle name="Notas 4 3 2 2 4" xfId="61092" xr:uid="{6FB7447E-1715-4104-8CB6-BAEF12959A8A}"/>
    <cellStyle name="Notas 4 3 2 3" xfId="10107" xr:uid="{74429643-0D29-4D5C-8481-ED1ACD6873EB}"/>
    <cellStyle name="Notas 4 3 2 3 2" xfId="25520" xr:uid="{52898A70-2D88-45B1-9985-2899B33012A0}"/>
    <cellStyle name="Notas 4 3 2 3 2 2" xfId="61097" xr:uid="{77603E9D-C9DD-40D2-86CB-76517D742EBE}"/>
    <cellStyle name="Notas 4 3 2 3 3" xfId="61096" xr:uid="{70721513-12F0-4EEB-B2AB-832BA53F1A39}"/>
    <cellStyle name="Notas 4 3 2 4" xfId="17815" xr:uid="{1C022ECB-3628-49A2-8EAD-BE2D4C2754ED}"/>
    <cellStyle name="Notas 4 3 2 4 2" xfId="61098" xr:uid="{8BDAE919-0FBF-4128-82CD-2F1450CF9905}"/>
    <cellStyle name="Notas 4 3 2 5" xfId="61091" xr:uid="{175F78BB-4FE6-4724-805D-98523122DBBF}"/>
    <cellStyle name="Notas 4 3 3" xfId="4663" xr:uid="{4496F4ED-8C0F-4EB3-BC0F-8630BB066736}"/>
    <cellStyle name="Notas 4 3 3 2" xfId="12371" xr:uid="{CF7752D5-0374-4E0D-8F62-DE6A7F17F21B}"/>
    <cellStyle name="Notas 4 3 3 2 2" xfId="27783" xr:uid="{3C68B15C-F712-4067-B644-69F6B5221E6B}"/>
    <cellStyle name="Notas 4 3 3 2 2 2" xfId="61101" xr:uid="{C8E66C6D-928B-4CE3-88C9-20127CDCE6B8}"/>
    <cellStyle name="Notas 4 3 3 2 3" xfId="61100" xr:uid="{0C83E26A-378D-4B71-86C6-B9B656736345}"/>
    <cellStyle name="Notas 4 3 3 3" xfId="20078" xr:uid="{DCACFB92-237D-414F-AE38-4AD45F1A4D35}"/>
    <cellStyle name="Notas 4 3 3 3 2" xfId="61102" xr:uid="{96ED78AD-3B59-4E11-A656-A5BCECB76B15}"/>
    <cellStyle name="Notas 4 3 3 4" xfId="61099" xr:uid="{3C47D702-AF0D-40FF-A267-4341D031D4EC}"/>
    <cellStyle name="Notas 4 3 4" xfId="8648" xr:uid="{8545D1E0-7E81-4137-8FB2-654E26E40A9D}"/>
    <cellStyle name="Notas 4 3 4 2" xfId="24061" xr:uid="{1E67056A-34E1-4754-8F4F-1A846798B5C2}"/>
    <cellStyle name="Notas 4 3 4 2 2" xfId="61104" xr:uid="{CF23A711-5A95-4B3B-9612-BD4D938FF0FE}"/>
    <cellStyle name="Notas 4 3 4 3" xfId="61103" xr:uid="{9C6666A0-7450-40EB-AC15-675FAA0B0CD1}"/>
    <cellStyle name="Notas 4 3 5" xfId="16356" xr:uid="{C9E261AE-AC4B-4A47-97B0-A9CC884D5ADE}"/>
    <cellStyle name="Notas 4 3 5 2" xfId="61105" xr:uid="{555AE785-64C6-456A-B541-9D5D9BD6EBA4}"/>
    <cellStyle name="Notas 4 3 6" xfId="61090" xr:uid="{96D082DD-95D1-42ED-BEC1-6AE83C7A6AC5}"/>
    <cellStyle name="Notas 4 4" xfId="1758" xr:uid="{88AC6DAB-C5DD-4622-BA79-73807E362315}"/>
    <cellStyle name="Notas 4 4 2" xfId="5490" xr:uid="{54E0040D-7862-44B1-8741-532F3281F973}"/>
    <cellStyle name="Notas 4 4 2 2" xfId="13198" xr:uid="{024696AF-C6B8-4108-A9C5-B19F4BE899A4}"/>
    <cellStyle name="Notas 4 4 2 2 2" xfId="28610" xr:uid="{1B7ED9D9-FE5C-49FD-A006-A571B33D4ED5}"/>
    <cellStyle name="Notas 4 4 2 2 2 2" xfId="61109" xr:uid="{6D94BE58-AD9B-468F-9670-7A0D5DE67C8D}"/>
    <cellStyle name="Notas 4 4 2 2 3" xfId="61108" xr:uid="{8F21A2F5-318D-479F-A113-21798BDC584E}"/>
    <cellStyle name="Notas 4 4 2 3" xfId="20905" xr:uid="{484C81E7-82C3-4B40-8A9F-CC004C1A9367}"/>
    <cellStyle name="Notas 4 4 2 3 2" xfId="61110" xr:uid="{CF00123B-83A7-4928-8F6E-759003FF77AA}"/>
    <cellStyle name="Notas 4 4 2 4" xfId="61107" xr:uid="{AA1F1E4D-F99F-4091-9698-DD9C326761D9}"/>
    <cellStyle name="Notas 4 4 3" xfId="9469" xr:uid="{082581EB-A0F6-42AC-87A3-016B92F1A924}"/>
    <cellStyle name="Notas 4 4 3 2" xfId="24882" xr:uid="{6F6BFC00-6259-4D06-8E1A-1D6F1AD40C36}"/>
    <cellStyle name="Notas 4 4 3 2 2" xfId="61112" xr:uid="{F6855867-CEEA-4257-9027-3B3AD5D3AE17}"/>
    <cellStyle name="Notas 4 4 3 3" xfId="61111" xr:uid="{8764207A-D9FF-449C-9951-30A6BF82A753}"/>
    <cellStyle name="Notas 4 4 4" xfId="17177" xr:uid="{0A99963D-424E-4E35-818B-15555A6E7577}"/>
    <cellStyle name="Notas 4 4 4 2" xfId="61113" xr:uid="{FB487495-DE26-4AC4-9098-36FC68F6B79F}"/>
    <cellStyle name="Notas 4 4 5" xfId="61106" xr:uid="{81BEA9D6-32B7-43C2-8EEA-3613EE19491D}"/>
    <cellStyle name="Notas 4 5" xfId="4011" xr:uid="{4F49EB6B-D881-4437-A696-036F2C466D30}"/>
    <cellStyle name="Notas 4 5 2" xfId="11719" xr:uid="{DC6079E7-49B6-408B-B32C-B89E3CAC0FCC}"/>
    <cellStyle name="Notas 4 5 2 2" xfId="27131" xr:uid="{4042AB92-50D9-4F75-A885-C744C532BA42}"/>
    <cellStyle name="Notas 4 5 2 2 2" xfId="61116" xr:uid="{619009F1-BF2E-42B1-8D6B-6EC6FE096121}"/>
    <cellStyle name="Notas 4 5 2 3" xfId="61115" xr:uid="{9E72ABDB-CBAA-4F03-A405-7928E1D0F323}"/>
    <cellStyle name="Notas 4 5 3" xfId="19426" xr:uid="{5B444CBF-623D-4FDE-86A1-67BE05050C26}"/>
    <cellStyle name="Notas 4 5 3 2" xfId="61117" xr:uid="{758B92C7-F1E6-4A84-B473-AF55E990A700}"/>
    <cellStyle name="Notas 4 5 4" xfId="61114" xr:uid="{B5A704DB-9E10-4079-AB31-BE4E8F8E606C}"/>
    <cellStyle name="Notas 4 6" xfId="8010" xr:uid="{B94979AB-A6AA-4BB3-B1C4-44D448494450}"/>
    <cellStyle name="Notas 4 6 2" xfId="23423" xr:uid="{DD41619A-A6AB-457B-B2A4-D94770D61D23}"/>
    <cellStyle name="Notas 4 6 2 2" xfId="61119" xr:uid="{7D5EC2B6-9B51-4742-A151-733684FD1A1A}"/>
    <cellStyle name="Notas 4 6 3" xfId="61118" xr:uid="{8DA0B669-8766-41BE-9C07-02A494C9CCC6}"/>
    <cellStyle name="Notas 4 7" xfId="15718" xr:uid="{72CA9EC4-74A2-4EE1-8C40-A96150082189}"/>
    <cellStyle name="Notas 4 7 2" xfId="61120" xr:uid="{E7F13DFF-C1B3-45B9-A638-06C90251129F}"/>
    <cellStyle name="Notas 4 8" xfId="61057" xr:uid="{7120105A-EC53-4F6A-98DD-FE75A367D096}"/>
    <cellStyle name="Notas 40" xfId="60343" xr:uid="{1B5E4959-7D45-42FA-B7B0-AD7E7F27777E}"/>
    <cellStyle name="Notas 41" xfId="131" xr:uid="{77698ADC-B1BD-4C88-A55E-E248809D735E}"/>
    <cellStyle name="Notas 5" xfId="280" xr:uid="{3A7A1B31-A4B9-4095-A31C-D81C5D0DC13C}"/>
    <cellStyle name="Notas 5 2" xfId="483" xr:uid="{CA685EC9-2655-4D6F-A70A-2FF45546C4CE}"/>
    <cellStyle name="Notas 5 2 2" xfId="1144" xr:uid="{781D7054-A497-40C1-A935-1CCAA5F2B130}"/>
    <cellStyle name="Notas 5 2 2 2" xfId="2612" xr:uid="{1024F4E5-B9BE-4A9F-8BD9-1725188DB598}"/>
    <cellStyle name="Notas 5 2 2 2 2" xfId="6344" xr:uid="{0A83B1FF-F33B-44FF-9B8D-2D2C71DDEC08}"/>
    <cellStyle name="Notas 5 2 2 2 2 2" xfId="14052" xr:uid="{B615A8DB-FB4A-43CC-AA89-E99F121CB701}"/>
    <cellStyle name="Notas 5 2 2 2 2 2 2" xfId="29464" xr:uid="{E06B73E3-52F0-4344-A8F3-43A5FCDAE922}"/>
    <cellStyle name="Notas 5 2 2 2 2 2 2 2" xfId="61127" xr:uid="{7352836A-E2CB-43A5-988E-3E8491162CA9}"/>
    <cellStyle name="Notas 5 2 2 2 2 2 3" xfId="61126" xr:uid="{B437A355-730F-4CF2-9CA3-F00C6A42AE3F}"/>
    <cellStyle name="Notas 5 2 2 2 2 3" xfId="21759" xr:uid="{53876248-8B0A-41A8-A334-447743D7879B}"/>
    <cellStyle name="Notas 5 2 2 2 2 3 2" xfId="61128" xr:uid="{031DAC25-6E7E-48FF-A2DB-EBAE71AB80DE}"/>
    <cellStyle name="Notas 5 2 2 2 2 4" xfId="61125" xr:uid="{F5655F8E-E7BB-4169-B5F7-28C48BA9119E}"/>
    <cellStyle name="Notas 5 2 2 2 3" xfId="10323" xr:uid="{B6366AF9-A145-4A13-9122-10C5EC044994}"/>
    <cellStyle name="Notas 5 2 2 2 3 2" xfId="25736" xr:uid="{C94F1F30-637C-4013-B490-EC03E98D43CF}"/>
    <cellStyle name="Notas 5 2 2 2 3 2 2" xfId="61130" xr:uid="{1193B1D1-0EB2-4904-8EB7-0EDFEAC90C5C}"/>
    <cellStyle name="Notas 5 2 2 2 3 3" xfId="61129" xr:uid="{57A575E1-72A8-44F2-8620-C0262598B8C1}"/>
    <cellStyle name="Notas 5 2 2 2 4" xfId="18031" xr:uid="{52D2E323-AE1C-4F16-9C3C-E7BB8B612044}"/>
    <cellStyle name="Notas 5 2 2 2 4 2" xfId="61131" xr:uid="{35E4738E-B47B-4B5C-AF53-BB24E8E9BA7E}"/>
    <cellStyle name="Notas 5 2 2 2 5" xfId="61124" xr:uid="{603D0D62-1EE4-4B9E-8AF6-B8BD983E4A6F}"/>
    <cellStyle name="Notas 5 2 2 3" xfId="4881" xr:uid="{9E614206-0E14-4C1C-9024-F1DE740E92A1}"/>
    <cellStyle name="Notas 5 2 2 3 2" xfId="12589" xr:uid="{2D56559D-FD9B-4E35-9E5C-E186C4B8D07E}"/>
    <cellStyle name="Notas 5 2 2 3 2 2" xfId="28001" xr:uid="{652F8DC3-FAF1-4D7A-90DA-1B3579D10A02}"/>
    <cellStyle name="Notas 5 2 2 3 2 2 2" xfId="61134" xr:uid="{80060828-947F-41D3-BCF4-F512BCDCE377}"/>
    <cellStyle name="Notas 5 2 2 3 2 3" xfId="61133" xr:uid="{E60290A0-2EF8-4E0B-84BF-73A271D6D23F}"/>
    <cellStyle name="Notas 5 2 2 3 3" xfId="20296" xr:uid="{9FCE5F77-9CA4-4249-9ACE-D973AED0E181}"/>
    <cellStyle name="Notas 5 2 2 3 3 2" xfId="61135" xr:uid="{00E75A95-699B-40EA-AD59-E36DA2D41186}"/>
    <cellStyle name="Notas 5 2 2 3 4" xfId="61132" xr:uid="{E8FE171B-248D-481F-B1CB-1FF90178C987}"/>
    <cellStyle name="Notas 5 2 2 4" xfId="8864" xr:uid="{4D634382-DF28-4075-A9C4-5AACE1FD8539}"/>
    <cellStyle name="Notas 5 2 2 4 2" xfId="24277" xr:uid="{FF65B382-76F9-45E6-A7E4-2A862FE123A8}"/>
    <cellStyle name="Notas 5 2 2 4 2 2" xfId="61137" xr:uid="{75FA9381-5EA6-4503-A294-9D6CC0D825A2}"/>
    <cellStyle name="Notas 5 2 2 4 3" xfId="61136" xr:uid="{91A4F909-CBC3-4830-B296-F6FBB84FD09C}"/>
    <cellStyle name="Notas 5 2 2 5" xfId="16572" xr:uid="{ECEE05C5-4088-45CA-AEF5-81E1B822345A}"/>
    <cellStyle name="Notas 5 2 2 5 2" xfId="61138" xr:uid="{CDE345E5-6B09-4632-9A43-52E879962D2F}"/>
    <cellStyle name="Notas 5 2 2 6" xfId="61123" xr:uid="{F6D21365-2B83-4031-A851-E10B19395932}"/>
    <cellStyle name="Notas 5 2 3" xfId="1974" xr:uid="{158C2D9C-D18B-411A-9A36-04FBE5070071}"/>
    <cellStyle name="Notas 5 2 3 2" xfId="5706" xr:uid="{7CB8BD32-C811-421A-ACB8-9760FBCBC954}"/>
    <cellStyle name="Notas 5 2 3 2 2" xfId="13414" xr:uid="{100250AE-5B31-40DC-94C5-28E30427D49C}"/>
    <cellStyle name="Notas 5 2 3 2 2 2" xfId="28826" xr:uid="{32B959F1-A3A3-43DA-9AE6-F851899E1E87}"/>
    <cellStyle name="Notas 5 2 3 2 2 2 2" xfId="61142" xr:uid="{CF0C814C-5AE4-4454-8AA3-79027ABDAC52}"/>
    <cellStyle name="Notas 5 2 3 2 2 3" xfId="61141" xr:uid="{2099F665-92FE-4181-B981-0AC8FCACD85A}"/>
    <cellStyle name="Notas 5 2 3 2 3" xfId="21121" xr:uid="{B33FC72D-71B5-4398-B6CE-429FB926245C}"/>
    <cellStyle name="Notas 5 2 3 2 3 2" xfId="61143" xr:uid="{FF18BBBD-5992-45C5-BCC9-756544DFE2BB}"/>
    <cellStyle name="Notas 5 2 3 2 4" xfId="61140" xr:uid="{C1926B61-A2F2-4472-95D1-A3963FDC09B0}"/>
    <cellStyle name="Notas 5 2 3 3" xfId="9685" xr:uid="{33F3FCE2-4C5D-4395-939F-90F89CEA4B28}"/>
    <cellStyle name="Notas 5 2 3 3 2" xfId="25098" xr:uid="{6803E4A9-7A50-451F-A1EB-7932BDDDB0D0}"/>
    <cellStyle name="Notas 5 2 3 3 2 2" xfId="61145" xr:uid="{3F9FF6FA-C6AF-4637-B106-C829CC3E587F}"/>
    <cellStyle name="Notas 5 2 3 3 3" xfId="61144" xr:uid="{359BF448-708C-481A-8BA6-25E5A175B253}"/>
    <cellStyle name="Notas 5 2 3 4" xfId="17393" xr:uid="{78308A3D-578E-4E00-B93B-E33F632C1524}"/>
    <cellStyle name="Notas 5 2 3 4 2" xfId="61146" xr:uid="{3E2BB0AA-5C5B-4CB8-985D-4EBC68CE6C3B}"/>
    <cellStyle name="Notas 5 2 3 5" xfId="61139" xr:uid="{6642491D-3F82-4A09-A32D-380DAEC8BAF1}"/>
    <cellStyle name="Notas 5 2 4" xfId="4229" xr:uid="{8D0BCC71-51EF-4B61-B9D2-6376C30A8D09}"/>
    <cellStyle name="Notas 5 2 4 2" xfId="11937" xr:uid="{EB1E9879-2A81-475F-A6D9-46BC6C0446B4}"/>
    <cellStyle name="Notas 5 2 4 2 2" xfId="27349" xr:uid="{520A79F7-F0CC-4696-B55A-7C31A7BDF627}"/>
    <cellStyle name="Notas 5 2 4 2 2 2" xfId="61149" xr:uid="{A7730A5A-265D-424D-A74A-A6B80E532DAE}"/>
    <cellStyle name="Notas 5 2 4 2 3" xfId="61148" xr:uid="{0957B00F-22CA-4B66-A9A6-BFFF9A0D2AD5}"/>
    <cellStyle name="Notas 5 2 4 3" xfId="19644" xr:uid="{725B02FD-16C2-4461-8FAD-E67B42D7814C}"/>
    <cellStyle name="Notas 5 2 4 3 2" xfId="61150" xr:uid="{CE98CE5A-DC15-4B41-9989-45F3AD60CB69}"/>
    <cellStyle name="Notas 5 2 4 4" xfId="61147" xr:uid="{B4421E91-DEED-4338-AF22-1B928FDAD271}"/>
    <cellStyle name="Notas 5 2 5" xfId="8226" xr:uid="{2861FF6C-6A1A-4A64-84EB-F2669CDCC484}"/>
    <cellStyle name="Notas 5 2 5 2" xfId="23639" xr:uid="{0A44FA8D-AE1B-42C8-97E6-BCA571DEDDDE}"/>
    <cellStyle name="Notas 5 2 5 2 2" xfId="61152" xr:uid="{56E1B327-1629-401B-9460-E5ECDA40BF84}"/>
    <cellStyle name="Notas 5 2 5 3" xfId="61151" xr:uid="{0ADDB18E-EA52-4FFD-BEB5-154548ECB88E}"/>
    <cellStyle name="Notas 5 2 6" xfId="15934" xr:uid="{3FB41197-7C1B-459A-B42E-3A34F37BD69C}"/>
    <cellStyle name="Notas 5 2 6 2" xfId="61153" xr:uid="{E509C1E1-7B7B-46F9-A914-83A4812C28BA}"/>
    <cellStyle name="Notas 5 2 7" xfId="61122" xr:uid="{5259E6B6-0718-4A7C-B85C-40CDF2B7F2FF}"/>
    <cellStyle name="Notas 5 3" xfId="944" xr:uid="{792D5205-1032-4822-A45A-712F9C607969}"/>
    <cellStyle name="Notas 5 3 2" xfId="2414" xr:uid="{F76BCF79-63F0-4CD8-9FD7-1D59E13BF97C}"/>
    <cellStyle name="Notas 5 3 2 2" xfId="6146" xr:uid="{54A5A742-D9F8-4502-B846-87CED0C4C3CE}"/>
    <cellStyle name="Notas 5 3 2 2 2" xfId="13854" xr:uid="{F608FE3B-5E40-43C6-9C76-E670C8487E2D}"/>
    <cellStyle name="Notas 5 3 2 2 2 2" xfId="29266" xr:uid="{E5EF5C02-D795-4ED9-AA43-76E5D68AFCD2}"/>
    <cellStyle name="Notas 5 3 2 2 2 2 2" xfId="61158" xr:uid="{7CF1B8CB-9567-4634-93F7-ECC1DD67BB13}"/>
    <cellStyle name="Notas 5 3 2 2 2 3" xfId="61157" xr:uid="{C205DA0F-DFB4-4951-B2D3-769B7B170F62}"/>
    <cellStyle name="Notas 5 3 2 2 3" xfId="21561" xr:uid="{9CE4D3DF-BD65-4262-A26D-F04BB360ED61}"/>
    <cellStyle name="Notas 5 3 2 2 3 2" xfId="61159" xr:uid="{61387132-0EF8-4190-94D6-7D1F33D129C9}"/>
    <cellStyle name="Notas 5 3 2 2 4" xfId="61156" xr:uid="{F93A275E-5D79-4C70-A53F-015F92628C0F}"/>
    <cellStyle name="Notas 5 3 2 3" xfId="10125" xr:uid="{E6D61325-AF68-436F-9C08-7FBB68F4BC4D}"/>
    <cellStyle name="Notas 5 3 2 3 2" xfId="25538" xr:uid="{11A6CE43-491B-4983-B881-AF843E3DADEA}"/>
    <cellStyle name="Notas 5 3 2 3 2 2" xfId="61161" xr:uid="{C17223DA-A9C1-491C-B7AA-8286666576F7}"/>
    <cellStyle name="Notas 5 3 2 3 3" xfId="61160" xr:uid="{15CB19FB-FE77-4BC2-9CDB-D5B52E208B68}"/>
    <cellStyle name="Notas 5 3 2 4" xfId="17833" xr:uid="{AB83848A-BC54-4792-BD9E-8ADE0B1A680A}"/>
    <cellStyle name="Notas 5 3 2 4 2" xfId="61162" xr:uid="{A8589802-36D2-440F-B0A7-473A09E55DE6}"/>
    <cellStyle name="Notas 5 3 2 5" xfId="61155" xr:uid="{32CF1064-2E57-4882-92DD-4B3AABFFD767}"/>
    <cellStyle name="Notas 5 3 3" xfId="4681" xr:uid="{390C4B7F-4120-44B6-A225-18F16E9F84FF}"/>
    <cellStyle name="Notas 5 3 3 2" xfId="12389" xr:uid="{41B0073D-2C49-46F6-AD7B-C3F73438F525}"/>
    <cellStyle name="Notas 5 3 3 2 2" xfId="27801" xr:uid="{843EF26E-602B-4CDD-A64C-149CBBBA384F}"/>
    <cellStyle name="Notas 5 3 3 2 2 2" xfId="61165" xr:uid="{EF7DF6AB-1D69-4B00-9C05-AF751B9A02EE}"/>
    <cellStyle name="Notas 5 3 3 2 3" xfId="61164" xr:uid="{2883A83E-AD45-4CA2-B064-EB3A6919EE12}"/>
    <cellStyle name="Notas 5 3 3 3" xfId="20096" xr:uid="{B6757951-6C07-4180-886B-ECE1EA86E72C}"/>
    <cellStyle name="Notas 5 3 3 3 2" xfId="61166" xr:uid="{E32863A6-5995-44A1-BBD3-67AD248AAB94}"/>
    <cellStyle name="Notas 5 3 3 4" xfId="61163" xr:uid="{9DCE3BD7-1D2D-4280-B76A-68BED49098EF}"/>
    <cellStyle name="Notas 5 3 4" xfId="8666" xr:uid="{6DFB2B84-A6DB-47CF-BA88-DD4A8683B2C4}"/>
    <cellStyle name="Notas 5 3 4 2" xfId="24079" xr:uid="{D91C447C-92DB-4B73-ABBD-89C04EAF8ECE}"/>
    <cellStyle name="Notas 5 3 4 2 2" xfId="61168" xr:uid="{6B466579-2A39-4E98-B6FA-91D4788C90A7}"/>
    <cellStyle name="Notas 5 3 4 3" xfId="61167" xr:uid="{FD5EF836-B8CF-412D-B874-E3551D7C6820}"/>
    <cellStyle name="Notas 5 3 5" xfId="16374" xr:uid="{932382D0-5D55-42F6-970E-2F2EC4860632}"/>
    <cellStyle name="Notas 5 3 5 2" xfId="61169" xr:uid="{907ECBF5-83FF-4A50-AD09-B99214AD89E0}"/>
    <cellStyle name="Notas 5 3 6" xfId="61154" xr:uid="{19FCC2CB-CC40-47E6-A363-7AF8956954DA}"/>
    <cellStyle name="Notas 5 4" xfId="1776" xr:uid="{AF0D20FF-2A54-4967-B7B1-18C20FDDF5C9}"/>
    <cellStyle name="Notas 5 4 2" xfId="5508" xr:uid="{1CFC3176-979E-4F9E-AAE0-15A9DC7A9C26}"/>
    <cellStyle name="Notas 5 4 2 2" xfId="13216" xr:uid="{8C136FFA-71CF-4DBF-B98F-BC33CCDE6FA2}"/>
    <cellStyle name="Notas 5 4 2 2 2" xfId="28628" xr:uid="{A5951B3B-A336-4542-8E0C-9661E6BE0898}"/>
    <cellStyle name="Notas 5 4 2 2 2 2" xfId="61173" xr:uid="{FD68237D-61CE-4073-8A5A-587DDF2823F1}"/>
    <cellStyle name="Notas 5 4 2 2 3" xfId="61172" xr:uid="{37CDE0E0-C5AC-428E-8260-E6B3B23B8851}"/>
    <cellStyle name="Notas 5 4 2 3" xfId="20923" xr:uid="{DC8F779D-3EBF-4989-85A1-7B3147B415FE}"/>
    <cellStyle name="Notas 5 4 2 3 2" xfId="61174" xr:uid="{83687314-9E31-464F-BF8E-924F6E7934B4}"/>
    <cellStyle name="Notas 5 4 2 4" xfId="61171" xr:uid="{B9AF34F9-D1F0-42DC-8B82-3436CD7AE909}"/>
    <cellStyle name="Notas 5 4 3" xfId="9487" xr:uid="{576CC9D2-9F2B-4BB6-92CC-40FAFD6CCD69}"/>
    <cellStyle name="Notas 5 4 3 2" xfId="24900" xr:uid="{21AD7E6B-13D5-4197-87C0-EDD3EAC5217A}"/>
    <cellStyle name="Notas 5 4 3 2 2" xfId="61176" xr:uid="{28B35357-13AD-4B7F-A00A-D101B11A3F0C}"/>
    <cellStyle name="Notas 5 4 3 3" xfId="61175" xr:uid="{04657605-2D19-4D48-AA07-A4EA578558B9}"/>
    <cellStyle name="Notas 5 4 4" xfId="17195" xr:uid="{7C2B0681-D68D-446A-8185-1859EC0DD05E}"/>
    <cellStyle name="Notas 5 4 4 2" xfId="61177" xr:uid="{4FA6FB4D-434D-4C48-8628-98B0E668E043}"/>
    <cellStyle name="Notas 5 4 5" xfId="61170" xr:uid="{A9830C06-B6EA-4389-B2D3-9BEEB3603E32}"/>
    <cellStyle name="Notas 5 5" xfId="4029" xr:uid="{A67CDE93-8994-4FC1-A66B-9266A2334930}"/>
    <cellStyle name="Notas 5 5 2" xfId="11737" xr:uid="{A8B3AB24-46F1-41F1-9837-FFE62DB2FBC3}"/>
    <cellStyle name="Notas 5 5 2 2" xfId="27149" xr:uid="{C96A65E9-723D-4493-8A97-B1C70E4411E3}"/>
    <cellStyle name="Notas 5 5 2 2 2" xfId="61180" xr:uid="{801C72D6-3AC5-4139-A567-854724BF6BAD}"/>
    <cellStyle name="Notas 5 5 2 3" xfId="61179" xr:uid="{91DE46C1-52EA-4CB1-B69D-46ECD186D01C}"/>
    <cellStyle name="Notas 5 5 3" xfId="19444" xr:uid="{06ED758B-731F-4B88-B06A-4A3F28CD6A0B}"/>
    <cellStyle name="Notas 5 5 3 2" xfId="61181" xr:uid="{89D26FB2-5231-40D2-8AFE-D91A2C98F4EE}"/>
    <cellStyle name="Notas 5 5 4" xfId="61178" xr:uid="{2709DE28-D7E4-4C94-B73D-C2D5851577B2}"/>
    <cellStyle name="Notas 5 6" xfId="8028" xr:uid="{BF3EBCD1-72F0-44EB-A04E-4CCEC42E3846}"/>
    <cellStyle name="Notas 5 6 2" xfId="23441" xr:uid="{DF6021F0-C394-4A9D-A4D6-359611D0681B}"/>
    <cellStyle name="Notas 5 6 2 2" xfId="61183" xr:uid="{38DD4BFF-9B30-4760-A2F4-DDD815368008}"/>
    <cellStyle name="Notas 5 6 3" xfId="61182" xr:uid="{66EEBCFF-FA99-4CA8-87EE-20685A5EC969}"/>
    <cellStyle name="Notas 5 7" xfId="15736" xr:uid="{352396CC-364B-455A-9449-341861786D67}"/>
    <cellStyle name="Notas 5 7 2" xfId="61184" xr:uid="{9007BDAE-90EC-4E12-91E1-31234B3DD96A}"/>
    <cellStyle name="Notas 5 8" xfId="61121" xr:uid="{8B65B2ED-51FF-4239-8E89-FE61F4CA8611}"/>
    <cellStyle name="Notas 6" xfId="300" xr:uid="{1C86A818-F94B-4173-A6C6-8D0ECA6D897C}"/>
    <cellStyle name="Notas 6 2" xfId="503" xr:uid="{30051971-812E-4D43-BF85-B19E586E16C1}"/>
    <cellStyle name="Notas 6 2 2" xfId="1164" xr:uid="{F346A675-09B4-48D4-8DC3-CAE7D79544E7}"/>
    <cellStyle name="Notas 6 2 2 2" xfId="2632" xr:uid="{6B546791-90A0-4509-A0EA-10FE01710FC6}"/>
    <cellStyle name="Notas 6 2 2 2 2" xfId="6364" xr:uid="{B8C3E9DC-1E82-4248-907D-92AB5A2FB3AA}"/>
    <cellStyle name="Notas 6 2 2 2 2 2" xfId="14072" xr:uid="{783D297B-1FDE-49DA-8975-CB036FA98EAB}"/>
    <cellStyle name="Notas 6 2 2 2 2 2 2" xfId="29484" xr:uid="{F8100FAD-E32A-42D4-8F87-93BA84344FC8}"/>
    <cellStyle name="Notas 6 2 2 2 2 2 2 2" xfId="61191" xr:uid="{FA7622AA-D2D7-470C-BC8D-9E059829952D}"/>
    <cellStyle name="Notas 6 2 2 2 2 2 3" xfId="61190" xr:uid="{204077BE-1BC4-4E35-80C2-1EEC71A13EE0}"/>
    <cellStyle name="Notas 6 2 2 2 2 3" xfId="21779" xr:uid="{AF2608D7-66E0-4FD6-A009-A377B308F422}"/>
    <cellStyle name="Notas 6 2 2 2 2 3 2" xfId="61192" xr:uid="{1F169495-81A1-45C2-AB8D-C46C159122FB}"/>
    <cellStyle name="Notas 6 2 2 2 2 4" xfId="61189" xr:uid="{7708A279-4BA9-43D5-BF76-37CE61341154}"/>
    <cellStyle name="Notas 6 2 2 2 3" xfId="10343" xr:uid="{6AB085E3-F605-436D-A71D-279A7B32294E}"/>
    <cellStyle name="Notas 6 2 2 2 3 2" xfId="25756" xr:uid="{5D854C09-E092-43F8-8E11-CC3C11BB77A3}"/>
    <cellStyle name="Notas 6 2 2 2 3 2 2" xfId="61194" xr:uid="{E68E730A-D697-4565-8AAE-F5B0F7CAA9F2}"/>
    <cellStyle name="Notas 6 2 2 2 3 3" xfId="61193" xr:uid="{B1C7EF0E-1740-4CE8-8CEF-102801AEA291}"/>
    <cellStyle name="Notas 6 2 2 2 4" xfId="18051" xr:uid="{65E2F2A5-39F0-4714-817F-245BB9B2CA05}"/>
    <cellStyle name="Notas 6 2 2 2 4 2" xfId="61195" xr:uid="{1C9BC8F0-C236-4B0D-84FA-D82BF03CEBC0}"/>
    <cellStyle name="Notas 6 2 2 2 5" xfId="61188" xr:uid="{70D04A0F-78A0-45B2-89EA-18EB054E2DD1}"/>
    <cellStyle name="Notas 6 2 2 3" xfId="4901" xr:uid="{D090335C-78CA-4DA7-9802-254F3804AEB8}"/>
    <cellStyle name="Notas 6 2 2 3 2" xfId="12609" xr:uid="{AE5DD06E-618B-4801-A739-0A7011096A72}"/>
    <cellStyle name="Notas 6 2 2 3 2 2" xfId="28021" xr:uid="{4956992F-F42D-47BC-9469-E5E5135D2C8C}"/>
    <cellStyle name="Notas 6 2 2 3 2 2 2" xfId="61198" xr:uid="{45E6FF44-3FF3-4D93-9F3C-80960F541359}"/>
    <cellStyle name="Notas 6 2 2 3 2 3" xfId="61197" xr:uid="{B7B6B15F-B2F3-4CCD-B20E-B369573C1423}"/>
    <cellStyle name="Notas 6 2 2 3 3" xfId="20316" xr:uid="{DA445A33-5FCE-4539-A589-F1684BFEEBEB}"/>
    <cellStyle name="Notas 6 2 2 3 3 2" xfId="61199" xr:uid="{6D54B1DF-F1EE-4978-B804-98E7978FDF82}"/>
    <cellStyle name="Notas 6 2 2 3 4" xfId="61196" xr:uid="{59D0536B-085D-4E61-BEEA-75CEBF6A86D4}"/>
    <cellStyle name="Notas 6 2 2 4" xfId="8884" xr:uid="{002A0156-1E80-4349-A07A-7589E2FA7128}"/>
    <cellStyle name="Notas 6 2 2 4 2" xfId="24297" xr:uid="{0C72FDCA-BA08-409C-8330-D52FB52C2056}"/>
    <cellStyle name="Notas 6 2 2 4 2 2" xfId="61201" xr:uid="{E0D5A9BB-1C78-48B3-BACA-E64998964B7F}"/>
    <cellStyle name="Notas 6 2 2 4 3" xfId="61200" xr:uid="{410C0DBC-532A-458B-B4DD-BC04D808E2F1}"/>
    <cellStyle name="Notas 6 2 2 5" xfId="16592" xr:uid="{D85D3F85-E444-4FF2-BCF2-42BA36B11166}"/>
    <cellStyle name="Notas 6 2 2 5 2" xfId="61202" xr:uid="{C55DFBF0-45DC-4C67-B887-499866F74AA8}"/>
    <cellStyle name="Notas 6 2 2 6" xfId="61187" xr:uid="{D5B888A8-E69F-4790-B8B6-BE72DDFEE555}"/>
    <cellStyle name="Notas 6 2 3" xfId="1994" xr:uid="{1BD1C1A4-CCD1-40F5-8DC3-3BD6D677495D}"/>
    <cellStyle name="Notas 6 2 3 2" xfId="5726" xr:uid="{C861E9A8-F0E1-476D-A03B-45CF9D2A584D}"/>
    <cellStyle name="Notas 6 2 3 2 2" xfId="13434" xr:uid="{7D5C8EA5-8D7D-4EA9-B469-059493D58BBB}"/>
    <cellStyle name="Notas 6 2 3 2 2 2" xfId="28846" xr:uid="{84545E76-12D9-4722-9117-A1B59DD7D6E7}"/>
    <cellStyle name="Notas 6 2 3 2 2 2 2" xfId="61206" xr:uid="{FD52D233-EDF8-46C4-A805-D00B48E976A3}"/>
    <cellStyle name="Notas 6 2 3 2 2 3" xfId="61205" xr:uid="{09FF21EC-DF0D-43C0-B4C5-CF75A36EE594}"/>
    <cellStyle name="Notas 6 2 3 2 3" xfId="21141" xr:uid="{D1DC0B77-CE41-4979-828F-D057850A554B}"/>
    <cellStyle name="Notas 6 2 3 2 3 2" xfId="61207" xr:uid="{9056C85D-2457-47FA-B103-F6BA8CBDBDBD}"/>
    <cellStyle name="Notas 6 2 3 2 4" xfId="61204" xr:uid="{49028772-1D3E-4952-85D6-19922BB6B1EF}"/>
    <cellStyle name="Notas 6 2 3 3" xfId="9705" xr:uid="{8C07E512-AD1B-4D59-A43A-82C560EC9DDA}"/>
    <cellStyle name="Notas 6 2 3 3 2" xfId="25118" xr:uid="{C5DE9050-4995-4ACD-BDB5-056478DEC9F2}"/>
    <cellStyle name="Notas 6 2 3 3 2 2" xfId="61209" xr:uid="{66B2C9A3-0C31-4934-8CA8-A2D48F043DAC}"/>
    <cellStyle name="Notas 6 2 3 3 3" xfId="61208" xr:uid="{BF4F521E-503D-49E9-BBD3-423D55A69B3A}"/>
    <cellStyle name="Notas 6 2 3 4" xfId="17413" xr:uid="{07E14897-54D6-486F-A338-84A8DEBBBC8A}"/>
    <cellStyle name="Notas 6 2 3 4 2" xfId="61210" xr:uid="{3B135E13-5CEC-4C9E-9BC8-CF7B9F28A379}"/>
    <cellStyle name="Notas 6 2 3 5" xfId="61203" xr:uid="{DA0D6C85-0AE8-4A6A-AFD1-9AD88E73EC9A}"/>
    <cellStyle name="Notas 6 2 4" xfId="4249" xr:uid="{4C766B86-3ECB-4979-8509-43AA0C263D9E}"/>
    <cellStyle name="Notas 6 2 4 2" xfId="11957" xr:uid="{C383D82A-85CB-48B7-BD62-2856B6AD0F52}"/>
    <cellStyle name="Notas 6 2 4 2 2" xfId="27369" xr:uid="{2E2AD972-A31F-4554-92BD-E511DCC6789B}"/>
    <cellStyle name="Notas 6 2 4 2 2 2" xfId="61213" xr:uid="{695DE968-C616-4F28-8962-AE29BBF34609}"/>
    <cellStyle name="Notas 6 2 4 2 3" xfId="61212" xr:uid="{8D16F0BB-A2EE-4686-9ECB-841558273EED}"/>
    <cellStyle name="Notas 6 2 4 3" xfId="19664" xr:uid="{2D19AC87-714D-4541-823B-D42911BDF4E4}"/>
    <cellStyle name="Notas 6 2 4 3 2" xfId="61214" xr:uid="{25357DE4-B6D4-40F4-8531-0C121D30CDE9}"/>
    <cellStyle name="Notas 6 2 4 4" xfId="61211" xr:uid="{94FD8591-8871-434E-BEAE-1695E6728F5C}"/>
    <cellStyle name="Notas 6 2 5" xfId="8246" xr:uid="{B8C5C0B8-71F4-42C0-88CD-D56314FB92D6}"/>
    <cellStyle name="Notas 6 2 5 2" xfId="23659" xr:uid="{483FCC1A-33BA-4DAC-9A11-B68264732276}"/>
    <cellStyle name="Notas 6 2 5 2 2" xfId="61216" xr:uid="{5B4F0489-DB65-461D-AF27-42F098050747}"/>
    <cellStyle name="Notas 6 2 5 3" xfId="61215" xr:uid="{A3691536-F923-4D79-8558-A2E1919663A3}"/>
    <cellStyle name="Notas 6 2 6" xfId="15954" xr:uid="{9E983F8E-01EA-4256-B928-7D962CCEE103}"/>
    <cellStyle name="Notas 6 2 6 2" xfId="61217" xr:uid="{B458D4FF-35D0-4677-A2CB-6163F15D2624}"/>
    <cellStyle name="Notas 6 2 7" xfId="61186" xr:uid="{A9533445-A1F8-4A65-9CCA-33975674875E}"/>
    <cellStyle name="Notas 6 3" xfId="964" xr:uid="{7BBE412C-B9D3-40B1-94F4-204F3A0DA902}"/>
    <cellStyle name="Notas 6 3 2" xfId="2434" xr:uid="{91B4EADB-DADC-4C45-9F23-DAF3FD10747A}"/>
    <cellStyle name="Notas 6 3 2 2" xfId="6166" xr:uid="{16B6F376-5F1E-4B53-A7FA-EDD1BE4EB8FC}"/>
    <cellStyle name="Notas 6 3 2 2 2" xfId="13874" xr:uid="{2DC81872-5AC6-4983-9EE1-D76EED3FDD07}"/>
    <cellStyle name="Notas 6 3 2 2 2 2" xfId="29286" xr:uid="{C41A4D0A-3509-4356-9B41-C6F15BA0F02F}"/>
    <cellStyle name="Notas 6 3 2 2 2 2 2" xfId="61222" xr:uid="{F51E6C2E-C710-4B41-A4E0-AD662363B9A2}"/>
    <cellStyle name="Notas 6 3 2 2 2 3" xfId="61221" xr:uid="{F9DF29D7-2077-4269-82D9-C0686FB05AF0}"/>
    <cellStyle name="Notas 6 3 2 2 3" xfId="21581" xr:uid="{C34DF10B-F73A-4463-96B4-DA8298E5D954}"/>
    <cellStyle name="Notas 6 3 2 2 3 2" xfId="61223" xr:uid="{2FA51874-2EEF-4644-AFFD-25EEF0F3D854}"/>
    <cellStyle name="Notas 6 3 2 2 4" xfId="61220" xr:uid="{C1A414BC-6BE0-4A5E-904F-F11D8C8B9990}"/>
    <cellStyle name="Notas 6 3 2 3" xfId="10145" xr:uid="{ADF7C8D2-FBF7-4516-825F-BE1F77056E49}"/>
    <cellStyle name="Notas 6 3 2 3 2" xfId="25558" xr:uid="{59C25B36-5004-49B5-84E3-7B0709B23A1C}"/>
    <cellStyle name="Notas 6 3 2 3 2 2" xfId="61225" xr:uid="{B2B08354-5221-4DF3-B392-C5C44745F4F9}"/>
    <cellStyle name="Notas 6 3 2 3 3" xfId="61224" xr:uid="{311648C0-B4AD-4F36-BF63-3D32E7A60A5F}"/>
    <cellStyle name="Notas 6 3 2 4" xfId="17853" xr:uid="{4FD65A30-2E37-4732-920A-582E32D4C380}"/>
    <cellStyle name="Notas 6 3 2 4 2" xfId="61226" xr:uid="{1BCF1BC3-FEDE-4D94-B86F-2D460BE43E3C}"/>
    <cellStyle name="Notas 6 3 2 5" xfId="61219" xr:uid="{0A146470-C3A4-4410-B0D6-BAC3A7EDFCF9}"/>
    <cellStyle name="Notas 6 3 3" xfId="4701" xr:uid="{FFE719E7-0CFD-4845-BDF4-265F55973B12}"/>
    <cellStyle name="Notas 6 3 3 2" xfId="12409" xr:uid="{DDB69E4C-136A-44FA-8932-4FAA526378C0}"/>
    <cellStyle name="Notas 6 3 3 2 2" xfId="27821" xr:uid="{8BC2BFF0-2238-4356-81E7-11718380F5D8}"/>
    <cellStyle name="Notas 6 3 3 2 2 2" xfId="61229" xr:uid="{05BBC8D2-B494-449C-B6EE-05AF2237AFBB}"/>
    <cellStyle name="Notas 6 3 3 2 3" xfId="61228" xr:uid="{E1723F21-8B9D-4AD9-9210-A8FD57E37299}"/>
    <cellStyle name="Notas 6 3 3 3" xfId="20116" xr:uid="{A1F8F7CA-8606-4E8E-9F82-19F15C144495}"/>
    <cellStyle name="Notas 6 3 3 3 2" xfId="61230" xr:uid="{6F3E3AC0-A643-4524-9C73-569B2EAB791D}"/>
    <cellStyle name="Notas 6 3 3 4" xfId="61227" xr:uid="{86C8D945-18EB-45FC-9140-2C48A66AA53A}"/>
    <cellStyle name="Notas 6 3 4" xfId="8686" xr:uid="{517FB108-2382-4CD9-9306-F8C714685D46}"/>
    <cellStyle name="Notas 6 3 4 2" xfId="24099" xr:uid="{59F50F4B-0339-4325-B5D2-0A83ECE4CF3B}"/>
    <cellStyle name="Notas 6 3 4 2 2" xfId="61232" xr:uid="{BD8AED17-B7A6-486E-A3A6-5D610E737EC6}"/>
    <cellStyle name="Notas 6 3 4 3" xfId="61231" xr:uid="{430B4B0A-7929-4D64-A57D-6845281A2EBC}"/>
    <cellStyle name="Notas 6 3 5" xfId="16394" xr:uid="{5273DE7C-505F-462C-BED0-9E6F404CC78D}"/>
    <cellStyle name="Notas 6 3 5 2" xfId="61233" xr:uid="{AA2766F8-ABA1-4778-9B5C-865A29A8CB32}"/>
    <cellStyle name="Notas 6 3 6" xfId="61218" xr:uid="{67C59CA8-3892-41A2-B6FF-01F1CE2D3C16}"/>
    <cellStyle name="Notas 6 4" xfId="1796" xr:uid="{5B4244A7-5871-4E86-A34F-F6C374A923C8}"/>
    <cellStyle name="Notas 6 4 2" xfId="5528" xr:uid="{BFC948AC-3DD4-4815-B46A-E0C38701BD6A}"/>
    <cellStyle name="Notas 6 4 2 2" xfId="13236" xr:uid="{751A8E08-63B9-426F-9F33-72AC527AED37}"/>
    <cellStyle name="Notas 6 4 2 2 2" xfId="28648" xr:uid="{5A7F546F-0FCA-4267-B769-AA53EE891600}"/>
    <cellStyle name="Notas 6 4 2 2 2 2" xfId="61237" xr:uid="{3C610029-D747-4BF8-BD87-5100BE0607B3}"/>
    <cellStyle name="Notas 6 4 2 2 3" xfId="61236" xr:uid="{3A1F86DE-9AB3-4F12-8F97-4D578BE94C67}"/>
    <cellStyle name="Notas 6 4 2 3" xfId="20943" xr:uid="{525FE697-0CC4-4C6F-B927-890D9E43BDF1}"/>
    <cellStyle name="Notas 6 4 2 3 2" xfId="61238" xr:uid="{D499DA10-87B5-414C-9502-70BD1A5CFA3D}"/>
    <cellStyle name="Notas 6 4 2 4" xfId="61235" xr:uid="{B43C3AA2-2CF9-43A3-8517-6F6FB5720E7F}"/>
    <cellStyle name="Notas 6 4 3" xfId="9507" xr:uid="{46FB669D-46AF-4912-9509-56C8C888C4C2}"/>
    <cellStyle name="Notas 6 4 3 2" xfId="24920" xr:uid="{174F9C2D-7399-4DA4-9AA6-9A69749BB438}"/>
    <cellStyle name="Notas 6 4 3 2 2" xfId="61240" xr:uid="{A240D83A-605C-4A54-A7CB-652B20025ECE}"/>
    <cellStyle name="Notas 6 4 3 3" xfId="61239" xr:uid="{F3F5C6BA-DC0D-4DEA-8366-089F116C1AEC}"/>
    <cellStyle name="Notas 6 4 4" xfId="17215" xr:uid="{D6F132AE-A20D-4C28-8516-F309266B09FD}"/>
    <cellStyle name="Notas 6 4 4 2" xfId="61241" xr:uid="{118D58B6-9CDE-4FEF-9357-3418CEADBAB6}"/>
    <cellStyle name="Notas 6 4 5" xfId="61234" xr:uid="{4AB2E362-970B-4159-83DF-A3A4AEB7BF3B}"/>
    <cellStyle name="Notas 6 5" xfId="4049" xr:uid="{55B141EB-8428-4DA6-BB11-92BA58D082DE}"/>
    <cellStyle name="Notas 6 5 2" xfId="11757" xr:uid="{1C59543F-211E-4B69-9F87-243D3B832A7F}"/>
    <cellStyle name="Notas 6 5 2 2" xfId="27169" xr:uid="{641AAE27-B557-48D0-9E4C-31848DF5416F}"/>
    <cellStyle name="Notas 6 5 2 2 2" xfId="61244" xr:uid="{D4D87504-321E-4162-967B-B822532F9945}"/>
    <cellStyle name="Notas 6 5 2 3" xfId="61243" xr:uid="{04B7391E-6C5D-4C2C-A84D-F2E0F3F37D23}"/>
    <cellStyle name="Notas 6 5 3" xfId="19464" xr:uid="{90F14DF7-897F-4D5C-8A83-A7D2F0E31CE4}"/>
    <cellStyle name="Notas 6 5 3 2" xfId="61245" xr:uid="{66661DDD-C990-4967-8923-2CDAC34D0114}"/>
    <cellStyle name="Notas 6 5 4" xfId="61242" xr:uid="{36905E7A-1DBD-45F4-8175-DB3E0DDDF7D7}"/>
    <cellStyle name="Notas 6 6" xfId="8048" xr:uid="{02E96ADC-92F4-4A11-8DAE-313032A3BB2B}"/>
    <cellStyle name="Notas 6 6 2" xfId="23461" xr:uid="{694EF543-0832-4E04-AC79-82B97A8D5B82}"/>
    <cellStyle name="Notas 6 6 2 2" xfId="61247" xr:uid="{197427A4-9BFE-4B33-80A9-9825C9B5E89B}"/>
    <cellStyle name="Notas 6 6 3" xfId="61246" xr:uid="{86A00AAD-F8A5-4CD0-8515-72FD6B6CD144}"/>
    <cellStyle name="Notas 6 7" xfId="15756" xr:uid="{D91634E3-6B88-4971-8A06-27123F112520}"/>
    <cellStyle name="Notas 6 7 2" xfId="61248" xr:uid="{5DF60A24-9E40-4696-8492-C4C7AC031850}"/>
    <cellStyle name="Notas 6 8" xfId="61185" xr:uid="{5B1A01E2-0454-46AD-BCCB-3924E2D13890}"/>
    <cellStyle name="Notas 7" xfId="523" xr:uid="{A2806AB3-FC0D-4D8E-9BF6-535D50564D87}"/>
    <cellStyle name="Notas 7 2" xfId="1184" xr:uid="{90CA23F8-AACA-4A17-94C9-751C37A16924}"/>
    <cellStyle name="Notas 7 2 2" xfId="2652" xr:uid="{9B8C7688-EFF5-442C-9EA2-354C7D722D4C}"/>
    <cellStyle name="Notas 7 2 2 2" xfId="6384" xr:uid="{3D590B68-24C5-45EB-AC74-EB982098F3CA}"/>
    <cellStyle name="Notas 7 2 2 2 2" xfId="14092" xr:uid="{0FED8EE4-0549-4968-AA9C-38DD6150B5EB}"/>
    <cellStyle name="Notas 7 2 2 2 2 2" xfId="29504" xr:uid="{427A36D5-DEF1-43AA-95E6-E2BFD22884B3}"/>
    <cellStyle name="Notas 7 2 2 2 2 2 2" xfId="61254" xr:uid="{B761CEF1-6ACA-4406-9FEA-EC8D8DB943DD}"/>
    <cellStyle name="Notas 7 2 2 2 2 3" xfId="61253" xr:uid="{C5BA8EFE-DC24-4F47-BEAF-D98C5FF986F7}"/>
    <cellStyle name="Notas 7 2 2 2 3" xfId="21799" xr:uid="{86F6F3E3-3A24-41FA-820A-59D4EFD68675}"/>
    <cellStyle name="Notas 7 2 2 2 3 2" xfId="61255" xr:uid="{F218F478-6EC4-4FC9-B3B9-4638920E0E3E}"/>
    <cellStyle name="Notas 7 2 2 2 4" xfId="61252" xr:uid="{2059CFA4-DEE9-452C-8112-91D38C959768}"/>
    <cellStyle name="Notas 7 2 2 3" xfId="10363" xr:uid="{11805766-F5DB-486B-B302-58ACDA692857}"/>
    <cellStyle name="Notas 7 2 2 3 2" xfId="25776" xr:uid="{AA035641-20F4-46F1-A057-9D65DE0227F6}"/>
    <cellStyle name="Notas 7 2 2 3 2 2" xfId="61257" xr:uid="{61767291-F18B-4897-92DB-8DEC57F7DEA0}"/>
    <cellStyle name="Notas 7 2 2 3 3" xfId="61256" xr:uid="{B8F5392A-7C6F-42D8-A4F5-A29F3332B139}"/>
    <cellStyle name="Notas 7 2 2 4" xfId="18071" xr:uid="{0B5B4BE2-D156-4340-964A-EFF952D78BBA}"/>
    <cellStyle name="Notas 7 2 2 4 2" xfId="61258" xr:uid="{3583D842-C9FC-4907-8CA6-386BFD67268B}"/>
    <cellStyle name="Notas 7 2 2 5" xfId="61251" xr:uid="{AC1A1F01-FB75-4942-B86F-17A8E9004766}"/>
    <cellStyle name="Notas 7 2 3" xfId="4921" xr:uid="{00170F9F-9F1A-4221-A274-C169E542A372}"/>
    <cellStyle name="Notas 7 2 3 2" xfId="12629" xr:uid="{08274026-764F-42F5-AD6F-0A55886815DC}"/>
    <cellStyle name="Notas 7 2 3 2 2" xfId="28041" xr:uid="{538166CD-765C-4B81-A13A-04CA1204555B}"/>
    <cellStyle name="Notas 7 2 3 2 2 2" xfId="61261" xr:uid="{D902633D-F5FC-46E4-9FCE-1F97FC561D3D}"/>
    <cellStyle name="Notas 7 2 3 2 3" xfId="61260" xr:uid="{B705EAC2-FE9C-4F07-9DA8-0506AB4CF4EE}"/>
    <cellStyle name="Notas 7 2 3 3" xfId="20336" xr:uid="{A509E665-8047-431A-B017-6D5EB3FD04EE}"/>
    <cellStyle name="Notas 7 2 3 3 2" xfId="61262" xr:uid="{8D7AD1BD-92AD-4539-9CEC-BCBA8C90F045}"/>
    <cellStyle name="Notas 7 2 3 4" xfId="61259" xr:uid="{DDB21A51-599A-41AC-8838-9B23A527CFD4}"/>
    <cellStyle name="Notas 7 2 4" xfId="8904" xr:uid="{E176F99F-DAC7-4959-B958-9DDD54E63738}"/>
    <cellStyle name="Notas 7 2 4 2" xfId="24317" xr:uid="{6E71EA25-E23D-4D64-9026-D8C106997DC9}"/>
    <cellStyle name="Notas 7 2 4 2 2" xfId="61264" xr:uid="{80379A1B-FDBE-40ED-B5B9-1011CCA4105F}"/>
    <cellStyle name="Notas 7 2 4 3" xfId="61263" xr:uid="{0C665E6D-E9AE-4448-ABAE-437BF2FAC0D6}"/>
    <cellStyle name="Notas 7 2 5" xfId="16612" xr:uid="{DD5E4BE0-4AF1-4FBB-9508-71CBF74F8B48}"/>
    <cellStyle name="Notas 7 2 5 2" xfId="61265" xr:uid="{69890D72-21A4-464B-AC34-AA16C414AC1E}"/>
    <cellStyle name="Notas 7 2 6" xfId="61250" xr:uid="{F8333218-E9A9-4E0B-AED5-F2C12BF2B52D}"/>
    <cellStyle name="Notas 7 3" xfId="2014" xr:uid="{73E84A93-814C-4C0F-9D6D-FAA07064404F}"/>
    <cellStyle name="Notas 7 3 2" xfId="5746" xr:uid="{F7E27434-D3BE-4C55-9F44-ADC1D5086697}"/>
    <cellStyle name="Notas 7 3 2 2" xfId="13454" xr:uid="{87E10EA7-4DF1-4518-873F-69AFF42E007F}"/>
    <cellStyle name="Notas 7 3 2 2 2" xfId="28866" xr:uid="{7EC75960-44BA-4F80-B413-F9724E987554}"/>
    <cellStyle name="Notas 7 3 2 2 2 2" xfId="61269" xr:uid="{A7799960-28D0-481F-9D60-AD6EE465A24F}"/>
    <cellStyle name="Notas 7 3 2 2 3" xfId="61268" xr:uid="{3DE042B0-5671-4316-81CA-54383DF1312E}"/>
    <cellStyle name="Notas 7 3 2 3" xfId="21161" xr:uid="{80249C5E-FFCE-419D-9265-A4B1774B06B3}"/>
    <cellStyle name="Notas 7 3 2 3 2" xfId="61270" xr:uid="{39FC1709-9B4A-423D-8E4B-97486E1F2F6B}"/>
    <cellStyle name="Notas 7 3 2 4" xfId="61267" xr:uid="{4DCEF80C-B4A1-4FC7-8D7E-9D3ADB415188}"/>
    <cellStyle name="Notas 7 3 3" xfId="9725" xr:uid="{3F7FCE6F-02DF-488B-9396-D2EF1FD16BB8}"/>
    <cellStyle name="Notas 7 3 3 2" xfId="25138" xr:uid="{D3250D25-7B55-443B-89B6-79D5B19C0941}"/>
    <cellStyle name="Notas 7 3 3 2 2" xfId="61272" xr:uid="{AF6FFE2D-B76F-492A-BF1F-4636FE3506EE}"/>
    <cellStyle name="Notas 7 3 3 3" xfId="61271" xr:uid="{AB5C8BB2-0223-4F6C-AED6-59F36F0CCE74}"/>
    <cellStyle name="Notas 7 3 4" xfId="17433" xr:uid="{AC0D7C54-44D0-45B9-B7E8-190A82D5FD69}"/>
    <cellStyle name="Notas 7 3 4 2" xfId="61273" xr:uid="{DC173F17-BC22-4DA9-9458-8A599DA4039A}"/>
    <cellStyle name="Notas 7 3 5" xfId="61266" xr:uid="{954057C0-9642-4BD0-B25E-CA1016E81719}"/>
    <cellStyle name="Notas 7 4" xfId="4269" xr:uid="{7E8C41BC-87AB-493F-A67A-3604C5EF1A4D}"/>
    <cellStyle name="Notas 7 4 2" xfId="11977" xr:uid="{8F517170-2E2D-42E4-BDA3-617ED14F7639}"/>
    <cellStyle name="Notas 7 4 2 2" xfId="27389" xr:uid="{BC3C26BD-B842-4897-82B9-3D5AEC624BDB}"/>
    <cellStyle name="Notas 7 4 2 2 2" xfId="61276" xr:uid="{CB6C0325-5C14-4F9D-BF55-76D2B0AD3E73}"/>
    <cellStyle name="Notas 7 4 2 3" xfId="61275" xr:uid="{4C4E3FF5-B146-4BEC-8159-3EDD09420AFE}"/>
    <cellStyle name="Notas 7 4 3" xfId="19684" xr:uid="{E95D538F-ED72-417D-8D8A-1262EC056695}"/>
    <cellStyle name="Notas 7 4 3 2" xfId="61277" xr:uid="{87D1DE05-BEAB-475D-8F5F-F4CB8BAD4857}"/>
    <cellStyle name="Notas 7 4 4" xfId="61274" xr:uid="{42FE4617-A743-4700-ABD6-7F96D67A17D7}"/>
    <cellStyle name="Notas 7 5" xfId="8266" xr:uid="{ED3F8F19-2CBD-430D-9F2C-3D3B768DC97D}"/>
    <cellStyle name="Notas 7 5 2" xfId="23679" xr:uid="{07E4A50E-B344-4010-A577-109DDF511A4E}"/>
    <cellStyle name="Notas 7 5 2 2" xfId="61279" xr:uid="{DC00BD14-E38D-4903-AB3E-BD65F7C13FF0}"/>
    <cellStyle name="Notas 7 5 3" xfId="61278" xr:uid="{9B33F851-B598-4D20-B62E-621E9F84DD81}"/>
    <cellStyle name="Notas 7 6" xfId="15974" xr:uid="{BC0EACDD-2C72-4E17-AEB1-5682A1742AF9}"/>
    <cellStyle name="Notas 7 6 2" xfId="61280" xr:uid="{64B247C1-459B-4D5F-9A3F-0CA09131478C}"/>
    <cellStyle name="Notas 7 7" xfId="61249" xr:uid="{1A17AFDB-42E9-4137-BB53-3DDD4A99A378}"/>
    <cellStyle name="Notas 8" xfId="543" xr:uid="{1A4D508F-51FE-4E84-A2EB-E00343C649F3}"/>
    <cellStyle name="Notas 8 2" xfId="1204" xr:uid="{E3E756CF-2032-4032-A6EE-2622F24FE4FB}"/>
    <cellStyle name="Notas 8 2 2" xfId="2672" xr:uid="{2EDCD947-7463-4DED-A5F5-F0D37D8FE0F0}"/>
    <cellStyle name="Notas 8 2 2 2" xfId="6404" xr:uid="{7A4B9CF7-3A45-4BDE-B08D-F0577842F327}"/>
    <cellStyle name="Notas 8 2 2 2 2" xfId="14112" xr:uid="{6EABEECD-CD0F-4095-B5BF-212CB8BFE72E}"/>
    <cellStyle name="Notas 8 2 2 2 2 2" xfId="29524" xr:uid="{89F0C31D-BA2B-42CA-82C8-B73D7976BDD1}"/>
    <cellStyle name="Notas 8 2 2 2 2 2 2" xfId="61286" xr:uid="{1D6DE7A4-CD1F-4FB8-B357-D33FFA930D73}"/>
    <cellStyle name="Notas 8 2 2 2 2 3" xfId="61285" xr:uid="{878667C0-F53C-4178-B129-657C0A672F7F}"/>
    <cellStyle name="Notas 8 2 2 2 3" xfId="21819" xr:uid="{9F375B77-AA6C-4031-9263-BC010AEC65C2}"/>
    <cellStyle name="Notas 8 2 2 2 3 2" xfId="61287" xr:uid="{8459292C-6098-41D0-A1DE-A8745217A50F}"/>
    <cellStyle name="Notas 8 2 2 2 4" xfId="61284" xr:uid="{93C5A862-69A5-4AE6-B1E2-6E381C11EA05}"/>
    <cellStyle name="Notas 8 2 2 3" xfId="10383" xr:uid="{7FECD779-AB99-401B-93A6-41AD23C5DD85}"/>
    <cellStyle name="Notas 8 2 2 3 2" xfId="25796" xr:uid="{AD233ECD-D588-402A-9005-4BC47057D262}"/>
    <cellStyle name="Notas 8 2 2 3 2 2" xfId="61289" xr:uid="{2EF9AB4D-CA99-4E75-8952-34042789402C}"/>
    <cellStyle name="Notas 8 2 2 3 3" xfId="61288" xr:uid="{0858215F-67F0-4E3F-9121-D220B995114B}"/>
    <cellStyle name="Notas 8 2 2 4" xfId="18091" xr:uid="{888C8BF7-080C-4025-B52C-6E80AACF2E31}"/>
    <cellStyle name="Notas 8 2 2 4 2" xfId="61290" xr:uid="{AE540040-007E-43E1-BAE3-E0533A30BA6D}"/>
    <cellStyle name="Notas 8 2 2 5" xfId="61283" xr:uid="{DABD69D1-0D0B-4FF0-A160-757048E47C68}"/>
    <cellStyle name="Notas 8 2 3" xfId="4941" xr:uid="{1E59FFB1-8736-4B4D-91A0-36049098923A}"/>
    <cellStyle name="Notas 8 2 3 2" xfId="12649" xr:uid="{13DDF7EE-B94F-48FA-BC01-7F3B1787499D}"/>
    <cellStyle name="Notas 8 2 3 2 2" xfId="28061" xr:uid="{B202B02E-C83C-4B12-B1AE-822E9FDC8FA3}"/>
    <cellStyle name="Notas 8 2 3 2 2 2" xfId="61293" xr:uid="{128ACDD5-A6EE-4071-ABD9-7ADE3796370D}"/>
    <cellStyle name="Notas 8 2 3 2 3" xfId="61292" xr:uid="{0D81AC75-B71F-4A04-86AF-89D5E8BDE616}"/>
    <cellStyle name="Notas 8 2 3 3" xfId="20356" xr:uid="{E2D3CFAA-CCCF-4220-BD05-76AABC4D42CC}"/>
    <cellStyle name="Notas 8 2 3 3 2" xfId="61294" xr:uid="{03E39470-37FD-41E4-87D5-34134AC0A9B3}"/>
    <cellStyle name="Notas 8 2 3 4" xfId="61291" xr:uid="{A2E5F11D-FCEB-4A2A-95D0-29914A8FAE9F}"/>
    <cellStyle name="Notas 8 2 4" xfId="8924" xr:uid="{0925DC45-6B39-4A84-915E-614F7EA08554}"/>
    <cellStyle name="Notas 8 2 4 2" xfId="24337" xr:uid="{7C645B2B-B093-4B90-A446-AA0A71A40CB9}"/>
    <cellStyle name="Notas 8 2 4 2 2" xfId="61296" xr:uid="{0664218C-B831-408B-AB1C-5B5599EDCD6C}"/>
    <cellStyle name="Notas 8 2 4 3" xfId="61295" xr:uid="{ACDEFA43-BB2C-4B50-BC7C-F5BCC7848F1E}"/>
    <cellStyle name="Notas 8 2 5" xfId="16632" xr:uid="{BC396643-2B04-4C49-B53E-6FDF7034675B}"/>
    <cellStyle name="Notas 8 2 5 2" xfId="61297" xr:uid="{A1757ED3-4397-4606-871B-5BEC15750F92}"/>
    <cellStyle name="Notas 8 2 6" xfId="61282" xr:uid="{D9107941-6E20-496A-99FB-09E28B8873EA}"/>
    <cellStyle name="Notas 8 3" xfId="2034" xr:uid="{D2ADFD6F-7F69-4616-8E23-3434DE6B138A}"/>
    <cellStyle name="Notas 8 3 2" xfId="5766" xr:uid="{0EAF320C-0089-4A88-9EA3-948E412E5309}"/>
    <cellStyle name="Notas 8 3 2 2" xfId="13474" xr:uid="{66B54E1F-299E-4A45-BBDA-D10876D85ECC}"/>
    <cellStyle name="Notas 8 3 2 2 2" xfId="28886" xr:uid="{E90804F2-DAA9-4C2C-B6D3-10FDF9263657}"/>
    <cellStyle name="Notas 8 3 2 2 2 2" xfId="61301" xr:uid="{1CE69453-3780-46E7-9374-569702BCFC94}"/>
    <cellStyle name="Notas 8 3 2 2 3" xfId="61300" xr:uid="{010929D9-5EF1-4656-AF68-95AEE4773EF4}"/>
    <cellStyle name="Notas 8 3 2 3" xfId="21181" xr:uid="{A9C8B7E6-1E20-4F1A-AEDF-8A0FAAC598A9}"/>
    <cellStyle name="Notas 8 3 2 3 2" xfId="61302" xr:uid="{9DCE4E2A-39C8-4627-9234-2E5F0CEC3892}"/>
    <cellStyle name="Notas 8 3 2 4" xfId="61299" xr:uid="{8C3C8F56-EA18-453E-9BBD-E9EFF27B6CB9}"/>
    <cellStyle name="Notas 8 3 3" xfId="9745" xr:uid="{03A91CE0-D7DF-4C2E-96C0-B3497D275D51}"/>
    <cellStyle name="Notas 8 3 3 2" xfId="25158" xr:uid="{0BFF631C-3C39-45E9-9C48-309B34B264AB}"/>
    <cellStyle name="Notas 8 3 3 2 2" xfId="61304" xr:uid="{2C707A76-1B42-4841-9D5F-2B1D605BE3B7}"/>
    <cellStyle name="Notas 8 3 3 3" xfId="61303" xr:uid="{B0D446D4-0A9A-4DD2-9499-8E53A7828750}"/>
    <cellStyle name="Notas 8 3 4" xfId="17453" xr:uid="{5A101C00-02BA-4AF8-BE7C-AA6E053E5FD7}"/>
    <cellStyle name="Notas 8 3 4 2" xfId="61305" xr:uid="{44D8E419-FC96-46E1-A40F-DBDF78345EB3}"/>
    <cellStyle name="Notas 8 3 5" xfId="61298" xr:uid="{E11C3208-7C20-4D22-9A67-DBF1B31B2FB9}"/>
    <cellStyle name="Notas 8 4" xfId="4289" xr:uid="{10B753AA-2C41-4EAF-A1EE-431A26B61EF9}"/>
    <cellStyle name="Notas 8 4 2" xfId="11997" xr:uid="{CBD03782-7A7E-463D-B57A-6E0E3E977BAA}"/>
    <cellStyle name="Notas 8 4 2 2" xfId="27409" xr:uid="{18D1EE58-83D3-4F09-B096-8EB7A3A09AE6}"/>
    <cellStyle name="Notas 8 4 2 2 2" xfId="61308" xr:uid="{30D03260-3B7C-4121-8BFE-DE6E28689D82}"/>
    <cellStyle name="Notas 8 4 2 3" xfId="61307" xr:uid="{935469EA-A73D-49B9-813C-649B074BB96A}"/>
    <cellStyle name="Notas 8 4 3" xfId="19704" xr:uid="{AB78C97E-0E37-4637-AC66-8B062C1F736F}"/>
    <cellStyle name="Notas 8 4 3 2" xfId="61309" xr:uid="{FB0C4262-2672-41EC-95B8-AB9901738132}"/>
    <cellStyle name="Notas 8 4 4" xfId="61306" xr:uid="{35464A40-99AF-46D5-B591-42FDE7BC84BB}"/>
    <cellStyle name="Notas 8 5" xfId="8286" xr:uid="{90B4565A-36B0-4DB1-9FE2-388EBD025CA0}"/>
    <cellStyle name="Notas 8 5 2" xfId="23699" xr:uid="{DEEBBE73-3F02-4632-AA71-DBED9F198C42}"/>
    <cellStyle name="Notas 8 5 2 2" xfId="61311" xr:uid="{FF89F3C3-001C-4A05-BD73-6F4F396A7FEE}"/>
    <cellStyle name="Notas 8 5 3" xfId="61310" xr:uid="{3BBDDB17-3370-43F7-810E-83DE45C4D596}"/>
    <cellStyle name="Notas 8 6" xfId="15994" xr:uid="{87254F59-C839-4EE3-A837-73A3201750D5}"/>
    <cellStyle name="Notas 8 6 2" xfId="61312" xr:uid="{AC1FAF27-63AD-4B50-B009-7E5D97CD3D60}"/>
    <cellStyle name="Notas 8 7" xfId="61281" xr:uid="{E6FD5967-3D99-41E9-95A8-527ACC4626CF}"/>
    <cellStyle name="Notas 9" xfId="563" xr:uid="{6E31C627-53EA-4945-B5CF-F475810DADE8}"/>
    <cellStyle name="Notas 9 2" xfId="1224" xr:uid="{4509B3D6-CFD4-4DC6-BD8C-F38ECE987D87}"/>
    <cellStyle name="Notas 9 2 2" xfId="2692" xr:uid="{D3BE26D2-443E-4E8E-BD74-A41D66869ACE}"/>
    <cellStyle name="Notas 9 2 2 2" xfId="6424" xr:uid="{B1F0479C-EA9E-47E2-92B4-219CF40439F6}"/>
    <cellStyle name="Notas 9 2 2 2 2" xfId="14132" xr:uid="{829D6788-045B-4602-A886-9318EEFA1FD3}"/>
    <cellStyle name="Notas 9 2 2 2 2 2" xfId="29544" xr:uid="{3B757EDF-ADE7-4E99-B3BC-09000D69B0D6}"/>
    <cellStyle name="Notas 9 2 2 2 2 2 2" xfId="61318" xr:uid="{32B1D7DC-6C1B-4A8C-8EA7-CA8682CCCEEC}"/>
    <cellStyle name="Notas 9 2 2 2 2 3" xfId="61317" xr:uid="{347B6316-F173-41CD-A379-F6CA97F09A94}"/>
    <cellStyle name="Notas 9 2 2 2 3" xfId="21839" xr:uid="{966FF8A4-ACA4-4C51-BC1D-9BFF7BD74EFC}"/>
    <cellStyle name="Notas 9 2 2 2 3 2" xfId="61319" xr:uid="{F340AA5B-E986-4A9A-B88A-713EA61C9395}"/>
    <cellStyle name="Notas 9 2 2 2 4" xfId="61316" xr:uid="{C0219770-7CD9-4FE1-A025-968AAED89FB7}"/>
    <cellStyle name="Notas 9 2 2 3" xfId="10403" xr:uid="{0A93901A-E7CB-4AAB-A8DE-91BC10B4DDCB}"/>
    <cellStyle name="Notas 9 2 2 3 2" xfId="25816" xr:uid="{7582F856-DE9C-4F94-BBA2-9EB6C36ED84E}"/>
    <cellStyle name="Notas 9 2 2 3 2 2" xfId="61321" xr:uid="{D0E3A074-C654-4854-8595-3CB7CBCA023E}"/>
    <cellStyle name="Notas 9 2 2 3 3" xfId="61320" xr:uid="{AA719F15-0EA7-48AE-8C7F-8EAF85EF0C67}"/>
    <cellStyle name="Notas 9 2 2 4" xfId="18111" xr:uid="{BD60A016-2B11-4D56-A728-869C57C231DE}"/>
    <cellStyle name="Notas 9 2 2 4 2" xfId="61322" xr:uid="{C1FB0553-D39D-4E65-A065-268D381E2F50}"/>
    <cellStyle name="Notas 9 2 2 5" xfId="61315" xr:uid="{5E0C3525-06BB-4E73-A0A5-8576F661A138}"/>
    <cellStyle name="Notas 9 2 3" xfId="4961" xr:uid="{7CCBF39D-60A2-4A55-9D0E-C50E7661B707}"/>
    <cellStyle name="Notas 9 2 3 2" xfId="12669" xr:uid="{2AF3DA55-F340-4177-BFB2-1DE16C231CCC}"/>
    <cellStyle name="Notas 9 2 3 2 2" xfId="28081" xr:uid="{4B6CBC74-7660-411B-91B2-93E12DEFC8DA}"/>
    <cellStyle name="Notas 9 2 3 2 2 2" xfId="61325" xr:uid="{948B406C-FD2F-441C-9469-44B796A0811A}"/>
    <cellStyle name="Notas 9 2 3 2 3" xfId="61324" xr:uid="{0E0AF90D-AAC5-462A-9271-513087414F44}"/>
    <cellStyle name="Notas 9 2 3 3" xfId="20376" xr:uid="{3AB4CD8C-1504-49C5-92B8-D3FB81D2314B}"/>
    <cellStyle name="Notas 9 2 3 3 2" xfId="61326" xr:uid="{8C7671D1-0C42-4D38-952A-67BD0D886FA2}"/>
    <cellStyle name="Notas 9 2 3 4" xfId="61323" xr:uid="{FD7613D5-8CDD-4ECF-BDE6-E6F86F4A4781}"/>
    <cellStyle name="Notas 9 2 4" xfId="8944" xr:uid="{A9FC09E4-127F-439D-8DDE-5CED4BE9C021}"/>
    <cellStyle name="Notas 9 2 4 2" xfId="24357" xr:uid="{21DFF8C9-39B3-4F74-9A40-32A24E6A12DF}"/>
    <cellStyle name="Notas 9 2 4 2 2" xfId="61328" xr:uid="{983D67B0-85BB-4730-B22A-BB9138CBD6E3}"/>
    <cellStyle name="Notas 9 2 4 3" xfId="61327" xr:uid="{72DAE02C-DCBA-4C41-9CD6-6F261AF9A0A8}"/>
    <cellStyle name="Notas 9 2 5" xfId="16652" xr:uid="{5B9C1F7A-807F-43DC-989F-9F9B4ADD0F8F}"/>
    <cellStyle name="Notas 9 2 5 2" xfId="61329" xr:uid="{0DD61753-DFC8-42F0-B2C4-EA23B06A0A52}"/>
    <cellStyle name="Notas 9 2 6" xfId="61314" xr:uid="{7BE34D46-95B4-4338-85CA-3803407CD8BC}"/>
    <cellStyle name="Notas 9 3" xfId="2054" xr:uid="{69D6F410-A5BE-41A5-8179-1651F77A9E0C}"/>
    <cellStyle name="Notas 9 3 2" xfId="5786" xr:uid="{49F31911-F278-4567-8F30-3927CACB8305}"/>
    <cellStyle name="Notas 9 3 2 2" xfId="13494" xr:uid="{1F17902D-9BB2-4229-8729-91CDD13B525C}"/>
    <cellStyle name="Notas 9 3 2 2 2" xfId="28906" xr:uid="{E175798D-B43C-49B0-A834-FB052AB4C590}"/>
    <cellStyle name="Notas 9 3 2 2 2 2" xfId="61333" xr:uid="{16CC0931-2A75-4FA8-A3F0-1FF5D8395068}"/>
    <cellStyle name="Notas 9 3 2 2 3" xfId="61332" xr:uid="{4C7A7848-178C-4930-81DD-18A8F7817937}"/>
    <cellStyle name="Notas 9 3 2 3" xfId="21201" xr:uid="{ABAB8C20-169A-475E-8B1F-78F26CA75BFB}"/>
    <cellStyle name="Notas 9 3 2 3 2" xfId="61334" xr:uid="{DC7FD97C-05B9-4058-83C6-8E48F6637860}"/>
    <cellStyle name="Notas 9 3 2 4" xfId="61331" xr:uid="{40066D79-0D82-41F0-AA22-EC35E27C3F7E}"/>
    <cellStyle name="Notas 9 3 3" xfId="9765" xr:uid="{A837215F-2598-49B7-B95A-E9CCFC948464}"/>
    <cellStyle name="Notas 9 3 3 2" xfId="25178" xr:uid="{73E7F0C2-E1CD-41F8-A042-F993DE4185AA}"/>
    <cellStyle name="Notas 9 3 3 2 2" xfId="61336" xr:uid="{A1D8D6F9-014E-4C76-A121-8E0B7B671634}"/>
    <cellStyle name="Notas 9 3 3 3" xfId="61335" xr:uid="{D37E0643-F371-4CE2-8D90-914F56957181}"/>
    <cellStyle name="Notas 9 3 4" xfId="17473" xr:uid="{8EC9FC43-D879-4664-83C5-AA67EDFAD0C8}"/>
    <cellStyle name="Notas 9 3 4 2" xfId="61337" xr:uid="{33ABEFF7-041D-4B68-892C-EB093F294990}"/>
    <cellStyle name="Notas 9 3 5" xfId="61330" xr:uid="{C1AFD4AA-B83D-4B5C-B2FB-471FEAC68247}"/>
    <cellStyle name="Notas 9 4" xfId="4309" xr:uid="{B4258167-1A92-4619-BDBD-C9A229067D20}"/>
    <cellStyle name="Notas 9 4 2" xfId="12017" xr:uid="{C0F261A9-3EDF-4E32-B7DC-45856EEB31B2}"/>
    <cellStyle name="Notas 9 4 2 2" xfId="27429" xr:uid="{300F198A-7BEB-4845-9CB0-6767043DC7E2}"/>
    <cellStyle name="Notas 9 4 2 2 2" xfId="61340" xr:uid="{33E74BAA-5A48-4034-B90A-6A37BD4AC41C}"/>
    <cellStyle name="Notas 9 4 2 3" xfId="61339" xr:uid="{E4DBC771-1B96-4D19-B9F7-FDE2092BF9F4}"/>
    <cellStyle name="Notas 9 4 3" xfId="19724" xr:uid="{1B3B458D-EB09-4311-9CE4-C6E957A7A17D}"/>
    <cellStyle name="Notas 9 4 3 2" xfId="61341" xr:uid="{61B6861F-5BD8-42B7-ABCD-1DAF4F7C4B7E}"/>
    <cellStyle name="Notas 9 4 4" xfId="61338" xr:uid="{758EF8ED-1380-4BE1-A1A4-F6C8B588A0BF}"/>
    <cellStyle name="Notas 9 5" xfId="8306" xr:uid="{996BE766-37B4-4B58-925C-B40C4E595C5E}"/>
    <cellStyle name="Notas 9 5 2" xfId="23719" xr:uid="{49910783-6F6E-4E65-90C6-9CC5A0A846F0}"/>
    <cellStyle name="Notas 9 5 2 2" xfId="61343" xr:uid="{77D60E98-3C27-4023-8643-AF6D2FE51523}"/>
    <cellStyle name="Notas 9 5 3" xfId="61342" xr:uid="{2D3A279A-CD29-40B1-BBC0-7A6AC02C8216}"/>
    <cellStyle name="Notas 9 6" xfId="16014" xr:uid="{07F7F7C0-34EF-4329-B775-750DC9D4929F}"/>
    <cellStyle name="Notas 9 6 2" xfId="61344" xr:uid="{9EE17500-6D4F-42F2-948F-2F9B2B29DF0A}"/>
    <cellStyle name="Notas 9 7" xfId="61313" xr:uid="{FE066A30-0906-4CA1-AF31-D369966E8CBC}"/>
    <cellStyle name="Note 10" xfId="3435" xr:uid="{647AFCC8-9DE4-40F6-BA17-30697503ADC5}"/>
    <cellStyle name="Note 10 2" xfId="7167" xr:uid="{FCC9B8D2-ABB1-43C2-B8DB-8DDEEE226EEF}"/>
    <cellStyle name="Note 10 2 2" xfId="14875" xr:uid="{C6C18878-F3AF-4A71-BFF8-9CC12741D553}"/>
    <cellStyle name="Note 10 2 2 2" xfId="30287" xr:uid="{A86306E9-DCB7-4ECC-B1D2-284AA522374A}"/>
    <cellStyle name="Note 10 2 2 2 2" xfId="61348" xr:uid="{75ACBB72-9BA8-473E-AF2D-D17EEA74271B}"/>
    <cellStyle name="Note 10 2 2 3" xfId="61347" xr:uid="{8D4F6310-F574-40FB-9425-DB874F805518}"/>
    <cellStyle name="Note 10 2 3" xfId="22582" xr:uid="{827EE78F-06FC-4290-9379-EF235451526D}"/>
    <cellStyle name="Note 10 2 3 2" xfId="61349" xr:uid="{4618D45D-DD24-44A0-9015-DDEE3BC98E2E}"/>
    <cellStyle name="Note 10 2 4" xfId="61346" xr:uid="{258289AE-7B21-4B4B-B5DF-10A3F0412752}"/>
    <cellStyle name="Note 10 3" xfId="11146" xr:uid="{4F5F506D-73DF-487E-81E9-84DB65189428}"/>
    <cellStyle name="Note 10 3 2" xfId="26559" xr:uid="{1FDC62D2-9809-4C0F-BAF6-F25ED6D7166B}"/>
    <cellStyle name="Note 10 3 2 2" xfId="61351" xr:uid="{D7DED3F2-CF28-4625-ADB8-854350CC8346}"/>
    <cellStyle name="Note 10 3 3" xfId="61350" xr:uid="{6DFC7DCD-0A2D-40E1-9F69-FBEA41F151E4}"/>
    <cellStyle name="Note 10 4" xfId="18854" xr:uid="{EEE55301-7D4C-4491-B777-6C3B82819D34}"/>
    <cellStyle name="Note 10 4 2" xfId="61352" xr:uid="{9C8F3C7C-5D47-4D37-A247-62A904721A6F}"/>
    <cellStyle name="Note 10 5" xfId="61345" xr:uid="{B792C87F-4A2F-43E3-8FC2-31AE62387EDB}"/>
    <cellStyle name="Note 11" xfId="3455" xr:uid="{03F59A50-19DF-40C2-9F50-0CB355C855D6}"/>
    <cellStyle name="Note 11 2" xfId="7187" xr:uid="{7885C87F-EC7A-40E1-81DB-7CF5CDA4E5FD}"/>
    <cellStyle name="Note 11 2 2" xfId="14895" xr:uid="{48890412-C3F6-40C0-A526-866B3259ED44}"/>
    <cellStyle name="Note 11 2 2 2" xfId="30307" xr:uid="{CAD2BA0E-82CB-4CBA-B4C0-B0C26A057F5C}"/>
    <cellStyle name="Note 11 2 2 2 2" xfId="61356" xr:uid="{7ABA42E1-29FF-4D41-A22E-78D61595D69E}"/>
    <cellStyle name="Note 11 2 2 3" xfId="61355" xr:uid="{78C0D10D-D9ED-4D03-8380-295A55139897}"/>
    <cellStyle name="Note 11 2 3" xfId="22602" xr:uid="{7DA5A9D7-F2CB-4FAE-961B-16AEB1C1F193}"/>
    <cellStyle name="Note 11 2 3 2" xfId="61357" xr:uid="{A953C891-D113-4547-98A5-4403F41FFE88}"/>
    <cellStyle name="Note 11 2 4" xfId="61354" xr:uid="{17F4CB19-A715-40BD-8FD7-F39F25DABACD}"/>
    <cellStyle name="Note 11 3" xfId="11166" xr:uid="{344DB12D-010C-4D8E-B64E-F377C1F5BDBD}"/>
    <cellStyle name="Note 11 3 2" xfId="26579" xr:uid="{2AD9C4B1-61D5-437D-84DD-7BC9CADBD0E1}"/>
    <cellStyle name="Note 11 3 2 2" xfId="61359" xr:uid="{DAF8CD98-88CD-4208-A2D7-BEF844B73118}"/>
    <cellStyle name="Note 11 3 3" xfId="61358" xr:uid="{39345CC8-9C75-4F51-A730-AC0203989D71}"/>
    <cellStyle name="Note 11 4" xfId="18874" xr:uid="{C73E7128-491A-4F0F-80CB-4EE25DC682A8}"/>
    <cellStyle name="Note 11 4 2" xfId="61360" xr:uid="{D0405157-C725-4C73-A5B5-4044EE15686C}"/>
    <cellStyle name="Note 11 5" xfId="61353" xr:uid="{F9643C67-488A-49CB-82FB-89946DC24F92}"/>
    <cellStyle name="Note 12" xfId="3475" xr:uid="{0591D973-CA9E-421A-A97F-626601D1DCAB}"/>
    <cellStyle name="Note 12 2" xfId="7207" xr:uid="{1EFAD3E1-09CA-46D3-8733-FF8B4851A81E}"/>
    <cellStyle name="Note 12 2 2" xfId="14915" xr:uid="{0E724AC0-A7CB-40BE-84D7-254D096D64F3}"/>
    <cellStyle name="Note 12 2 2 2" xfId="30327" xr:uid="{2FD79988-2535-4542-885C-41244C40FEC4}"/>
    <cellStyle name="Note 12 2 2 2 2" xfId="61364" xr:uid="{DD421946-2E7A-4E0C-A43D-D4C6566A6F16}"/>
    <cellStyle name="Note 12 2 2 3" xfId="61363" xr:uid="{B6684E2E-FD5E-4F62-8564-5AE9028E1302}"/>
    <cellStyle name="Note 12 2 3" xfId="22622" xr:uid="{E181293D-9320-4119-A73C-0AE93EA487C4}"/>
    <cellStyle name="Note 12 2 3 2" xfId="61365" xr:uid="{01887B5D-74A5-4037-BA20-FE23CB704435}"/>
    <cellStyle name="Note 12 2 4" xfId="61362" xr:uid="{F8041B40-AF6B-416B-8558-FC4D86030AF7}"/>
    <cellStyle name="Note 12 3" xfId="11186" xr:uid="{4B0A58B8-BD08-48CA-AAE1-82D4A61E337C}"/>
    <cellStyle name="Note 12 3 2" xfId="26599" xr:uid="{9DF281E7-0FF9-4715-9364-7B7B2D3687EF}"/>
    <cellStyle name="Note 12 3 2 2" xfId="61367" xr:uid="{82E9BF5F-CB72-4F05-A6B0-E2F01DB314C6}"/>
    <cellStyle name="Note 12 3 3" xfId="61366" xr:uid="{5C333B8F-570A-4BE9-B7AA-3C5BB0321293}"/>
    <cellStyle name="Note 12 4" xfId="18894" xr:uid="{D88C6C23-D606-4CB3-A61E-053B89297AB6}"/>
    <cellStyle name="Note 12 4 2" xfId="61368" xr:uid="{050456EC-6E54-4128-85F8-250841930D1F}"/>
    <cellStyle name="Note 12 5" xfId="61361" xr:uid="{A3662490-12B0-42B5-8FF9-44349E93C4D6}"/>
    <cellStyle name="Note 13" xfId="3495" xr:uid="{1E334C71-44F0-4C0A-8400-B6A32BB4DF68}"/>
    <cellStyle name="Note 13 2" xfId="7227" xr:uid="{E9A514C5-E080-4C23-97BD-29084B5A0935}"/>
    <cellStyle name="Note 13 2 2" xfId="14935" xr:uid="{B50F9F80-C09C-4F86-88BD-C6DA340913D2}"/>
    <cellStyle name="Note 13 2 2 2" xfId="30347" xr:uid="{B73B19CC-60A2-410C-9B08-A994D3E05031}"/>
    <cellStyle name="Note 13 2 2 2 2" xfId="61372" xr:uid="{DC03F5A2-ECDD-4F07-9642-FF00405715BB}"/>
    <cellStyle name="Note 13 2 2 3" xfId="61371" xr:uid="{435EAE11-8A9A-4280-815A-806B9378D749}"/>
    <cellStyle name="Note 13 2 3" xfId="22642" xr:uid="{8FD905BA-F30E-4CBE-B6A0-37ABFAD73605}"/>
    <cellStyle name="Note 13 2 3 2" xfId="61373" xr:uid="{0729202D-42CF-485C-814E-5B431CC5D6C3}"/>
    <cellStyle name="Note 13 2 4" xfId="61370" xr:uid="{0F9FBAE3-5C43-433C-B39A-83987DE3FE18}"/>
    <cellStyle name="Note 13 3" xfId="11206" xr:uid="{8469C4E0-15B6-4493-9980-BB62A18A6F97}"/>
    <cellStyle name="Note 13 3 2" xfId="26619" xr:uid="{E8AAC8C9-1EC6-46A0-96ED-4934AB5E26A2}"/>
    <cellStyle name="Note 13 3 2 2" xfId="61375" xr:uid="{3B97F601-1E46-4435-BEA6-013FBCEFC7EF}"/>
    <cellStyle name="Note 13 3 3" xfId="61374" xr:uid="{B9779122-96FC-41CE-B7DA-CA86D4B4971D}"/>
    <cellStyle name="Note 13 4" xfId="18914" xr:uid="{A1B15F99-7E80-41D6-95E9-9A2EC101C25F}"/>
    <cellStyle name="Note 13 4 2" xfId="61376" xr:uid="{A15963B9-6025-4833-89AA-274070782B6C}"/>
    <cellStyle name="Note 13 5" xfId="61369" xr:uid="{36BB4725-1C3C-4653-BF8D-71F12A507107}"/>
    <cellStyle name="Note 14" xfId="3515" xr:uid="{CD66481A-63E5-4DB1-899F-41425DADB9B4}"/>
    <cellStyle name="Note 14 2" xfId="7247" xr:uid="{F6986D37-A581-446F-AAD9-45692458A979}"/>
    <cellStyle name="Note 14 2 2" xfId="14955" xr:uid="{92E7BAF9-65B4-417A-8543-02C774B765F1}"/>
    <cellStyle name="Note 14 2 2 2" xfId="30367" xr:uid="{98BFB87C-1372-47C3-BD5B-64DD851BEF47}"/>
    <cellStyle name="Note 14 2 2 2 2" xfId="61380" xr:uid="{B47F8E4F-AEE0-4467-BA85-1C0269777C4F}"/>
    <cellStyle name="Note 14 2 2 3" xfId="61379" xr:uid="{10FC9500-3D9A-49BE-823E-B8395A0DE144}"/>
    <cellStyle name="Note 14 2 3" xfId="22662" xr:uid="{D2F938F0-05DD-4B23-9BCB-3EDDE5840201}"/>
    <cellStyle name="Note 14 2 3 2" xfId="61381" xr:uid="{1D51D687-A6E2-4E13-A759-73CEF408A04B}"/>
    <cellStyle name="Note 14 2 4" xfId="61378" xr:uid="{1D029350-E7A6-431B-8172-773290B58966}"/>
    <cellStyle name="Note 14 3" xfId="11226" xr:uid="{F9E7E240-13B3-4326-8FCE-4471D0B287C3}"/>
    <cellStyle name="Note 14 3 2" xfId="26639" xr:uid="{592D68F6-ECAA-45E8-B716-818A722209B4}"/>
    <cellStyle name="Note 14 3 2 2" xfId="61383" xr:uid="{116E6B26-C9E5-4807-8D79-15427ADEE228}"/>
    <cellStyle name="Note 14 3 3" xfId="61382" xr:uid="{03900231-16B4-41C7-8164-6252C4D6AFAA}"/>
    <cellStyle name="Note 14 4" xfId="18934" xr:uid="{48F01929-C503-45BD-B40F-20C4D2D884D2}"/>
    <cellStyle name="Note 14 4 2" xfId="61384" xr:uid="{D79FCFAC-B45B-4FCA-B5A8-F90706B2EB3B}"/>
    <cellStyle name="Note 14 5" xfId="61377" xr:uid="{25A40563-38DA-4C4B-B884-991C0CD6D624}"/>
    <cellStyle name="Note 15" xfId="3535" xr:uid="{7819001E-3E8F-4B99-BB3E-653D2F383328}"/>
    <cellStyle name="Note 15 2" xfId="7267" xr:uid="{0F92D24E-3CFB-4554-B332-C2E8D15247C0}"/>
    <cellStyle name="Note 15 2 2" xfId="14975" xr:uid="{CADF2856-A2C1-462E-BC20-FE70E72511B1}"/>
    <cellStyle name="Note 15 2 2 2" xfId="30387" xr:uid="{4B47C2C3-E760-4753-BD0A-A2DA97AA2268}"/>
    <cellStyle name="Note 15 2 2 2 2" xfId="61388" xr:uid="{686BEBA4-F9D5-418D-8E22-E1672A62E20C}"/>
    <cellStyle name="Note 15 2 2 3" xfId="61387" xr:uid="{73EC628E-88B8-4F45-8A5E-CB75B4BF5FF2}"/>
    <cellStyle name="Note 15 2 3" xfId="22682" xr:uid="{F8BBCD5B-C2B1-4E7D-9852-6B0890BC3C96}"/>
    <cellStyle name="Note 15 2 3 2" xfId="61389" xr:uid="{08D134E1-E175-40CE-B343-3E34216C8E92}"/>
    <cellStyle name="Note 15 2 4" xfId="61386" xr:uid="{86F48179-4690-4020-B692-F23C38E81B5D}"/>
    <cellStyle name="Note 15 3" xfId="11246" xr:uid="{FA88E5BF-7FA6-46CA-8958-9251D5242D62}"/>
    <cellStyle name="Note 15 3 2" xfId="26659" xr:uid="{8DA08F34-32B8-4A53-8AF0-47C4877F17FC}"/>
    <cellStyle name="Note 15 3 2 2" xfId="61391" xr:uid="{7A73AD35-CE74-4F1F-B1C2-5C4D9FF53886}"/>
    <cellStyle name="Note 15 3 3" xfId="61390" xr:uid="{D61434ED-A3E3-43D3-8277-DDD6FF26BCB9}"/>
    <cellStyle name="Note 15 4" xfId="18954" xr:uid="{7BD9D977-DBBD-4896-B5BB-CCE71157ACE7}"/>
    <cellStyle name="Note 15 4 2" xfId="61392" xr:uid="{67229639-C2A9-40C7-B819-29F3E66AEA18}"/>
    <cellStyle name="Note 15 5" xfId="61385" xr:uid="{F67A4776-3B52-4F53-AFBB-11C2CCE544AE}"/>
    <cellStyle name="Note 16" xfId="3555" xr:uid="{A41100E3-CF48-42FD-939E-3890465A39E3}"/>
    <cellStyle name="Note 16 2" xfId="7287" xr:uid="{223B3504-497B-4DC9-BC91-8E736166C77C}"/>
    <cellStyle name="Note 16 2 2" xfId="14995" xr:uid="{B04DCC6C-E033-42A1-B0B2-B6E250071B0A}"/>
    <cellStyle name="Note 16 2 2 2" xfId="30407" xr:uid="{979EDEB6-88E0-4DA5-B055-F890EB439DE8}"/>
    <cellStyle name="Note 16 2 2 2 2" xfId="61396" xr:uid="{40227C83-4866-4AF5-9039-AA7FD76E8B28}"/>
    <cellStyle name="Note 16 2 2 3" xfId="61395" xr:uid="{CBE90C70-AD06-41EE-86EF-ABE615910734}"/>
    <cellStyle name="Note 16 2 3" xfId="22702" xr:uid="{D714A622-5083-4FBC-A300-679FE5EA261C}"/>
    <cellStyle name="Note 16 2 3 2" xfId="61397" xr:uid="{C5984AFB-2022-4525-938F-31EE2461F3F6}"/>
    <cellStyle name="Note 16 2 4" xfId="61394" xr:uid="{1BD0804E-A186-4C96-A6A0-26F3F087720E}"/>
    <cellStyle name="Note 16 3" xfId="11266" xr:uid="{2E4018D6-C7E9-4729-B1AB-67711C959554}"/>
    <cellStyle name="Note 16 3 2" xfId="26679" xr:uid="{A993A8F7-5FE1-4CD5-9B43-4757A022802B}"/>
    <cellStyle name="Note 16 3 2 2" xfId="61399" xr:uid="{CE12D703-6374-479F-A381-32CDDA024F39}"/>
    <cellStyle name="Note 16 3 3" xfId="61398" xr:uid="{031D925E-B814-47B3-8D7C-1124AF78EF11}"/>
    <cellStyle name="Note 16 4" xfId="18974" xr:uid="{B359FD9B-B7A7-441E-9096-849EB4D04EDC}"/>
    <cellStyle name="Note 16 4 2" xfId="61400" xr:uid="{A5F7B45C-45BD-47EE-868F-D2308CB13949}"/>
    <cellStyle name="Note 16 5" xfId="61393" xr:uid="{FE2413B2-FB9D-4018-804A-0BD1A39BA752}"/>
    <cellStyle name="Note 17" xfId="3576" xr:uid="{A792C493-98A9-4134-826C-DEEAE3A39814}"/>
    <cellStyle name="Note 17 2" xfId="7307" xr:uid="{08A842A2-04F1-4F6B-B8FC-4B4B72641FE7}"/>
    <cellStyle name="Note 17 2 2" xfId="15015" xr:uid="{8C44A334-E7A7-497B-A6C0-BC4C2213E369}"/>
    <cellStyle name="Note 17 2 2 2" xfId="30427" xr:uid="{90BCC24A-DA44-4802-96F5-8C925A66CDC8}"/>
    <cellStyle name="Note 17 2 2 2 2" xfId="61404" xr:uid="{C9AB8B8A-7A20-4AC1-96DF-5F6F47F2D5B1}"/>
    <cellStyle name="Note 17 2 2 3" xfId="61403" xr:uid="{72AC924C-3500-4FD3-8C1A-F3606E094777}"/>
    <cellStyle name="Note 17 2 3" xfId="22722" xr:uid="{39AF5EEE-6441-405F-AA9E-2FF87CEB85DF}"/>
    <cellStyle name="Note 17 2 3 2" xfId="61405" xr:uid="{7B682591-E20C-4BD8-A126-87E6AA434397}"/>
    <cellStyle name="Note 17 2 4" xfId="61402" xr:uid="{AC92AB94-8EB1-420E-8897-15E125A6003B}"/>
    <cellStyle name="Note 17 3" xfId="11286" xr:uid="{58D2F818-9E89-4EBD-8D95-74A5C2FA7426}"/>
    <cellStyle name="Note 17 3 2" xfId="26699" xr:uid="{24B959FC-313C-4651-9A09-43C5EA8DCBEB}"/>
    <cellStyle name="Note 17 3 2 2" xfId="61407" xr:uid="{7CA00515-DF11-410D-9ADE-4B8CC8A91F4E}"/>
    <cellStyle name="Note 17 3 3" xfId="61406" xr:uid="{B61B586C-8A40-4820-BA37-33025121C008}"/>
    <cellStyle name="Note 17 4" xfId="18994" xr:uid="{B9099CAE-8AD0-4098-87D2-77641838C090}"/>
    <cellStyle name="Note 17 4 2" xfId="61408" xr:uid="{C7397385-C203-4FBE-A842-6DF6C2E9126D}"/>
    <cellStyle name="Note 17 5" xfId="61401" xr:uid="{BCF85259-FF67-4BD3-B451-0B2938FCD73A}"/>
    <cellStyle name="Note 18" xfId="3596" xr:uid="{1BDFDF93-3CEE-4A54-A378-E83A9F593990}"/>
    <cellStyle name="Note 18 2" xfId="7327" xr:uid="{57C8C7FB-7100-4647-9B3F-CAC2A47DAA2B}"/>
    <cellStyle name="Note 18 2 2" xfId="15035" xr:uid="{95743CA5-7706-4F05-A6D5-F4BC4B90F3CD}"/>
    <cellStyle name="Note 18 2 2 2" xfId="30447" xr:uid="{3101D3AC-2EAF-416B-B7C1-922293E7C103}"/>
    <cellStyle name="Note 18 2 2 2 2" xfId="61412" xr:uid="{C8113458-D8B3-4989-AD73-459A88A91D55}"/>
    <cellStyle name="Note 18 2 2 3" xfId="61411" xr:uid="{ED2C45CD-05C2-4262-8B45-0D613D518794}"/>
    <cellStyle name="Note 18 2 3" xfId="22742" xr:uid="{E2CC38BE-1E64-4AA4-9CBC-346716BBBBF8}"/>
    <cellStyle name="Note 18 2 3 2" xfId="61413" xr:uid="{019587EC-72B1-4678-B401-1F4D7371F760}"/>
    <cellStyle name="Note 18 2 4" xfId="61410" xr:uid="{BD264804-BBDD-4945-95A7-ABA72B763453}"/>
    <cellStyle name="Note 18 3" xfId="11306" xr:uid="{17A6B87E-CF42-4FAC-A6FA-6DFB766D3424}"/>
    <cellStyle name="Note 18 3 2" xfId="26719" xr:uid="{D30FD8E2-9830-4ABD-914A-28EB1CE3862C}"/>
    <cellStyle name="Note 18 3 2 2" xfId="61415" xr:uid="{5BBD9056-424E-48AF-A556-B5D5D276A756}"/>
    <cellStyle name="Note 18 3 3" xfId="61414" xr:uid="{7EA589FB-D316-4D90-899F-32AF9EB7C205}"/>
    <cellStyle name="Note 18 4" xfId="19014" xr:uid="{2C3BA8A6-68A3-4772-AD31-B50363392948}"/>
    <cellStyle name="Note 18 4 2" xfId="61416" xr:uid="{F513A809-8242-40A1-9AC0-3157FD0663CE}"/>
    <cellStyle name="Note 18 5" xfId="61409" xr:uid="{DF1FFFCD-7A08-4C0A-A911-0708D2AF6BB5}"/>
    <cellStyle name="Note 19" xfId="3616" xr:uid="{C2EDD849-C439-4FD6-B4B5-3DE233549AD6}"/>
    <cellStyle name="Note 19 2" xfId="7347" xr:uid="{23FE2723-D540-49F0-A392-7201B9C281AE}"/>
    <cellStyle name="Note 19 2 2" xfId="15055" xr:uid="{F0B45BAD-A4DA-4AEF-A24B-F0109BC6F4CE}"/>
    <cellStyle name="Note 19 2 2 2" xfId="30467" xr:uid="{5F147221-D709-4887-8435-08480998B92B}"/>
    <cellStyle name="Note 19 2 2 2 2" xfId="61420" xr:uid="{1353439C-413C-4A4F-9597-152A482239AA}"/>
    <cellStyle name="Note 19 2 2 3" xfId="61419" xr:uid="{DA0E841C-E321-458D-B2FC-38B7FEF8167F}"/>
    <cellStyle name="Note 19 2 3" xfId="22762" xr:uid="{E3C9049A-0355-4601-9955-93D677CFA8A0}"/>
    <cellStyle name="Note 19 2 3 2" xfId="61421" xr:uid="{8802202F-3BA3-4E45-A216-BD8DED555584}"/>
    <cellStyle name="Note 19 2 4" xfId="61418" xr:uid="{6D597183-084E-4E4E-893A-B08EB3DB105A}"/>
    <cellStyle name="Note 19 3" xfId="11326" xr:uid="{1239ACA5-6586-4EFE-A140-1B5288702941}"/>
    <cellStyle name="Note 19 3 2" xfId="26739" xr:uid="{7309F170-7473-4F46-BD55-3CFB52770A8B}"/>
    <cellStyle name="Note 19 3 2 2" xfId="61423" xr:uid="{31D0D682-7957-4A85-ACA8-A8CA5B0B7029}"/>
    <cellStyle name="Note 19 3 3" xfId="61422" xr:uid="{9EAA4A9F-7935-425E-835B-CBBC92AB2DC0}"/>
    <cellStyle name="Note 19 4" xfId="19034" xr:uid="{47313C13-8227-4735-A51A-EA76680F8F22}"/>
    <cellStyle name="Note 19 4 2" xfId="61424" xr:uid="{9CF0868D-F3CB-4008-98FD-461A3D11CD6F}"/>
    <cellStyle name="Note 19 5" xfId="61417" xr:uid="{F653B3BC-0FFD-4A89-964B-006E1D688830}"/>
    <cellStyle name="Note 2" xfId="132" xr:uid="{3336BB4C-8B65-4BD9-B6DD-404F7F54A1EC}"/>
    <cellStyle name="Note 2 10" xfId="61425" xr:uid="{3C6CEAF4-E966-425E-94E9-5F90ECFE9F23}"/>
    <cellStyle name="Note 2 2" xfId="153" xr:uid="{DE8D05C4-E51C-4002-B697-528FD9A62C9C}"/>
    <cellStyle name="Note 2 2 2" xfId="217" xr:uid="{D84CA225-072F-4A79-9FE0-8801B8942803}"/>
    <cellStyle name="Note 2 2 2 2" xfId="421" xr:uid="{E320A743-78DE-4427-AC56-91F814995B8F}"/>
    <cellStyle name="Note 2 2 2 2 2" xfId="1083" xr:uid="{ABF1EE5C-3790-445B-BA04-334F7BCAB9EC}"/>
    <cellStyle name="Note 2 2 2 2 2 2" xfId="2551" xr:uid="{4677B145-B8C4-4F89-A9F6-A23ABA44EFF7}"/>
    <cellStyle name="Note 2 2 2 2 2 2 2" xfId="6283" xr:uid="{288EBF2F-4BE6-476F-90D4-65C30D3FB065}"/>
    <cellStyle name="Note 2 2 2 2 2 2 2 2" xfId="13991" xr:uid="{7B264E57-3BEE-43BD-B0F6-A516384B8AAC}"/>
    <cellStyle name="Note 2 2 2 2 2 2 2 2 2" xfId="29403" xr:uid="{817AB9F5-73E1-464F-9C74-00E5BFEB7D01}"/>
    <cellStyle name="Note 2 2 2 2 2 2 2 2 2 2" xfId="61433" xr:uid="{60D493E6-CD12-4DFB-B3DC-46F1D93AEC0A}"/>
    <cellStyle name="Note 2 2 2 2 2 2 2 2 3" xfId="61432" xr:uid="{4405FA53-AD47-452A-9C30-2210712A48DE}"/>
    <cellStyle name="Note 2 2 2 2 2 2 2 3" xfId="21698" xr:uid="{CC902044-7DFC-42BA-AF43-BF80F945252B}"/>
    <cellStyle name="Note 2 2 2 2 2 2 2 3 2" xfId="61434" xr:uid="{DC6CA09F-B5EB-4AC0-9FCF-7767786AD67E}"/>
    <cellStyle name="Note 2 2 2 2 2 2 2 4" xfId="61431" xr:uid="{EC9207A5-4B36-4867-8407-6DC7FD04A21E}"/>
    <cellStyle name="Note 2 2 2 2 2 2 3" xfId="10262" xr:uid="{5B76D690-A756-4AFD-85EA-9557386264B9}"/>
    <cellStyle name="Note 2 2 2 2 2 2 3 2" xfId="25675" xr:uid="{3083E7A7-812F-47B6-9664-0F059F95F153}"/>
    <cellStyle name="Note 2 2 2 2 2 2 3 2 2" xfId="61436" xr:uid="{8146DCA7-35D0-4EB1-BCC3-1B39A6DCA050}"/>
    <cellStyle name="Note 2 2 2 2 2 2 3 3" xfId="61435" xr:uid="{09AA2558-90CD-46EC-B0C5-C6E763B62976}"/>
    <cellStyle name="Note 2 2 2 2 2 2 4" xfId="17970" xr:uid="{D2088810-E1E6-498E-8B16-BD42FC7DA3DC}"/>
    <cellStyle name="Note 2 2 2 2 2 2 4 2" xfId="61437" xr:uid="{2E7D8DAA-8092-4F21-9308-BCAB72E7A9EA}"/>
    <cellStyle name="Note 2 2 2 2 2 2 5" xfId="61430" xr:uid="{BD6C63CF-3352-45E1-B2A5-07978AD6D4C4}"/>
    <cellStyle name="Note 2 2 2 2 2 3" xfId="4820" xr:uid="{287231FE-D76C-4AA4-8E8A-51A225203D0E}"/>
    <cellStyle name="Note 2 2 2 2 2 3 2" xfId="12528" xr:uid="{4553ABD2-6A12-4E7D-B406-A07172BD26AC}"/>
    <cellStyle name="Note 2 2 2 2 2 3 2 2" xfId="27940" xr:uid="{5ED7D4C0-4860-4CEC-93B0-CF05B596FD7E}"/>
    <cellStyle name="Note 2 2 2 2 2 3 2 2 2" xfId="61440" xr:uid="{6936A5C2-33C6-4CC3-9940-EE724EF3F182}"/>
    <cellStyle name="Note 2 2 2 2 2 3 2 3" xfId="61439" xr:uid="{7DCC9698-00BB-4A43-B66E-568BB7D323FA}"/>
    <cellStyle name="Note 2 2 2 2 2 3 3" xfId="20235" xr:uid="{C5FFFBF5-485E-4A07-A102-9847FEE1588D}"/>
    <cellStyle name="Note 2 2 2 2 2 3 3 2" xfId="61441" xr:uid="{B35B4C6E-243A-4A8E-94AE-99E085EE3667}"/>
    <cellStyle name="Note 2 2 2 2 2 3 4" xfId="61438" xr:uid="{5F6BFCB0-E90E-4C92-AE79-A685CCFA0F1D}"/>
    <cellStyle name="Note 2 2 2 2 2 4" xfId="8803" xr:uid="{0BC59067-DBD0-4720-8F4A-686F94420D8A}"/>
    <cellStyle name="Note 2 2 2 2 2 4 2" xfId="24216" xr:uid="{ECECE7EE-A4B9-4F8C-869E-661516FA63D8}"/>
    <cellStyle name="Note 2 2 2 2 2 4 2 2" xfId="61443" xr:uid="{39C6C0B2-3868-4711-B2DF-D1AA25F05758}"/>
    <cellStyle name="Note 2 2 2 2 2 4 3" xfId="61442" xr:uid="{F754E932-483D-4854-A55F-CF36D4F25C91}"/>
    <cellStyle name="Note 2 2 2 2 2 5" xfId="16511" xr:uid="{68FCEEDE-2355-4D8C-8635-B1E5583A52AC}"/>
    <cellStyle name="Note 2 2 2 2 2 5 2" xfId="61444" xr:uid="{DC6D5C00-3F64-4834-92F0-486A67FA04AF}"/>
    <cellStyle name="Note 2 2 2 2 2 6" xfId="61429" xr:uid="{2B58ABEF-5570-4A7B-8472-2150C1AEB477}"/>
    <cellStyle name="Note 2 2 2 2 3" xfId="1913" xr:uid="{14EA4EF8-C19D-4C25-BE6B-B7892C1F4061}"/>
    <cellStyle name="Note 2 2 2 2 3 2" xfId="5645" xr:uid="{1DDDEF28-6FFD-4A83-9BE7-3CDB47A6421A}"/>
    <cellStyle name="Note 2 2 2 2 3 2 2" xfId="13353" xr:uid="{AB0C181A-BA7C-41C9-B656-EAA79876F858}"/>
    <cellStyle name="Note 2 2 2 2 3 2 2 2" xfId="28765" xr:uid="{1C7EF8A5-DBCB-4EC9-AFC4-F1B28895F9CC}"/>
    <cellStyle name="Note 2 2 2 2 3 2 2 2 2" xfId="61448" xr:uid="{27D756D8-38BD-48EA-8128-F82B3F8189B0}"/>
    <cellStyle name="Note 2 2 2 2 3 2 2 3" xfId="61447" xr:uid="{B2FFA3D9-A4D6-4FA2-8CA4-34B456C6AB93}"/>
    <cellStyle name="Note 2 2 2 2 3 2 3" xfId="21060" xr:uid="{75509FD7-F372-4E53-9FD3-27F95E3C5A78}"/>
    <cellStyle name="Note 2 2 2 2 3 2 3 2" xfId="61449" xr:uid="{D1440D41-82FD-41A1-99B9-D3317D9DD1F3}"/>
    <cellStyle name="Note 2 2 2 2 3 2 4" xfId="61446" xr:uid="{C3834475-B52B-44AF-A42A-28212A431881}"/>
    <cellStyle name="Note 2 2 2 2 3 3" xfId="9624" xr:uid="{BC4A2AB4-AA10-425C-88B7-2C17DC49B564}"/>
    <cellStyle name="Note 2 2 2 2 3 3 2" xfId="25037" xr:uid="{225F196D-3A30-4E96-BF38-BEE1F3B36C73}"/>
    <cellStyle name="Note 2 2 2 2 3 3 2 2" xfId="61451" xr:uid="{6A9A336C-B69E-4790-8168-F719144B66BA}"/>
    <cellStyle name="Note 2 2 2 2 3 3 3" xfId="61450" xr:uid="{F9491DB0-B063-4728-8029-2D469D0B3512}"/>
    <cellStyle name="Note 2 2 2 2 3 4" xfId="17332" xr:uid="{E74377BC-B6FE-49C4-A1E3-FD57B6D76226}"/>
    <cellStyle name="Note 2 2 2 2 3 4 2" xfId="61452" xr:uid="{230A03F4-5A7A-4957-AC66-0C7BE0EE123F}"/>
    <cellStyle name="Note 2 2 2 2 3 5" xfId="61445" xr:uid="{C676B134-7258-4A0F-8AB0-1DDAA28CC087}"/>
    <cellStyle name="Note 2 2 2 2 4" xfId="4168" xr:uid="{3418509D-9D9F-4EBB-9620-F94BBAD7951B}"/>
    <cellStyle name="Note 2 2 2 2 4 2" xfId="11876" xr:uid="{B32BCE6F-1763-498F-BF3C-DB1B2D9775A6}"/>
    <cellStyle name="Note 2 2 2 2 4 2 2" xfId="27288" xr:uid="{36F63822-1433-401C-96BE-CBC2A61906C4}"/>
    <cellStyle name="Note 2 2 2 2 4 2 2 2" xfId="61455" xr:uid="{357C5267-1F21-4A4D-89FF-E63E0C816758}"/>
    <cellStyle name="Note 2 2 2 2 4 2 3" xfId="61454" xr:uid="{6E878DBA-82C3-4520-A1F6-C0254E50FC02}"/>
    <cellStyle name="Note 2 2 2 2 4 3" xfId="19583" xr:uid="{BE2784A5-5CF0-4D65-B7E7-950714D4BABB}"/>
    <cellStyle name="Note 2 2 2 2 4 3 2" xfId="61456" xr:uid="{8D3FEDEB-3711-40B6-8EAB-369EDC9E83B7}"/>
    <cellStyle name="Note 2 2 2 2 4 4" xfId="61453" xr:uid="{FEA01AC3-2A2E-45C6-97F3-A20DC6E0F80C}"/>
    <cellStyle name="Note 2 2 2 2 5" xfId="8165" xr:uid="{D2B78660-F89E-4E14-99E4-409E41D0DE1C}"/>
    <cellStyle name="Note 2 2 2 2 5 2" xfId="23578" xr:uid="{3ED91C77-0DBC-483C-91B2-D73977ACCE5F}"/>
    <cellStyle name="Note 2 2 2 2 5 2 2" xfId="61458" xr:uid="{954957E7-3E84-4F17-95C9-1791FA0E62DA}"/>
    <cellStyle name="Note 2 2 2 2 5 3" xfId="61457" xr:uid="{16FCC5C4-E0EC-4C7E-9065-5265A4051A88}"/>
    <cellStyle name="Note 2 2 2 2 6" xfId="15873" xr:uid="{7429D904-C523-4786-8046-44861D51C073}"/>
    <cellStyle name="Note 2 2 2 2 6 2" xfId="61459" xr:uid="{222FF66B-86E9-4F34-8046-0FF9D4E46C46}"/>
    <cellStyle name="Note 2 2 2 2 7" xfId="61428" xr:uid="{71E41A81-E184-4417-B852-C9D3BB09CFAF}"/>
    <cellStyle name="Note 2 2 2 3" xfId="883" xr:uid="{32A85CAA-08FB-45AD-9F08-F50618215EED}"/>
    <cellStyle name="Note 2 2 2 3 2" xfId="2353" xr:uid="{968A1D0A-27F1-4476-AC3D-35BBBE7AA369}"/>
    <cellStyle name="Note 2 2 2 3 2 2" xfId="6085" xr:uid="{F1F2F803-271B-4CB5-BCB6-D81D4B83831C}"/>
    <cellStyle name="Note 2 2 2 3 2 2 2" xfId="13793" xr:uid="{8A0D082F-1DF3-40EB-AA98-7255075C06BD}"/>
    <cellStyle name="Note 2 2 2 3 2 2 2 2" xfId="29205" xr:uid="{0973C5B4-941D-4016-B5DB-4C667241BCD6}"/>
    <cellStyle name="Note 2 2 2 3 2 2 2 2 2" xfId="61464" xr:uid="{D1B9F77B-CB15-4C42-95BC-17199A72BF91}"/>
    <cellStyle name="Note 2 2 2 3 2 2 2 3" xfId="61463" xr:uid="{708FAB05-0124-46F5-81B3-4BDEA8B0A8CE}"/>
    <cellStyle name="Note 2 2 2 3 2 2 3" xfId="21500" xr:uid="{DD5F0CAC-3F4C-4B98-9629-354CA99E88B8}"/>
    <cellStyle name="Note 2 2 2 3 2 2 3 2" xfId="61465" xr:uid="{DADFC0BF-4824-4140-AEE6-D22554DC641A}"/>
    <cellStyle name="Note 2 2 2 3 2 2 4" xfId="61462" xr:uid="{BFFF098B-EC03-45A7-A72D-456795DD69FD}"/>
    <cellStyle name="Note 2 2 2 3 2 3" xfId="10064" xr:uid="{F182BB20-B128-41CF-9675-A4862B3A270B}"/>
    <cellStyle name="Note 2 2 2 3 2 3 2" xfId="25477" xr:uid="{AC3276B0-FB15-44BC-B068-209B5F07E9AC}"/>
    <cellStyle name="Note 2 2 2 3 2 3 2 2" xfId="61467" xr:uid="{9B4E56B5-CD36-4DFD-B90E-0B49E89053C2}"/>
    <cellStyle name="Note 2 2 2 3 2 3 3" xfId="61466" xr:uid="{B49F40D0-DEA4-4220-8069-F9864E9DE76C}"/>
    <cellStyle name="Note 2 2 2 3 2 4" xfId="17772" xr:uid="{A1D5DC16-C5F3-482D-8E7B-3E7BEDCD19CA}"/>
    <cellStyle name="Note 2 2 2 3 2 4 2" xfId="61468" xr:uid="{1728101E-E88F-49AC-9F59-19E97DB54897}"/>
    <cellStyle name="Note 2 2 2 3 2 5" xfId="61461" xr:uid="{59C57DE5-4284-4E5F-B9E4-9893BBD1FEFD}"/>
    <cellStyle name="Note 2 2 2 3 3" xfId="4620" xr:uid="{1DF4EC59-D4E6-408E-B744-D5A550546B52}"/>
    <cellStyle name="Note 2 2 2 3 3 2" xfId="12328" xr:uid="{4ADCA59D-10D6-4F6E-BCAE-A68262953DED}"/>
    <cellStyle name="Note 2 2 2 3 3 2 2" xfId="27740" xr:uid="{7C7A8EA0-3A4D-4174-9DA9-3EA6DFEB5986}"/>
    <cellStyle name="Note 2 2 2 3 3 2 2 2" xfId="61471" xr:uid="{154EE56B-516E-409A-9679-7FC6FD716D76}"/>
    <cellStyle name="Note 2 2 2 3 3 2 3" xfId="61470" xr:uid="{776249ED-6037-41F6-921C-C8A5FC83E764}"/>
    <cellStyle name="Note 2 2 2 3 3 3" xfId="20035" xr:uid="{B3E0FE94-A80A-4DE0-B60F-CBE3415B99CB}"/>
    <cellStyle name="Note 2 2 2 3 3 3 2" xfId="61472" xr:uid="{855F6350-06FE-4BD7-AD2C-0F70EB363D64}"/>
    <cellStyle name="Note 2 2 2 3 3 4" xfId="61469" xr:uid="{76FE1D29-8134-4636-95AD-FAA394416690}"/>
    <cellStyle name="Note 2 2 2 3 4" xfId="8605" xr:uid="{C9DA1A87-B3A0-480A-BEF1-BA4CBC1F4CB0}"/>
    <cellStyle name="Note 2 2 2 3 4 2" xfId="24018" xr:uid="{D5247A95-DBAB-4AE1-8BB7-4C9D1176EA73}"/>
    <cellStyle name="Note 2 2 2 3 4 2 2" xfId="61474" xr:uid="{3962BE56-1BBD-4745-B811-AED4658F38C1}"/>
    <cellStyle name="Note 2 2 2 3 4 3" xfId="61473" xr:uid="{32E99CC9-2EC0-4989-B0E4-3F697EA77325}"/>
    <cellStyle name="Note 2 2 2 3 5" xfId="16313" xr:uid="{F7C83028-68AC-45CA-A88D-F67D3CA16FA9}"/>
    <cellStyle name="Note 2 2 2 3 5 2" xfId="61475" xr:uid="{7C900A24-934B-4C75-B2A1-627984A49978}"/>
    <cellStyle name="Note 2 2 2 3 6" xfId="61460" xr:uid="{76D77E96-ACBB-4092-A573-E5455ABACA94}"/>
    <cellStyle name="Note 2 2 2 4" xfId="1715" xr:uid="{49516CE2-130F-4BE7-B67B-3603232A0586}"/>
    <cellStyle name="Note 2 2 2 4 2" xfId="5447" xr:uid="{8EED012D-6D8E-4AEC-8D89-F61A8417E832}"/>
    <cellStyle name="Note 2 2 2 4 2 2" xfId="13155" xr:uid="{BCF4B2A7-2885-431B-8D73-1952A4B40595}"/>
    <cellStyle name="Note 2 2 2 4 2 2 2" xfId="28567" xr:uid="{9A0FC7CE-A62F-4A46-8441-1793D8F48A43}"/>
    <cellStyle name="Note 2 2 2 4 2 2 2 2" xfId="61479" xr:uid="{99D9F451-1C30-4215-AE91-9DE953B19936}"/>
    <cellStyle name="Note 2 2 2 4 2 2 3" xfId="61478" xr:uid="{54B51927-C163-48DB-8A9F-B02919C2EB24}"/>
    <cellStyle name="Note 2 2 2 4 2 3" xfId="20862" xr:uid="{351827CD-42FB-4660-A6D9-B28F649B837A}"/>
    <cellStyle name="Note 2 2 2 4 2 3 2" xfId="61480" xr:uid="{C728A251-45E8-4F30-A050-93F2F43717F1}"/>
    <cellStyle name="Note 2 2 2 4 2 4" xfId="61477" xr:uid="{86255F09-0CE3-4F5F-A30A-30EA1357B99C}"/>
    <cellStyle name="Note 2 2 2 4 3" xfId="9426" xr:uid="{4DC17325-B144-415D-AD86-BFD8BE694ECC}"/>
    <cellStyle name="Note 2 2 2 4 3 2" xfId="24839" xr:uid="{AEE6D467-60F1-48B5-8CAA-CF2F9F46244E}"/>
    <cellStyle name="Note 2 2 2 4 3 2 2" xfId="61482" xr:uid="{9AD7D260-FE34-4486-B020-684B10002142}"/>
    <cellStyle name="Note 2 2 2 4 3 3" xfId="61481" xr:uid="{1AD08397-92BE-43B1-BB50-23B32EB5E4BE}"/>
    <cellStyle name="Note 2 2 2 4 4" xfId="17134" xr:uid="{1F7C7FB8-CBA4-4970-9018-799E5A7D70B1}"/>
    <cellStyle name="Note 2 2 2 4 4 2" xfId="61483" xr:uid="{1D5E6B41-4866-4ACD-AAC9-46664C27D0F8}"/>
    <cellStyle name="Note 2 2 2 4 5" xfId="61476" xr:uid="{9EF727E5-6FD2-4A19-8639-9B58A864628A}"/>
    <cellStyle name="Note 2 2 2 5" xfId="3968" xr:uid="{6E79A9BE-9285-4086-BB60-0AED97FBCC2D}"/>
    <cellStyle name="Note 2 2 2 5 2" xfId="11676" xr:uid="{46E05056-7B0D-46EC-A633-6EA7AFD2FA04}"/>
    <cellStyle name="Note 2 2 2 5 2 2" xfId="27088" xr:uid="{A8D3BCFA-F785-46A7-9680-B29D6504ABC3}"/>
    <cellStyle name="Note 2 2 2 5 2 2 2" xfId="61486" xr:uid="{355BC260-059D-43A4-B2E9-B5B313C525ED}"/>
    <cellStyle name="Note 2 2 2 5 2 3" xfId="61485" xr:uid="{BBB4A27C-1688-4D90-A457-536C83DB82B5}"/>
    <cellStyle name="Note 2 2 2 5 3" xfId="19383" xr:uid="{FBCF88B0-F10D-4AC8-A5C2-AEBE5478B137}"/>
    <cellStyle name="Note 2 2 2 5 3 2" xfId="61487" xr:uid="{ACFB3AC0-212C-4050-9E35-2F931346A5F2}"/>
    <cellStyle name="Note 2 2 2 5 4" xfId="61484" xr:uid="{3CCB08C1-8DDA-434D-BB87-D18C9477217D}"/>
    <cellStyle name="Note 2 2 2 6" xfId="7967" xr:uid="{46E8EC52-4C87-4EC9-A9E3-235B466CD69C}"/>
    <cellStyle name="Note 2 2 2 6 2" xfId="23380" xr:uid="{17A9F9E5-640A-471C-9D7F-0219BA2E3647}"/>
    <cellStyle name="Note 2 2 2 6 2 2" xfId="61489" xr:uid="{93702C6F-5FF2-4B5D-932C-881505A7B1BB}"/>
    <cellStyle name="Note 2 2 2 6 3" xfId="61488" xr:uid="{49C512E4-B519-4B0C-B96A-60C654697527}"/>
    <cellStyle name="Note 2 2 2 7" xfId="15675" xr:uid="{03D645B2-36E0-4301-A0A4-E31E3A48B5B5}"/>
    <cellStyle name="Note 2 2 2 7 2" xfId="61490" xr:uid="{E103E0CE-D611-49C5-A630-7F24493D16CB}"/>
    <cellStyle name="Note 2 2 2 8" xfId="61427" xr:uid="{57C56A53-E810-4CC5-95D2-BAB5A9E481CF}"/>
    <cellStyle name="Note 2 2 3" xfId="370" xr:uid="{AEF445B1-EAF3-4451-B0B1-30FC029AB96B}"/>
    <cellStyle name="Note 2 2 3 2" xfId="1032" xr:uid="{D1C5D3C5-F1AF-4F38-AAA2-4FC75EF956B1}"/>
    <cellStyle name="Note 2 2 3 2 2" xfId="2501" xr:uid="{87CA3FBE-D2B0-4111-9E8A-6120F3678C0C}"/>
    <cellStyle name="Note 2 2 3 2 2 2" xfId="6233" xr:uid="{FA582728-DE1F-4FC7-A749-877D97E224F7}"/>
    <cellStyle name="Note 2 2 3 2 2 2 2" xfId="13941" xr:uid="{6B18F69E-CDAF-4E28-A788-46FFD9324C93}"/>
    <cellStyle name="Note 2 2 3 2 2 2 2 2" xfId="29353" xr:uid="{CFB732A2-C383-4556-85EE-C7020FD1C1B6}"/>
    <cellStyle name="Note 2 2 3 2 2 2 2 2 2" xfId="61496" xr:uid="{4A4F8330-E2F4-4B7B-96BA-256FEBACEEB1}"/>
    <cellStyle name="Note 2 2 3 2 2 2 2 3" xfId="61495" xr:uid="{211B174C-96A6-4E46-B005-6C99C22925AA}"/>
    <cellStyle name="Note 2 2 3 2 2 2 3" xfId="21648" xr:uid="{BBD7BD57-739F-4C43-A747-68E26DBBB2D9}"/>
    <cellStyle name="Note 2 2 3 2 2 2 3 2" xfId="61497" xr:uid="{4D102F1B-09F5-4E4A-A6E5-60C97F76181F}"/>
    <cellStyle name="Note 2 2 3 2 2 2 4" xfId="61494" xr:uid="{707F31C4-8A8C-43FB-AEFA-8B64D1BBE6C6}"/>
    <cellStyle name="Note 2 2 3 2 2 3" xfId="10212" xr:uid="{E8D6AD05-7B5B-48B2-86F7-CE6D252C3889}"/>
    <cellStyle name="Note 2 2 3 2 2 3 2" xfId="25625" xr:uid="{F74DC235-0CA6-4C76-A505-E1F648037D60}"/>
    <cellStyle name="Note 2 2 3 2 2 3 2 2" xfId="61499" xr:uid="{7817DD8E-7142-4682-8E2F-2C624D381C41}"/>
    <cellStyle name="Note 2 2 3 2 2 3 3" xfId="61498" xr:uid="{E184403D-0795-416E-997C-9F03F61970F1}"/>
    <cellStyle name="Note 2 2 3 2 2 4" xfId="17920" xr:uid="{99E3B934-6B7A-4E91-BBA2-2B3B062318EB}"/>
    <cellStyle name="Note 2 2 3 2 2 4 2" xfId="61500" xr:uid="{E347D177-EE82-45FB-B0E7-840541B7123A}"/>
    <cellStyle name="Note 2 2 3 2 2 5" xfId="61493" xr:uid="{49291F43-B8EC-4720-8E4F-65672ED5CA7B}"/>
    <cellStyle name="Note 2 2 3 2 3" xfId="4769" xr:uid="{BF02EA71-3298-424C-B3DB-F4178A80E089}"/>
    <cellStyle name="Note 2 2 3 2 3 2" xfId="12477" xr:uid="{B85E1C17-7F83-4EFC-9995-B6E4960600D9}"/>
    <cellStyle name="Note 2 2 3 2 3 2 2" xfId="27889" xr:uid="{FC13646E-C89D-41E3-B528-345C91131F5E}"/>
    <cellStyle name="Note 2 2 3 2 3 2 2 2" xfId="61503" xr:uid="{E2CB2D97-E851-4024-91B9-4A4D44CDA5BB}"/>
    <cellStyle name="Note 2 2 3 2 3 2 3" xfId="61502" xr:uid="{634379BE-429C-4BA8-BF31-1557D7546E25}"/>
    <cellStyle name="Note 2 2 3 2 3 3" xfId="20184" xr:uid="{8CA9B61B-19E1-4556-BD51-9FB6B5A2CD7A}"/>
    <cellStyle name="Note 2 2 3 2 3 3 2" xfId="61504" xr:uid="{20C0874A-154F-4064-A819-14FB2E6DD015}"/>
    <cellStyle name="Note 2 2 3 2 3 4" xfId="61501" xr:uid="{A0E75DC8-CDF6-4A3E-A9A5-B30EC426708F}"/>
    <cellStyle name="Note 2 2 3 2 4" xfId="8753" xr:uid="{F1632692-1903-4339-845B-4E6C309DF395}"/>
    <cellStyle name="Note 2 2 3 2 4 2" xfId="24166" xr:uid="{02AB2EB4-95E2-453E-A032-9F2AA5531843}"/>
    <cellStyle name="Note 2 2 3 2 4 2 2" xfId="61506" xr:uid="{CB055F26-A12B-497E-B867-EDA67216693E}"/>
    <cellStyle name="Note 2 2 3 2 4 3" xfId="61505" xr:uid="{77F95340-1CAA-4E2F-BBE4-637ECEA388B1}"/>
    <cellStyle name="Note 2 2 3 2 5" xfId="16461" xr:uid="{10CEC5A6-3654-4865-8FD7-E87F576B02B9}"/>
    <cellStyle name="Note 2 2 3 2 5 2" xfId="61507" xr:uid="{D0285178-AC79-41E9-BB11-DC3BBB261366}"/>
    <cellStyle name="Note 2 2 3 2 6" xfId="61492" xr:uid="{A6F764E7-0557-4C6D-949E-19AC03283AEA}"/>
    <cellStyle name="Note 2 2 3 3" xfId="1863" xr:uid="{E1090EA2-322F-4A42-89FB-B261AC506CDD}"/>
    <cellStyle name="Note 2 2 3 3 2" xfId="5595" xr:uid="{C54C4303-9297-4D4D-9B41-C81B24194F0C}"/>
    <cellStyle name="Note 2 2 3 3 2 2" xfId="13303" xr:uid="{F066C60A-6005-4C02-9FB8-357F9D81464F}"/>
    <cellStyle name="Note 2 2 3 3 2 2 2" xfId="28715" xr:uid="{DB45DA9A-ECA9-4AA6-992B-B913C32CABEA}"/>
    <cellStyle name="Note 2 2 3 3 2 2 2 2" xfId="61511" xr:uid="{00CD73E9-BBA3-409E-B28E-A00358C215B3}"/>
    <cellStyle name="Note 2 2 3 3 2 2 3" xfId="61510" xr:uid="{F182978F-E311-43A2-9B51-496BDD498DC3}"/>
    <cellStyle name="Note 2 2 3 3 2 3" xfId="21010" xr:uid="{50A9D59F-C72E-4203-A835-88399FCFB7F5}"/>
    <cellStyle name="Note 2 2 3 3 2 3 2" xfId="61512" xr:uid="{823B10A6-F53D-4163-BAF5-74FE228EFC3C}"/>
    <cellStyle name="Note 2 2 3 3 2 4" xfId="61509" xr:uid="{5B454057-E79C-4749-A090-1376F94ED6FA}"/>
    <cellStyle name="Note 2 2 3 3 3" xfId="9574" xr:uid="{A7D9B507-B1A8-457D-83BF-593BB7419386}"/>
    <cellStyle name="Note 2 2 3 3 3 2" xfId="24987" xr:uid="{EC0A2926-3CE2-4941-B767-AF2E81336B2F}"/>
    <cellStyle name="Note 2 2 3 3 3 2 2" xfId="61514" xr:uid="{DFDF9548-7A16-4460-AD8F-06F4322D5342}"/>
    <cellStyle name="Note 2 2 3 3 3 3" xfId="61513" xr:uid="{58D15A88-534C-4CC4-AFA2-7B2040337565}"/>
    <cellStyle name="Note 2 2 3 3 4" xfId="17282" xr:uid="{7540A771-3B65-4DF6-B2B3-FED99BDF2192}"/>
    <cellStyle name="Note 2 2 3 3 4 2" xfId="61515" xr:uid="{4687B140-6E56-442A-8C15-AC54E3D8468B}"/>
    <cellStyle name="Note 2 2 3 3 5" xfId="61508" xr:uid="{1163000C-434C-4401-B0EB-D460C5646482}"/>
    <cellStyle name="Note 2 2 3 4" xfId="4117" xr:uid="{88DAD633-EE7D-4312-9DA9-E0E19DD8A157}"/>
    <cellStyle name="Note 2 2 3 4 2" xfId="11825" xr:uid="{DDF513B2-72BD-41C9-95AE-ED8083D0C2C1}"/>
    <cellStyle name="Note 2 2 3 4 2 2" xfId="27237" xr:uid="{669A1EA2-F316-49B6-A083-987EF962C6F0}"/>
    <cellStyle name="Note 2 2 3 4 2 2 2" xfId="61518" xr:uid="{64F0D31D-8ABD-4FDF-8B0D-50D133C5AD4F}"/>
    <cellStyle name="Note 2 2 3 4 2 3" xfId="61517" xr:uid="{06387A27-B56C-41F7-A075-C4760002A38E}"/>
    <cellStyle name="Note 2 2 3 4 3" xfId="19532" xr:uid="{A7FDC75D-76FE-4C36-8C2C-B2AA0648771F}"/>
    <cellStyle name="Note 2 2 3 4 3 2" xfId="61519" xr:uid="{5CBB0FCD-B643-470F-92CA-9F69835B4A19}"/>
    <cellStyle name="Note 2 2 3 4 4" xfId="61516" xr:uid="{86F5F027-3E9D-44F6-AB23-F7170A922728}"/>
    <cellStyle name="Note 2 2 3 5" xfId="8115" xr:uid="{C81E61BB-6DC4-4A36-B6A4-0BE4086F3FC6}"/>
    <cellStyle name="Note 2 2 3 5 2" xfId="23528" xr:uid="{4AC7038B-1719-4441-BD65-0142A473FEB4}"/>
    <cellStyle name="Note 2 2 3 5 2 2" xfId="61521" xr:uid="{32A0EA4A-A332-4E7E-8989-9CEB58529F30}"/>
    <cellStyle name="Note 2 2 3 5 3" xfId="61520" xr:uid="{C2EB27C3-BA1D-44C7-863B-BEB6C5C1DED0}"/>
    <cellStyle name="Note 2 2 3 6" xfId="15823" xr:uid="{4B6F3A7C-93D6-4E61-8E55-6E5230E51646}"/>
    <cellStyle name="Note 2 2 3 6 2" xfId="61522" xr:uid="{4338E94C-732C-4892-B415-F120ED9F27D5}"/>
    <cellStyle name="Note 2 2 3 7" xfId="61491" xr:uid="{928C7A75-BA69-484B-B1D8-892A51448BD9}"/>
    <cellStyle name="Note 2 2 4" xfId="827" xr:uid="{9E2269F3-FAE3-401F-BBB6-F06DC63A9029}"/>
    <cellStyle name="Note 2 2 4 2" xfId="2303" xr:uid="{7127A395-CC0A-4785-9BDE-354F02739800}"/>
    <cellStyle name="Note 2 2 4 2 2" xfId="6035" xr:uid="{5BD8D01C-47E2-4248-9021-C30E4431AA18}"/>
    <cellStyle name="Note 2 2 4 2 2 2" xfId="13743" xr:uid="{11417EA8-731A-44AF-9AA4-1FD9128F61C9}"/>
    <cellStyle name="Note 2 2 4 2 2 2 2" xfId="29155" xr:uid="{070C8367-11A2-45EF-BA85-216638715D56}"/>
    <cellStyle name="Note 2 2 4 2 2 2 2 2" xfId="61527" xr:uid="{11A5EFF9-D59B-4315-AAD2-5E059D51B536}"/>
    <cellStyle name="Note 2 2 4 2 2 2 3" xfId="61526" xr:uid="{40BFB2B5-F73D-4DAE-85D4-56831655C5F6}"/>
    <cellStyle name="Note 2 2 4 2 2 3" xfId="21450" xr:uid="{74C485C8-FB3C-48D7-BAFE-43CA67461345}"/>
    <cellStyle name="Note 2 2 4 2 2 3 2" xfId="61528" xr:uid="{FE858D0F-BF16-4190-9515-34252FFD9406}"/>
    <cellStyle name="Note 2 2 4 2 2 4" xfId="61525" xr:uid="{8022930F-4679-4679-A39A-22E209855FC4}"/>
    <cellStyle name="Note 2 2 4 2 3" xfId="10014" xr:uid="{7290CC13-B9BC-4428-9993-D70024AD052F}"/>
    <cellStyle name="Note 2 2 4 2 3 2" xfId="25427" xr:uid="{D2634C23-BA17-4606-A4A2-B73B1A860EC3}"/>
    <cellStyle name="Note 2 2 4 2 3 2 2" xfId="61530" xr:uid="{CFF564DB-46AD-4E2E-BA37-947A11774F01}"/>
    <cellStyle name="Note 2 2 4 2 3 3" xfId="61529" xr:uid="{BCE3B67B-9016-4C10-8ECC-F74F280C2AF1}"/>
    <cellStyle name="Note 2 2 4 2 4" xfId="17722" xr:uid="{70C41C2D-4C98-4DCB-B508-0C47E01675A2}"/>
    <cellStyle name="Note 2 2 4 2 4 2" xfId="61531" xr:uid="{36CDF6BF-0C87-4FDC-84C3-D8E931F14890}"/>
    <cellStyle name="Note 2 2 4 2 5" xfId="61524" xr:uid="{0F9C4441-65DD-4E4D-AC0D-CE8D802564D2}"/>
    <cellStyle name="Note 2 2 4 3" xfId="4564" xr:uid="{F83FBF02-2F0B-4E6D-9A11-700720D5C308}"/>
    <cellStyle name="Note 2 2 4 3 2" xfId="12272" xr:uid="{7255E04F-0DD3-4710-9B23-F1F81DBF2B6B}"/>
    <cellStyle name="Note 2 2 4 3 2 2" xfId="27684" xr:uid="{5AA1576A-BC07-408B-B387-BAD9615157EC}"/>
    <cellStyle name="Note 2 2 4 3 2 2 2" xfId="61534" xr:uid="{F457D500-3F24-450E-9A69-026628E55EF0}"/>
    <cellStyle name="Note 2 2 4 3 2 3" xfId="61533" xr:uid="{A45FE8AA-0BAB-4B29-A42E-AEDF2A72F233}"/>
    <cellStyle name="Note 2 2 4 3 3" xfId="19979" xr:uid="{850BEC0A-E205-40A2-ACCC-89363542B9F2}"/>
    <cellStyle name="Note 2 2 4 3 3 2" xfId="61535" xr:uid="{8C95A992-06D8-4CA6-8B31-FCC80360588E}"/>
    <cellStyle name="Note 2 2 4 3 4" xfId="61532" xr:uid="{E49F67CB-03B4-4D27-8E2A-68875E452DA2}"/>
    <cellStyle name="Note 2 2 4 4" xfId="8555" xr:uid="{3C3AE48A-8D14-4034-A863-CE1773ED64F8}"/>
    <cellStyle name="Note 2 2 4 4 2" xfId="23968" xr:uid="{CE0C7846-A672-4472-BD11-89705B5F9A69}"/>
    <cellStyle name="Note 2 2 4 4 2 2" xfId="61537" xr:uid="{8355AAF3-D704-4A93-87BF-E7FBE539C8E4}"/>
    <cellStyle name="Note 2 2 4 4 3" xfId="61536" xr:uid="{950D6B08-891E-4876-998E-875A8BFE0BE6}"/>
    <cellStyle name="Note 2 2 4 5" xfId="16263" xr:uid="{603264C6-BCC5-438D-B21A-5358DFF736FD}"/>
    <cellStyle name="Note 2 2 4 5 2" xfId="61538" xr:uid="{DA0EC3B1-9CE7-49A8-A7F1-3790F2D7A469}"/>
    <cellStyle name="Note 2 2 4 6" xfId="61523" xr:uid="{53C3D183-0F96-46EE-B175-596985D793B0}"/>
    <cellStyle name="Note 2 2 5" xfId="1664" xr:uid="{EA39936B-8875-4DB0-A707-204A49C793AF}"/>
    <cellStyle name="Note 2 2 5 2" xfId="5396" xr:uid="{3D761336-C4B6-4A9F-9AA2-901B727A7F9D}"/>
    <cellStyle name="Note 2 2 5 2 2" xfId="13104" xr:uid="{3BEA1387-FE44-4EE4-B2FC-90F53D6A105F}"/>
    <cellStyle name="Note 2 2 5 2 2 2" xfId="28516" xr:uid="{E97417DF-38B8-4270-8318-163D809821D2}"/>
    <cellStyle name="Note 2 2 5 2 2 2 2" xfId="61542" xr:uid="{1E6CEB7B-CDB3-4486-8B15-A9B47161923F}"/>
    <cellStyle name="Note 2 2 5 2 2 3" xfId="61541" xr:uid="{052BBBA5-07C3-47B1-9109-EDEEC0B31635}"/>
    <cellStyle name="Note 2 2 5 2 3" xfId="20811" xr:uid="{21DEBBAE-35C9-4F4E-B1E2-53A08B14D4E1}"/>
    <cellStyle name="Note 2 2 5 2 3 2" xfId="61543" xr:uid="{6334EB4F-744B-46A4-956C-54243B6774AD}"/>
    <cellStyle name="Note 2 2 5 2 4" xfId="61540" xr:uid="{5BF35605-096E-4BC9-8E65-071B3FA0F877}"/>
    <cellStyle name="Note 2 2 5 3" xfId="9376" xr:uid="{53472C88-0E67-4692-B105-CB5CB3F288C0}"/>
    <cellStyle name="Note 2 2 5 3 2" xfId="24789" xr:uid="{DF4AB5FC-5EA4-4F95-A113-5D22DAD4684B}"/>
    <cellStyle name="Note 2 2 5 3 2 2" xfId="61545" xr:uid="{C8E32EBB-A2DD-4DC4-9243-D2498AC6F4BD}"/>
    <cellStyle name="Note 2 2 5 3 3" xfId="61544" xr:uid="{A87D5D9E-9C4C-42AA-93BF-93BA4352B0FF}"/>
    <cellStyle name="Note 2 2 5 4" xfId="17084" xr:uid="{8A4751DD-C85B-47B6-8C1B-A14DBE8F9B53}"/>
    <cellStyle name="Note 2 2 5 4 2" xfId="61546" xr:uid="{09975BA3-3B19-4302-9F3E-D8D409B94D3E}"/>
    <cellStyle name="Note 2 2 5 5" xfId="61539" xr:uid="{CF8B10D1-4139-4E92-A8F0-1A0D9C45FD49}"/>
    <cellStyle name="Note 2 2 6" xfId="3912" xr:uid="{C22210A7-0413-4A5F-80A8-82A5E0645A26}"/>
    <cellStyle name="Note 2 2 6 2" xfId="11620" xr:uid="{356D0B49-E53B-4D4E-A22F-71DA0B14F47D}"/>
    <cellStyle name="Note 2 2 6 2 2" xfId="27032" xr:uid="{4C61B82B-1ED4-49A7-BE13-ED7B43FF7E35}"/>
    <cellStyle name="Note 2 2 6 2 2 2" xfId="61549" xr:uid="{56DF1D0F-08B7-43C4-BF99-2910EB5A33DD}"/>
    <cellStyle name="Note 2 2 6 2 3" xfId="61548" xr:uid="{7B634A97-0CA4-43BC-BE3F-06874C5D323F}"/>
    <cellStyle name="Note 2 2 6 3" xfId="19327" xr:uid="{E608E5E2-4014-4A9E-8FEB-82E97B940902}"/>
    <cellStyle name="Note 2 2 6 3 2" xfId="61550" xr:uid="{86E306FB-A41D-426C-97A1-5E2CA626F640}"/>
    <cellStyle name="Note 2 2 6 4" xfId="61547" xr:uid="{23CFEAAC-64BB-42BC-BA18-0969086FC18C}"/>
    <cellStyle name="Note 2 2 7" xfId="7899" xr:uid="{6E3F5916-AEFB-40B9-96BC-51C34FC1D5F1}"/>
    <cellStyle name="Note 2 2 7 2" xfId="23312" xr:uid="{E89CCD03-2B73-4FDF-A5B4-97AA6EE900FA}"/>
    <cellStyle name="Note 2 2 7 2 2" xfId="61552" xr:uid="{2A6383A8-C963-4D8D-B196-821AC68BC34A}"/>
    <cellStyle name="Note 2 2 7 3" xfId="61551" xr:uid="{9DEAF50A-E820-4B55-943D-CD1C51E32D4E}"/>
    <cellStyle name="Note 2 2 8" xfId="15607" xr:uid="{C7BFD71B-BD56-4FDA-8460-7F4D06A2A025}"/>
    <cellStyle name="Note 2 2 8 2" xfId="61553" xr:uid="{2C2D2874-5772-4BE4-988A-913645112D35}"/>
    <cellStyle name="Note 2 2 9" xfId="61426" xr:uid="{83D2F2C7-AD7F-4E20-80B3-78D1A788FDD6}"/>
    <cellStyle name="Note 2 3" xfId="201" xr:uid="{F4553807-85F4-41FE-ACE3-930AB840ED72}"/>
    <cellStyle name="Note 2 3 2" xfId="406" xr:uid="{7140BE92-3AC1-4AF2-AE05-0361B4312EF0}"/>
    <cellStyle name="Note 2 3 2 2" xfId="1068" xr:uid="{FC8A78C8-2244-4BD0-9DCB-07F5C16AE00D}"/>
    <cellStyle name="Note 2 3 2 2 2" xfId="2536" xr:uid="{65412DAF-2623-4BD7-A18A-1ED82409DF00}"/>
    <cellStyle name="Note 2 3 2 2 2 2" xfId="6268" xr:uid="{841D0809-90F2-4AA0-A621-9569E5AD704C}"/>
    <cellStyle name="Note 2 3 2 2 2 2 2" xfId="13976" xr:uid="{736B06E2-1DA5-4B00-9159-077B86F11694}"/>
    <cellStyle name="Note 2 3 2 2 2 2 2 2" xfId="29388" xr:uid="{445C543F-F241-4015-B82D-686CAE739204}"/>
    <cellStyle name="Note 2 3 2 2 2 2 2 2 2" xfId="61560" xr:uid="{2D64583C-7935-4811-8177-7F023E0BCB06}"/>
    <cellStyle name="Note 2 3 2 2 2 2 2 3" xfId="61559" xr:uid="{02494CA7-93D2-4341-AF51-BC4B62FEE67B}"/>
    <cellStyle name="Note 2 3 2 2 2 2 3" xfId="21683" xr:uid="{29538579-E17A-4DC1-8868-DBE8D1A60B2E}"/>
    <cellStyle name="Note 2 3 2 2 2 2 3 2" xfId="61561" xr:uid="{44877FD1-3891-41EF-8F1F-64BC465619A7}"/>
    <cellStyle name="Note 2 3 2 2 2 2 4" xfId="61558" xr:uid="{2551959C-41A1-4FF6-9D65-37F2C5DED2A7}"/>
    <cellStyle name="Note 2 3 2 2 2 3" xfId="10247" xr:uid="{C83293EE-E5F8-449F-8ADA-DA18BBB82435}"/>
    <cellStyle name="Note 2 3 2 2 2 3 2" xfId="25660" xr:uid="{25E3EAEB-2E4F-4620-B895-3D25A70A2EB0}"/>
    <cellStyle name="Note 2 3 2 2 2 3 2 2" xfId="61563" xr:uid="{EFF233A0-636F-4E6C-8BF7-338BABD0A7EC}"/>
    <cellStyle name="Note 2 3 2 2 2 3 3" xfId="61562" xr:uid="{A288313A-411D-41B4-A9EB-49AFD7DCC384}"/>
    <cellStyle name="Note 2 3 2 2 2 4" xfId="17955" xr:uid="{FBEF14C6-E39A-453B-BCFC-28B01F161617}"/>
    <cellStyle name="Note 2 3 2 2 2 4 2" xfId="61564" xr:uid="{98AE720E-6FC7-47AA-9CD9-7C372CAB4488}"/>
    <cellStyle name="Note 2 3 2 2 2 5" xfId="61557" xr:uid="{B49A1BAF-C70D-447E-84D7-337191BB68F7}"/>
    <cellStyle name="Note 2 3 2 2 3" xfId="4805" xr:uid="{0573B6BA-2668-4D02-BF9F-5FCC46E894CA}"/>
    <cellStyle name="Note 2 3 2 2 3 2" xfId="12513" xr:uid="{7DA09240-6117-4142-BAC0-30AC6427EFE8}"/>
    <cellStyle name="Note 2 3 2 2 3 2 2" xfId="27925" xr:uid="{263C3A54-9F49-4BB2-964D-8ECEF19FF24C}"/>
    <cellStyle name="Note 2 3 2 2 3 2 2 2" xfId="61567" xr:uid="{E9A77677-66DF-4597-AB93-A657D6E87917}"/>
    <cellStyle name="Note 2 3 2 2 3 2 3" xfId="61566" xr:uid="{E051E115-7280-4E26-9E22-C6C9FE3046C5}"/>
    <cellStyle name="Note 2 3 2 2 3 3" xfId="20220" xr:uid="{264F5096-8B98-4972-AF4F-3C69CADD742D}"/>
    <cellStyle name="Note 2 3 2 2 3 3 2" xfId="61568" xr:uid="{F359F612-A7B1-4A8F-B61B-49353A0A1C44}"/>
    <cellStyle name="Note 2 3 2 2 3 4" xfId="61565" xr:uid="{8D91C963-3AF9-4F79-B3A1-28A958EC7CDF}"/>
    <cellStyle name="Note 2 3 2 2 4" xfId="8788" xr:uid="{2D063437-A792-47B1-98D9-1CEC060CD281}"/>
    <cellStyle name="Note 2 3 2 2 4 2" xfId="24201" xr:uid="{354815DA-C1AA-4BAD-BDEB-F115B41FCA22}"/>
    <cellStyle name="Note 2 3 2 2 4 2 2" xfId="61570" xr:uid="{27A488F8-F561-4945-A5FE-FB6F889A79A2}"/>
    <cellStyle name="Note 2 3 2 2 4 3" xfId="61569" xr:uid="{8668C802-A4DD-4559-9CDA-C2378B0AD578}"/>
    <cellStyle name="Note 2 3 2 2 5" xfId="16496" xr:uid="{CBAD8653-89E3-4CD3-BB57-F7AEAFD7FD9D}"/>
    <cellStyle name="Note 2 3 2 2 5 2" xfId="61571" xr:uid="{CB1C6078-1B0D-4A0B-81AF-5E5322ED76C0}"/>
    <cellStyle name="Note 2 3 2 2 6" xfId="61556" xr:uid="{878D52A4-288E-4F4B-AE12-A25E02B0890C}"/>
    <cellStyle name="Note 2 3 2 3" xfId="1898" xr:uid="{AF4A29CD-F1D7-40BA-9BC8-C122C5C0FADE}"/>
    <cellStyle name="Note 2 3 2 3 2" xfId="5630" xr:uid="{C6358DD1-1FF5-4088-BF9B-14F6A70F5FDA}"/>
    <cellStyle name="Note 2 3 2 3 2 2" xfId="13338" xr:uid="{2BCB2CC8-B668-4645-B932-E54498D056B2}"/>
    <cellStyle name="Note 2 3 2 3 2 2 2" xfId="28750" xr:uid="{6B36DDEF-3B4C-499B-9173-6BF4B4C55BF0}"/>
    <cellStyle name="Note 2 3 2 3 2 2 2 2" xfId="61575" xr:uid="{9486C24A-B7E4-4260-8CCF-640B6DA9FFD0}"/>
    <cellStyle name="Note 2 3 2 3 2 2 3" xfId="61574" xr:uid="{9AEDC483-05A8-4E68-A1F1-7F4A05FA53D7}"/>
    <cellStyle name="Note 2 3 2 3 2 3" xfId="21045" xr:uid="{AEF0A191-C2A9-49E7-8032-31830681A3E4}"/>
    <cellStyle name="Note 2 3 2 3 2 3 2" xfId="61576" xr:uid="{5FF562B8-82D7-4404-80E9-79084304C085}"/>
    <cellStyle name="Note 2 3 2 3 2 4" xfId="61573" xr:uid="{D0088FB9-C8F2-4897-8AC9-1AEF182F621D}"/>
    <cellStyle name="Note 2 3 2 3 3" xfId="9609" xr:uid="{704256A9-78A0-4C36-8BDE-DC3B24D5D1B2}"/>
    <cellStyle name="Note 2 3 2 3 3 2" xfId="25022" xr:uid="{9707800A-269C-4910-B1DB-AEBD43941345}"/>
    <cellStyle name="Note 2 3 2 3 3 2 2" xfId="61578" xr:uid="{BDD2BB90-5133-4516-9239-4E7A63FEB28E}"/>
    <cellStyle name="Note 2 3 2 3 3 3" xfId="61577" xr:uid="{4B146651-6518-4FBD-A035-D28F914E0EC3}"/>
    <cellStyle name="Note 2 3 2 3 4" xfId="17317" xr:uid="{FD0ED821-B75C-46A8-9E6F-E702192A20C3}"/>
    <cellStyle name="Note 2 3 2 3 4 2" xfId="61579" xr:uid="{4FA47975-5736-47F1-BB20-422265D762EB}"/>
    <cellStyle name="Note 2 3 2 3 5" xfId="61572" xr:uid="{022D65D4-4507-4FB7-959E-5841A45DFD2A}"/>
    <cellStyle name="Note 2 3 2 4" xfId="4153" xr:uid="{568FE259-BD5B-40D8-8DD5-9CA71D73D999}"/>
    <cellStyle name="Note 2 3 2 4 2" xfId="11861" xr:uid="{43F5D2C0-EF3D-48A0-8452-D50502F60E87}"/>
    <cellStyle name="Note 2 3 2 4 2 2" xfId="27273" xr:uid="{544E00B1-8E5F-4BC9-8F70-CEC881607325}"/>
    <cellStyle name="Note 2 3 2 4 2 2 2" xfId="61582" xr:uid="{DEFEDD1F-5F3B-4AE1-A999-CE1D418FFF1B}"/>
    <cellStyle name="Note 2 3 2 4 2 3" xfId="61581" xr:uid="{2DC8CAB7-2BD4-44E0-A208-421CC1C050CE}"/>
    <cellStyle name="Note 2 3 2 4 3" xfId="19568" xr:uid="{9FF0B02E-18EC-466A-A38A-44AFCEA41945}"/>
    <cellStyle name="Note 2 3 2 4 3 2" xfId="61583" xr:uid="{487DC2E5-99E8-4649-B8B3-512D4F1B65B5}"/>
    <cellStyle name="Note 2 3 2 4 4" xfId="61580" xr:uid="{92595CAC-8074-4E8D-BD56-5E86D6049B0C}"/>
    <cellStyle name="Note 2 3 2 5" xfId="8150" xr:uid="{35BF2F61-9231-4623-8A05-53D2A47D4B5C}"/>
    <cellStyle name="Note 2 3 2 5 2" xfId="23563" xr:uid="{5AAA91B5-6CC1-42E2-B637-35E33BD510E2}"/>
    <cellStyle name="Note 2 3 2 5 2 2" xfId="61585" xr:uid="{B9103049-B97E-431C-BA8B-932987C4699C}"/>
    <cellStyle name="Note 2 3 2 5 3" xfId="61584" xr:uid="{6D5D8D5C-0D75-4293-84F1-91B9BB682418}"/>
    <cellStyle name="Note 2 3 2 6" xfId="15858" xr:uid="{BF1B3690-A0DD-43A9-A8D0-D9F470392856}"/>
    <cellStyle name="Note 2 3 2 6 2" xfId="61586" xr:uid="{D340104B-9B53-46D3-9B40-87AE3B1005E1}"/>
    <cellStyle name="Note 2 3 2 7" xfId="61555" xr:uid="{1DD682E3-269D-47BC-9F15-D4C21BA86142}"/>
    <cellStyle name="Note 2 3 3" xfId="867" xr:uid="{EA5CA7BF-6B41-4D1A-BAA9-D515A1380DA9}"/>
    <cellStyle name="Note 2 3 3 2" xfId="2338" xr:uid="{716BBF2D-F56C-4C7F-8F4C-D957ADFF3050}"/>
    <cellStyle name="Note 2 3 3 2 2" xfId="6070" xr:uid="{25CA023C-27F3-4911-95D7-F2CF91A80F57}"/>
    <cellStyle name="Note 2 3 3 2 2 2" xfId="13778" xr:uid="{F5440AC3-DF05-4D41-8F86-09AF41F5CF88}"/>
    <cellStyle name="Note 2 3 3 2 2 2 2" xfId="29190" xr:uid="{6C68238A-E891-41BC-9370-380A4908A375}"/>
    <cellStyle name="Note 2 3 3 2 2 2 2 2" xfId="61591" xr:uid="{C8FB1DCA-92C5-4225-9681-60740BFB6402}"/>
    <cellStyle name="Note 2 3 3 2 2 2 3" xfId="61590" xr:uid="{D1DC4098-D3E8-4AA8-BD5F-14A51D91A95A}"/>
    <cellStyle name="Note 2 3 3 2 2 3" xfId="21485" xr:uid="{FBACF1A5-9817-476B-BE44-09874EE54D91}"/>
    <cellStyle name="Note 2 3 3 2 2 3 2" xfId="61592" xr:uid="{27CEEF7B-4807-42C8-9D4B-357C85EB932D}"/>
    <cellStyle name="Note 2 3 3 2 2 4" xfId="61589" xr:uid="{54B7A9A1-70B9-4885-BD1B-8A94FC8B8668}"/>
    <cellStyle name="Note 2 3 3 2 3" xfId="10049" xr:uid="{2C71F99A-29AC-47D6-B4CB-4C967AE266DF}"/>
    <cellStyle name="Note 2 3 3 2 3 2" xfId="25462" xr:uid="{7A6594E2-743D-478C-AD0B-1E0ECE2A436C}"/>
    <cellStyle name="Note 2 3 3 2 3 2 2" xfId="61594" xr:uid="{6B577B38-3E60-4CB5-BD3F-E39E4E4C33F5}"/>
    <cellStyle name="Note 2 3 3 2 3 3" xfId="61593" xr:uid="{1802F180-813F-4F0E-B104-B152AB059413}"/>
    <cellStyle name="Note 2 3 3 2 4" xfId="17757" xr:uid="{878A5E60-7811-4A48-87A1-726530BFB185}"/>
    <cellStyle name="Note 2 3 3 2 4 2" xfId="61595" xr:uid="{2DC594A8-39BA-43E9-9353-4E7C76EEFD72}"/>
    <cellStyle name="Note 2 3 3 2 5" xfId="61588" xr:uid="{DAD937F2-80F6-4F81-AFA3-C3169F1885AC}"/>
    <cellStyle name="Note 2 3 3 3" xfId="4604" xr:uid="{A5213C77-F1F7-415D-AB01-0ACA72453779}"/>
    <cellStyle name="Note 2 3 3 3 2" xfId="12312" xr:uid="{536285C7-7B36-4730-9F26-D914024F4BC2}"/>
    <cellStyle name="Note 2 3 3 3 2 2" xfId="27724" xr:uid="{0FF25583-6C80-4396-BEF1-F55FB5A770AF}"/>
    <cellStyle name="Note 2 3 3 3 2 2 2" xfId="61598" xr:uid="{EF7131F6-A20E-4D97-8286-0702AF6EEDAE}"/>
    <cellStyle name="Note 2 3 3 3 2 3" xfId="61597" xr:uid="{66379862-D2F2-47D9-A731-C904B41F6B3A}"/>
    <cellStyle name="Note 2 3 3 3 3" xfId="20019" xr:uid="{404EA59B-B334-476B-9B11-143B9B7A89D1}"/>
    <cellStyle name="Note 2 3 3 3 3 2" xfId="61599" xr:uid="{FC855C5C-F17A-41C4-A22B-1132462B7198}"/>
    <cellStyle name="Note 2 3 3 3 4" xfId="61596" xr:uid="{B930473A-8C0A-4112-8646-21BD3B61DE6F}"/>
    <cellStyle name="Note 2 3 3 4" xfId="8590" xr:uid="{CD35613F-39A5-4799-A888-C73D364017D6}"/>
    <cellStyle name="Note 2 3 3 4 2" xfId="24003" xr:uid="{451274B9-E4C1-423F-A398-7B595EC45BD5}"/>
    <cellStyle name="Note 2 3 3 4 2 2" xfId="61601" xr:uid="{CB1A13F5-B168-4717-92B5-41C136087AB3}"/>
    <cellStyle name="Note 2 3 3 4 3" xfId="61600" xr:uid="{0A9CFE24-3B16-4FF8-A6FF-9A35A1C4C15A}"/>
    <cellStyle name="Note 2 3 3 5" xfId="16298" xr:uid="{42EAA742-2C37-441F-9514-9D2398E3BC53}"/>
    <cellStyle name="Note 2 3 3 5 2" xfId="61602" xr:uid="{768873D3-E44C-41FE-AF9E-96A9171B3ADA}"/>
    <cellStyle name="Note 2 3 3 6" xfId="61587" xr:uid="{6D9A09DB-0C2F-41DF-BC04-0AB3F7424D65}"/>
    <cellStyle name="Note 2 3 4" xfId="1700" xr:uid="{86EBE98D-6455-4141-B334-CD768F7248D9}"/>
    <cellStyle name="Note 2 3 4 2" xfId="5432" xr:uid="{77AB8679-63B9-4DE6-BB76-0366590B4C08}"/>
    <cellStyle name="Note 2 3 4 2 2" xfId="13140" xr:uid="{4E23CCBD-72C0-4588-ABE3-5EE7309A056D}"/>
    <cellStyle name="Note 2 3 4 2 2 2" xfId="28552" xr:uid="{FBC82ACE-E1E1-48A1-80CF-FF91F6B918ED}"/>
    <cellStyle name="Note 2 3 4 2 2 2 2" xfId="61606" xr:uid="{4E415688-97C2-4050-BF9A-C4049F2A26A6}"/>
    <cellStyle name="Note 2 3 4 2 2 3" xfId="61605" xr:uid="{7CC47724-F361-44A2-92DE-9ECE53748867}"/>
    <cellStyle name="Note 2 3 4 2 3" xfId="20847" xr:uid="{6C7E5DA8-BBFF-4B92-A317-D34FA351712D}"/>
    <cellStyle name="Note 2 3 4 2 3 2" xfId="61607" xr:uid="{550B05F7-24A5-4EB7-A3CE-0A09614D2240}"/>
    <cellStyle name="Note 2 3 4 2 4" xfId="61604" xr:uid="{9AF0DE94-D0CA-4826-B6DA-404F9D49F69D}"/>
    <cellStyle name="Note 2 3 4 3" xfId="9411" xr:uid="{D5A3FE93-D580-4F37-8580-40D7DF8312CE}"/>
    <cellStyle name="Note 2 3 4 3 2" xfId="24824" xr:uid="{A5A6FF01-4C0B-4D8A-AF46-DC1CA0477638}"/>
    <cellStyle name="Note 2 3 4 3 2 2" xfId="61609" xr:uid="{19D6398A-E863-40BF-A697-D885192AA1A2}"/>
    <cellStyle name="Note 2 3 4 3 3" xfId="61608" xr:uid="{7580D5F1-B1EF-4D11-9FC8-D7B82EEBC7BE}"/>
    <cellStyle name="Note 2 3 4 4" xfId="17119" xr:uid="{16040F2C-FD0C-424A-B621-4D192B81664B}"/>
    <cellStyle name="Note 2 3 4 4 2" xfId="61610" xr:uid="{A86A3977-8470-434E-B973-05FDAC2F7A7C}"/>
    <cellStyle name="Note 2 3 4 5" xfId="61603" xr:uid="{72BCA133-0F17-4DC2-B5D8-4D791A886E0B}"/>
    <cellStyle name="Note 2 3 5" xfId="3952" xr:uid="{0D723114-28F5-4E95-A922-59F0A4D06E1D}"/>
    <cellStyle name="Note 2 3 5 2" xfId="11660" xr:uid="{DE2D9D22-0861-4336-9459-9F1F12674B8E}"/>
    <cellStyle name="Note 2 3 5 2 2" xfId="27072" xr:uid="{E8170606-A426-40CC-8FFF-951093F18022}"/>
    <cellStyle name="Note 2 3 5 2 2 2" xfId="61613" xr:uid="{D21D0933-C089-4619-9DCE-F3833543C436}"/>
    <cellStyle name="Note 2 3 5 2 3" xfId="61612" xr:uid="{AB6AB8CB-A088-4CA5-9F55-2405B85D5B7D}"/>
    <cellStyle name="Note 2 3 5 3" xfId="19367" xr:uid="{2C5BBBF9-A55B-4563-BA7E-F06AAE62E7C7}"/>
    <cellStyle name="Note 2 3 5 3 2" xfId="61614" xr:uid="{68178ADE-4F31-4D1D-8404-FC388302BD01}"/>
    <cellStyle name="Note 2 3 5 4" xfId="61611" xr:uid="{3CB80836-7010-497A-B974-62DC93488DDD}"/>
    <cellStyle name="Note 2 3 6" xfId="7952" xr:uid="{79C06C62-C7C5-45AE-884F-44B705EAE2D8}"/>
    <cellStyle name="Note 2 3 6 2" xfId="23365" xr:uid="{5271B26C-46CE-4CEC-865D-F3DC60655AF8}"/>
    <cellStyle name="Note 2 3 6 2 2" xfId="61616" xr:uid="{D2444E4A-F1DF-4365-8C9D-66C0288FEDC0}"/>
    <cellStyle name="Note 2 3 6 3" xfId="61615" xr:uid="{18A25C46-D58A-4333-87B4-DAB43B309864}"/>
    <cellStyle name="Note 2 3 7" xfId="15660" xr:uid="{ACE6E178-1D45-49FB-9ED7-A3E82BE62158}"/>
    <cellStyle name="Note 2 3 7 2" xfId="61617" xr:uid="{2C4B332A-18E6-49FF-AA85-B1EE60684574}"/>
    <cellStyle name="Note 2 3 8" xfId="61554" xr:uid="{B81A6CD9-CBD5-47B3-83D0-F9F88BF5AF25}"/>
    <cellStyle name="Note 2 4" xfId="354" xr:uid="{E0415B1C-9A8D-471B-818A-EB12A2B4ECC7}"/>
    <cellStyle name="Note 2 4 2" xfId="1017" xr:uid="{A8F6F338-F6C1-41CC-B0EE-37B20A98E8DA}"/>
    <cellStyle name="Note 2 4 2 2" xfId="2486" xr:uid="{EA51BE9E-0CAB-4B3F-98FD-9E4D08B4883F}"/>
    <cellStyle name="Note 2 4 2 2 2" xfId="6218" xr:uid="{078ABD98-08EE-4940-B5AB-D0B9041A79A2}"/>
    <cellStyle name="Note 2 4 2 2 2 2" xfId="13926" xr:uid="{BCD28D4B-C892-4BD0-9BFC-FC726EFD39ED}"/>
    <cellStyle name="Note 2 4 2 2 2 2 2" xfId="29338" xr:uid="{A22545C3-F368-40F8-A544-E610B9C9B7E8}"/>
    <cellStyle name="Note 2 4 2 2 2 2 2 2" xfId="61623" xr:uid="{B6CEE750-8C89-48C9-9BE7-C873AAD9251A}"/>
    <cellStyle name="Note 2 4 2 2 2 2 3" xfId="61622" xr:uid="{4BC37D2E-03D0-4E39-808C-31DCEE9D42BC}"/>
    <cellStyle name="Note 2 4 2 2 2 3" xfId="21633" xr:uid="{4892753E-B200-42F6-9333-6265105146DA}"/>
    <cellStyle name="Note 2 4 2 2 2 3 2" xfId="61624" xr:uid="{61B9C352-FF59-4292-8BE5-10BB4A6A6199}"/>
    <cellStyle name="Note 2 4 2 2 2 4" xfId="61621" xr:uid="{BB9E5348-D4F1-440A-9BEE-556B39519659}"/>
    <cellStyle name="Note 2 4 2 2 3" xfId="10197" xr:uid="{6C59544F-66B5-4155-8C44-DFD5E375C5DC}"/>
    <cellStyle name="Note 2 4 2 2 3 2" xfId="25610" xr:uid="{35EECE40-5219-4398-99D8-AE08D43BB80D}"/>
    <cellStyle name="Note 2 4 2 2 3 2 2" xfId="61626" xr:uid="{9B620987-0D6C-4A31-8AA8-72862FD8728C}"/>
    <cellStyle name="Note 2 4 2 2 3 3" xfId="61625" xr:uid="{7D6DA104-5CBD-4BBD-891F-6085698154BB}"/>
    <cellStyle name="Note 2 4 2 2 4" xfId="17905" xr:uid="{367838E2-660E-40DD-A330-015D882FB54D}"/>
    <cellStyle name="Note 2 4 2 2 4 2" xfId="61627" xr:uid="{2C0218EC-0698-409C-9923-49D81ACE3441}"/>
    <cellStyle name="Note 2 4 2 2 5" xfId="61620" xr:uid="{A4A7F181-D926-4378-896F-5DD27058506E}"/>
    <cellStyle name="Note 2 4 2 3" xfId="4754" xr:uid="{EA2FC6EC-B028-4A94-B4E2-661FC5EC5E6F}"/>
    <cellStyle name="Note 2 4 2 3 2" xfId="12462" xr:uid="{582E63F7-1188-468B-864C-A7DE11A7EFB2}"/>
    <cellStyle name="Note 2 4 2 3 2 2" xfId="27874" xr:uid="{D70F6A40-6A17-4F54-B90B-03F7BB84653F}"/>
    <cellStyle name="Note 2 4 2 3 2 2 2" xfId="61630" xr:uid="{BFDEB07A-EBEC-4F70-872E-687CE764D0D7}"/>
    <cellStyle name="Note 2 4 2 3 2 3" xfId="61629" xr:uid="{8645E3D6-6F09-44C8-89C8-A17B72D74B34}"/>
    <cellStyle name="Note 2 4 2 3 3" xfId="20169" xr:uid="{53C8C662-FB40-4A33-8E18-5E59C40FA2FA}"/>
    <cellStyle name="Note 2 4 2 3 3 2" xfId="61631" xr:uid="{D28A0450-8498-423E-ABA5-CC890F8F18B2}"/>
    <cellStyle name="Note 2 4 2 3 4" xfId="61628" xr:uid="{B82B2EEC-0CDD-4CB3-859E-E0741BD508EC}"/>
    <cellStyle name="Note 2 4 2 4" xfId="8738" xr:uid="{1D97000D-6510-4AC7-8388-8CDAE936233B}"/>
    <cellStyle name="Note 2 4 2 4 2" xfId="24151" xr:uid="{25F0B124-5F2F-48C2-B9C1-AD55A74B9FCD}"/>
    <cellStyle name="Note 2 4 2 4 2 2" xfId="61633" xr:uid="{9EAD6C72-B369-418B-85CF-790D700A433E}"/>
    <cellStyle name="Note 2 4 2 4 3" xfId="61632" xr:uid="{FCCECB7D-1811-4C5C-9D60-4F500BF8C6DB}"/>
    <cellStyle name="Note 2 4 2 5" xfId="16446" xr:uid="{7DCF3A26-040C-4C80-9DE9-A75FBF530EA1}"/>
    <cellStyle name="Note 2 4 2 5 2" xfId="61634" xr:uid="{764C2731-11F6-4227-A270-38DEF0F52A89}"/>
    <cellStyle name="Note 2 4 2 6" xfId="61619" xr:uid="{DB7B42F3-7621-47DF-95EB-B526090F9FE9}"/>
    <cellStyle name="Note 2 4 3" xfId="1848" xr:uid="{67C1AFBB-248F-4737-B270-4F5E679BB834}"/>
    <cellStyle name="Note 2 4 3 2" xfId="5580" xr:uid="{25C9B3C5-2B1E-4BAD-8A66-4CD405DC187E}"/>
    <cellStyle name="Note 2 4 3 2 2" xfId="13288" xr:uid="{1CCECF37-777E-4A0C-875F-41BCFB7A8A2A}"/>
    <cellStyle name="Note 2 4 3 2 2 2" xfId="28700" xr:uid="{AAC07C8F-F17D-49B1-A9B8-0E4E0A042DA6}"/>
    <cellStyle name="Note 2 4 3 2 2 2 2" xfId="61638" xr:uid="{D5E121A7-D2E3-4625-8927-4DEDAAA35F6F}"/>
    <cellStyle name="Note 2 4 3 2 2 3" xfId="61637" xr:uid="{DEA48D21-31BE-42F0-B29B-27517B1F333C}"/>
    <cellStyle name="Note 2 4 3 2 3" xfId="20995" xr:uid="{A4A0A998-FF31-42B0-9702-C4D2B2ABC182}"/>
    <cellStyle name="Note 2 4 3 2 3 2" xfId="61639" xr:uid="{F876BF5E-037A-4254-92D1-16427A605568}"/>
    <cellStyle name="Note 2 4 3 2 4" xfId="61636" xr:uid="{F50A5D06-14B9-42EB-BF5F-17EAF652A401}"/>
    <cellStyle name="Note 2 4 3 3" xfId="9559" xr:uid="{9DE9ABD8-0589-4188-83CD-E4A5BF5183C7}"/>
    <cellStyle name="Note 2 4 3 3 2" xfId="24972" xr:uid="{FCA68B8B-8F97-4BC6-916E-04D7F912E850}"/>
    <cellStyle name="Note 2 4 3 3 2 2" xfId="61641" xr:uid="{411C52A5-79D4-4AD1-9550-E8977A3A7234}"/>
    <cellStyle name="Note 2 4 3 3 3" xfId="61640" xr:uid="{2C9F1444-C2B5-448C-8BA6-13368AC876EC}"/>
    <cellStyle name="Note 2 4 3 4" xfId="17267" xr:uid="{3A569EB8-B1C6-4361-8A1E-BFE2157C0C44}"/>
    <cellStyle name="Note 2 4 3 4 2" xfId="61642" xr:uid="{AD25658E-F483-4585-AA4B-9005D938D9BE}"/>
    <cellStyle name="Note 2 4 3 5" xfId="61635" xr:uid="{429067D7-D84D-4A9D-A42B-807D5AC1CEB3}"/>
    <cellStyle name="Note 2 4 4" xfId="4102" xr:uid="{C937033F-E85A-433A-A208-1FAA753F6ADA}"/>
    <cellStyle name="Note 2 4 4 2" xfId="11810" xr:uid="{0EB49A16-442C-4CFA-AD18-EF339EC0D4BC}"/>
    <cellStyle name="Note 2 4 4 2 2" xfId="27222" xr:uid="{D23C0F28-A959-464F-ABC1-F58F6EA00879}"/>
    <cellStyle name="Note 2 4 4 2 2 2" xfId="61645" xr:uid="{23253362-EF09-4962-81BE-5D49258EE68A}"/>
    <cellStyle name="Note 2 4 4 2 3" xfId="61644" xr:uid="{BD81F085-035D-4F8C-A728-85ABC482B7FA}"/>
    <cellStyle name="Note 2 4 4 3" xfId="19517" xr:uid="{7111E357-AF54-4B31-A457-A129D4A08F62}"/>
    <cellStyle name="Note 2 4 4 3 2" xfId="61646" xr:uid="{F5B020A2-E78E-40CC-9369-E2B2804E524B}"/>
    <cellStyle name="Note 2 4 4 4" xfId="61643" xr:uid="{1EF6A032-053B-42ED-8CDF-CDFD2E55A65F}"/>
    <cellStyle name="Note 2 4 5" xfId="8100" xr:uid="{340B9B8F-AD46-414E-99AD-A026DDDD715F}"/>
    <cellStyle name="Note 2 4 5 2" xfId="23513" xr:uid="{AF045F4D-3CD9-4303-BF9B-AF240EA90E7A}"/>
    <cellStyle name="Note 2 4 5 2 2" xfId="61648" xr:uid="{FB3D16CB-68F6-4884-A667-7514A07A317C}"/>
    <cellStyle name="Note 2 4 5 3" xfId="61647" xr:uid="{C2E37640-5854-4EF9-90A3-6965A3832F09}"/>
    <cellStyle name="Note 2 4 6" xfId="15808" xr:uid="{AA138D1D-650F-4FE4-B0BD-A90D202AC804}"/>
    <cellStyle name="Note 2 4 6 2" xfId="61649" xr:uid="{CD61580D-6992-45B1-A63A-E902704EFDA6}"/>
    <cellStyle name="Note 2 4 7" xfId="61618" xr:uid="{D206D37F-C8D7-4A8E-B12C-BEF1F7FC89F9}"/>
    <cellStyle name="Note 2 5" xfId="809" xr:uid="{E4EC2E81-ADEF-4025-B60B-A17F1AC47CA3}"/>
    <cellStyle name="Note 2 5 2" xfId="2288" xr:uid="{18661217-F426-4BCE-8A24-A917F66F1FC1}"/>
    <cellStyle name="Note 2 5 2 2" xfId="6020" xr:uid="{13A11EFB-F4D6-41E2-9CF1-64FBD077F0BE}"/>
    <cellStyle name="Note 2 5 2 2 2" xfId="13728" xr:uid="{74BCEE92-7193-478F-8A66-68C61F5099F4}"/>
    <cellStyle name="Note 2 5 2 2 2 2" xfId="29140" xr:uid="{92C7E071-D556-4413-AD44-6E4EC86BB570}"/>
    <cellStyle name="Note 2 5 2 2 2 2 2" xfId="61654" xr:uid="{DD8AFB5C-83A7-4578-87F2-F1ACAB6640D3}"/>
    <cellStyle name="Note 2 5 2 2 2 3" xfId="61653" xr:uid="{E11F96BA-4CB8-4749-82C0-988DC6584380}"/>
    <cellStyle name="Note 2 5 2 2 3" xfId="21435" xr:uid="{914DC4C4-3C3E-4C93-9F97-D04D6E37AC93}"/>
    <cellStyle name="Note 2 5 2 2 3 2" xfId="61655" xr:uid="{D2A4AAA5-2A9A-47A1-B89E-8BBC53A096B6}"/>
    <cellStyle name="Note 2 5 2 2 4" xfId="61652" xr:uid="{6F4CB30D-64AD-4073-BD45-24818DF26BCE}"/>
    <cellStyle name="Note 2 5 2 3" xfId="9999" xr:uid="{B9CE8BD7-7070-4A30-B90E-8B555AE9B877}"/>
    <cellStyle name="Note 2 5 2 3 2" xfId="25412" xr:uid="{7FF98A22-D5FD-46ED-8BA4-64258A4AA52E}"/>
    <cellStyle name="Note 2 5 2 3 2 2" xfId="61657" xr:uid="{FA631E1C-FD07-4373-9426-91DBDF3744F1}"/>
    <cellStyle name="Note 2 5 2 3 3" xfId="61656" xr:uid="{1E389687-7A8B-4C6A-9CF5-A147CC6E430C}"/>
    <cellStyle name="Note 2 5 2 4" xfId="17707" xr:uid="{CC2ED41C-E474-45A7-BCFD-E80914785ECD}"/>
    <cellStyle name="Note 2 5 2 4 2" xfId="61658" xr:uid="{C4BF422C-D2EB-4BA8-90D5-7515D8F8622F}"/>
    <cellStyle name="Note 2 5 2 5" xfId="61651" xr:uid="{B0377736-EB40-422D-A28D-68D69E5764D8}"/>
    <cellStyle name="Note 2 5 3" xfId="4548" xr:uid="{D6316943-2938-43E0-BC9C-C15DD11C8E93}"/>
    <cellStyle name="Note 2 5 3 2" xfId="12256" xr:uid="{23696124-50DE-4F16-847F-17470E44717C}"/>
    <cellStyle name="Note 2 5 3 2 2" xfId="27668" xr:uid="{C7651E56-4581-498E-96B1-FC3D97834A0A}"/>
    <cellStyle name="Note 2 5 3 2 2 2" xfId="61661" xr:uid="{77A8FF74-F06E-426E-BC6A-6D005252B81E}"/>
    <cellStyle name="Note 2 5 3 2 3" xfId="61660" xr:uid="{0E4752D2-459C-4DFC-9040-45C9C5E6B93D}"/>
    <cellStyle name="Note 2 5 3 3" xfId="19963" xr:uid="{9D3B7834-0C3C-414C-8D46-00F2A621DB11}"/>
    <cellStyle name="Note 2 5 3 3 2" xfId="61662" xr:uid="{9A5D595D-0E80-4E97-8C55-F490609C44A9}"/>
    <cellStyle name="Note 2 5 3 4" xfId="61659" xr:uid="{B6C44FAE-8957-4F61-8A7E-1928408E8377}"/>
    <cellStyle name="Note 2 5 4" xfId="8540" xr:uid="{1C0E33B2-3ECE-48E6-96AA-D367E10CF84B}"/>
    <cellStyle name="Note 2 5 4 2" xfId="23953" xr:uid="{5B199E6D-13FA-43A2-BF82-6C45862EEEB3}"/>
    <cellStyle name="Note 2 5 4 2 2" xfId="61664" xr:uid="{7961F0DF-2158-4E52-AF73-7B126F4F6482}"/>
    <cellStyle name="Note 2 5 4 3" xfId="61663" xr:uid="{AAD2B0FD-3768-425F-A812-88DDA4F98160}"/>
    <cellStyle name="Note 2 5 5" xfId="16248" xr:uid="{6B9AA253-91AB-43D1-A797-F1288B1EB5C4}"/>
    <cellStyle name="Note 2 5 5 2" xfId="61665" xr:uid="{0006183C-8945-44BA-8B1C-83C9D4F4DCEB}"/>
    <cellStyle name="Note 2 5 6" xfId="61650" xr:uid="{D1129CD6-4D62-4135-8323-5C9E3A4100A5}"/>
    <cellStyle name="Note 2 6" xfId="1648" xr:uid="{5D4E487F-5CF0-442D-998E-9B1C1184272F}"/>
    <cellStyle name="Note 2 6 2" xfId="5381" xr:uid="{6F469385-E9E3-427A-9831-2EC4C581114C}"/>
    <cellStyle name="Note 2 6 2 2" xfId="13089" xr:uid="{5288FDE6-A15D-4B11-9C7B-3CFE75198443}"/>
    <cellStyle name="Note 2 6 2 2 2" xfId="28501" xr:uid="{5F4165BC-AD71-4605-AEFA-856CED46E0F2}"/>
    <cellStyle name="Note 2 6 2 2 2 2" xfId="61669" xr:uid="{D041D16A-1350-48EC-86B0-6DABA708FE84}"/>
    <cellStyle name="Note 2 6 2 2 3" xfId="61668" xr:uid="{A9F2FD20-516D-4E3F-82F9-5766818330EE}"/>
    <cellStyle name="Note 2 6 2 3" xfId="20796" xr:uid="{21BD8F53-1070-44BD-96E7-F810C4B9BB3E}"/>
    <cellStyle name="Note 2 6 2 3 2" xfId="61670" xr:uid="{2B3B725C-0172-4D43-9D14-6E89CE436DBB}"/>
    <cellStyle name="Note 2 6 2 4" xfId="61667" xr:uid="{C9F1F7C4-B84F-467F-B544-9462622108DC}"/>
    <cellStyle name="Note 2 6 3" xfId="9361" xr:uid="{EC728223-1772-4D55-99F4-5889E8DB6521}"/>
    <cellStyle name="Note 2 6 3 2" xfId="24774" xr:uid="{825E2DE8-D057-4A01-8180-991D1A4BD1B4}"/>
    <cellStyle name="Note 2 6 3 2 2" xfId="61672" xr:uid="{E3C48514-1864-4875-86DD-FD923D5886A0}"/>
    <cellStyle name="Note 2 6 3 3" xfId="61671" xr:uid="{38161094-A4A2-45FC-A69D-CE866A576E23}"/>
    <cellStyle name="Note 2 6 4" xfId="17069" xr:uid="{5A790661-F758-497F-87B5-F98E681832BE}"/>
    <cellStyle name="Note 2 6 4 2" xfId="61673" xr:uid="{5E83BB87-CA1A-416C-9A50-D0B93AD9D678}"/>
    <cellStyle name="Note 2 6 5" xfId="61666" xr:uid="{4B296C69-B121-4BCF-A536-4B0ECE6DBEB7}"/>
    <cellStyle name="Note 2 7" xfId="3895" xr:uid="{DD99FDE9-7375-4E09-B86A-2FFF732A2454}"/>
    <cellStyle name="Note 2 7 2" xfId="11604" xr:uid="{912DACDE-9064-4A5A-A7C1-8FABE9FC919F}"/>
    <cellStyle name="Note 2 7 2 2" xfId="27016" xr:uid="{4A8A1F6A-ADAD-409A-AE1D-4BEEF5BC9330}"/>
    <cellStyle name="Note 2 7 2 2 2" xfId="61676" xr:uid="{CAA61EA5-6E9C-4DD1-97CF-BAB211228505}"/>
    <cellStyle name="Note 2 7 2 3" xfId="61675" xr:uid="{A3D95F25-ADD7-4046-A7B3-02FFDCB42054}"/>
    <cellStyle name="Note 2 7 3" xfId="19311" xr:uid="{88BC80BF-910E-4999-8391-FD90A14197BB}"/>
    <cellStyle name="Note 2 7 3 2" xfId="61677" xr:uid="{B028ECB2-F5AF-4163-B4CB-139CE7221F91}"/>
    <cellStyle name="Note 2 7 4" xfId="61674" xr:uid="{9652380A-0725-477C-8786-0CFC1030C027}"/>
    <cellStyle name="Note 2 8" xfId="7884" xr:uid="{90A0211E-1E8C-4D72-AFBE-AE038A89FBB3}"/>
    <cellStyle name="Note 2 8 2" xfId="23297" xr:uid="{CBED0CA4-73CC-4A02-A948-8738B5828F0E}"/>
    <cellStyle name="Note 2 8 2 2" xfId="61679" xr:uid="{9B11B2C4-D208-41FC-8BD2-12A2A8865075}"/>
    <cellStyle name="Note 2 8 3" xfId="61678" xr:uid="{BCEC52FA-0910-4952-A1F6-4D3C3154366D}"/>
    <cellStyle name="Note 2 9" xfId="15592" xr:uid="{8309DD3C-8857-4D7F-8171-ED6F5245CEC9}"/>
    <cellStyle name="Note 2 9 2" xfId="61680" xr:uid="{C5EBB48C-4B3B-48B2-855D-9EF8D1F0A1F1}"/>
    <cellStyle name="Note 20" xfId="3636" xr:uid="{8A2042A3-6AB0-4C15-B1AB-5A0EDA10B993}"/>
    <cellStyle name="Note 20 2" xfId="7367" xr:uid="{233749A2-8CC9-4282-8BBB-E9A6A3334D13}"/>
    <cellStyle name="Note 20 2 2" xfId="15075" xr:uid="{55E2F17C-DBB1-481C-8A26-9B2C4BCCA63A}"/>
    <cellStyle name="Note 20 2 2 2" xfId="30487" xr:uid="{E3CC0044-D7D7-41A6-8A9F-F36CE21B34AA}"/>
    <cellStyle name="Note 20 2 2 2 2" xfId="61684" xr:uid="{0B6D2A33-4C75-449E-8BD6-5EA792B1E15A}"/>
    <cellStyle name="Note 20 2 2 3" xfId="61683" xr:uid="{F12202BA-6DEE-4140-BD8D-C34A35CABBD9}"/>
    <cellStyle name="Note 20 2 3" xfId="22782" xr:uid="{0F489A23-F1EC-4D90-A1A8-756F4256EB06}"/>
    <cellStyle name="Note 20 2 3 2" xfId="61685" xr:uid="{C72DC809-E890-4516-B70D-ED2FDD9CD1A7}"/>
    <cellStyle name="Note 20 2 4" xfId="61682" xr:uid="{589703AD-97EC-4E56-946F-60E5C892C7EB}"/>
    <cellStyle name="Note 20 3" xfId="11346" xr:uid="{A07E6400-8748-4B01-A793-4884E66EF972}"/>
    <cellStyle name="Note 20 3 2" xfId="26759" xr:uid="{97859AF5-3747-43BB-AD10-4EB4D3D6A7AD}"/>
    <cellStyle name="Note 20 3 2 2" xfId="61687" xr:uid="{66A4ACA6-685B-44F2-99F9-E2C6A3F92B31}"/>
    <cellStyle name="Note 20 3 3" xfId="61686" xr:uid="{CB8A7CBF-9FA8-4636-9068-E4FF7AFC7BB0}"/>
    <cellStyle name="Note 20 4" xfId="19054" xr:uid="{FE35B813-7414-4A1A-AF17-F28715206E72}"/>
    <cellStyle name="Note 20 4 2" xfId="61688" xr:uid="{DD2FBDD0-00D4-4F8B-AF77-A44802878664}"/>
    <cellStyle name="Note 20 5" xfId="61681" xr:uid="{1BC2BF9B-B369-4A36-9214-7B34ED06C76D}"/>
    <cellStyle name="Note 21" xfId="3656" xr:uid="{31F42CB8-6D87-49C6-8AC8-083EB47E4F78}"/>
    <cellStyle name="Note 21 2" xfId="7387" xr:uid="{A9CA7BC2-2B5C-4473-931F-620934F5B86F}"/>
    <cellStyle name="Note 21 2 2" xfId="15095" xr:uid="{1CADA7F9-A5C4-4CD9-B2B3-8B5BD1DC8AE4}"/>
    <cellStyle name="Note 21 2 2 2" xfId="30507" xr:uid="{CF64C8FB-E228-42E9-8A20-B18270CDD3ED}"/>
    <cellStyle name="Note 21 2 2 2 2" xfId="61692" xr:uid="{647704F8-8C26-40D0-BF0E-B6FD80872F74}"/>
    <cellStyle name="Note 21 2 2 3" xfId="61691" xr:uid="{51FDD4CD-FEE5-4BB3-AC72-C2CF55E5192A}"/>
    <cellStyle name="Note 21 2 3" xfId="22802" xr:uid="{D1C51EFE-C727-469F-BC07-8B822FBE0D6B}"/>
    <cellStyle name="Note 21 2 3 2" xfId="61693" xr:uid="{FEFE2BB2-421A-49FA-8BD0-AD6977C58217}"/>
    <cellStyle name="Note 21 2 4" xfId="61690" xr:uid="{A85909B2-D714-4DFC-BF8E-C158170C29EB}"/>
    <cellStyle name="Note 21 3" xfId="11366" xr:uid="{10F14D9B-F047-4256-A893-E2046AC8DE24}"/>
    <cellStyle name="Note 21 3 2" xfId="26779" xr:uid="{A9D97F65-A34B-4196-AEB5-15023A6685C5}"/>
    <cellStyle name="Note 21 3 2 2" xfId="61695" xr:uid="{899163B8-2EB8-4545-B409-90B60549D097}"/>
    <cellStyle name="Note 21 3 3" xfId="61694" xr:uid="{110062CA-490D-4415-86A5-74276E4A7530}"/>
    <cellStyle name="Note 21 4" xfId="19074" xr:uid="{12DF1230-27B4-462F-8CE1-D1C1C24EA5EA}"/>
    <cellStyle name="Note 21 4 2" xfId="61696" xr:uid="{333180D8-F7CD-4649-BFF3-572E9A8C5501}"/>
    <cellStyle name="Note 21 5" xfId="61689" xr:uid="{6A364BAC-21CA-4140-8149-087BE8FD3465}"/>
    <cellStyle name="Note 22" xfId="3676" xr:uid="{06454F34-7572-46BD-BB6C-304891973E85}"/>
    <cellStyle name="Note 22 2" xfId="7407" xr:uid="{75BC8AF1-F03E-44AD-8B68-852DDA38520B}"/>
    <cellStyle name="Note 22 2 2" xfId="15115" xr:uid="{A65C1BDA-5114-42A3-8B0D-77022411E1F8}"/>
    <cellStyle name="Note 22 2 2 2" xfId="30527" xr:uid="{23B85F93-24FB-4ED2-B621-29EF297876BB}"/>
    <cellStyle name="Note 22 2 2 2 2" xfId="61700" xr:uid="{5E0D1F40-64AD-4008-BCC0-1B1DC4676F3E}"/>
    <cellStyle name="Note 22 2 2 3" xfId="61699" xr:uid="{BC2AAF59-BBBA-4ED9-8601-CA03BE39856F}"/>
    <cellStyle name="Note 22 2 3" xfId="22822" xr:uid="{8C0C3FBB-7111-4309-AD54-92A27230088F}"/>
    <cellStyle name="Note 22 2 3 2" xfId="61701" xr:uid="{5DCCE13A-71AE-46FD-813D-2C337DB916A1}"/>
    <cellStyle name="Note 22 2 4" xfId="61698" xr:uid="{C56DFBD7-D5EB-43DF-A01B-A5EB60CD8165}"/>
    <cellStyle name="Note 22 3" xfId="11386" xr:uid="{6A4E3764-41A9-4FBF-86FF-717E78E2BB00}"/>
    <cellStyle name="Note 22 3 2" xfId="26799" xr:uid="{E087CFD3-0FA9-4CC2-A600-9F9C96A13945}"/>
    <cellStyle name="Note 22 3 2 2" xfId="61703" xr:uid="{C1899A05-C855-4C61-8864-F81E45E69E35}"/>
    <cellStyle name="Note 22 3 3" xfId="61702" xr:uid="{2992F544-C92F-4269-B71A-F42757CF8219}"/>
    <cellStyle name="Note 22 4" xfId="19094" xr:uid="{CE0022CE-39E3-4F2C-BD58-42E6A185F46C}"/>
    <cellStyle name="Note 22 4 2" xfId="61704" xr:uid="{D52EAFEE-8B32-4482-A572-D972C21A8753}"/>
    <cellStyle name="Note 22 5" xfId="61697" xr:uid="{10B62A44-1798-482C-B508-EEB3C8C0BF4A}"/>
    <cellStyle name="Note 23" xfId="3696" xr:uid="{C4B5BEAC-A8D6-4CC1-8CCF-2A3DA8F1C60E}"/>
    <cellStyle name="Note 23 2" xfId="7427" xr:uid="{B4B29E4B-6C8E-4D3F-928A-EF28C794DC58}"/>
    <cellStyle name="Note 23 2 2" xfId="15135" xr:uid="{0A718FEF-194A-42B4-891E-FCF36E0DD5C4}"/>
    <cellStyle name="Note 23 2 2 2" xfId="30547" xr:uid="{475EBE2C-5D06-4911-9737-86AB62432A27}"/>
    <cellStyle name="Note 23 2 2 2 2" xfId="61708" xr:uid="{D6730FA6-2E16-44C3-929A-5CD71301A36A}"/>
    <cellStyle name="Note 23 2 2 3" xfId="61707" xr:uid="{A935251D-C155-4871-A51E-558ECC41113D}"/>
    <cellStyle name="Note 23 2 3" xfId="22842" xr:uid="{56BCD53F-F905-41BF-B2E7-F5189AFB9CDE}"/>
    <cellStyle name="Note 23 2 3 2" xfId="61709" xr:uid="{E57A0BCF-8B8D-4CC4-9D1B-A4400CE85A5F}"/>
    <cellStyle name="Note 23 2 4" xfId="61706" xr:uid="{08E7F4A6-6358-46FB-ACC9-0E8F2DDA2664}"/>
    <cellStyle name="Note 23 3" xfId="11406" xr:uid="{BD4170C8-5851-44DF-BF02-2ED9C25A1928}"/>
    <cellStyle name="Note 23 3 2" xfId="26819" xr:uid="{D78660E6-67C8-4C54-B642-82010D9FBF07}"/>
    <cellStyle name="Note 23 3 2 2" xfId="61711" xr:uid="{1844823C-4D75-449D-811D-46EDF6880DD5}"/>
    <cellStyle name="Note 23 3 3" xfId="61710" xr:uid="{97BD6DCB-5B35-487F-A88A-3097A85A7E0A}"/>
    <cellStyle name="Note 23 4" xfId="19114" xr:uid="{E4C6E897-D53E-4A3E-88EE-71D54E189FB2}"/>
    <cellStyle name="Note 23 4 2" xfId="61712" xr:uid="{7B656467-2DE3-4C99-BA36-DE16C1DE5098}"/>
    <cellStyle name="Note 23 5" xfId="61705" xr:uid="{B5B2E0F2-7F0B-420A-AA52-C4BD0BAB2DDB}"/>
    <cellStyle name="Note 24" xfId="3716" xr:uid="{EB4F3CE7-96E5-4572-B71B-38DB9236ECD6}"/>
    <cellStyle name="Note 24 2" xfId="7447" xr:uid="{302699B2-A441-4B56-ABA9-1A832FAACFC7}"/>
    <cellStyle name="Note 24 2 2" xfId="15155" xr:uid="{C2306B52-7CDB-4F63-BB8D-00E0491FD5E1}"/>
    <cellStyle name="Note 24 2 2 2" xfId="30567" xr:uid="{42461856-053D-4BF4-A1DC-4AEF0A81F8DE}"/>
    <cellStyle name="Note 24 2 2 2 2" xfId="61716" xr:uid="{AC8F7518-94C7-4251-8715-7619C935A081}"/>
    <cellStyle name="Note 24 2 2 3" xfId="61715" xr:uid="{F0751CB5-297B-4BE2-BBED-4ECF977C6646}"/>
    <cellStyle name="Note 24 2 3" xfId="22862" xr:uid="{42D80CC8-A831-4582-B99C-4865B83D02D1}"/>
    <cellStyle name="Note 24 2 3 2" xfId="61717" xr:uid="{0705E1CD-B51D-4E7B-97F9-AC79ACDEE14B}"/>
    <cellStyle name="Note 24 2 4" xfId="61714" xr:uid="{6E0EF448-5402-473C-B9B6-85AFAE9C65DA}"/>
    <cellStyle name="Note 24 3" xfId="11426" xr:uid="{B0FC65D9-1040-4AC6-AC4A-C4A66E6776DA}"/>
    <cellStyle name="Note 24 3 2" xfId="26839" xr:uid="{C4553274-44AE-43FD-9B6C-0BE763AB90FB}"/>
    <cellStyle name="Note 24 3 2 2" xfId="61719" xr:uid="{8A5060D0-ECBA-4F90-8228-8425D6DBE496}"/>
    <cellStyle name="Note 24 3 3" xfId="61718" xr:uid="{A5570A27-41AB-49D9-86E2-A221BE9CA350}"/>
    <cellStyle name="Note 24 4" xfId="19134" xr:uid="{38819455-EC0A-44DA-87E4-DB70C34535F7}"/>
    <cellStyle name="Note 24 4 2" xfId="61720" xr:uid="{4E543F55-097D-452D-BFCF-A2510846D2BD}"/>
    <cellStyle name="Note 24 5" xfId="61713" xr:uid="{2D69E359-7D99-41CC-BD94-BFF7C53BF359}"/>
    <cellStyle name="Note 25" xfId="3736" xr:uid="{A9D9F097-5C7C-4419-A53B-788AA786D0E6}"/>
    <cellStyle name="Note 25 2" xfId="7467" xr:uid="{92108732-AF4A-48E6-95D9-624896CB5E46}"/>
    <cellStyle name="Note 25 2 2" xfId="15175" xr:uid="{C1269970-7344-4B46-81D0-AA1E48368C90}"/>
    <cellStyle name="Note 25 2 2 2" xfId="30587" xr:uid="{7E03DDF7-EB50-4EF6-994C-40332C589452}"/>
    <cellStyle name="Note 25 2 2 2 2" xfId="61724" xr:uid="{CDEA0952-A291-409B-B0AE-78AEB4B73ED3}"/>
    <cellStyle name="Note 25 2 2 3" xfId="61723" xr:uid="{8686E037-CA1A-4B5F-8513-FAA353480B55}"/>
    <cellStyle name="Note 25 2 3" xfId="22882" xr:uid="{03A2CF05-0D0D-47EE-BB2B-5B4CBA00EC9A}"/>
    <cellStyle name="Note 25 2 3 2" xfId="61725" xr:uid="{AE6F17A5-84DB-49AA-B9D8-549DD973043C}"/>
    <cellStyle name="Note 25 2 4" xfId="61722" xr:uid="{5F48BC47-C79E-4D4C-A127-C5C073BC1AB3}"/>
    <cellStyle name="Note 25 3" xfId="11446" xr:uid="{5D665315-87A2-4D79-B8B6-742B3AF45B3A}"/>
    <cellStyle name="Note 25 3 2" xfId="26859" xr:uid="{42D87415-22CF-48E1-9412-6E39249521E0}"/>
    <cellStyle name="Note 25 3 2 2" xfId="61727" xr:uid="{CF643009-CBD8-4FFF-9809-759FEC13AB72}"/>
    <cellStyle name="Note 25 3 3" xfId="61726" xr:uid="{27B6E04B-D169-4D41-B980-21E5FBD411F8}"/>
    <cellStyle name="Note 25 4" xfId="19154" xr:uid="{E188A531-CC50-4232-A3D4-5A1D2CC30B23}"/>
    <cellStyle name="Note 25 4 2" xfId="61728" xr:uid="{C8FFDE5D-DD7E-4C41-A62E-08E1B16DDB92}"/>
    <cellStyle name="Note 25 5" xfId="61721" xr:uid="{9C1A1E32-2DC1-4FEB-B810-A295F90D144C}"/>
    <cellStyle name="Note 26" xfId="3756" xr:uid="{95E870E2-C794-4977-AAE4-A5C0ADB65EB5}"/>
    <cellStyle name="Note 26 2" xfId="7487" xr:uid="{D8CA0EA4-75D7-4E40-8D0E-1102FAD6BE0D}"/>
    <cellStyle name="Note 26 2 2" xfId="15195" xr:uid="{D6F801FD-4A02-4455-8177-0D5767377CEE}"/>
    <cellStyle name="Note 26 2 2 2" xfId="30607" xr:uid="{711434E8-ACAE-42B3-B15A-DC481FB3DE4F}"/>
    <cellStyle name="Note 26 2 2 2 2" xfId="61732" xr:uid="{418B839D-7D26-4A24-B43B-3699165166CE}"/>
    <cellStyle name="Note 26 2 2 3" xfId="61731" xr:uid="{0CEBEDA2-6796-4231-B12A-6F7A7BC418A7}"/>
    <cellStyle name="Note 26 2 3" xfId="22902" xr:uid="{4B3A09A1-960D-44BB-94FE-06CDDCC14295}"/>
    <cellStyle name="Note 26 2 3 2" xfId="61733" xr:uid="{43739027-42A2-4EE2-9B6A-A5C053102E88}"/>
    <cellStyle name="Note 26 2 4" xfId="61730" xr:uid="{8C593C19-EEEC-4354-84BC-1B28387ACECC}"/>
    <cellStyle name="Note 26 3" xfId="11466" xr:uid="{52C3AAB7-9567-482F-BD2D-A91FA771A107}"/>
    <cellStyle name="Note 26 3 2" xfId="26879" xr:uid="{4E6B5102-BBD7-49F9-BD8D-D4185FFB0597}"/>
    <cellStyle name="Note 26 3 2 2" xfId="61735" xr:uid="{A2E2F7D5-7AD0-41C5-A0B5-9617A0E7D9C3}"/>
    <cellStyle name="Note 26 3 3" xfId="61734" xr:uid="{900AF02D-DC43-4FF6-9C5D-161F9B636C22}"/>
    <cellStyle name="Note 26 4" xfId="19174" xr:uid="{4E678738-DAA0-468B-B561-A0D6AA0DC979}"/>
    <cellStyle name="Note 26 4 2" xfId="61736" xr:uid="{C09D942D-F450-41F6-8C9A-5088BA884504}"/>
    <cellStyle name="Note 26 5" xfId="61729" xr:uid="{0B70FB7C-963B-4854-9C69-C0734C8011CF}"/>
    <cellStyle name="Note 27" xfId="3776" xr:uid="{92BACD2E-1D53-49F3-93F9-441951DB2737}"/>
    <cellStyle name="Note 27 2" xfId="7507" xr:uid="{54053E95-B3A7-41E0-9F27-242281E4AC28}"/>
    <cellStyle name="Note 27 2 2" xfId="15215" xr:uid="{0B62D863-91D8-495A-AA18-D0E79FCBAB85}"/>
    <cellStyle name="Note 27 2 2 2" xfId="30627" xr:uid="{01FB5897-558C-4D44-B04A-73CDF1713CBD}"/>
    <cellStyle name="Note 27 2 2 2 2" xfId="61740" xr:uid="{B42364DC-BD67-4748-8596-553915EC8C31}"/>
    <cellStyle name="Note 27 2 2 3" xfId="61739" xr:uid="{5D38BFFC-E560-4989-BAF8-06CDA3A3CBBD}"/>
    <cellStyle name="Note 27 2 3" xfId="22922" xr:uid="{7F3FDBE2-E099-48B7-BE97-CF00A160808C}"/>
    <cellStyle name="Note 27 2 3 2" xfId="61741" xr:uid="{E40BFDE0-AF75-4326-BC82-4BAC52DA5ED4}"/>
    <cellStyle name="Note 27 2 4" xfId="61738" xr:uid="{F49EBFFD-3860-4CB3-BE29-F4FD9D379550}"/>
    <cellStyle name="Note 27 3" xfId="11486" xr:uid="{010E7938-D0CB-4899-99F1-CC8CEF80E03B}"/>
    <cellStyle name="Note 27 3 2" xfId="26899" xr:uid="{E95F2077-ACB4-4801-8FD4-248D0E8B6D47}"/>
    <cellStyle name="Note 27 3 2 2" xfId="61743" xr:uid="{50922F83-734A-4B7D-8C8B-D4B0347D2DA9}"/>
    <cellStyle name="Note 27 3 3" xfId="61742" xr:uid="{F30D9E17-5CED-4ECE-9A12-0A2F8C8B0400}"/>
    <cellStyle name="Note 27 4" xfId="19194" xr:uid="{6E261E28-638A-4E1F-8D1F-5A3C2A19FAB3}"/>
    <cellStyle name="Note 27 4 2" xfId="61744" xr:uid="{3C7F1619-C195-4420-A5EE-E61DD9A66F9C}"/>
    <cellStyle name="Note 27 5" xfId="61737" xr:uid="{0893A35C-393C-4A60-9F80-60A791675007}"/>
    <cellStyle name="Note 28" xfId="3796" xr:uid="{949AB25C-2BC8-457B-97C4-D309BE6CBEA4}"/>
    <cellStyle name="Note 28 2" xfId="7527" xr:uid="{E9C5A471-A695-40C4-A101-175C6513581F}"/>
    <cellStyle name="Note 28 2 2" xfId="15235" xr:uid="{0CBFC9E8-4726-4540-B2AA-73052E847C22}"/>
    <cellStyle name="Note 28 2 2 2" xfId="30647" xr:uid="{F0168090-7CEB-4AC1-B3E6-AD8C59894E44}"/>
    <cellStyle name="Note 28 2 2 2 2" xfId="61748" xr:uid="{5B766CC6-3D1D-47B6-AEFE-F2913AD59C13}"/>
    <cellStyle name="Note 28 2 2 3" xfId="61747" xr:uid="{06419ECA-E163-4F30-850F-260E52EE9FC1}"/>
    <cellStyle name="Note 28 2 3" xfId="22942" xr:uid="{7D9946D2-D5DE-422C-A733-A740D30769F5}"/>
    <cellStyle name="Note 28 2 3 2" xfId="61749" xr:uid="{4C1DE00A-E5BB-4A5C-924A-D5A140674252}"/>
    <cellStyle name="Note 28 2 4" xfId="61746" xr:uid="{B69C0AB5-9E81-47A5-934B-1E70B08DC77E}"/>
    <cellStyle name="Note 28 3" xfId="11506" xr:uid="{C43791C7-205D-443B-B34F-6B626B807B75}"/>
    <cellStyle name="Note 28 3 2" xfId="26919" xr:uid="{1EAACE40-FBCC-4568-AB34-01683418CF78}"/>
    <cellStyle name="Note 28 3 2 2" xfId="61751" xr:uid="{D1971C93-C276-4A80-BDE6-BFADCFEB1D3A}"/>
    <cellStyle name="Note 28 3 3" xfId="61750" xr:uid="{33D82AFC-4C9D-4F5A-BFCC-58E066F97F50}"/>
    <cellStyle name="Note 28 4" xfId="19214" xr:uid="{22130F55-E4D6-4F5E-8907-3AC2033017A5}"/>
    <cellStyle name="Note 28 4 2" xfId="61752" xr:uid="{44425726-7AA8-4628-929D-6D15234BE17F}"/>
    <cellStyle name="Note 28 5" xfId="61745" xr:uid="{E750FB92-B090-4992-A53F-B86EEA05D2C0}"/>
    <cellStyle name="Note 29" xfId="3816" xr:uid="{27CE7475-20DF-416E-BFEE-B4A96DD1A608}"/>
    <cellStyle name="Note 29 2" xfId="7547" xr:uid="{833A85CF-9BC7-4E70-866F-B3ED1E029FB3}"/>
    <cellStyle name="Note 29 2 2" xfId="15255" xr:uid="{4302C8D8-198A-4E15-86E3-9F7FB31C0F59}"/>
    <cellStyle name="Note 29 2 2 2" xfId="30667" xr:uid="{04E4282E-AD4E-43DE-B7B5-273E71DBFB24}"/>
    <cellStyle name="Note 29 2 2 2 2" xfId="61756" xr:uid="{AE7E9EB9-956F-4265-930F-E2AA7C6AF750}"/>
    <cellStyle name="Note 29 2 2 3" xfId="61755" xr:uid="{FD0DB847-0EEF-4080-BBCC-4BC6759D632A}"/>
    <cellStyle name="Note 29 2 3" xfId="22962" xr:uid="{1EC1DAD0-6E5B-478D-B27B-EC447406CBED}"/>
    <cellStyle name="Note 29 2 3 2" xfId="61757" xr:uid="{D21FD49C-B29E-4D09-95D8-053788225DC8}"/>
    <cellStyle name="Note 29 2 4" xfId="61754" xr:uid="{ABB2D3CC-715C-4925-A1D0-F3FE9E14A85C}"/>
    <cellStyle name="Note 29 3" xfId="11526" xr:uid="{1F07B662-B5D1-406D-86FD-4ACE17807126}"/>
    <cellStyle name="Note 29 3 2" xfId="26939" xr:uid="{48B48150-6624-4081-8853-88E5E5143AE9}"/>
    <cellStyle name="Note 29 3 2 2" xfId="61759" xr:uid="{85118F45-7867-4E56-A593-44AA16D5C959}"/>
    <cellStyle name="Note 29 3 3" xfId="61758" xr:uid="{164BD4BE-1F25-4433-B4B4-52F95ACD7441}"/>
    <cellStyle name="Note 29 4" xfId="19234" xr:uid="{273A1239-C1F9-4EB9-BC2B-0D554EE539F7}"/>
    <cellStyle name="Note 29 4 2" xfId="61760" xr:uid="{0DD58DED-83E7-452D-8FE5-9078C81FF4A6}"/>
    <cellStyle name="Note 29 5" xfId="61753" xr:uid="{6528FFF8-BB4E-4D27-BC7D-7D5F8F6B39C3}"/>
    <cellStyle name="Note 3" xfId="3295" xr:uid="{88F8A49E-D7BF-47D4-91A1-F4F0544956EE}"/>
    <cellStyle name="Note 3 2" xfId="7027" xr:uid="{9AF9E321-A247-4C31-8B0D-E75A80822863}"/>
    <cellStyle name="Note 3 2 2" xfId="14735" xr:uid="{FF3062FA-187B-49F0-B6FB-5D8C9901B8DD}"/>
    <cellStyle name="Note 3 2 2 2" xfId="30147" xr:uid="{2F95D44D-5CE6-4248-BF4C-A2C38EEB1558}"/>
    <cellStyle name="Note 3 2 2 2 2" xfId="61764" xr:uid="{69BE9B23-917B-4153-B1FB-FD0795C4C7A8}"/>
    <cellStyle name="Note 3 2 2 3" xfId="61763" xr:uid="{152B2609-AD1B-448E-87CE-8AA7943ED3DC}"/>
    <cellStyle name="Note 3 2 3" xfId="22442" xr:uid="{A48CA45E-F0A5-4EB6-82DA-0CED73CA6D05}"/>
    <cellStyle name="Note 3 2 3 2" xfId="61765" xr:uid="{6746F968-5724-4A01-9962-29268D1BFBCD}"/>
    <cellStyle name="Note 3 2 4" xfId="61762" xr:uid="{57C99E2F-3279-43A5-9457-919A134D85D9}"/>
    <cellStyle name="Note 3 3" xfId="11006" xr:uid="{25B3E9E2-0E41-4A7D-B314-86C8570ABA1D}"/>
    <cellStyle name="Note 3 3 2" xfId="26419" xr:uid="{614517EB-B122-4D97-A8E2-F14F7961FACC}"/>
    <cellStyle name="Note 3 3 2 2" xfId="61767" xr:uid="{026EE642-162A-41F5-B9B2-EE9C1ABF4EBC}"/>
    <cellStyle name="Note 3 3 3" xfId="61766" xr:uid="{E5CECCD1-C9B8-4C75-835B-8BCAEC127BCB}"/>
    <cellStyle name="Note 3 4" xfId="18714" xr:uid="{1AD97B8F-2453-429E-AE7D-01BE10EB019D}"/>
    <cellStyle name="Note 3 4 2" xfId="61768" xr:uid="{FB2DEBFE-54F2-4640-8248-E7CB64D4356E}"/>
    <cellStyle name="Note 3 5" xfId="61761" xr:uid="{94D9F93E-BB57-4973-AB98-BD640C4A12AE}"/>
    <cellStyle name="Note 30" xfId="3837" xr:uid="{974F127E-50EC-4D97-A864-50BADB3DD34A}"/>
    <cellStyle name="Note 30 2" xfId="7567" xr:uid="{F40C2F38-14C7-45A8-8036-AECA108A8FF0}"/>
    <cellStyle name="Note 30 2 2" xfId="15275" xr:uid="{A2A81FD7-B36E-48C1-9FB0-AD3597C721A6}"/>
    <cellStyle name="Note 30 2 2 2" xfId="30687" xr:uid="{BDB6F546-F95C-49DB-920A-326B61CCC892}"/>
    <cellStyle name="Note 30 2 2 2 2" xfId="61772" xr:uid="{3FA6ECB4-8AAB-4523-9C06-3698D0883998}"/>
    <cellStyle name="Note 30 2 2 3" xfId="61771" xr:uid="{9A4F4A16-E182-467C-B43A-D9B9900BDFCD}"/>
    <cellStyle name="Note 30 2 3" xfId="22982" xr:uid="{7D0031D3-508C-4363-B398-304FBD97C0D7}"/>
    <cellStyle name="Note 30 2 3 2" xfId="61773" xr:uid="{42C5F59F-9AA3-45FE-8806-102B126CC4B2}"/>
    <cellStyle name="Note 30 2 4" xfId="61770" xr:uid="{53DF51F7-4FC0-47BE-8A2C-E7C223E4F26C}"/>
    <cellStyle name="Note 30 3" xfId="11547" xr:uid="{12047998-0223-4186-86FC-C9A778F10160}"/>
    <cellStyle name="Note 30 3 2" xfId="26959" xr:uid="{76536F95-76D8-42CF-8632-55660E6C9F4B}"/>
    <cellStyle name="Note 30 3 2 2" xfId="61775" xr:uid="{14ECF0D2-CEB1-46FF-BFFD-614D5A4AFEA6}"/>
    <cellStyle name="Note 30 3 3" xfId="61774" xr:uid="{BD3ED330-AF90-4949-A2AD-9735B2CDC2B1}"/>
    <cellStyle name="Note 30 4" xfId="19254" xr:uid="{E6352E74-3844-4A8F-96D9-09093275678B}"/>
    <cellStyle name="Note 30 4 2" xfId="61776" xr:uid="{ED54C7DB-28ED-45D2-9BD0-9E7C02907FE5}"/>
    <cellStyle name="Note 30 5" xfId="61769" xr:uid="{85A49629-ED01-4649-8B90-3BD6C9DBB4D9}"/>
    <cellStyle name="Note 31" xfId="7587" xr:uid="{7FFF1CD0-8EAE-4BC9-BF24-54D9CA7695DE}"/>
    <cellStyle name="Note 31 2" xfId="15295" xr:uid="{979A3376-A1D7-4E98-9B6D-6F987EF49926}"/>
    <cellStyle name="Note 31 2 2" xfId="30707" xr:uid="{425BA608-69D0-48F9-92A8-68EC240F4F80}"/>
    <cellStyle name="Note 31 2 2 2" xfId="61779" xr:uid="{8128E733-78B0-487C-8572-912AF884157B}"/>
    <cellStyle name="Note 31 2 3" xfId="61778" xr:uid="{EFB28C55-24D5-4593-B4E6-7F1905D1354D}"/>
    <cellStyle name="Note 31 3" xfId="23002" xr:uid="{7FB71FA0-536A-4908-B873-C89AE7767C82}"/>
    <cellStyle name="Note 31 3 2" xfId="61780" xr:uid="{11822650-A2B6-4597-8EE6-31E9B1C04E50}"/>
    <cellStyle name="Note 31 4" xfId="61777" xr:uid="{3F61640F-664D-471D-A1EC-052B10750F73}"/>
    <cellStyle name="Note 32" xfId="7607" xr:uid="{551AE0AD-EE45-497B-861F-481CC740C006}"/>
    <cellStyle name="Note 32 2" xfId="15315" xr:uid="{30A7DABE-647F-43B3-89B8-ED6E451A9707}"/>
    <cellStyle name="Note 32 2 2" xfId="30727" xr:uid="{55EB56BB-27A6-42A1-B8DE-37E41612E5CE}"/>
    <cellStyle name="Note 32 2 2 2" xfId="61783" xr:uid="{598C8675-8BBA-4C14-AD67-F208E81FC589}"/>
    <cellStyle name="Note 32 2 3" xfId="61782" xr:uid="{EF501B16-381A-46C1-9F58-404C61ED3CD9}"/>
    <cellStyle name="Note 32 3" xfId="23022" xr:uid="{6B0D62CC-FC0D-4A31-B64E-C7FE131B0F3A}"/>
    <cellStyle name="Note 32 3 2" xfId="61784" xr:uid="{C744F60F-D8DC-42F2-96D5-6F3564681721}"/>
    <cellStyle name="Note 32 4" xfId="61781" xr:uid="{DB056218-8611-4031-955C-52EA43E33788}"/>
    <cellStyle name="Note 33" xfId="7627" xr:uid="{7ACA1C85-4E67-483A-8E92-BB84AD612A2C}"/>
    <cellStyle name="Note 33 2" xfId="15335" xr:uid="{8F9D9C7C-398C-4E4E-BFAE-5023F15C8851}"/>
    <cellStyle name="Note 33 2 2" xfId="30747" xr:uid="{4616CE4C-7828-4474-B6B9-7CDF2594CA44}"/>
    <cellStyle name="Note 33 2 2 2" xfId="61787" xr:uid="{44FADDDF-3EB7-4884-BE77-14E8F6B513B2}"/>
    <cellStyle name="Note 33 2 3" xfId="61786" xr:uid="{6CB22BCF-38D1-4ED3-A1A3-1FD6CE2B0F6F}"/>
    <cellStyle name="Note 33 3" xfId="23042" xr:uid="{DB65A4D0-C90A-4E4D-A6FF-682ED385B350}"/>
    <cellStyle name="Note 33 3 2" xfId="61788" xr:uid="{DCCB3924-84F9-4141-9ABF-67DF305DCAF2}"/>
    <cellStyle name="Note 33 4" xfId="61785" xr:uid="{912B05B4-9379-47D4-B9C1-C1BA6EF0DDFD}"/>
    <cellStyle name="Note 34" xfId="7647" xr:uid="{1C9D87EE-2CAA-4BBB-AD0F-76B167EA1F32}"/>
    <cellStyle name="Note 34 2" xfId="15355" xr:uid="{808D0C3A-DE8A-43AE-91AF-5F0C6C96FEB6}"/>
    <cellStyle name="Note 34 2 2" xfId="30767" xr:uid="{93B7D90C-DCF3-4B07-8E04-6CFFD3BFE0EA}"/>
    <cellStyle name="Note 34 2 2 2" xfId="61791" xr:uid="{E7E3812D-733B-45E7-B777-784360C8C627}"/>
    <cellStyle name="Note 34 2 3" xfId="61790" xr:uid="{66E05296-F759-42E9-B8E4-FB09194FC314}"/>
    <cellStyle name="Note 34 3" xfId="23062" xr:uid="{4895D338-0ED8-4240-B149-4700651C4F1F}"/>
    <cellStyle name="Note 34 3 2" xfId="61792" xr:uid="{6871A466-09B1-4348-8663-B413E8FA8956}"/>
    <cellStyle name="Note 34 4" xfId="61789" xr:uid="{069E2C03-A417-4D3B-80D3-26C2D3D15950}"/>
    <cellStyle name="Note 35" xfId="7667" xr:uid="{1F1E1AAC-E33D-441F-804B-D504C73CB026}"/>
    <cellStyle name="Note 35 2" xfId="15375" xr:uid="{96605029-0651-4303-B25C-E18AEF0A5548}"/>
    <cellStyle name="Note 35 2 2" xfId="30787" xr:uid="{0FF95791-0457-44F1-BAAE-E6436F3809FF}"/>
    <cellStyle name="Note 35 2 2 2" xfId="61795" xr:uid="{87149B46-A7F0-483E-AB0F-2585225F7473}"/>
    <cellStyle name="Note 35 2 3" xfId="61794" xr:uid="{C87CAF54-0972-487E-A39D-C01024C79ADA}"/>
    <cellStyle name="Note 35 3" xfId="23082" xr:uid="{708AC4D4-65DA-4935-82D5-3DD4FD9783F8}"/>
    <cellStyle name="Note 35 3 2" xfId="61796" xr:uid="{A146AD11-2A31-4C0D-839C-967E917DD17E}"/>
    <cellStyle name="Note 35 4" xfId="61793" xr:uid="{72D1D70B-324A-4CCA-9D60-0FEC38B5CC0E}"/>
    <cellStyle name="Note 36" xfId="7687" xr:uid="{4D0E9D36-23EB-4AD7-8163-118FA2FB4EBD}"/>
    <cellStyle name="Note 36 2" xfId="15395" xr:uid="{439C703D-905C-4A8F-B793-5D3105CBE66D}"/>
    <cellStyle name="Note 36 2 2" xfId="30807" xr:uid="{D7D14D93-A0B4-459F-B899-E9F47575AE0C}"/>
    <cellStyle name="Note 36 2 2 2" xfId="61799" xr:uid="{525AE18F-D2E8-46E3-B0EB-48982399D515}"/>
    <cellStyle name="Note 36 2 3" xfId="61798" xr:uid="{854026C3-CCD3-4EB1-B8E6-C7F42A034E4B}"/>
    <cellStyle name="Note 36 3" xfId="23102" xr:uid="{7F37572B-A0EC-4117-8289-001FF070FB4F}"/>
    <cellStyle name="Note 36 3 2" xfId="61800" xr:uid="{3693EBF6-3B19-4366-B7C8-77046A3329E2}"/>
    <cellStyle name="Note 36 4" xfId="61797" xr:uid="{6A602F17-F0A6-4826-BD42-F6480F354F2F}"/>
    <cellStyle name="Note 37" xfId="7707" xr:uid="{2C41C8E5-EB6D-4195-B995-37A951E346B0}"/>
    <cellStyle name="Note 37 2" xfId="15415" xr:uid="{70FE8198-18D9-4FF8-891A-5E52C0F68373}"/>
    <cellStyle name="Note 37 2 2" xfId="30827" xr:uid="{D1B1A7EF-6726-4BA2-AA13-C1BF760AC726}"/>
    <cellStyle name="Note 37 2 2 2" xfId="61803" xr:uid="{D8F74A99-444E-48B4-8119-3767A1C1EEE7}"/>
    <cellStyle name="Note 37 2 3" xfId="61802" xr:uid="{E8E31358-8A14-4FCC-B780-E8CB56F5B190}"/>
    <cellStyle name="Note 37 3" xfId="23122" xr:uid="{057456BF-DE35-48D0-A108-C25C946016C3}"/>
    <cellStyle name="Note 37 3 2" xfId="61804" xr:uid="{F3C41C4B-995B-4E8C-9208-88B1A25F3882}"/>
    <cellStyle name="Note 37 4" xfId="61801" xr:uid="{83319D6E-6306-4014-895F-906D1EBF18FB}"/>
    <cellStyle name="Note 38" xfId="7727" xr:uid="{D6589063-124D-4816-B009-2A9B20BC9187}"/>
    <cellStyle name="Note 38 2" xfId="15435" xr:uid="{9767355E-EB37-4776-99AD-43BA2BB4D763}"/>
    <cellStyle name="Note 38 2 2" xfId="30847" xr:uid="{37E7F68B-BEC1-48C9-8893-2F957E6CEF2A}"/>
    <cellStyle name="Note 38 2 2 2" xfId="61807" xr:uid="{ED4360D0-0B90-40B0-9160-0535619DC27C}"/>
    <cellStyle name="Note 38 2 3" xfId="61806" xr:uid="{F81378A7-2EDF-4E1D-960B-679927ABD56E}"/>
    <cellStyle name="Note 38 3" xfId="23142" xr:uid="{FD1BD261-2BAE-4824-BC8C-D35D41F3A942}"/>
    <cellStyle name="Note 38 3 2" xfId="61808" xr:uid="{C008CC86-2596-4625-8651-04D2AD9E86AB}"/>
    <cellStyle name="Note 38 4" xfId="61805" xr:uid="{780533B0-4248-46D8-9388-06C56EF09A5C}"/>
    <cellStyle name="Note 39" xfId="7747" xr:uid="{1D5FD6FE-8A4D-464F-B069-FA35F48563AB}"/>
    <cellStyle name="Note 39 2" xfId="15455" xr:uid="{A0C1C689-94A4-40FB-B249-9A444545BAB3}"/>
    <cellStyle name="Note 39 2 2" xfId="30867" xr:uid="{CAA28A4B-F7A8-4194-A1E6-6D6B7AB00CFA}"/>
    <cellStyle name="Note 39 2 2 2" xfId="61811" xr:uid="{9563D83E-98C9-4141-93FB-E1E4DEFF1111}"/>
    <cellStyle name="Note 39 2 3" xfId="61810" xr:uid="{F281A681-110E-4334-8B95-9694761E886F}"/>
    <cellStyle name="Note 39 3" xfId="23162" xr:uid="{B3D8DD1E-7692-4C28-AA88-A217086B3447}"/>
    <cellStyle name="Note 39 3 2" xfId="61812" xr:uid="{CC1535A4-E371-4BF1-B90C-719335AB7E97}"/>
    <cellStyle name="Note 39 4" xfId="61809" xr:uid="{04D82E09-AD9D-498D-9186-FB5A3C39BB0E}"/>
    <cellStyle name="Note 4" xfId="3315" xr:uid="{24C3BDDC-39E2-4D91-AB91-A8562CABA739}"/>
    <cellStyle name="Note 4 2" xfId="7047" xr:uid="{04F2FFD8-51DB-4EE3-9B5F-3A03FDEF77B3}"/>
    <cellStyle name="Note 4 2 2" xfId="14755" xr:uid="{1B0BED94-2FFF-4E48-821D-B38326630711}"/>
    <cellStyle name="Note 4 2 2 2" xfId="30167" xr:uid="{DD913323-98E8-4E16-B625-9380732FCE95}"/>
    <cellStyle name="Note 4 2 2 2 2" xfId="61816" xr:uid="{9098CE98-5B0A-4520-9526-BB776CBE7C33}"/>
    <cellStyle name="Note 4 2 2 3" xfId="61815" xr:uid="{69E345D7-FD28-4492-995F-EA2EB9876782}"/>
    <cellStyle name="Note 4 2 3" xfId="22462" xr:uid="{53F43341-E086-40C2-9F43-8E06C1B8E430}"/>
    <cellStyle name="Note 4 2 3 2" xfId="61817" xr:uid="{8A10B230-3971-4135-B1A9-19EC6288D17F}"/>
    <cellStyle name="Note 4 2 4" xfId="61814" xr:uid="{7E116242-B9C0-415B-881C-C6FB8EB295F0}"/>
    <cellStyle name="Note 4 3" xfId="11026" xr:uid="{1AA99228-8C83-41F1-B545-54CEDDDE0C3F}"/>
    <cellStyle name="Note 4 3 2" xfId="26439" xr:uid="{0359382C-D42F-4B60-8843-681EA4CE3A3C}"/>
    <cellStyle name="Note 4 3 2 2" xfId="61819" xr:uid="{8967D66C-ED93-45D9-9AA7-4CCE1A2F2CD7}"/>
    <cellStyle name="Note 4 3 3" xfId="61818" xr:uid="{43D1224D-9BE5-415D-837D-C4DA3495C257}"/>
    <cellStyle name="Note 4 4" xfId="18734" xr:uid="{94A08344-D5A0-4B60-8026-F48F9F1C77C4}"/>
    <cellStyle name="Note 4 4 2" xfId="61820" xr:uid="{AE143258-B283-44E7-89B4-FDC355AE39FD}"/>
    <cellStyle name="Note 4 5" xfId="61813" xr:uid="{CDA7FC41-C9C3-4107-B75C-CACEB346F62A}"/>
    <cellStyle name="Note 40" xfId="7767" xr:uid="{D893322F-2B6A-4FB4-83F1-69540F3EF3B3}"/>
    <cellStyle name="Note 40 2" xfId="15475" xr:uid="{52E6702F-2CF7-410D-967E-208A13FA81DA}"/>
    <cellStyle name="Note 40 2 2" xfId="30887" xr:uid="{4071C8BB-20CC-49D7-A613-CFCAB343AC5E}"/>
    <cellStyle name="Note 40 2 2 2" xfId="61823" xr:uid="{4E096D12-9DCB-44B5-8776-D72360B4D5BC}"/>
    <cellStyle name="Note 40 2 3" xfId="61822" xr:uid="{82B195E1-CDEA-4E8F-A649-CBADC9A2A68A}"/>
    <cellStyle name="Note 40 3" xfId="23182" xr:uid="{AE244486-2596-42D0-82B4-6AE7589BB6DE}"/>
    <cellStyle name="Note 40 3 2" xfId="61824" xr:uid="{7D6478AB-82BA-4CC9-BA51-B533E82C1E81}"/>
    <cellStyle name="Note 40 4" xfId="61821" xr:uid="{90AD02C4-B759-4CC4-8A1C-08112521DDC0}"/>
    <cellStyle name="Note 41" xfId="7787" xr:uid="{C5B9D57D-6ACA-464F-8E06-0F95F521F3F8}"/>
    <cellStyle name="Note 41 2" xfId="15495" xr:uid="{C0A9D8E7-801F-4781-B6A9-5C46127452B6}"/>
    <cellStyle name="Note 41 2 2" xfId="30907" xr:uid="{4602083C-2167-4329-B5B7-493C9BFCD198}"/>
    <cellStyle name="Note 41 2 2 2" xfId="61827" xr:uid="{F14150D0-3126-49C8-9C08-691553E05D9F}"/>
    <cellStyle name="Note 41 2 3" xfId="61826" xr:uid="{D3F53E40-4696-4481-8EE2-5B72DEDFAA2D}"/>
    <cellStyle name="Note 41 3" xfId="23202" xr:uid="{F4297A87-75B6-4FD4-A9B1-58D41012F622}"/>
    <cellStyle name="Note 41 3 2" xfId="61828" xr:uid="{7790F1FC-53FD-4ED0-9AB8-ABE546A38EC9}"/>
    <cellStyle name="Note 41 4" xfId="61825" xr:uid="{B5B995C9-BE29-4BC0-BF79-40A6526DA231}"/>
    <cellStyle name="Note 42" xfId="7809" xr:uid="{1B729BF9-5EA2-4155-9ECD-218033B7839C}"/>
    <cellStyle name="Note 42 2" xfId="15517" xr:uid="{373CD8FC-679E-4D19-88D1-4AED37BB2790}"/>
    <cellStyle name="Note 42 2 2" xfId="30929" xr:uid="{089AAADE-7535-4E0F-BBFB-745928AC65B3}"/>
    <cellStyle name="Note 42 2 2 2" xfId="61831" xr:uid="{A4A14685-D85B-4075-B323-19BDF6B02E1A}"/>
    <cellStyle name="Note 42 2 3" xfId="61830" xr:uid="{980DE34F-AB03-4B4E-AC6F-DD37FBF66DC6}"/>
    <cellStyle name="Note 42 3" xfId="23224" xr:uid="{2940E0F8-C451-4FA9-82B4-0A368DACEF40}"/>
    <cellStyle name="Note 42 3 2" xfId="61832" xr:uid="{3D8EC6DC-2850-4DDB-94F0-634BEBFAA2AD}"/>
    <cellStyle name="Note 42 4" xfId="61829" xr:uid="{21B0E807-1A79-4C41-9042-06276F4E06AF}"/>
    <cellStyle name="Note 43" xfId="7830" xr:uid="{81A84D40-EA57-48DE-9542-F30323F6B7D2}"/>
    <cellStyle name="Note 43 2" xfId="15538" xr:uid="{A90D4F2C-B79D-474C-B101-2A9511309EEB}"/>
    <cellStyle name="Note 43 2 2" xfId="30949" xr:uid="{E02DE28F-801E-4E0C-9330-D4ADECC8ADC6}"/>
    <cellStyle name="Note 43 2 2 2" xfId="61835" xr:uid="{9896D8DC-22BE-4919-A13D-FF08E8458FAE}"/>
    <cellStyle name="Note 43 2 3" xfId="61834" xr:uid="{C98663AB-4613-4EBF-809C-F07E9386BA03}"/>
    <cellStyle name="Note 43 3" xfId="23244" xr:uid="{87083A8F-B9C8-4CC6-B651-FB060C64366D}"/>
    <cellStyle name="Note 43 3 2" xfId="61836" xr:uid="{DC8C81D0-53CF-4496-937C-533BD6E0A486}"/>
    <cellStyle name="Note 43 4" xfId="61833" xr:uid="{E2161BEB-D96E-4BF4-88D9-95F35E516620}"/>
    <cellStyle name="Note 44" xfId="7850" xr:uid="{DA1705C5-6277-424D-8878-FADBC7768744}"/>
    <cellStyle name="Note 44 2" xfId="15558" xr:uid="{548E3668-85EB-49F2-9984-8B4C0EF759BF}"/>
    <cellStyle name="Note 44 2 2" xfId="30969" xr:uid="{EDD8F044-609E-4502-BE79-81D0DF686B10}"/>
    <cellStyle name="Note 44 2 2 2" xfId="61839" xr:uid="{6B813A14-48B0-4395-BD1C-4892E582A191}"/>
    <cellStyle name="Note 44 2 3" xfId="61838" xr:uid="{66EFAE87-D2D4-42E8-BC32-212F5F043B05}"/>
    <cellStyle name="Note 44 3" xfId="23264" xr:uid="{44453648-ADE5-4EF9-9DED-2B4B33D20056}"/>
    <cellStyle name="Note 44 3 2" xfId="61840" xr:uid="{21939E4A-EB4D-403B-ADC4-00F25391F38B}"/>
    <cellStyle name="Note 44 4" xfId="61837" xr:uid="{70929B1A-2DED-4950-B951-8F709ECE1641}"/>
    <cellStyle name="Note 45" xfId="30989" xr:uid="{961B40E5-D91B-43A5-BFD0-5D58F566FF63}"/>
    <cellStyle name="Note 45 2" xfId="61841" xr:uid="{22CA3B11-AB07-42CB-8A46-4714547DD09A}"/>
    <cellStyle name="Note 46" xfId="61969" xr:uid="{6964D129-C45D-47CE-BE39-A38A2531ECE7}"/>
    <cellStyle name="Note 47" xfId="61989" xr:uid="{F4F76DFE-CE45-4F73-AE85-3F289515DE26}"/>
    <cellStyle name="Note 48" xfId="62009" xr:uid="{D1E0A661-7042-4731-BA40-E27A0506BE45}"/>
    <cellStyle name="Note 49" xfId="62048" xr:uid="{7190622F-60CD-421B-8CC6-0172B8D98BF7}"/>
    <cellStyle name="Note 5" xfId="3335" xr:uid="{2A5CBB91-44EE-45DA-BB0A-6E720D9F76DD}"/>
    <cellStyle name="Note 5 2" xfId="7067" xr:uid="{59051F67-5E9A-4B7D-8BD4-2E9D7D975960}"/>
    <cellStyle name="Note 5 2 2" xfId="14775" xr:uid="{2DA5FBEA-87E9-47E8-880E-E15312A1EA14}"/>
    <cellStyle name="Note 5 2 2 2" xfId="30187" xr:uid="{27B20F16-1974-4645-B305-C6A443AFBC9C}"/>
    <cellStyle name="Note 5 2 2 2 2" xfId="61845" xr:uid="{232211CB-F211-4AE1-8B33-68803DE7150A}"/>
    <cellStyle name="Note 5 2 2 3" xfId="61844" xr:uid="{D4D1EC26-35DD-41C5-B3EA-35D47C2964E4}"/>
    <cellStyle name="Note 5 2 3" xfId="22482" xr:uid="{1E40366F-5752-4BBB-9910-56AD1CD1527B}"/>
    <cellStyle name="Note 5 2 3 2" xfId="61846" xr:uid="{78055ADD-3467-493C-9AB2-96C4BE475EA1}"/>
    <cellStyle name="Note 5 2 4" xfId="61843" xr:uid="{F060B95B-8798-49B0-B25A-5B95F85BFB42}"/>
    <cellStyle name="Note 5 3" xfId="11046" xr:uid="{48382067-61E9-40FF-B7A4-5451C4BF734A}"/>
    <cellStyle name="Note 5 3 2" xfId="26459" xr:uid="{F6516186-3C8C-4D35-98BE-46F179D917AF}"/>
    <cellStyle name="Note 5 3 2 2" xfId="61848" xr:uid="{047371CA-DA35-4014-A93C-E9C7E4C384A7}"/>
    <cellStyle name="Note 5 3 3" xfId="61847" xr:uid="{BB3D432A-F899-43FC-B5C2-48176D85B802}"/>
    <cellStyle name="Note 5 4" xfId="18754" xr:uid="{4868D3FF-FF94-4C92-87CB-4091781CEDED}"/>
    <cellStyle name="Note 5 4 2" xfId="61849" xr:uid="{28C69050-E1A1-470F-A483-7435AA02746B}"/>
    <cellStyle name="Note 5 5" xfId="61842" xr:uid="{2BBA204C-CC1D-49BF-A221-90F1BC9D1BC8}"/>
    <cellStyle name="Note 50" xfId="62071" xr:uid="{2F006371-EEC4-478A-8F62-3E50A67D9BF3}"/>
    <cellStyle name="Note 51" xfId="62078" xr:uid="{606AF4B5-BBF9-4A28-9B7B-94BB8BB1A9EF}"/>
    <cellStyle name="Note 6" xfId="3355" xr:uid="{459C20E5-05E1-41D6-8B8C-00598C069287}"/>
    <cellStyle name="Note 6 2" xfId="7087" xr:uid="{2189D8E6-CE9F-4C44-BCAF-27E0353BFCE1}"/>
    <cellStyle name="Note 6 2 2" xfId="14795" xr:uid="{61CF952F-B73E-4104-8271-CA0B9A00175D}"/>
    <cellStyle name="Note 6 2 2 2" xfId="30207" xr:uid="{A7097C67-F44F-4608-83C0-1F987E4AF4D6}"/>
    <cellStyle name="Note 6 2 2 2 2" xfId="61853" xr:uid="{F55B0883-A562-4246-AE25-17F1CC11C464}"/>
    <cellStyle name="Note 6 2 2 3" xfId="61852" xr:uid="{8CA0547D-BA3D-4EB4-A927-BAB1B87C5D08}"/>
    <cellStyle name="Note 6 2 3" xfId="22502" xr:uid="{670532E0-CABB-4B2D-8852-9D27E93F6B06}"/>
    <cellStyle name="Note 6 2 3 2" xfId="61854" xr:uid="{A27BEE51-78E4-4D71-8E1D-1E2A35A429F6}"/>
    <cellStyle name="Note 6 2 4" xfId="61851" xr:uid="{4C9C3B83-EA6F-4E64-814D-869EEAB29498}"/>
    <cellStyle name="Note 6 3" xfId="11066" xr:uid="{BF0E27CA-C36D-45DC-97DF-2B410F9D79BF}"/>
    <cellStyle name="Note 6 3 2" xfId="26479" xr:uid="{173C24F1-1550-4C39-8D14-9FAE56E8F4CE}"/>
    <cellStyle name="Note 6 3 2 2" xfId="61856" xr:uid="{6BDDC89B-4BFD-4861-9788-61E0B032C373}"/>
    <cellStyle name="Note 6 3 3" xfId="61855" xr:uid="{EE4F372C-14D6-4DAD-9996-72A3300B1C3E}"/>
    <cellStyle name="Note 6 4" xfId="18774" xr:uid="{C5DA3904-E1B8-4ABE-9DDA-77FFA921CB7B}"/>
    <cellStyle name="Note 6 4 2" xfId="61857" xr:uid="{FF39D6FD-2862-4356-8055-7AE0A47E2761}"/>
    <cellStyle name="Note 6 5" xfId="61850" xr:uid="{C9B8AAAF-5A89-4E47-AB1C-81F973A378B2}"/>
    <cellStyle name="Note 7" xfId="3375" xr:uid="{E002C103-061C-45F8-B2E3-40BC823BA4AF}"/>
    <cellStyle name="Note 7 2" xfId="7107" xr:uid="{EDD483C0-D67C-4E4F-99A9-6E49D4C133D8}"/>
    <cellStyle name="Note 7 2 2" xfId="14815" xr:uid="{04EC6CDF-85FC-48C9-ACFD-C20D747E0F88}"/>
    <cellStyle name="Note 7 2 2 2" xfId="30227" xr:uid="{E5281D7A-CECC-4234-B183-800226E651C3}"/>
    <cellStyle name="Note 7 2 2 2 2" xfId="61861" xr:uid="{F0D71195-6F40-4DA1-955D-29D2AE2C9679}"/>
    <cellStyle name="Note 7 2 2 3" xfId="61860" xr:uid="{D1E0CEF6-8950-439C-9D98-533BDC1549B9}"/>
    <cellStyle name="Note 7 2 3" xfId="22522" xr:uid="{7103DE9C-A3C1-458E-B5E2-9DD5D1B90D20}"/>
    <cellStyle name="Note 7 2 3 2" xfId="61862" xr:uid="{B4FACBCF-E3F7-48AF-B9A4-D0EF00B4EE2B}"/>
    <cellStyle name="Note 7 2 4" xfId="61859" xr:uid="{E00F2907-6853-421A-B8EA-9B4B017DA899}"/>
    <cellStyle name="Note 7 3" xfId="11086" xr:uid="{453A7CA7-1A69-4776-9CC3-C8B79F6DDD96}"/>
    <cellStyle name="Note 7 3 2" xfId="26499" xr:uid="{57FFB2FB-E21D-40A0-9D54-DD7ADB5C042B}"/>
    <cellStyle name="Note 7 3 2 2" xfId="61864" xr:uid="{BDAA2553-1C6A-4AEF-9938-EDEFB3A7CC3F}"/>
    <cellStyle name="Note 7 3 3" xfId="61863" xr:uid="{6CF9FDFC-6B12-43D1-B1F4-DF3189F1574E}"/>
    <cellStyle name="Note 7 4" xfId="18794" xr:uid="{83BD699C-343D-4B11-BAF3-26D6F3278D10}"/>
    <cellStyle name="Note 7 4 2" xfId="61865" xr:uid="{1F471A09-9729-4604-BAB2-B927FA3B157E}"/>
    <cellStyle name="Note 7 5" xfId="61858" xr:uid="{69B7EC18-EA78-41FC-A94A-EE8717DA6BD9}"/>
    <cellStyle name="Note 8" xfId="3395" xr:uid="{82606466-CEA7-42A2-9AB6-87D02C743198}"/>
    <cellStyle name="Note 8 2" xfId="7127" xr:uid="{AD096AD6-C7C2-4ECB-90CB-4A6B5EFDFF81}"/>
    <cellStyle name="Note 8 2 2" xfId="14835" xr:uid="{0A7B4F08-AB7F-487C-BE8B-ED20AD0BEAF2}"/>
    <cellStyle name="Note 8 2 2 2" xfId="30247" xr:uid="{0D0118DA-0E74-49F2-AA0E-4C3719E624BA}"/>
    <cellStyle name="Note 8 2 2 2 2" xfId="61869" xr:uid="{34CB272B-F547-4479-A28F-402FE090F01D}"/>
    <cellStyle name="Note 8 2 2 3" xfId="61868" xr:uid="{57A0CCD9-784A-4149-B568-9BA96C5536F0}"/>
    <cellStyle name="Note 8 2 3" xfId="22542" xr:uid="{EAD74634-DAE5-4199-938F-3B094175E3C1}"/>
    <cellStyle name="Note 8 2 3 2" xfId="61870" xr:uid="{6D64B716-62CE-4E09-9700-64CC5AD02525}"/>
    <cellStyle name="Note 8 2 4" xfId="61867" xr:uid="{22EC9590-4766-49FB-BF4F-A652652AFB28}"/>
    <cellStyle name="Note 8 3" xfId="11106" xr:uid="{D3B7F9F8-DD8F-46B9-A9CD-B1AA442A2C0E}"/>
    <cellStyle name="Note 8 3 2" xfId="26519" xr:uid="{D99D2B90-22A7-40D2-88DC-5FF395D3E3DF}"/>
    <cellStyle name="Note 8 3 2 2" xfId="61872" xr:uid="{3C740248-8B3B-4A7B-85D5-EC51349B309F}"/>
    <cellStyle name="Note 8 3 3" xfId="61871" xr:uid="{33D8C2E6-CF1F-4105-89AD-16DC90AC8A4D}"/>
    <cellStyle name="Note 8 4" xfId="18814" xr:uid="{53ACD3C2-F054-4AAA-8150-07FFB6775568}"/>
    <cellStyle name="Note 8 4 2" xfId="61873" xr:uid="{F5120B53-39F1-4579-A03D-8F89FB585E27}"/>
    <cellStyle name="Note 8 5" xfId="61866" xr:uid="{6465793B-7C57-4509-81D7-B8CFB0614B50}"/>
    <cellStyle name="Note 9" xfId="3415" xr:uid="{3F6C682B-EBB7-431C-B2F6-283581A808D0}"/>
    <cellStyle name="Note 9 2" xfId="7147" xr:uid="{C7EB121B-EF63-419C-A3B9-1D607794081D}"/>
    <cellStyle name="Note 9 2 2" xfId="14855" xr:uid="{DDAD6304-9A73-4277-9E53-3472D47024E6}"/>
    <cellStyle name="Note 9 2 2 2" xfId="30267" xr:uid="{12F3DCC7-0EB2-43EE-9E05-D9E73F5F0B6F}"/>
    <cellStyle name="Note 9 2 2 2 2" xfId="61877" xr:uid="{F8331DFA-25EA-4817-A86C-6CFF086A88F2}"/>
    <cellStyle name="Note 9 2 2 3" xfId="61876" xr:uid="{270CBF61-E850-4634-8D61-FBCB22430D37}"/>
    <cellStyle name="Note 9 2 3" xfId="22562" xr:uid="{051D61C0-9515-452A-A919-2F7FE401EBE1}"/>
    <cellStyle name="Note 9 2 3 2" xfId="61878" xr:uid="{E39B79C5-3851-41C8-B031-2937DFD2C663}"/>
    <cellStyle name="Note 9 2 4" xfId="61875" xr:uid="{18040A18-8B77-4CC5-8EE2-28117A613727}"/>
    <cellStyle name="Note 9 3" xfId="11126" xr:uid="{A12AE7C0-7E84-4A86-8F33-01CC678B0D2A}"/>
    <cellStyle name="Note 9 3 2" xfId="26539" xr:uid="{2577EE32-A910-40A1-BF24-7CC3B540917A}"/>
    <cellStyle name="Note 9 3 2 2" xfId="61880" xr:uid="{D6DD964D-4A92-424A-A9CC-4E75F6147EC0}"/>
    <cellStyle name="Note 9 3 3" xfId="61879" xr:uid="{E56AADFA-DE26-40EB-B4C0-5E17BA8DBBA2}"/>
    <cellStyle name="Note 9 4" xfId="18834" xr:uid="{C1B79BEE-82C4-49DF-8CD5-5FE269AB9CEB}"/>
    <cellStyle name="Note 9 4 2" xfId="61881" xr:uid="{B930B440-BDD1-4037-9AC6-772C0A167F03}"/>
    <cellStyle name="Note 9 5" xfId="61874" xr:uid="{D5BC0FA0-8CBB-4282-B03E-F83F4F5A105E}"/>
    <cellStyle name="Output 2" xfId="133" xr:uid="{DA1A53E1-338A-45DD-A5C6-6FF54A086260}"/>
    <cellStyle name="Output 2 2" xfId="61882" xr:uid="{F335190E-0F7B-488C-BCFF-B2B9D9E14AEB}"/>
    <cellStyle name="Percent 2" xfId="60" xr:uid="{5EB81C52-B3D5-4201-8856-9CB6AEB2D0BF}"/>
    <cellStyle name="Percent 2 2" xfId="61883" xr:uid="{C5F12C21-AEAF-4FFD-9BA8-B8DEF91DE7F9}"/>
    <cellStyle name="Percent 3" xfId="134" xr:uid="{88E91EF9-637A-4A48-8A61-8A1F46F42C9B}"/>
    <cellStyle name="Percent 3 2" xfId="61884" xr:uid="{9E0683B6-322C-49D9-944E-8CC5E65C54F4}"/>
    <cellStyle name="Percent 4" xfId="135" xr:uid="{778A0E6B-1709-4783-BC74-20E7A6310C96}"/>
    <cellStyle name="Percent 4 2" xfId="61885" xr:uid="{CDF4869E-58EF-48D1-AA9E-94CFDE51BFF1}"/>
    <cellStyle name="Percent 5" xfId="355" xr:uid="{7A6847AC-5AFB-41BF-BD45-28B04F45F811}"/>
    <cellStyle name="Percent 5 2" xfId="61886" xr:uid="{2CF14F06-B00A-470F-AD79-39802C1A1670}"/>
    <cellStyle name="Percent 6" xfId="1649" xr:uid="{A2DAC1BA-A625-4176-B6DC-596A96BCA94D}"/>
    <cellStyle name="Percent 6 2" xfId="61887" xr:uid="{F97EB78D-9255-4EA3-8D85-155F95A6A5E2}"/>
    <cellStyle name="Percent 7" xfId="1610" xr:uid="{AB31430D-AC96-472E-8071-3F5B65BC2637}"/>
    <cellStyle name="Percent 7 2" xfId="5346" xr:uid="{00CDDEC3-DD9F-444E-8554-F782CFA9E420}"/>
    <cellStyle name="Percent 7 2 2" xfId="13054" xr:uid="{3DDD7074-08E5-4EEA-9B96-5DB727D3EC2F}"/>
    <cellStyle name="Percent 7 2 2 2" xfId="28466" xr:uid="{4517DB6F-AF6C-4018-85AA-B2CD0DBA7FFE}"/>
    <cellStyle name="Percent 7 2 2 2 2" xfId="61891" xr:uid="{D59B182B-3B4F-4CBA-BD7C-9663FBB7384E}"/>
    <cellStyle name="Percent 7 2 2 3" xfId="61890" xr:uid="{8BA028E1-E2EC-4944-BF66-51AFF641205C}"/>
    <cellStyle name="Percent 7 2 3" xfId="20761" xr:uid="{324C73BB-48A9-4253-9920-56DF7A283DDD}"/>
    <cellStyle name="Percent 7 2 3 2" xfId="61892" xr:uid="{88E0BC99-0D48-4459-A8A5-065AD76DECDC}"/>
    <cellStyle name="Percent 7 2 4" xfId="61889" xr:uid="{FD200F03-C107-49E5-883D-A258F88BED2C}"/>
    <cellStyle name="Percent 7 3" xfId="9327" xr:uid="{3FF85903-EDAC-4589-836B-E9C4DB54D04A}"/>
    <cellStyle name="Percent 7 3 2" xfId="24740" xr:uid="{AEE3F6C2-B51C-4100-9839-A040BF40A7D0}"/>
    <cellStyle name="Percent 7 3 2 2" xfId="61894" xr:uid="{87DA881C-9E58-4CDD-8801-64A29F1C3A74}"/>
    <cellStyle name="Percent 7 3 3" xfId="61893" xr:uid="{6F16E0C0-962C-4E5C-AE80-E442CBEF2310}"/>
    <cellStyle name="Percent 7 4" xfId="17035" xr:uid="{CD7D86E1-2989-4D9B-8B2F-78BEDC377696}"/>
    <cellStyle name="Percent 7 4 2" xfId="61895" xr:uid="{FC54F355-4F4E-4EEA-8010-1943E75AC8B1}"/>
    <cellStyle name="Percent 7 5" xfId="61888" xr:uid="{9BA16DB2-D732-4A1A-9BC5-17FB1E206B3A}"/>
    <cellStyle name="Percent 8" xfId="3896" xr:uid="{F11900D9-040D-4F69-ADDE-02057B4BADD2}"/>
    <cellStyle name="Percent 8 2" xfId="61896" xr:uid="{B829A415-7EEE-4AC6-BEE3-A82FF1D40350}"/>
    <cellStyle name="Porcentaje 2" xfId="61" xr:uid="{6DAADF87-03DA-48C3-92C2-41E68D6C75A8}"/>
    <cellStyle name="Porcentaje 2 2" xfId="61897" xr:uid="{D89FADD6-B606-460C-B4E7-33A28DFED217}"/>
    <cellStyle name="Porcentaje 3" xfId="258" xr:uid="{4D546E51-4DC3-473E-B810-854E46F96484}"/>
    <cellStyle name="Porcentaje 3 2" xfId="460" xr:uid="{A035CF73-F642-4C89-9F08-FA4BF3DDBE79}"/>
    <cellStyle name="Porcentaje 3 2 2" xfId="1121" xr:uid="{61057351-206B-450A-8D7E-7ABB1EBBD141}"/>
    <cellStyle name="Porcentaje 3 2 2 2" xfId="2589" xr:uid="{CF5A2812-CD9A-48D2-949F-A7EB2AC1E330}"/>
    <cellStyle name="Porcentaje 3 2 2 2 2" xfId="6321" xr:uid="{A0729D1A-E497-4E66-BB84-A8F7E1CA0021}"/>
    <cellStyle name="Porcentaje 3 2 2 2 2 2" xfId="14029" xr:uid="{57BADF19-AA32-4E3E-9D13-174506B641EF}"/>
    <cellStyle name="Porcentaje 3 2 2 2 2 2 2" xfId="29441" xr:uid="{CB345F61-DACB-42D9-A7A3-C03B4EE1C6BF}"/>
    <cellStyle name="Porcentaje 3 2 2 2 2 2 2 2" xfId="61904" xr:uid="{34129174-7C58-4A6B-9249-3D011FC2D22C}"/>
    <cellStyle name="Porcentaje 3 2 2 2 2 2 3" xfId="61903" xr:uid="{A239F509-02F5-4248-A54F-B08E4F04D6F5}"/>
    <cellStyle name="Porcentaje 3 2 2 2 2 3" xfId="21736" xr:uid="{520A1113-77D1-4D17-A87B-17709BD70C23}"/>
    <cellStyle name="Porcentaje 3 2 2 2 2 3 2" xfId="61905" xr:uid="{3C61DBEB-4491-4F07-975D-EDF18989D4CD}"/>
    <cellStyle name="Porcentaje 3 2 2 2 2 4" xfId="61902" xr:uid="{49C98C81-0C8A-403F-AA53-7691FD78DA04}"/>
    <cellStyle name="Porcentaje 3 2 2 2 3" xfId="10300" xr:uid="{F5BC1A6E-D541-4C9B-89EB-188CBFED3B1B}"/>
    <cellStyle name="Porcentaje 3 2 2 2 3 2" xfId="25713" xr:uid="{3820A3F2-42EA-4F87-A2A9-822EB824A351}"/>
    <cellStyle name="Porcentaje 3 2 2 2 3 2 2" xfId="61907" xr:uid="{592CEFAE-5FBB-4239-BA09-A31DE0DA6BF9}"/>
    <cellStyle name="Porcentaje 3 2 2 2 3 3" xfId="61906" xr:uid="{3BEE9B97-E2AE-47EF-8360-C3C08A777784}"/>
    <cellStyle name="Porcentaje 3 2 2 2 4" xfId="18008" xr:uid="{D26E7036-28EC-4F14-926C-C4FD5A42B652}"/>
    <cellStyle name="Porcentaje 3 2 2 2 4 2" xfId="61908" xr:uid="{94DFEEF6-74D6-45C8-BEE9-9C7AD510F018}"/>
    <cellStyle name="Porcentaje 3 2 2 2 5" xfId="61901" xr:uid="{9EE05452-38D6-4ADE-873B-B7A8A7821712}"/>
    <cellStyle name="Porcentaje 3 2 2 3" xfId="4858" xr:uid="{18FF6A7E-57F1-49B9-BF06-ABCF0D13FB28}"/>
    <cellStyle name="Porcentaje 3 2 2 3 2" xfId="12566" xr:uid="{22788B3D-6EA1-4B4D-B7AE-DA801656A258}"/>
    <cellStyle name="Porcentaje 3 2 2 3 2 2" xfId="27978" xr:uid="{CCFAED29-0A95-4F03-820B-8D622F35C382}"/>
    <cellStyle name="Porcentaje 3 2 2 3 2 2 2" xfId="61911" xr:uid="{691BD98B-5BE1-4208-B4ED-822DAC34A283}"/>
    <cellStyle name="Porcentaje 3 2 2 3 2 3" xfId="61910" xr:uid="{D6EF5228-2381-48A1-B77A-EBBF9F686CFC}"/>
    <cellStyle name="Porcentaje 3 2 2 3 3" xfId="20273" xr:uid="{CF1E5A85-BC8D-43F1-A867-12DBC4769967}"/>
    <cellStyle name="Porcentaje 3 2 2 3 3 2" xfId="61912" xr:uid="{460D8148-24A9-4923-A8DA-05C35DEDCDDA}"/>
    <cellStyle name="Porcentaje 3 2 2 3 4" xfId="61909" xr:uid="{E8842BAA-4CFF-464C-8E91-AF3DB9F07309}"/>
    <cellStyle name="Porcentaje 3 2 2 4" xfId="8841" xr:uid="{0059DB71-27D2-4D9F-AF3F-2A28BED1B26B}"/>
    <cellStyle name="Porcentaje 3 2 2 4 2" xfId="24254" xr:uid="{3E697AA6-4D2E-4D0B-B826-382D8D553E35}"/>
    <cellStyle name="Porcentaje 3 2 2 4 2 2" xfId="61914" xr:uid="{9682C941-B5AD-4883-868B-B587046FCD29}"/>
    <cellStyle name="Porcentaje 3 2 2 4 3" xfId="61913" xr:uid="{9B0CD999-2058-4DD4-97F8-624428F883F9}"/>
    <cellStyle name="Porcentaje 3 2 2 5" xfId="16549" xr:uid="{8A343A96-0CF3-4AB0-B527-2A8583409CCF}"/>
    <cellStyle name="Porcentaje 3 2 2 5 2" xfId="61915" xr:uid="{EB6C1398-C08E-42BB-9781-2D3B2E1E33C0}"/>
    <cellStyle name="Porcentaje 3 2 2 6" xfId="61900" xr:uid="{B6AD4553-1A66-47D7-AA0D-EC9B695F6A73}"/>
    <cellStyle name="Porcentaje 3 2 3" xfId="1951" xr:uid="{F42432F3-32CF-43D7-957C-BE676F127056}"/>
    <cellStyle name="Porcentaje 3 2 3 2" xfId="5683" xr:uid="{119D3AF0-998B-4012-AB7F-E554E1119481}"/>
    <cellStyle name="Porcentaje 3 2 3 2 2" xfId="13391" xr:uid="{A71ADF38-FA2D-4CC2-B125-299FF94B5176}"/>
    <cellStyle name="Porcentaje 3 2 3 2 2 2" xfId="28803" xr:uid="{91E28FAE-F86F-414C-B62A-A8E26E7E3366}"/>
    <cellStyle name="Porcentaje 3 2 3 2 2 2 2" xfId="61919" xr:uid="{8928B8C9-2CF5-479F-9BA8-544988CB43B9}"/>
    <cellStyle name="Porcentaje 3 2 3 2 2 3" xfId="61918" xr:uid="{E4FF373C-3D4B-46C5-AC70-E27276E91F5C}"/>
    <cellStyle name="Porcentaje 3 2 3 2 3" xfId="21098" xr:uid="{1E7D7155-60FD-4F5C-BB3D-9817563EC3DC}"/>
    <cellStyle name="Porcentaje 3 2 3 2 3 2" xfId="61920" xr:uid="{AFA597D7-2402-45A6-89D9-5FCB76576090}"/>
    <cellStyle name="Porcentaje 3 2 3 2 4" xfId="61917" xr:uid="{EAFAD8C1-A128-4AED-8DFD-7B1A845A3FA1}"/>
    <cellStyle name="Porcentaje 3 2 3 3" xfId="9662" xr:uid="{0F206F29-91D4-48B5-8288-F9098BD1EDBD}"/>
    <cellStyle name="Porcentaje 3 2 3 3 2" xfId="25075" xr:uid="{6B01C414-55F6-4578-9F6B-B3FB9DC7505C}"/>
    <cellStyle name="Porcentaje 3 2 3 3 2 2" xfId="61922" xr:uid="{B2CFEA45-B874-4F1C-965B-9722316CC0E4}"/>
    <cellStyle name="Porcentaje 3 2 3 3 3" xfId="61921" xr:uid="{FC716255-386B-4A9D-86A6-3FF9982C2C5E}"/>
    <cellStyle name="Porcentaje 3 2 3 4" xfId="17370" xr:uid="{163A66D7-FC60-4CB2-B67B-85E4401F99DA}"/>
    <cellStyle name="Porcentaje 3 2 3 4 2" xfId="61923" xr:uid="{59A0BE44-F591-4704-97AD-22CB0C4CC361}"/>
    <cellStyle name="Porcentaje 3 2 3 5" xfId="61916" xr:uid="{6DAD7571-BDFD-4E71-B820-F44B3F254EFD}"/>
    <cellStyle name="Porcentaje 3 2 4" xfId="4206" xr:uid="{A7481B02-93E4-4789-A6FA-3B9E24E427D8}"/>
    <cellStyle name="Porcentaje 3 2 4 2" xfId="11914" xr:uid="{9174DE44-B5F4-4767-B979-78562C143370}"/>
    <cellStyle name="Porcentaje 3 2 4 2 2" xfId="27326" xr:uid="{47716C06-95F8-4996-BFA2-CF0A2A280CA6}"/>
    <cellStyle name="Porcentaje 3 2 4 2 2 2" xfId="61926" xr:uid="{51A894B7-AF73-457D-B973-FDE41871D091}"/>
    <cellStyle name="Porcentaje 3 2 4 2 3" xfId="61925" xr:uid="{3ED4CD6E-3898-471D-9C0A-6D4ACE8A22A8}"/>
    <cellStyle name="Porcentaje 3 2 4 3" xfId="19621" xr:uid="{2E1F0ABE-9EFE-4CC3-BE5A-F262D27921D8}"/>
    <cellStyle name="Porcentaje 3 2 4 3 2" xfId="61927" xr:uid="{B972A3E8-5E5B-444B-A73C-7121894C2AAE}"/>
    <cellStyle name="Porcentaje 3 2 4 4" xfId="61924" xr:uid="{8DEAFF15-1201-4A00-96FF-023F34156BF1}"/>
    <cellStyle name="Porcentaje 3 2 5" xfId="8203" xr:uid="{7C6D900E-5558-4C46-949D-C5B61EA91FE7}"/>
    <cellStyle name="Porcentaje 3 2 5 2" xfId="23616" xr:uid="{6CFE5092-BC3A-47BC-8602-3C76CE89E2CF}"/>
    <cellStyle name="Porcentaje 3 2 5 2 2" xfId="61929" xr:uid="{F71BB3D9-96D8-4BA9-8A31-4A24A7E9F2CE}"/>
    <cellStyle name="Porcentaje 3 2 5 3" xfId="61928" xr:uid="{5A5A41D9-96F3-4803-94B3-7EE3C260DF90}"/>
    <cellStyle name="Porcentaje 3 2 6" xfId="15911" xr:uid="{CA560C3D-5B87-4804-B170-9D6F514060AB}"/>
    <cellStyle name="Porcentaje 3 2 6 2" xfId="61930" xr:uid="{10A8AA74-9397-4B7F-AA0B-B609CA54D76A}"/>
    <cellStyle name="Porcentaje 3 2 7" xfId="61899" xr:uid="{1B406577-D74C-413C-A701-02C01370AD24}"/>
    <cellStyle name="Porcentaje 3 3" xfId="921" xr:uid="{4D5B2570-1398-4DDB-99C6-06922AAD76B3}"/>
    <cellStyle name="Porcentaje 3 3 2" xfId="2391" xr:uid="{D5E158CD-F65C-48BD-875C-140272620385}"/>
    <cellStyle name="Porcentaje 3 3 2 2" xfId="6123" xr:uid="{8A66C51B-D908-4A35-B46B-CE91658D8E35}"/>
    <cellStyle name="Porcentaje 3 3 2 2 2" xfId="13831" xr:uid="{8EC085ED-8528-453F-95DE-0A2084AE909D}"/>
    <cellStyle name="Porcentaje 3 3 2 2 2 2" xfId="29243" xr:uid="{1FBD7C91-4143-4216-A04E-FA9E9367E3D0}"/>
    <cellStyle name="Porcentaje 3 3 2 2 2 2 2" xfId="61935" xr:uid="{3DE4B2E6-C4D0-4834-BC2A-B7198CD2B43E}"/>
    <cellStyle name="Porcentaje 3 3 2 2 2 3" xfId="61934" xr:uid="{6643DE04-D057-4E57-8D9A-05A99BF5A247}"/>
    <cellStyle name="Porcentaje 3 3 2 2 3" xfId="21538" xr:uid="{F2C7A4C6-8E58-4C51-BE40-FEA9A0055008}"/>
    <cellStyle name="Porcentaje 3 3 2 2 3 2" xfId="61936" xr:uid="{6717C109-D976-47D0-BC33-F2CD9D652717}"/>
    <cellStyle name="Porcentaje 3 3 2 2 4" xfId="61933" xr:uid="{FE307B94-1974-4F9C-BDFE-B6165E0D29F1}"/>
    <cellStyle name="Porcentaje 3 3 2 3" xfId="10102" xr:uid="{EE018B7D-C92A-4BA2-B924-255EA727AEBC}"/>
    <cellStyle name="Porcentaje 3 3 2 3 2" xfId="25515" xr:uid="{4F0D50EA-AE51-4C5D-A170-A36DF1BA9E5D}"/>
    <cellStyle name="Porcentaje 3 3 2 3 2 2" xfId="61938" xr:uid="{1EBD13C8-7686-4E82-9A01-F37D86E6E870}"/>
    <cellStyle name="Porcentaje 3 3 2 3 3" xfId="61937" xr:uid="{1D213792-930F-457F-AA29-94CA51A82B86}"/>
    <cellStyle name="Porcentaje 3 3 2 4" xfId="17810" xr:uid="{F3A997EA-5011-43E8-A6C0-B02602076A17}"/>
    <cellStyle name="Porcentaje 3 3 2 4 2" xfId="61939" xr:uid="{EA413106-6344-4359-8CB4-0BF390E06891}"/>
    <cellStyle name="Porcentaje 3 3 2 5" xfId="61932" xr:uid="{64FDB2E4-0270-4241-BD59-390A99F20D33}"/>
    <cellStyle name="Porcentaje 3 3 3" xfId="4658" xr:uid="{FE290171-9F41-48ED-9277-92199A25CE78}"/>
    <cellStyle name="Porcentaje 3 3 3 2" xfId="12366" xr:uid="{FEED8ECD-DBBF-4D4B-89CC-72F20157CCD7}"/>
    <cellStyle name="Porcentaje 3 3 3 2 2" xfId="27778" xr:uid="{936058DE-299E-4786-AB7F-F38454115EBB}"/>
    <cellStyle name="Porcentaje 3 3 3 2 2 2" xfId="61942" xr:uid="{15E2364E-1CE1-4D83-A6BB-C964A749F743}"/>
    <cellStyle name="Porcentaje 3 3 3 2 3" xfId="61941" xr:uid="{7CBE781A-DF78-4DE2-AC8E-273669517266}"/>
    <cellStyle name="Porcentaje 3 3 3 3" xfId="20073" xr:uid="{F5E9A9EF-B4CF-4F4E-AC5D-30771EC0FF31}"/>
    <cellStyle name="Porcentaje 3 3 3 3 2" xfId="61943" xr:uid="{455707B3-8419-4E56-9DE0-A99279B2A63F}"/>
    <cellStyle name="Porcentaje 3 3 3 4" xfId="61940" xr:uid="{8398BBAA-6E82-4FA3-97A4-A3E7DEE77D4C}"/>
    <cellStyle name="Porcentaje 3 3 4" xfId="8643" xr:uid="{E005EA38-E95D-4C6F-860B-34815C2B0F06}"/>
    <cellStyle name="Porcentaje 3 3 4 2" xfId="24056" xr:uid="{EB96BBCD-222B-4417-A0E9-19D4E68A97A3}"/>
    <cellStyle name="Porcentaje 3 3 4 2 2" xfId="61945" xr:uid="{3649B3D9-C6AE-46AC-82ED-2747C940CF49}"/>
    <cellStyle name="Porcentaje 3 3 4 3" xfId="61944" xr:uid="{F8851EC5-E392-481D-95B2-1885D795465B}"/>
    <cellStyle name="Porcentaje 3 3 5" xfId="16351" xr:uid="{B47169D8-3507-408A-9D2B-94E5687A41B7}"/>
    <cellStyle name="Porcentaje 3 3 5 2" xfId="61946" xr:uid="{B72A97CF-3C0D-4728-9141-E75CC1996EB8}"/>
    <cellStyle name="Porcentaje 3 3 6" xfId="61931" xr:uid="{74CEA78F-5412-4432-8870-051B97A2A8DA}"/>
    <cellStyle name="Porcentaje 3 4" xfId="1753" xr:uid="{49938CB4-155E-48AE-B0A1-E06D87EDC83D}"/>
    <cellStyle name="Porcentaje 3 4 2" xfId="5485" xr:uid="{34821DF3-C22C-4592-B19A-CEF0E52A7D36}"/>
    <cellStyle name="Porcentaje 3 4 2 2" xfId="13193" xr:uid="{0588ED78-F981-4D14-A845-83F03F2FF9AA}"/>
    <cellStyle name="Porcentaje 3 4 2 2 2" xfId="28605" xr:uid="{22B95475-B201-43F4-9A4C-2E2BCF7EDF49}"/>
    <cellStyle name="Porcentaje 3 4 2 2 2 2" xfId="61950" xr:uid="{5BA6E4E1-38A5-458E-AD08-0282B09EE2B7}"/>
    <cellStyle name="Porcentaje 3 4 2 2 3" xfId="61949" xr:uid="{12045BD1-782F-47DF-83FA-AF4C9E1A8990}"/>
    <cellStyle name="Porcentaje 3 4 2 3" xfId="20900" xr:uid="{BCFC22FA-5C7B-4E3F-A79E-050B15E0CE38}"/>
    <cellStyle name="Porcentaje 3 4 2 3 2" xfId="61951" xr:uid="{AB8FA050-7027-40B2-8BA7-0070A39B65DB}"/>
    <cellStyle name="Porcentaje 3 4 2 4" xfId="61948" xr:uid="{1D47F4C4-DFCF-4A5E-AEA2-196738B8F41F}"/>
    <cellStyle name="Porcentaje 3 4 3" xfId="9464" xr:uid="{CC68D220-6BDE-46CD-B2B3-DC73539819ED}"/>
    <cellStyle name="Porcentaje 3 4 3 2" xfId="24877" xr:uid="{981902B5-DC82-4924-A489-12A3A2D2EB69}"/>
    <cellStyle name="Porcentaje 3 4 3 2 2" xfId="61953" xr:uid="{FBC098B0-CEB9-4F1A-B6F9-2B6211443E8A}"/>
    <cellStyle name="Porcentaje 3 4 3 3" xfId="61952" xr:uid="{BC59299B-0C23-4EB5-BC0F-606C72C2FCEC}"/>
    <cellStyle name="Porcentaje 3 4 4" xfId="17172" xr:uid="{AF4F85AB-0975-4EFC-88AA-A45DB34857B9}"/>
    <cellStyle name="Porcentaje 3 4 4 2" xfId="61954" xr:uid="{8A10B745-E9DB-4339-8B2B-2AAA1F2BCB5B}"/>
    <cellStyle name="Porcentaje 3 4 5" xfId="61947" xr:uid="{C1F6357B-A1FA-4626-A5E0-908FC7A8970E}"/>
    <cellStyle name="Porcentaje 3 5" xfId="4006" xr:uid="{BD7F04A6-E792-41F3-87C3-10D1A0DC29BC}"/>
    <cellStyle name="Porcentaje 3 5 2" xfId="11714" xr:uid="{0D613E59-67C1-46AF-83D8-3200A757906F}"/>
    <cellStyle name="Porcentaje 3 5 2 2" xfId="27126" xr:uid="{B7B814FD-41B5-4AF6-BDF9-8C50489363BD}"/>
    <cellStyle name="Porcentaje 3 5 2 2 2" xfId="61957" xr:uid="{061D804E-BF66-4870-8A5D-96B72531D1F9}"/>
    <cellStyle name="Porcentaje 3 5 2 3" xfId="61956" xr:uid="{3EC4CA84-C7CB-48BF-B32B-DF788582281A}"/>
    <cellStyle name="Porcentaje 3 5 3" xfId="19421" xr:uid="{6FF21C35-6330-4FFF-804E-910FB55F1CAC}"/>
    <cellStyle name="Porcentaje 3 5 3 2" xfId="61958" xr:uid="{8D61821B-7966-4BE5-B7A9-C2725B511EE2}"/>
    <cellStyle name="Porcentaje 3 5 4" xfId="61955" xr:uid="{D158134C-D478-464F-AE13-30A6BACA3D95}"/>
    <cellStyle name="Porcentaje 3 6" xfId="8005" xr:uid="{AC3C29F5-E18E-4E15-A298-6ABB675CAAF2}"/>
    <cellStyle name="Porcentaje 3 6 2" xfId="23418" xr:uid="{83BBDC40-603D-4540-AD0A-1FD80E83D93A}"/>
    <cellStyle name="Porcentaje 3 6 2 2" xfId="61960" xr:uid="{6F2344A0-0DCB-4FAA-9D1B-C54D15ADB707}"/>
    <cellStyle name="Porcentaje 3 6 3" xfId="61959" xr:uid="{A03FF3B5-3504-48BF-9C1D-E976FF97D4C6}"/>
    <cellStyle name="Porcentaje 3 7" xfId="15713" xr:uid="{66CCDE8D-3AD3-4F34-A183-6002B2FDD843}"/>
    <cellStyle name="Porcentaje 3 7 2" xfId="61961" xr:uid="{2F051488-A5AF-4382-A6C2-0C5E48715BBA}"/>
    <cellStyle name="Porcentaje 3 8" xfId="61898" xr:uid="{A5EEC944-F63C-4842-B915-4AAFEE3A91FD}"/>
    <cellStyle name="Porcentaje 4" xfId="810" xr:uid="{F032CB85-ECC1-471D-9F67-D2D6DEDAB86B}"/>
    <cellStyle name="Porcentaje 4 2" xfId="61962" xr:uid="{494AFA89-14DA-4850-81DC-1C5A9766FDE2}"/>
    <cellStyle name="Salida" xfId="16" builtinId="21" customBuiltin="1"/>
    <cellStyle name="Standard 3 2" xfId="65" xr:uid="{6034BA88-C50C-4115-A7F7-707D600883BF}"/>
    <cellStyle name="Standard 8" xfId="66" xr:uid="{33B2EA07-1CC9-4318-B3FC-819EA83FCDCE}"/>
    <cellStyle name="Texto de advertencia" xfId="19" builtinId="11" customBuiltin="1"/>
    <cellStyle name="Texto de advertencia 2" xfId="166" xr:uid="{3EE2AABE-2B8E-47B1-9BE1-D8C79E3FD4C7}"/>
    <cellStyle name="Texto de advertencia 2 2" xfId="61964" xr:uid="{29FECE2A-052F-4528-9CD0-84A23E401AB6}"/>
    <cellStyle name="Texto de advertencia 3" xfId="811" xr:uid="{5459A067-9110-4248-85DE-6786EAA1266C}"/>
    <cellStyle name="Texto de advertencia 3 2" xfId="61965" xr:uid="{F60A3E14-81F7-42D9-AF1E-D4948AF2CA51}"/>
    <cellStyle name="Texto de advertencia 4" xfId="61963" xr:uid="{29300A5B-9678-4517-8E59-739D93BC7468}"/>
    <cellStyle name="Texto de advertencia 5" xfId="62076" xr:uid="{C3082957-837C-43AA-94D3-EA1AD20E8D5D}"/>
    <cellStyle name="Texto explicativo" xfId="21" builtinId="53" customBuiltin="1"/>
    <cellStyle name="Title 2" xfId="136" xr:uid="{CA24AAE5-5E46-422B-81A4-183AA65E4746}"/>
    <cellStyle name="Title 2 2" xfId="61966" xr:uid="{5EEAD942-611F-4687-9B83-7C01F131FE2F}"/>
    <cellStyle name="Título" xfId="46" builtinId="15" customBuiltin="1"/>
    <cellStyle name="Título 2" xfId="12" builtinId="17" customBuiltin="1"/>
    <cellStyle name="Título 3" xfId="4" builtinId="18" customBuiltin="1"/>
    <cellStyle name="Título 4" xfId="45" xr:uid="{23066E44-7278-462D-BA26-61C3D21C147E}"/>
    <cellStyle name="Total" xfId="22" builtinId="25" customBuiltin="1"/>
    <cellStyle name="Total 2" xfId="137" xr:uid="{7E718C96-5BA8-4CBC-8C49-C9AC6AB335A1}"/>
    <cellStyle name="Total 2 2" xfId="61967" xr:uid="{2A36498C-42E4-4D62-929D-14842664FEFF}"/>
    <cellStyle name="Warning Text 2" xfId="138" xr:uid="{A1184E08-ADB3-4F05-9F74-1EE8FA624683}"/>
    <cellStyle name="Warning Text 2 2" xfId="61968" xr:uid="{E382D571-FFED-41BB-92E7-9572E29DF885}"/>
  </cellStyles>
  <dxfs count="16">
    <dxf>
      <fill>
        <patternFill>
          <bgColor theme="6" tint="0.39994506668294322"/>
        </patternFill>
      </fill>
    </dxf>
    <dxf>
      <font>
        <color rgb="FFFFFF00"/>
      </font>
      <fill>
        <patternFill patternType="solid">
          <bgColor theme="1"/>
        </patternFill>
      </fill>
    </dxf>
    <dxf>
      <font>
        <color rgb="FFFFFF00"/>
      </font>
      <fill>
        <patternFill patternType="solid">
          <bgColor theme="1"/>
        </patternFill>
      </fill>
    </dxf>
    <dxf>
      <font>
        <color rgb="FFFFFF00"/>
      </font>
      <fill>
        <patternFill patternType="solid">
          <bgColor theme="1"/>
        </patternFill>
      </fill>
    </dxf>
    <dxf>
      <font>
        <color rgb="FFFFFF00"/>
      </font>
      <fill>
        <patternFill patternType="solid">
          <bgColor theme="1"/>
        </patternFill>
      </fill>
    </dxf>
    <dxf>
      <font>
        <color rgb="FFFFFF00"/>
      </font>
      <fill>
        <patternFill patternType="solid">
          <bgColor theme="1"/>
        </patternFill>
      </fill>
    </dxf>
    <dxf>
      <font>
        <color rgb="FFFFFF00"/>
      </font>
      <fill>
        <patternFill patternType="solid">
          <bgColor theme="1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 tint="-4.9989318521683403E-2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79B4F"/>
      <color rgb="FF9748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3BD5C-70A7-4CE1-8C76-B2A086F937B7}">
  <sheetPr codeName="Hoja5"/>
  <dimension ref="A1:BB200"/>
  <sheetViews>
    <sheetView showGridLines="0" tabSelected="1" topLeftCell="T70" zoomScale="70" zoomScaleNormal="70" workbookViewId="0">
      <selection activeCell="AM95" sqref="AM95"/>
    </sheetView>
  </sheetViews>
  <sheetFormatPr baseColWidth="10" defaultColWidth="11.42578125" defaultRowHeight="15" outlineLevelCol="1"/>
  <cols>
    <col min="1" max="1" width="4.42578125" style="291" customWidth="1"/>
    <col min="2" max="2" width="13.42578125" style="83" hidden="1" customWidth="1" outlineLevel="1"/>
    <col min="3" max="3" width="10" style="83" hidden="1" customWidth="1" outlineLevel="1"/>
    <col min="4" max="4" width="11.42578125" style="83" hidden="1" customWidth="1" outlineLevel="1"/>
    <col min="5" max="5" width="14" style="83" hidden="1" customWidth="1" outlineLevel="1"/>
    <col min="6" max="6" width="11.42578125" style="83" hidden="1" customWidth="1" outlineLevel="1"/>
    <col min="7" max="7" width="9.85546875" style="83" hidden="1" customWidth="1" outlineLevel="1"/>
    <col min="8" max="18" width="11.42578125" style="83" hidden="1" customWidth="1" outlineLevel="1"/>
    <col min="19" max="19" width="32.42578125" style="83" hidden="1" customWidth="1" outlineLevel="1"/>
    <col min="20" max="20" width="1.85546875" style="83" customWidth="1" collapsed="1"/>
    <col min="21" max="21" width="8.42578125" style="83" customWidth="1"/>
    <col min="22" max="22" width="10" style="83" bestFit="1" customWidth="1"/>
    <col min="23" max="23" width="11" style="83" customWidth="1"/>
    <col min="24" max="24" width="10.5703125" style="83" bestFit="1" customWidth="1"/>
    <col min="25" max="25" width="10.42578125" style="83" customWidth="1"/>
    <col min="26" max="26" width="8.7109375" style="83" customWidth="1"/>
    <col min="27" max="27" width="11" style="83" bestFit="1" customWidth="1"/>
    <col min="28" max="28" width="11.42578125" style="83"/>
    <col min="29" max="29" width="11.85546875" style="83" bestFit="1" customWidth="1"/>
    <col min="30" max="30" width="3.42578125" style="83" customWidth="1"/>
    <col min="31" max="31" width="9.5703125" style="83" customWidth="1"/>
    <col min="32" max="32" width="11.42578125" style="83"/>
    <col min="33" max="33" width="12.5703125" style="83" bestFit="1" customWidth="1"/>
    <col min="34" max="34" width="11.42578125" style="83"/>
    <col min="35" max="36" width="13.28515625" style="83" customWidth="1"/>
    <col min="37" max="37" width="11.28515625" style="83" customWidth="1"/>
    <col min="38" max="38" width="27.7109375" style="83" customWidth="1"/>
    <col min="39" max="39" width="22.85546875" style="83" customWidth="1"/>
    <col min="40" max="40" width="10" style="83" customWidth="1"/>
    <col min="41" max="41" width="10.5703125" style="83" customWidth="1"/>
    <col min="42" max="42" width="12.5703125" style="83" customWidth="1"/>
    <col min="43" max="45" width="11.42578125" style="83"/>
    <col min="46" max="46" width="11.140625" style="83" customWidth="1"/>
    <col min="47" max="47" width="10.28515625" style="83" customWidth="1"/>
    <col min="48" max="49" width="23.42578125" style="83" bestFit="1" customWidth="1"/>
    <col min="50" max="16384" width="11.42578125" style="83"/>
  </cols>
  <sheetData>
    <row r="1" spans="2:53">
      <c r="B1" s="223" t="s">
        <v>0</v>
      </c>
      <c r="C1" s="224" t="s">
        <v>1</v>
      </c>
      <c r="D1" s="224"/>
      <c r="E1" s="224"/>
      <c r="F1" s="224"/>
      <c r="G1" s="224"/>
      <c r="H1" s="224"/>
      <c r="I1" s="224"/>
      <c r="J1" s="225"/>
      <c r="K1" s="224" t="s">
        <v>2</v>
      </c>
      <c r="L1" s="224"/>
      <c r="M1" s="224"/>
      <c r="N1" s="224"/>
      <c r="O1" s="224"/>
      <c r="P1" s="224"/>
      <c r="Q1" s="224"/>
      <c r="R1" s="225"/>
      <c r="T1" s="68"/>
      <c r="U1" s="6"/>
      <c r="V1" s="186"/>
      <c r="W1" s="226"/>
      <c r="X1" s="68"/>
      <c r="Y1" s="13"/>
      <c r="Z1" s="7"/>
      <c r="AA1" s="7"/>
      <c r="AB1" s="7"/>
      <c r="AC1" s="8"/>
      <c r="AD1" s="186"/>
      <c r="AE1" s="186"/>
      <c r="AF1" s="186"/>
      <c r="AG1" s="186"/>
      <c r="AH1" s="18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</row>
    <row r="2" spans="2:53">
      <c r="B2" s="227" t="s">
        <v>3</v>
      </c>
      <c r="C2" s="228" t="s">
        <v>4</v>
      </c>
      <c r="D2" s="228" t="s">
        <v>5</v>
      </c>
      <c r="E2" s="228" t="s">
        <v>6</v>
      </c>
      <c r="F2" s="228" t="s">
        <v>7</v>
      </c>
      <c r="G2" s="228" t="s">
        <v>8</v>
      </c>
      <c r="H2" s="228" t="s">
        <v>9</v>
      </c>
      <c r="I2" s="228" t="s">
        <v>10</v>
      </c>
      <c r="J2" s="229" t="s">
        <v>11</v>
      </c>
      <c r="K2" s="228" t="s">
        <v>4</v>
      </c>
      <c r="L2" s="228" t="s">
        <v>5</v>
      </c>
      <c r="M2" s="228" t="s">
        <v>6</v>
      </c>
      <c r="N2" s="228" t="s">
        <v>7</v>
      </c>
      <c r="O2" s="228" t="s">
        <v>8</v>
      </c>
      <c r="P2" s="228" t="s">
        <v>9</v>
      </c>
      <c r="Q2" s="228" t="s">
        <v>10</v>
      </c>
      <c r="R2" s="229" t="s">
        <v>11</v>
      </c>
      <c r="T2" s="68"/>
      <c r="U2" s="137"/>
      <c r="V2" s="138"/>
      <c r="W2" s="250" t="s">
        <v>12</v>
      </c>
      <c r="X2" s="139"/>
      <c r="Y2" s="139"/>
      <c r="Z2" s="140"/>
      <c r="AA2" s="139"/>
      <c r="AB2" s="139"/>
      <c r="AC2" s="193"/>
      <c r="AD2" s="175"/>
      <c r="AE2" s="173" t="s">
        <v>278</v>
      </c>
      <c r="AF2" s="174"/>
      <c r="AG2" s="174"/>
      <c r="AH2" s="174" t="s">
        <v>14</v>
      </c>
      <c r="AI2" s="174" t="s">
        <v>15</v>
      </c>
      <c r="AJ2" s="267" t="s">
        <v>17</v>
      </c>
      <c r="AK2" s="175"/>
      <c r="AL2" s="248" t="s">
        <v>12</v>
      </c>
      <c r="AM2" s="139"/>
      <c r="AN2" s="139"/>
      <c r="AO2" s="139"/>
      <c r="AP2" s="175"/>
      <c r="AQ2" s="248" t="s">
        <v>12</v>
      </c>
      <c r="AR2" s="139"/>
      <c r="AS2" s="170"/>
      <c r="AT2" s="186"/>
      <c r="AU2" s="187" t="s">
        <v>297</v>
      </c>
      <c r="AV2" s="139"/>
      <c r="AW2" s="139"/>
      <c r="AX2" s="139"/>
      <c r="AY2" s="193"/>
      <c r="AZ2" s="230"/>
      <c r="BA2" s="186"/>
    </row>
    <row r="3" spans="2:53">
      <c r="B3" s="231"/>
      <c r="J3" s="232"/>
      <c r="R3" s="232"/>
      <c r="T3" s="68"/>
      <c r="U3" s="141" t="s">
        <v>13</v>
      </c>
      <c r="V3" s="10"/>
      <c r="W3" s="8"/>
      <c r="X3" s="15" t="s">
        <v>14</v>
      </c>
      <c r="Y3" s="15" t="s">
        <v>15</v>
      </c>
      <c r="Z3" s="221" t="s">
        <v>277</v>
      </c>
      <c r="AA3" s="219" t="s">
        <v>17</v>
      </c>
      <c r="AB3" s="15" t="s">
        <v>18</v>
      </c>
      <c r="AC3" s="15" t="s">
        <v>13</v>
      </c>
      <c r="AD3" s="201"/>
      <c r="AE3" s="217">
        <f>+IFERROR(AVERAGE(AH3:AI3)*100,"")</f>
        <v>-51.999999999999957</v>
      </c>
      <c r="AF3" s="253">
        <v>27</v>
      </c>
      <c r="AG3" s="253">
        <v>33</v>
      </c>
      <c r="AH3" s="67">
        <f>IFERROR(VLOOKUP(AG3,$V$4:$AB$22,3,0)-VLOOKUP(AF3,$V$4:$AB$22,4,0),"")</f>
        <v>-0.41000000000000014</v>
      </c>
      <c r="AI3" s="13">
        <f>IFERROR(VLOOKUP(AG3,$V$4:$AB$22,4,0)-VLOOKUP(AF3,$V$4:$AB$22,3,0),"")</f>
        <v>-0.62999999999999901</v>
      </c>
      <c r="AJ3" s="211">
        <f t="shared" ref="AJ3:AJ23" si="0">IFERROR(VLOOKUP(AG3,$V$4:$AB$22,6,0)-VLOOKUP(AF3,$V$4:$AB$22,6,0),"")*100</f>
        <v>-23.000000000000043</v>
      </c>
      <c r="AK3" s="201"/>
      <c r="AL3" s="141" t="s">
        <v>275</v>
      </c>
      <c r="AM3" s="15" t="s">
        <v>14</v>
      </c>
      <c r="AN3" s="15" t="s">
        <v>15</v>
      </c>
      <c r="AO3" s="221" t="s">
        <v>16</v>
      </c>
      <c r="AP3" s="201"/>
      <c r="AQ3" s="141" t="s">
        <v>275</v>
      </c>
      <c r="AR3" s="15" t="s">
        <v>276</v>
      </c>
      <c r="AS3" s="222" t="s">
        <v>277</v>
      </c>
      <c r="AT3" s="186"/>
      <c r="AU3" s="141" t="s">
        <v>275</v>
      </c>
      <c r="AV3" s="15" t="s">
        <v>14</v>
      </c>
      <c r="AW3" s="15" t="s">
        <v>15</v>
      </c>
      <c r="AX3" s="219" t="s">
        <v>17</v>
      </c>
      <c r="AY3" s="15" t="s">
        <v>18</v>
      </c>
      <c r="AZ3" s="142" t="s">
        <v>298</v>
      </c>
      <c r="BA3" s="186"/>
    </row>
    <row r="4" spans="2:53">
      <c r="B4" s="231" t="str" cm="1">
        <f t="array" ref="B4:B21">+_xlfn.UNIQUE(TRANSPOSE(_xlfn.TEXTSPLIT(_xlfn.TEXTJOIN(",",1,_xlfn.ANCHORARRAY(ENMX!J4),_xlfn.ANCHORARRAY(RTMX!K3),_xlfn.ANCHORARRAY(SIFM!J4),_xlfn.ANCHORARRAY(TMEX6!J3),_xlfn.ANCHORARRAY(GFIM!J5),_xlfn.ANCHORARRAY(MEI!J4),_xlfn.ANCHORARRAY(VAR!J5),_xlfn.ANCHORARRAY(SIPO!J4)),",")))</f>
        <v>dc23</v>
      </c>
      <c r="C4" s="83" t="str" cm="1">
        <f t="array" ref="C4:C21">+IFERROR(VLOOKUP(_xlfn.ANCHORARRAY($B4),ENMX_M,2,FALSE),"")</f>
        <v/>
      </c>
      <c r="D4" s="83" t="str" cm="1">
        <f t="array" ref="D4:D21">+IFERROR(VLOOKUP(_xlfn.ANCHORARRAY($B4),RTMX_M,2,FALSE),"")</f>
        <v/>
      </c>
      <c r="E4" s="83" t="str" cm="1">
        <f t="array" ref="E4:E21">+IFERROR(VLOOKUP(_xlfn.ANCHORARRAY($B4),SIF_M,2,FALSE),"")</f>
        <v/>
      </c>
      <c r="F4" s="83" cm="1">
        <f t="array" ref="F4:F21">+IFERROR(VLOOKUP(_xlfn.ANCHORARRAY($B4),TMEX_M,2,FALSE),"")</f>
        <v>11.47</v>
      </c>
      <c r="G4" s="83" t="str" cm="1">
        <f t="array" ref="G4:G21">+IFERROR(VLOOKUP(_xlfn.ANCHORARRAY($B4),GFI_M,2,FALSE),"")</f>
        <v/>
      </c>
      <c r="H4" s="83" t="str" cm="1">
        <f t="array" ref="H4:H21">+IFERROR(VLOOKUP(_xlfn.ANCHORARRAY($B4),MEI_M,2,FALSE),"")</f>
        <v/>
      </c>
      <c r="I4" s="83" t="str" cm="1">
        <f t="array" ref="I4:I21">+IFERROR(VLOOKUP(_xlfn.ANCHORARRAY($B4),VAR_M,2,FALSE),"")</f>
        <v xml:space="preserve">     </v>
      </c>
      <c r="J4" s="232" t="str" cm="1">
        <f t="array" ref="J4:J21">+IFERROR(VLOOKUP(_xlfn.ANCHORARRAY($B4),SIPO_M,2,FALSE),"")</f>
        <v/>
      </c>
      <c r="K4" s="83" t="str" cm="1">
        <f t="array" ref="K4:K21">+IFERROR(VLOOKUP(_xlfn.ANCHORARRAY($B4),ENMX_M,3,FALSE),"")</f>
        <v/>
      </c>
      <c r="L4" s="83" t="str" cm="1">
        <f t="array" ref="L4:L21">+IFERROR(VLOOKUP(_xlfn.ANCHORARRAY($B4),RTMX_M,3,FALSE),"")</f>
        <v/>
      </c>
      <c r="M4" s="83" t="str" cm="1">
        <f t="array" ref="M4:M21">+IFERROR(VLOOKUP(_xlfn.ANCHORARRAY($B4),SIF_M,3,FALSE),"")</f>
        <v/>
      </c>
      <c r="N4" s="83" cm="1">
        <f t="array" ref="N4:N21">+IFERROR(VLOOKUP(_xlfn.ANCHORARRAY($B4),TMEX_M,3,FALSE),"")</f>
        <v>11.32</v>
      </c>
      <c r="O4" s="83" t="str" cm="1">
        <f t="array" ref="O4:O21">+IFERROR(VLOOKUP(_xlfn.ANCHORARRAY($B4),GFI_M,3,FALSE),"")</f>
        <v xml:space="preserve">     </v>
      </c>
      <c r="P4" s="83" t="str" cm="1">
        <f t="array" ref="P4:P21">+IFERROR(VLOOKUP(_xlfn.ANCHORARRAY($B4),MEI_M,3,FALSE),"")</f>
        <v/>
      </c>
      <c r="Q4" s="83" t="str" cm="1">
        <f t="array" ref="Q4:Q21">+IFERROR(VLOOKUP(_xlfn.ANCHORARRAY($B4),VAR_M,3,-FALSE),"")</f>
        <v xml:space="preserve">     </v>
      </c>
      <c r="R4" s="232" t="str" cm="1">
        <f t="array" ref="R4:R21">+IFERROR(VLOOKUP(_xlfn.ANCHORARRAY($B4),SIPO_M,3,FALSE),"")</f>
        <v/>
      </c>
      <c r="T4" s="68"/>
      <c r="U4" s="143" t="str">
        <f>IF(X4="","",INDEX($C$2:$J$2,MATCH($X4,$C4:$J4,0)))</f>
        <v>TMEX</v>
      </c>
      <c r="V4" s="208">
        <f>+VALUE(RIGHT(W4,2))</f>
        <v>23</v>
      </c>
      <c r="W4" s="169" t="str" cm="1">
        <f t="array" ref="W4:W21">+_xlfn.ANCHORARRAY(B4)</f>
        <v>dc23</v>
      </c>
      <c r="X4" s="67">
        <f>IF(MIN(C4,D4,E4,F4,G4,H4,I4,J4)=0,"",MIN(C4,D4,E4,F4,G4,H4,I4,J4))</f>
        <v>11.47</v>
      </c>
      <c r="Y4" s="13">
        <f>IF(MAX(K4:R4)=0,"",MAX(K4:R4))</f>
        <v>11.32</v>
      </c>
      <c r="Z4" s="19">
        <f t="shared" ref="Z4:Z20" si="1">+IFERROR(ROUND(IFERROR((AB4-AA4)*100,""),1),"")</f>
        <v>0.5</v>
      </c>
      <c r="AA4" s="281">
        <v>11.39</v>
      </c>
      <c r="AB4" s="17">
        <f>IFERROR(((X4+Y4)/2),"")</f>
        <v>11.395</v>
      </c>
      <c r="AC4" s="13" t="str">
        <f>IF(Y4="","",INDEX($K$2:$R$2,MATCH($Y4,$K4:$R4,0)))</f>
        <v>TMEX</v>
      </c>
      <c r="AD4" s="201"/>
      <c r="AE4" s="217">
        <f t="shared" ref="AE4:AE23" si="2">+IFERROR(AVERAGE(AH4:AI4)*100,"")</f>
        <v>-24.000000000000021</v>
      </c>
      <c r="AF4" s="253">
        <v>26</v>
      </c>
      <c r="AG4" s="253">
        <v>27</v>
      </c>
      <c r="AH4" s="67">
        <f t="shared" ref="AH4:AH23" si="3">IFERROR(VLOOKUP(AG4,$V$4:$AB$22,3,0)-VLOOKUP(AF4,$V$4:$AB$22,4,0),"")</f>
        <v>-0.12000000000000099</v>
      </c>
      <c r="AI4" s="13">
        <f t="shared" ref="AI4:AI23" si="4">IFERROR(VLOOKUP(AG4,$V$4:$AB$22,4,0)-VLOOKUP(AF4,$V$4:$AB$22,3,0),"")</f>
        <v>-0.35999999999999943</v>
      </c>
      <c r="AJ4" s="211">
        <f t="shared" si="0"/>
        <v>-26.999999999999957</v>
      </c>
      <c r="AK4" s="201"/>
      <c r="AL4" s="177" t="str" cm="1">
        <f t="array" ref="AL4:AL21">+_xlfn.ANCHORARRAY(W4)</f>
        <v>dc23</v>
      </c>
      <c r="AM4" s="252">
        <v>11.52</v>
      </c>
      <c r="AN4" s="252">
        <v>11.35</v>
      </c>
      <c r="AO4" s="19">
        <f t="shared" ref="AO4:AO20" si="5">IFERROR((((AM4+AN4)/2)-AA4)*100,"")</f>
        <v>4.4999999999998153</v>
      </c>
      <c r="AP4" s="201"/>
      <c r="AQ4" s="177" t="str" cm="1">
        <f t="array" ref="AQ4:AQ21">+_xlfn.ANCHORARRAY(AL4)</f>
        <v>dc23</v>
      </c>
      <c r="AR4" s="252">
        <f>+IFERROR(((AM4+AN4)/2),"")</f>
        <v>11.434999999999999</v>
      </c>
      <c r="AS4" s="178">
        <f>+AO4</f>
        <v>4.4999999999998153</v>
      </c>
      <c r="AT4" s="186"/>
      <c r="AU4" s="141" t="s">
        <v>309</v>
      </c>
      <c r="AV4" s="270"/>
      <c r="AW4" s="270"/>
      <c r="AX4" s="213">
        <v>11.22</v>
      </c>
      <c r="AY4" s="258" t="e">
        <f>+VLOOKUP(AU4,$V$4:$AB$23,7,0)</f>
        <v>#N/A</v>
      </c>
      <c r="AZ4" s="194"/>
      <c r="BA4" s="186"/>
    </row>
    <row r="5" spans="2:53">
      <c r="B5" s="231" t="str">
        <v>sp24</v>
      </c>
      <c r="C5" s="83">
        <v>11</v>
      </c>
      <c r="D5" s="83">
        <v>11</v>
      </c>
      <c r="E5" s="83">
        <v>11</v>
      </c>
      <c r="F5" s="83">
        <v>11</v>
      </c>
      <c r="G5" s="83" t="str">
        <v/>
      </c>
      <c r="H5" s="83" t="str">
        <v/>
      </c>
      <c r="I5" s="83" t="str">
        <v xml:space="preserve">     </v>
      </c>
      <c r="J5" s="232" t="str">
        <v/>
      </c>
      <c r="K5" s="83" t="str">
        <v/>
      </c>
      <c r="L5" s="83" t="str">
        <v/>
      </c>
      <c r="M5" s="83" t="str">
        <v/>
      </c>
      <c r="N5" s="83">
        <v>10.89</v>
      </c>
      <c r="O5" s="83" t="str">
        <v xml:space="preserve">     </v>
      </c>
      <c r="P5" s="83" t="str">
        <v/>
      </c>
      <c r="Q5" s="83" t="str">
        <v xml:space="preserve">     </v>
      </c>
      <c r="R5" s="232" t="str">
        <v/>
      </c>
      <c r="T5" s="68"/>
      <c r="U5" s="143" t="str">
        <f t="shared" ref="U5:U21" si="6">IF(X5="","",INDEX($C$2:$J$2,MATCH($X5,$C5:$J5,0)))</f>
        <v>ENMX</v>
      </c>
      <c r="V5" s="208">
        <f>+IF(VALUE(RIGHT(W5,2))=V4,VALUE(RIGHT(W5,2))+0.1,VALUE(RIGHT(W5,2)))</f>
        <v>24</v>
      </c>
      <c r="W5" s="169" t="str">
        <v>sp24</v>
      </c>
      <c r="X5" s="67">
        <f t="shared" ref="X5:X21" si="7">IF(MIN(C5,D5,E5,F5,G5,H5,I5,J5)=0,"",MIN(C5,D5,E5,F5,G5,H5,I5,J5))</f>
        <v>11</v>
      </c>
      <c r="Y5" s="13">
        <f t="shared" ref="Y5:Y21" si="8">IF(MAX(K5:R5)=0,"",MAX(K5:R5))</f>
        <v>10.89</v>
      </c>
      <c r="Z5" s="19">
        <f t="shared" si="1"/>
        <v>-18.5</v>
      </c>
      <c r="AA5" s="281">
        <v>11.13</v>
      </c>
      <c r="AB5" s="17">
        <f t="shared" ref="AB5:AB9" si="9">IFERROR(((X5+Y5)/2),"")</f>
        <v>10.945</v>
      </c>
      <c r="AC5" s="13" t="str">
        <f t="shared" ref="AC5:AC20" si="10">IF(Y5="","",INDEX($K$2:$R$2,MATCH($Y5,$K5:$R5,0)))</f>
        <v>TMEX</v>
      </c>
      <c r="AD5" s="201"/>
      <c r="AE5" s="217">
        <f t="shared" si="2"/>
        <v>-100.99999999999997</v>
      </c>
      <c r="AF5" s="253">
        <v>24.1</v>
      </c>
      <c r="AG5" s="253">
        <v>26</v>
      </c>
      <c r="AH5" s="67">
        <f t="shared" si="3"/>
        <v>-0.89000000000000057</v>
      </c>
      <c r="AI5" s="13">
        <f t="shared" si="4"/>
        <v>-1.129999999999999</v>
      </c>
      <c r="AJ5" s="211">
        <f t="shared" si="0"/>
        <v>-88.000000000000085</v>
      </c>
      <c r="AK5" s="201"/>
      <c r="AL5" s="177" t="str">
        <v>sp24</v>
      </c>
      <c r="AM5" s="252">
        <v>11.15</v>
      </c>
      <c r="AN5" s="252">
        <v>11.02</v>
      </c>
      <c r="AO5" s="19">
        <f t="shared" si="5"/>
        <v>-4.4999999999999929</v>
      </c>
      <c r="AP5" s="201"/>
      <c r="AQ5" s="177" t="str">
        <v>sp24</v>
      </c>
      <c r="AR5" s="252">
        <f t="shared" ref="AR5:AR19" si="11">+IFERROR(((AM5+AN5)/2),"")</f>
        <v>11.085000000000001</v>
      </c>
      <c r="AS5" s="178">
        <f t="shared" ref="AS5:AS19" si="12">+AO5</f>
        <v>-4.4999999999999929</v>
      </c>
      <c r="AT5" s="186"/>
      <c r="AU5" s="141" t="s">
        <v>308</v>
      </c>
      <c r="AV5" s="270"/>
      <c r="AW5" s="270"/>
      <c r="AX5" s="213">
        <v>10.83</v>
      </c>
      <c r="AY5" s="258" t="e">
        <f t="shared" ref="AY5:AY6" si="13">+VLOOKUP(AU5,$V$4:$AB$23,7,0)</f>
        <v>#N/A</v>
      </c>
      <c r="AZ5" s="194"/>
      <c r="BA5" s="186"/>
    </row>
    <row r="6" spans="2:53">
      <c r="B6" s="231" t="str">
        <v>dc24</v>
      </c>
      <c r="C6" s="83" t="str">
        <v/>
      </c>
      <c r="D6" s="83">
        <v>10.6</v>
      </c>
      <c r="E6" s="83" t="str">
        <v/>
      </c>
      <c r="F6" s="83">
        <v>10.63</v>
      </c>
      <c r="G6" s="83" t="str">
        <v/>
      </c>
      <c r="H6" s="83" t="str">
        <v/>
      </c>
      <c r="I6" s="83" t="str">
        <v xml:space="preserve">     </v>
      </c>
      <c r="J6" s="232" t="str">
        <v/>
      </c>
      <c r="K6" s="83" t="str">
        <v/>
      </c>
      <c r="L6" s="83">
        <v>10.48</v>
      </c>
      <c r="M6" s="83" t="str">
        <v/>
      </c>
      <c r="N6" s="83">
        <v>10.48</v>
      </c>
      <c r="O6" s="83" t="str">
        <v xml:space="preserve">     </v>
      </c>
      <c r="P6" s="83" t="str">
        <v/>
      </c>
      <c r="Q6" s="83" t="str">
        <v xml:space="preserve">     </v>
      </c>
      <c r="R6" s="232" t="str">
        <v/>
      </c>
      <c r="T6" s="68"/>
      <c r="U6" s="143" t="str">
        <f t="shared" si="6"/>
        <v>RTMX</v>
      </c>
      <c r="V6" s="208">
        <f t="shared" ref="V6:V21" si="14">+IF(VALUE(RIGHT(W6,2))=V5,VALUE(RIGHT(W6,2))+0.1,VALUE(RIGHT(W6,2)))</f>
        <v>24.1</v>
      </c>
      <c r="W6" s="169" t="str">
        <v>dc24</v>
      </c>
      <c r="X6" s="67">
        <f t="shared" si="7"/>
        <v>10.6</v>
      </c>
      <c r="Y6" s="13">
        <f t="shared" si="8"/>
        <v>10.48</v>
      </c>
      <c r="Z6" s="19">
        <f t="shared" si="1"/>
        <v>-36</v>
      </c>
      <c r="AA6" s="281">
        <v>10.9</v>
      </c>
      <c r="AB6" s="17">
        <f t="shared" si="9"/>
        <v>10.54</v>
      </c>
      <c r="AC6" s="13" t="str">
        <f t="shared" si="10"/>
        <v>RTMX</v>
      </c>
      <c r="AD6" s="201"/>
      <c r="AE6" s="217">
        <f t="shared" si="2"/>
        <v>-46.999999999999972</v>
      </c>
      <c r="AF6" s="253">
        <v>24.1</v>
      </c>
      <c r="AG6" s="253">
        <v>25</v>
      </c>
      <c r="AH6" s="67">
        <f t="shared" si="3"/>
        <v>-0.34999999999999964</v>
      </c>
      <c r="AI6" s="13">
        <f t="shared" si="4"/>
        <v>-0.58999999999999986</v>
      </c>
      <c r="AJ6" s="211">
        <f t="shared" si="0"/>
        <v>-61.000000000000121</v>
      </c>
      <c r="AK6" s="201"/>
      <c r="AL6" s="177" t="str">
        <v>dc24</v>
      </c>
      <c r="AM6" s="252">
        <v>10.88</v>
      </c>
      <c r="AN6" s="252">
        <v>10.85</v>
      </c>
      <c r="AO6" s="19">
        <f t="shared" si="5"/>
        <v>-3.5000000000000142</v>
      </c>
      <c r="AP6" s="201"/>
      <c r="AQ6" s="177" t="str">
        <v>dc24</v>
      </c>
      <c r="AR6" s="252">
        <f t="shared" si="11"/>
        <v>10.865</v>
      </c>
      <c r="AS6" s="178">
        <f t="shared" si="12"/>
        <v>-3.5000000000000142</v>
      </c>
      <c r="AT6" s="186"/>
      <c r="AU6" s="141" t="s">
        <v>310</v>
      </c>
      <c r="AV6" s="270"/>
      <c r="AW6" s="270"/>
      <c r="AX6" s="213">
        <v>9.5</v>
      </c>
      <c r="AY6" s="258" t="e">
        <f t="shared" si="13"/>
        <v>#N/A</v>
      </c>
      <c r="AZ6" s="194"/>
      <c r="BA6" s="186"/>
    </row>
    <row r="7" spans="2:53">
      <c r="B7" s="231" t="str">
        <v>mz25</v>
      </c>
      <c r="C7" s="83" t="str">
        <v/>
      </c>
      <c r="D7" s="83">
        <v>10.130000000000001</v>
      </c>
      <c r="E7" s="83" t="str">
        <v/>
      </c>
      <c r="F7" s="83">
        <v>10.15</v>
      </c>
      <c r="G7" s="83" t="str">
        <v/>
      </c>
      <c r="H7" s="83" t="str">
        <v/>
      </c>
      <c r="I7" s="83" t="str">
        <v xml:space="preserve">     </v>
      </c>
      <c r="J7" s="232" t="str">
        <v/>
      </c>
      <c r="K7" s="83" t="str">
        <v/>
      </c>
      <c r="L7" s="83">
        <v>10.01</v>
      </c>
      <c r="M7" s="83">
        <v>10</v>
      </c>
      <c r="N7" s="83">
        <v>10</v>
      </c>
      <c r="O7" s="83" t="str">
        <v xml:space="preserve">     </v>
      </c>
      <c r="P7" s="83" t="str">
        <v/>
      </c>
      <c r="Q7" s="83" t="str">
        <v xml:space="preserve">     </v>
      </c>
      <c r="R7" s="232" t="str">
        <v/>
      </c>
      <c r="T7" s="68"/>
      <c r="U7" s="143" t="str">
        <f t="shared" si="6"/>
        <v>RTMX</v>
      </c>
      <c r="V7" s="208">
        <f t="shared" si="14"/>
        <v>25</v>
      </c>
      <c r="W7" s="169" t="str">
        <v>mz25</v>
      </c>
      <c r="X7" s="67">
        <f t="shared" si="7"/>
        <v>10.130000000000001</v>
      </c>
      <c r="Y7" s="13">
        <f t="shared" si="8"/>
        <v>10.01</v>
      </c>
      <c r="Z7" s="19">
        <f t="shared" si="1"/>
        <v>-22</v>
      </c>
      <c r="AA7" s="281">
        <v>10.29</v>
      </c>
      <c r="AB7" s="17">
        <f t="shared" si="9"/>
        <v>10.07</v>
      </c>
      <c r="AC7" s="13" t="str">
        <f t="shared" si="10"/>
        <v>RTMX</v>
      </c>
      <c r="AD7" s="201"/>
      <c r="AE7" s="217">
        <f t="shared" si="2"/>
        <v>-78.000000000000028</v>
      </c>
      <c r="AF7" s="253">
        <v>25</v>
      </c>
      <c r="AG7" s="253">
        <v>27</v>
      </c>
      <c r="AH7" s="67">
        <f t="shared" si="3"/>
        <v>-0.66000000000000014</v>
      </c>
      <c r="AI7" s="13">
        <f t="shared" si="4"/>
        <v>-0.90000000000000036</v>
      </c>
      <c r="AJ7" s="211">
        <f t="shared" si="0"/>
        <v>-53.999999999999915</v>
      </c>
      <c r="AK7" s="201"/>
      <c r="AL7" s="177" t="str">
        <v>mz25</v>
      </c>
      <c r="AM7" s="252">
        <v>10.7</v>
      </c>
      <c r="AN7" s="252">
        <v>10.62</v>
      </c>
      <c r="AO7" s="19">
        <f t="shared" si="5"/>
        <v>37.000000000000099</v>
      </c>
      <c r="AP7" s="201"/>
      <c r="AQ7" s="177" t="str">
        <v>mz25</v>
      </c>
      <c r="AR7" s="252">
        <f t="shared" si="11"/>
        <v>10.66</v>
      </c>
      <c r="AS7" s="178">
        <f t="shared" si="12"/>
        <v>37.000000000000099</v>
      </c>
      <c r="AT7" s="186"/>
      <c r="AU7" s="195"/>
      <c r="AV7" s="272">
        <f>+AV5*2-AW6-AW4</f>
        <v>0</v>
      </c>
      <c r="AW7" s="272">
        <f>+AW5*2-AV6-AV4</f>
        <v>0</v>
      </c>
      <c r="AX7" s="214">
        <f>+(AX5*2)-AX4-AX6</f>
        <v>0.9399999999999995</v>
      </c>
      <c r="AY7" s="271" t="e">
        <f>+(AY5*2)-AY4-AY6</f>
        <v>#N/A</v>
      </c>
      <c r="AZ7" s="196">
        <f>+(AZ5*2)-AZ4-AZ6</f>
        <v>0</v>
      </c>
      <c r="BA7" s="186"/>
    </row>
    <row r="8" spans="2:53">
      <c r="B8" s="231" t="str">
        <v>mz26</v>
      </c>
      <c r="C8" s="83" t="str">
        <v/>
      </c>
      <c r="D8" s="83">
        <v>9.59</v>
      </c>
      <c r="E8" s="83" t="str">
        <v/>
      </c>
      <c r="F8" s="83">
        <v>9.6199999999999992</v>
      </c>
      <c r="G8" s="83" t="str">
        <v/>
      </c>
      <c r="H8" s="83" t="str">
        <v/>
      </c>
      <c r="I8" s="83" t="str">
        <v xml:space="preserve">     </v>
      </c>
      <c r="J8" s="232" t="str">
        <v/>
      </c>
      <c r="K8" s="83" t="str">
        <v/>
      </c>
      <c r="L8" s="83">
        <v>9.4700000000000006</v>
      </c>
      <c r="M8" s="83">
        <v>9.4700000000000006</v>
      </c>
      <c r="N8" s="83">
        <v>9.4700000000000006</v>
      </c>
      <c r="O8" s="83" t="str">
        <v xml:space="preserve">     </v>
      </c>
      <c r="P8" s="83" t="str">
        <v/>
      </c>
      <c r="Q8" s="83" t="str">
        <v xml:space="preserve">     </v>
      </c>
      <c r="R8" s="232" t="str">
        <v/>
      </c>
      <c r="T8" s="68"/>
      <c r="U8" s="143" t="str">
        <f t="shared" si="6"/>
        <v>RTMX</v>
      </c>
      <c r="V8" s="208">
        <f t="shared" si="14"/>
        <v>26</v>
      </c>
      <c r="W8" s="169" t="str">
        <v>mz26</v>
      </c>
      <c r="X8" s="67">
        <f t="shared" si="7"/>
        <v>9.59</v>
      </c>
      <c r="Y8" s="13">
        <f t="shared" si="8"/>
        <v>9.4700000000000006</v>
      </c>
      <c r="Z8" s="19">
        <f t="shared" si="1"/>
        <v>-49</v>
      </c>
      <c r="AA8" s="281">
        <v>10.02</v>
      </c>
      <c r="AB8" s="17">
        <f t="shared" si="9"/>
        <v>9.5300000000000011</v>
      </c>
      <c r="AC8" s="13" t="str">
        <f t="shared" si="10"/>
        <v>RTMX</v>
      </c>
      <c r="AD8" s="201"/>
      <c r="AE8" s="217">
        <f t="shared" si="2"/>
        <v>-141.5</v>
      </c>
      <c r="AF8" s="253">
        <v>24</v>
      </c>
      <c r="AG8" s="253">
        <v>26</v>
      </c>
      <c r="AH8" s="67">
        <f t="shared" si="3"/>
        <v>-1.3000000000000007</v>
      </c>
      <c r="AI8" s="13">
        <f t="shared" si="4"/>
        <v>-1.5299999999999994</v>
      </c>
      <c r="AJ8" s="211">
        <f t="shared" si="0"/>
        <v>-111.00000000000011</v>
      </c>
      <c r="AK8" s="201"/>
      <c r="AL8" s="177" t="str">
        <v>mz26</v>
      </c>
      <c r="AM8" s="252">
        <v>9.86</v>
      </c>
      <c r="AN8" s="252">
        <v>9.84</v>
      </c>
      <c r="AO8" s="19">
        <f t="shared" si="5"/>
        <v>-16.999999999999993</v>
      </c>
      <c r="AP8" s="201"/>
      <c r="AQ8" s="177" t="str">
        <v>mz26</v>
      </c>
      <c r="AR8" s="252">
        <f t="shared" si="11"/>
        <v>9.85</v>
      </c>
      <c r="AS8" s="178">
        <f t="shared" si="12"/>
        <v>-16.999999999999993</v>
      </c>
      <c r="AT8" s="186"/>
      <c r="AU8" s="186"/>
      <c r="AV8" s="186"/>
      <c r="AW8" s="186"/>
      <c r="AX8" s="186"/>
      <c r="AY8" s="186"/>
      <c r="AZ8" s="186"/>
      <c r="BA8" s="186"/>
    </row>
    <row r="9" spans="2:53">
      <c r="B9" s="231" t="str">
        <v>sp26</v>
      </c>
      <c r="C9" s="83">
        <v>9.58</v>
      </c>
      <c r="D9" s="83">
        <v>9.58</v>
      </c>
      <c r="E9" s="83" t="str">
        <v/>
      </c>
      <c r="F9" s="83">
        <v>9.61</v>
      </c>
      <c r="G9" s="83" t="str">
        <v/>
      </c>
      <c r="H9" s="83" t="str">
        <v/>
      </c>
      <c r="I9" s="83" t="str">
        <v xml:space="preserve">     </v>
      </c>
      <c r="J9" s="232" t="str">
        <v/>
      </c>
      <c r="K9" s="83">
        <v>9.4600000000000009</v>
      </c>
      <c r="L9" s="83">
        <v>9.4600000000000009</v>
      </c>
      <c r="M9" s="83">
        <v>9.4600000000000009</v>
      </c>
      <c r="N9" s="83">
        <v>9.4600000000000009</v>
      </c>
      <c r="O9" s="83" t="str">
        <v xml:space="preserve">     </v>
      </c>
      <c r="P9" s="83" t="str">
        <v/>
      </c>
      <c r="Q9" s="83" t="str">
        <v xml:space="preserve">     </v>
      </c>
      <c r="R9" s="232" t="str">
        <v/>
      </c>
      <c r="T9" s="68"/>
      <c r="U9" s="143" t="str">
        <f t="shared" si="6"/>
        <v>ENMX</v>
      </c>
      <c r="V9" s="208">
        <f t="shared" si="14"/>
        <v>26.1</v>
      </c>
      <c r="W9" s="169" t="str">
        <v>sp26</v>
      </c>
      <c r="X9" s="67">
        <f t="shared" si="7"/>
        <v>9.58</v>
      </c>
      <c r="Y9" s="13">
        <f t="shared" si="8"/>
        <v>9.4600000000000009</v>
      </c>
      <c r="Z9" s="19">
        <f t="shared" si="1"/>
        <v>-39</v>
      </c>
      <c r="AA9" s="281">
        <v>9.91</v>
      </c>
      <c r="AB9" s="17">
        <f t="shared" si="9"/>
        <v>9.52</v>
      </c>
      <c r="AC9" s="13" t="str">
        <f t="shared" si="10"/>
        <v>ENMX</v>
      </c>
      <c r="AD9" s="201"/>
      <c r="AE9" s="217">
        <f t="shared" si="2"/>
        <v>-41.999999999999993</v>
      </c>
      <c r="AF9" s="253">
        <v>27</v>
      </c>
      <c r="AG9" s="253">
        <v>53</v>
      </c>
      <c r="AH9" s="67">
        <f t="shared" si="3"/>
        <v>-0.30000000000000071</v>
      </c>
      <c r="AI9" s="13">
        <f t="shared" si="4"/>
        <v>-0.53999999999999915</v>
      </c>
      <c r="AJ9" s="211">
        <f t="shared" si="0"/>
        <v>-15.000000000000036</v>
      </c>
      <c r="AK9" s="201"/>
      <c r="AL9" s="177" t="str">
        <v>sp26</v>
      </c>
      <c r="AM9" s="252">
        <v>9.3699999999999992</v>
      </c>
      <c r="AN9" s="252">
        <v>9.32</v>
      </c>
      <c r="AO9" s="19">
        <f t="shared" si="5"/>
        <v>-56.500000000000128</v>
      </c>
      <c r="AP9" s="201"/>
      <c r="AQ9" s="177" t="str">
        <v>sp26</v>
      </c>
      <c r="AR9" s="252">
        <f t="shared" si="11"/>
        <v>9.3449999999999989</v>
      </c>
      <c r="AS9" s="178">
        <f t="shared" si="12"/>
        <v>-56.500000000000128</v>
      </c>
      <c r="AT9" s="186"/>
      <c r="AU9" s="187" t="s">
        <v>299</v>
      </c>
      <c r="AV9" s="139"/>
      <c r="AW9" s="139"/>
      <c r="AX9" s="139"/>
      <c r="AY9" s="193"/>
      <c r="AZ9" s="230"/>
      <c r="BA9" s="186"/>
    </row>
    <row r="10" spans="2:53">
      <c r="B10" s="231" t="str">
        <v>mz27</v>
      </c>
      <c r="C10" s="83">
        <v>9.35</v>
      </c>
      <c r="D10" s="83">
        <v>9.35</v>
      </c>
      <c r="E10" s="83" t="str">
        <v/>
      </c>
      <c r="F10" s="83">
        <v>9.3800000000000008</v>
      </c>
      <c r="G10" s="83" t="str">
        <v/>
      </c>
      <c r="H10" s="83" t="str">
        <v/>
      </c>
      <c r="I10" s="83" t="str">
        <v xml:space="preserve">     </v>
      </c>
      <c r="J10" s="232" t="str">
        <v/>
      </c>
      <c r="K10" s="83">
        <v>9.23</v>
      </c>
      <c r="L10" s="83">
        <v>9.23</v>
      </c>
      <c r="M10" s="83">
        <v>9.23</v>
      </c>
      <c r="N10" s="83">
        <v>9.23</v>
      </c>
      <c r="O10" s="83" t="str">
        <v xml:space="preserve">     </v>
      </c>
      <c r="P10" s="83" t="str">
        <v/>
      </c>
      <c r="Q10" s="83" t="str">
        <v xml:space="preserve">     </v>
      </c>
      <c r="R10" s="232" t="str">
        <v/>
      </c>
      <c r="T10" s="68"/>
      <c r="U10" s="143" t="str">
        <f t="shared" si="6"/>
        <v>ENMX</v>
      </c>
      <c r="V10" s="208">
        <f t="shared" si="14"/>
        <v>27</v>
      </c>
      <c r="W10" s="169" t="str">
        <v>mz27</v>
      </c>
      <c r="X10" s="67">
        <f t="shared" si="7"/>
        <v>9.35</v>
      </c>
      <c r="Y10" s="13">
        <f t="shared" si="8"/>
        <v>9.23</v>
      </c>
      <c r="Z10" s="19">
        <f t="shared" si="1"/>
        <v>-46</v>
      </c>
      <c r="AA10" s="281">
        <v>9.75</v>
      </c>
      <c r="AB10" s="17">
        <f>IFERROR(((X10+Y10)/2),"")</f>
        <v>9.2899999999999991</v>
      </c>
      <c r="AC10" s="13" t="str">
        <f t="shared" si="10"/>
        <v>ENMX</v>
      </c>
      <c r="AD10" s="201"/>
      <c r="AE10" s="217">
        <f t="shared" si="2"/>
        <v>-2.4999999999999467</v>
      </c>
      <c r="AF10" s="253">
        <v>29</v>
      </c>
      <c r="AG10" s="253">
        <v>34</v>
      </c>
      <c r="AH10" s="67">
        <f t="shared" si="3"/>
        <v>8.9999999999999858E-2</v>
      </c>
      <c r="AI10" s="13">
        <f t="shared" si="4"/>
        <v>-0.13999999999999879</v>
      </c>
      <c r="AJ10" s="211">
        <f t="shared" si="0"/>
        <v>2.9999999999999361</v>
      </c>
      <c r="AK10" s="201"/>
      <c r="AL10" s="177" t="str">
        <v>mz27</v>
      </c>
      <c r="AM10" s="252">
        <v>9.2799999999999994</v>
      </c>
      <c r="AN10" s="252">
        <v>9.25</v>
      </c>
      <c r="AO10" s="19">
        <f t="shared" si="5"/>
        <v>-48.499999999999943</v>
      </c>
      <c r="AP10" s="201"/>
      <c r="AQ10" s="177" t="str">
        <v>mz27</v>
      </c>
      <c r="AR10" s="252">
        <f t="shared" si="11"/>
        <v>9.2650000000000006</v>
      </c>
      <c r="AS10" s="178">
        <f t="shared" si="12"/>
        <v>-48.499999999999943</v>
      </c>
      <c r="AT10" s="186"/>
      <c r="AU10" s="141" t="s">
        <v>28</v>
      </c>
      <c r="AV10" s="15" t="s">
        <v>14</v>
      </c>
      <c r="AW10" s="15" t="s">
        <v>15</v>
      </c>
      <c r="AX10" s="219" t="s">
        <v>17</v>
      </c>
      <c r="AY10" s="15" t="s">
        <v>18</v>
      </c>
      <c r="AZ10" s="142" t="s">
        <v>298</v>
      </c>
      <c r="BA10" s="186"/>
    </row>
    <row r="11" spans="2:53">
      <c r="B11" s="231" t="str">
        <v>jn27</v>
      </c>
      <c r="C11" s="83">
        <v>9.24</v>
      </c>
      <c r="D11" s="83">
        <v>9.24</v>
      </c>
      <c r="E11" s="83" t="str">
        <v/>
      </c>
      <c r="F11" s="83">
        <v>9.27</v>
      </c>
      <c r="G11" s="83" t="str">
        <v/>
      </c>
      <c r="H11" s="83" t="str">
        <v/>
      </c>
      <c r="I11" s="83" t="str">
        <v xml:space="preserve">     </v>
      </c>
      <c r="J11" s="232" t="str">
        <v/>
      </c>
      <c r="K11" s="83">
        <v>9.1199999999999992</v>
      </c>
      <c r="L11" s="83">
        <v>9.1199999999999992</v>
      </c>
      <c r="M11" s="83">
        <v>9.1199999999999992</v>
      </c>
      <c r="N11" s="83">
        <v>9.1199999999999992</v>
      </c>
      <c r="O11" s="83" t="str">
        <v xml:space="preserve">     </v>
      </c>
      <c r="P11" s="83" t="str">
        <v/>
      </c>
      <c r="Q11" s="83" t="str">
        <v xml:space="preserve">     </v>
      </c>
      <c r="R11" s="232" t="str">
        <v/>
      </c>
      <c r="T11" s="68"/>
      <c r="U11" s="143" t="str">
        <f t="shared" si="6"/>
        <v>ENMX</v>
      </c>
      <c r="V11" s="208">
        <f t="shared" si="14"/>
        <v>27.1</v>
      </c>
      <c r="W11" s="169" t="str">
        <v>jn27</v>
      </c>
      <c r="X11" s="67">
        <f t="shared" si="7"/>
        <v>9.24</v>
      </c>
      <c r="Y11" s="13">
        <f t="shared" si="8"/>
        <v>9.1199999999999992</v>
      </c>
      <c r="Z11" s="19">
        <f t="shared" si="1"/>
        <v>-53</v>
      </c>
      <c r="AA11" s="281">
        <v>9.7100000000000009</v>
      </c>
      <c r="AB11" s="17">
        <f>IFERROR(((X11+Y11)/2),"")</f>
        <v>9.18</v>
      </c>
      <c r="AC11" s="13" t="str">
        <f t="shared" si="10"/>
        <v>ENMX</v>
      </c>
      <c r="AD11" s="201"/>
      <c r="AE11" s="217">
        <f t="shared" si="2"/>
        <v>7.0000000000000284</v>
      </c>
      <c r="AF11" s="253">
        <v>29</v>
      </c>
      <c r="AG11" s="253">
        <v>42</v>
      </c>
      <c r="AH11" s="67">
        <f t="shared" si="3"/>
        <v>0.1899999999999995</v>
      </c>
      <c r="AI11" s="13">
        <f t="shared" si="4"/>
        <v>-4.9999999999998934E-2</v>
      </c>
      <c r="AJ11" s="211">
        <f t="shared" si="0"/>
        <v>13.999999999999879</v>
      </c>
      <c r="AK11" s="201"/>
      <c r="AL11" s="177" t="str">
        <v>jn27</v>
      </c>
      <c r="AM11" s="252">
        <v>9.02</v>
      </c>
      <c r="AN11" s="252">
        <v>8.9600000000000009</v>
      </c>
      <c r="AO11" s="19">
        <f t="shared" si="5"/>
        <v>-72.000000000000057</v>
      </c>
      <c r="AP11" s="201"/>
      <c r="AQ11" s="177" t="str">
        <v>jn27</v>
      </c>
      <c r="AR11" s="252">
        <f t="shared" si="11"/>
        <v>8.99</v>
      </c>
      <c r="AS11" s="178">
        <f t="shared" si="12"/>
        <v>-72.000000000000057</v>
      </c>
      <c r="AT11" s="186"/>
      <c r="AU11" s="141" t="s">
        <v>309</v>
      </c>
      <c r="AV11" s="270"/>
      <c r="AW11" s="270"/>
      <c r="AX11" s="213"/>
      <c r="AY11" s="226" t="e">
        <f>+VLOOKUP(AU11,$AF$28:$AL$47,7,0)</f>
        <v>#N/A</v>
      </c>
      <c r="AZ11" s="194"/>
      <c r="BA11" s="186"/>
    </row>
    <row r="12" spans="2:53">
      <c r="B12" s="231" t="str">
        <v>my29</v>
      </c>
      <c r="C12" s="83">
        <v>8.86</v>
      </c>
      <c r="D12" s="83">
        <v>8.86</v>
      </c>
      <c r="E12" s="83" t="str">
        <v/>
      </c>
      <c r="F12" s="83">
        <v>8.89</v>
      </c>
      <c r="G12" s="83" t="str">
        <v/>
      </c>
      <c r="H12" s="83" t="str">
        <v/>
      </c>
      <c r="I12" s="83" t="str">
        <v xml:space="preserve">     </v>
      </c>
      <c r="J12" s="232" t="str">
        <v/>
      </c>
      <c r="K12" s="83">
        <v>8.74</v>
      </c>
      <c r="L12" s="83">
        <v>8.74</v>
      </c>
      <c r="M12" s="83">
        <v>8.74</v>
      </c>
      <c r="N12" s="83">
        <v>8.74</v>
      </c>
      <c r="O12" s="83" t="str">
        <v xml:space="preserve">     </v>
      </c>
      <c r="P12" s="83" t="str">
        <v/>
      </c>
      <c r="Q12" s="83" t="str">
        <v xml:space="preserve">     </v>
      </c>
      <c r="R12" s="232" t="str">
        <v/>
      </c>
      <c r="T12" s="68"/>
      <c r="U12" s="143" t="str">
        <f t="shared" si="6"/>
        <v>ENMX</v>
      </c>
      <c r="V12" s="208">
        <f t="shared" si="14"/>
        <v>29</v>
      </c>
      <c r="W12" s="169" t="str">
        <v>my29</v>
      </c>
      <c r="X12" s="67">
        <f t="shared" si="7"/>
        <v>8.86</v>
      </c>
      <c r="Y12" s="13">
        <f t="shared" si="8"/>
        <v>8.74</v>
      </c>
      <c r="Z12" s="19">
        <f t="shared" si="1"/>
        <v>-66</v>
      </c>
      <c r="AA12" s="281">
        <v>9.4600000000000009</v>
      </c>
      <c r="AB12" s="17">
        <f>IFERROR(((X12+Y12)/2),"")</f>
        <v>8.8000000000000007</v>
      </c>
      <c r="AC12" s="13" t="str">
        <f t="shared" si="10"/>
        <v>ENMX</v>
      </c>
      <c r="AD12" s="201"/>
      <c r="AE12" s="217">
        <f t="shared" si="2"/>
        <v>-49.000000000000021</v>
      </c>
      <c r="AF12" s="253">
        <v>27</v>
      </c>
      <c r="AG12" s="253">
        <v>29</v>
      </c>
      <c r="AH12" s="67">
        <f t="shared" si="3"/>
        <v>-0.37000000000000099</v>
      </c>
      <c r="AI12" s="13">
        <f t="shared" si="4"/>
        <v>-0.60999999999999943</v>
      </c>
      <c r="AJ12" s="211">
        <f t="shared" si="0"/>
        <v>-28.999999999999915</v>
      </c>
      <c r="AK12" s="201"/>
      <c r="AL12" s="177" t="str">
        <v>my29</v>
      </c>
      <c r="AM12" s="252">
        <v>8.9</v>
      </c>
      <c r="AN12" s="252">
        <v>8.8800000000000008</v>
      </c>
      <c r="AO12" s="19">
        <f t="shared" si="5"/>
        <v>-57.000000000000028</v>
      </c>
      <c r="AP12" s="201"/>
      <c r="AQ12" s="177" t="str">
        <v>my29</v>
      </c>
      <c r="AR12" s="252">
        <f t="shared" si="11"/>
        <v>8.89</v>
      </c>
      <c r="AS12" s="178">
        <f t="shared" si="12"/>
        <v>-57.000000000000028</v>
      </c>
      <c r="AT12" s="186"/>
      <c r="AU12" s="141" t="s">
        <v>308</v>
      </c>
      <c r="AV12" s="270"/>
      <c r="AW12" s="270"/>
      <c r="AX12" s="213"/>
      <c r="AY12" s="226" t="e">
        <f t="shared" ref="AY12:AY13" si="15">+VLOOKUP(AU12,$AF$28:$AL$47,7,0)</f>
        <v>#N/A</v>
      </c>
      <c r="AZ12" s="194"/>
      <c r="BA12" s="186"/>
    </row>
    <row r="13" spans="2:53">
      <c r="B13" s="231" t="str">
        <v>my31</v>
      </c>
      <c r="C13" s="83">
        <v>8.84</v>
      </c>
      <c r="D13" s="83">
        <v>8.84</v>
      </c>
      <c r="E13" s="83">
        <v>8.84</v>
      </c>
      <c r="F13" s="83">
        <v>8.8699999999999992</v>
      </c>
      <c r="G13" s="83" t="str">
        <v/>
      </c>
      <c r="H13" s="83" t="str">
        <v/>
      </c>
      <c r="I13" s="83" t="str">
        <v xml:space="preserve">     </v>
      </c>
      <c r="J13" s="232" t="str">
        <v/>
      </c>
      <c r="K13" s="83">
        <v>8.7200000000000006</v>
      </c>
      <c r="L13" s="83">
        <v>8.7200000000000006</v>
      </c>
      <c r="M13" s="83">
        <v>8.7200000000000006</v>
      </c>
      <c r="N13" s="83">
        <v>8.7200000000000006</v>
      </c>
      <c r="O13" s="83" t="str">
        <v xml:space="preserve">     </v>
      </c>
      <c r="P13" s="83" t="str">
        <v/>
      </c>
      <c r="Q13" s="83" t="str">
        <v xml:space="preserve">     </v>
      </c>
      <c r="R13" s="232" t="str">
        <v/>
      </c>
      <c r="T13" s="68"/>
      <c r="U13" s="143" t="str">
        <f t="shared" si="6"/>
        <v>ENMX</v>
      </c>
      <c r="V13" s="208">
        <f t="shared" si="14"/>
        <v>31</v>
      </c>
      <c r="W13" s="169" t="str">
        <v>my31</v>
      </c>
      <c r="X13" s="67">
        <f t="shared" si="7"/>
        <v>8.84</v>
      </c>
      <c r="Y13" s="13">
        <f t="shared" si="8"/>
        <v>8.7200000000000006</v>
      </c>
      <c r="Z13" s="19">
        <f t="shared" si="1"/>
        <v>-73</v>
      </c>
      <c r="AA13" s="281">
        <v>9.51</v>
      </c>
      <c r="AB13" s="17">
        <f>IFERROR(((X13+Y13)/2),"")</f>
        <v>8.7800000000000011</v>
      </c>
      <c r="AC13" s="13" t="str">
        <f t="shared" si="10"/>
        <v>ENMX</v>
      </c>
      <c r="AD13" s="201"/>
      <c r="AE13" s="217">
        <f t="shared" si="2"/>
        <v>-40.500000000000028</v>
      </c>
      <c r="AF13" s="253">
        <v>24</v>
      </c>
      <c r="AG13" s="253">
        <v>24.1</v>
      </c>
      <c r="AH13" s="67">
        <f t="shared" si="3"/>
        <v>-0.29000000000000092</v>
      </c>
      <c r="AI13" s="13">
        <f t="shared" si="4"/>
        <v>-0.51999999999999957</v>
      </c>
      <c r="AJ13" s="211">
        <f t="shared" si="0"/>
        <v>-23.000000000000043</v>
      </c>
      <c r="AK13" s="201"/>
      <c r="AL13" s="177" t="str">
        <v>my31</v>
      </c>
      <c r="AM13" s="252">
        <v>8.92</v>
      </c>
      <c r="AN13" s="252">
        <v>8.8800000000000008</v>
      </c>
      <c r="AO13" s="19">
        <f t="shared" si="5"/>
        <v>-60.999999999999943</v>
      </c>
      <c r="AP13" s="201"/>
      <c r="AQ13" s="177" t="str">
        <v>my31</v>
      </c>
      <c r="AR13" s="252">
        <f t="shared" si="11"/>
        <v>8.9</v>
      </c>
      <c r="AS13" s="178">
        <f t="shared" si="12"/>
        <v>-60.999999999999943</v>
      </c>
      <c r="AT13" s="186"/>
      <c r="AU13" s="141" t="s">
        <v>310</v>
      </c>
      <c r="AV13" s="270"/>
      <c r="AW13" s="270"/>
      <c r="AX13" s="213"/>
      <c r="AY13" s="226" t="e">
        <f t="shared" si="15"/>
        <v>#N/A</v>
      </c>
      <c r="AZ13" s="194"/>
      <c r="BA13" s="186"/>
    </row>
    <row r="14" spans="2:53">
      <c r="B14" s="231" t="str">
        <v>my33</v>
      </c>
      <c r="C14" s="83">
        <v>8.82</v>
      </c>
      <c r="D14" s="83">
        <v>8.82</v>
      </c>
      <c r="E14" s="83">
        <v>8.83</v>
      </c>
      <c r="F14" s="83">
        <v>8.8699999999999992</v>
      </c>
      <c r="G14" s="83" t="str">
        <v/>
      </c>
      <c r="H14" s="83" t="str">
        <v/>
      </c>
      <c r="I14" s="83" t="str">
        <v xml:space="preserve">     </v>
      </c>
      <c r="J14" s="232" t="str">
        <v/>
      </c>
      <c r="K14" s="83">
        <v>8.7200000000000006</v>
      </c>
      <c r="L14" s="83">
        <v>8.7200000000000006</v>
      </c>
      <c r="M14" s="83">
        <v>8.7200000000000006</v>
      </c>
      <c r="N14" s="83">
        <v>8.7200000000000006</v>
      </c>
      <c r="O14" s="83" t="str">
        <v xml:space="preserve">     </v>
      </c>
      <c r="P14" s="83" t="str">
        <v/>
      </c>
      <c r="Q14" s="83" t="str">
        <v xml:space="preserve">     </v>
      </c>
      <c r="R14" s="232" t="str">
        <v/>
      </c>
      <c r="T14" s="68"/>
      <c r="U14" s="143" t="str">
        <f t="shared" si="6"/>
        <v>ENMX</v>
      </c>
      <c r="V14" s="208">
        <f t="shared" si="14"/>
        <v>33</v>
      </c>
      <c r="W14" s="169" t="str">
        <v>my33</v>
      </c>
      <c r="X14" s="67">
        <f t="shared" si="7"/>
        <v>8.82</v>
      </c>
      <c r="Y14" s="13">
        <f t="shared" si="8"/>
        <v>8.7200000000000006</v>
      </c>
      <c r="Z14" s="19">
        <f t="shared" si="1"/>
        <v>-75</v>
      </c>
      <c r="AA14" s="281">
        <v>9.52</v>
      </c>
      <c r="AB14" s="17">
        <f>IFERROR(((X14+Y14)/2),"")</f>
        <v>8.77</v>
      </c>
      <c r="AC14" s="13" t="str">
        <f t="shared" si="10"/>
        <v>ENMX</v>
      </c>
      <c r="AD14" s="201"/>
      <c r="AE14" s="217">
        <f t="shared" si="2"/>
        <v>-54</v>
      </c>
      <c r="AF14" s="253">
        <v>25</v>
      </c>
      <c r="AG14" s="253">
        <v>26</v>
      </c>
      <c r="AH14" s="67">
        <f t="shared" si="3"/>
        <v>-0.41999999999999993</v>
      </c>
      <c r="AI14" s="13">
        <f t="shared" si="4"/>
        <v>-0.66000000000000014</v>
      </c>
      <c r="AJ14" s="211">
        <f t="shared" si="0"/>
        <v>-26.999999999999957</v>
      </c>
      <c r="AK14" s="201"/>
      <c r="AL14" s="177" t="str">
        <v>my33</v>
      </c>
      <c r="AM14" s="252">
        <v>8.86</v>
      </c>
      <c r="AN14" s="252">
        <v>8.83</v>
      </c>
      <c r="AO14" s="19">
        <f t="shared" si="5"/>
        <v>-67.500000000000071</v>
      </c>
      <c r="AP14" s="201"/>
      <c r="AQ14" s="177" t="str">
        <v>my33</v>
      </c>
      <c r="AR14" s="252">
        <f t="shared" si="11"/>
        <v>8.8449999999999989</v>
      </c>
      <c r="AS14" s="178">
        <f t="shared" si="12"/>
        <v>-67.500000000000071</v>
      </c>
      <c r="AT14" s="186"/>
      <c r="AU14" s="195"/>
      <c r="AV14" s="272">
        <f>+AV12*2-AW13-AW11</f>
        <v>0</v>
      </c>
      <c r="AW14" s="272">
        <f>+AW12*2-AV13-AV11</f>
        <v>0</v>
      </c>
      <c r="AX14" s="214">
        <f>+(AX12*2)-AX11-AX13</f>
        <v>0</v>
      </c>
      <c r="AY14" s="271" t="e">
        <f>+(AY12*2)-AY11-AY13</f>
        <v>#N/A</v>
      </c>
      <c r="AZ14" s="197">
        <f>+(AZ12*2)-AZ11-AZ13</f>
        <v>0</v>
      </c>
      <c r="BA14" s="186"/>
    </row>
    <row r="15" spans="2:53">
      <c r="B15" s="231" t="str">
        <v>nv34</v>
      </c>
      <c r="C15" s="83">
        <v>8.83</v>
      </c>
      <c r="D15" s="83">
        <v>8.83</v>
      </c>
      <c r="E15" s="83">
        <v>8.83</v>
      </c>
      <c r="F15" s="83">
        <v>8.83</v>
      </c>
      <c r="G15" s="83" t="str">
        <v/>
      </c>
      <c r="H15" s="83" t="str">
        <v/>
      </c>
      <c r="I15" s="83" t="str">
        <v xml:space="preserve">     </v>
      </c>
      <c r="J15" s="232" t="str">
        <v/>
      </c>
      <c r="K15" s="83">
        <v>8.7200000000000006</v>
      </c>
      <c r="L15" s="83">
        <v>8.7200000000000006</v>
      </c>
      <c r="M15" s="83">
        <v>8.7200000000000006</v>
      </c>
      <c r="N15" s="83">
        <v>8.7200000000000006</v>
      </c>
      <c r="O15" s="83" t="str">
        <v xml:space="preserve">     </v>
      </c>
      <c r="P15" s="83" t="str">
        <v/>
      </c>
      <c r="Q15" s="83" t="str">
        <v xml:space="preserve">     </v>
      </c>
      <c r="R15" s="232" t="str">
        <v/>
      </c>
      <c r="T15" s="68"/>
      <c r="U15" s="143" t="str">
        <f t="shared" si="6"/>
        <v>ENMX</v>
      </c>
      <c r="V15" s="208">
        <f t="shared" si="14"/>
        <v>34</v>
      </c>
      <c r="W15" s="169" t="str">
        <v>nv34</v>
      </c>
      <c r="X15" s="67">
        <f t="shared" si="7"/>
        <v>8.83</v>
      </c>
      <c r="Y15" s="13">
        <f t="shared" si="8"/>
        <v>8.7200000000000006</v>
      </c>
      <c r="Z15" s="19">
        <f t="shared" si="1"/>
        <v>-71.5</v>
      </c>
      <c r="AA15" s="281">
        <v>9.49</v>
      </c>
      <c r="AB15" s="17">
        <f t="shared" ref="AB15:AB20" si="16">IFERROR(((X15+Y15)/2),"")</f>
        <v>8.7750000000000004</v>
      </c>
      <c r="AC15" s="13" t="str">
        <f t="shared" si="10"/>
        <v>ENMX</v>
      </c>
      <c r="AD15" s="201"/>
      <c r="AE15" s="217">
        <f t="shared" si="2"/>
        <v>-24.000000000000021</v>
      </c>
      <c r="AF15" s="253">
        <v>26</v>
      </c>
      <c r="AG15" s="253">
        <v>27</v>
      </c>
      <c r="AH15" s="67">
        <f t="shared" si="3"/>
        <v>-0.12000000000000099</v>
      </c>
      <c r="AI15" s="13">
        <f t="shared" si="4"/>
        <v>-0.35999999999999943</v>
      </c>
      <c r="AJ15" s="211">
        <f t="shared" si="0"/>
        <v>-26.999999999999957</v>
      </c>
      <c r="AK15" s="201"/>
      <c r="AL15" s="177" t="str">
        <v>nv34</v>
      </c>
      <c r="AM15" s="252">
        <v>8.89</v>
      </c>
      <c r="AN15" s="252">
        <v>8.7799999999999994</v>
      </c>
      <c r="AO15" s="19">
        <f t="shared" si="5"/>
        <v>-65.499999999999943</v>
      </c>
      <c r="AP15" s="201"/>
      <c r="AQ15" s="177" t="str">
        <v>nv34</v>
      </c>
      <c r="AR15" s="252">
        <f t="shared" si="11"/>
        <v>8.8350000000000009</v>
      </c>
      <c r="AS15" s="178">
        <f t="shared" si="12"/>
        <v>-65.499999999999943</v>
      </c>
      <c r="AT15" s="186"/>
      <c r="AU15" s="186"/>
      <c r="AV15" s="186"/>
      <c r="AW15" s="186"/>
      <c r="AX15" s="186"/>
      <c r="AY15" s="186"/>
      <c r="AZ15" s="186"/>
      <c r="BA15" s="186"/>
    </row>
    <row r="16" spans="2:53">
      <c r="B16" s="231" t="str">
        <v>nv36</v>
      </c>
      <c r="C16" s="83">
        <v>8.82</v>
      </c>
      <c r="D16" s="83">
        <v>8.82</v>
      </c>
      <c r="E16" s="83">
        <v>8.82</v>
      </c>
      <c r="F16" s="83">
        <v>8.82</v>
      </c>
      <c r="G16" s="83" t="str">
        <v/>
      </c>
      <c r="H16" s="83" t="str">
        <v/>
      </c>
      <c r="I16" s="83" t="str">
        <v xml:space="preserve">     </v>
      </c>
      <c r="J16" s="232" t="str">
        <v/>
      </c>
      <c r="K16" s="83">
        <v>8.7200000000000006</v>
      </c>
      <c r="L16" s="83">
        <v>8.7200000000000006</v>
      </c>
      <c r="M16" s="83">
        <v>8.7100000000000009</v>
      </c>
      <c r="N16" s="83">
        <v>8.7100000000000009</v>
      </c>
      <c r="O16" s="83" t="str">
        <v xml:space="preserve">     </v>
      </c>
      <c r="P16" s="83" t="str">
        <v/>
      </c>
      <c r="Q16" s="83" t="str">
        <v xml:space="preserve">     </v>
      </c>
      <c r="R16" s="232" t="str">
        <v/>
      </c>
      <c r="T16" s="68"/>
      <c r="U16" s="143" t="str">
        <f t="shared" si="6"/>
        <v>ENMX</v>
      </c>
      <c r="V16" s="208">
        <f t="shared" si="14"/>
        <v>36</v>
      </c>
      <c r="W16" s="169" t="str">
        <v>nv36</v>
      </c>
      <c r="X16" s="67">
        <f t="shared" si="7"/>
        <v>8.82</v>
      </c>
      <c r="Y16" s="13">
        <f t="shared" si="8"/>
        <v>8.7200000000000006</v>
      </c>
      <c r="Z16" s="19">
        <f t="shared" si="1"/>
        <v>-74</v>
      </c>
      <c r="AA16" s="281">
        <v>9.51</v>
      </c>
      <c r="AB16" s="17">
        <f t="shared" si="16"/>
        <v>8.77</v>
      </c>
      <c r="AC16" s="13" t="str">
        <f t="shared" si="10"/>
        <v>ENMX</v>
      </c>
      <c r="AD16" s="201"/>
      <c r="AE16" s="217">
        <f t="shared" si="2"/>
        <v>-11.000000000000032</v>
      </c>
      <c r="AF16" s="253">
        <v>27</v>
      </c>
      <c r="AG16" s="253">
        <v>27.1</v>
      </c>
      <c r="AH16" s="67">
        <f t="shared" si="3"/>
        <v>9.9999999999997868E-3</v>
      </c>
      <c r="AI16" s="13">
        <f t="shared" si="4"/>
        <v>-0.23000000000000043</v>
      </c>
      <c r="AJ16" s="211">
        <f t="shared" si="0"/>
        <v>-3.9999999999999147</v>
      </c>
      <c r="AK16" s="201"/>
      <c r="AL16" s="177" t="str">
        <v>nv36</v>
      </c>
      <c r="AM16" s="252">
        <v>9.0500000000000007</v>
      </c>
      <c r="AN16" s="252">
        <v>9.0299999999999994</v>
      </c>
      <c r="AO16" s="19">
        <f t="shared" si="5"/>
        <v>-47.000000000000064</v>
      </c>
      <c r="AP16" s="201"/>
      <c r="AQ16" s="177" t="str">
        <v>nv36</v>
      </c>
      <c r="AR16" s="252">
        <f t="shared" si="11"/>
        <v>9.0399999999999991</v>
      </c>
      <c r="AS16" s="178">
        <f t="shared" si="12"/>
        <v>-47.000000000000064</v>
      </c>
      <c r="AT16" s="186"/>
      <c r="AU16" s="273" t="s">
        <v>313</v>
      </c>
      <c r="AV16" s="274"/>
      <c r="AW16" s="274"/>
      <c r="AX16" s="274"/>
      <c r="AY16" s="274"/>
      <c r="AZ16" s="275"/>
      <c r="BA16" s="186"/>
    </row>
    <row r="17" spans="1:53">
      <c r="B17" s="231" t="str">
        <v>nv38</v>
      </c>
      <c r="C17" s="83">
        <v>8.91</v>
      </c>
      <c r="D17" s="83">
        <v>8.91</v>
      </c>
      <c r="E17" s="83" t="str">
        <v/>
      </c>
      <c r="F17" s="83">
        <v>8.93</v>
      </c>
      <c r="G17" s="83" t="str">
        <v/>
      </c>
      <c r="H17" s="83" t="str">
        <v/>
      </c>
      <c r="I17" s="83" t="str">
        <v xml:space="preserve">     </v>
      </c>
      <c r="J17" s="232" t="str">
        <v/>
      </c>
      <c r="K17" s="83">
        <v>8.7899999999999991</v>
      </c>
      <c r="L17" s="83">
        <v>8.7899999999999991</v>
      </c>
      <c r="M17" s="83" t="str">
        <v/>
      </c>
      <c r="N17" s="83">
        <v>8.7799999999999994</v>
      </c>
      <c r="O17" s="83" t="str">
        <v xml:space="preserve">     </v>
      </c>
      <c r="P17" s="83" t="str">
        <v/>
      </c>
      <c r="Q17" s="83" t="str">
        <v xml:space="preserve">     </v>
      </c>
      <c r="R17" s="232" t="str">
        <v/>
      </c>
      <c r="T17" s="68"/>
      <c r="U17" s="143" t="str">
        <f t="shared" si="6"/>
        <v>ENMX</v>
      </c>
      <c r="V17" s="208">
        <f t="shared" si="14"/>
        <v>38</v>
      </c>
      <c r="W17" s="169" t="str">
        <v>nv38</v>
      </c>
      <c r="X17" s="67">
        <f t="shared" si="7"/>
        <v>8.91</v>
      </c>
      <c r="Y17" s="13">
        <f t="shared" si="8"/>
        <v>8.7899999999999991</v>
      </c>
      <c r="Z17" s="19">
        <f t="shared" si="1"/>
        <v>-75</v>
      </c>
      <c r="AA17" s="281">
        <v>9.6</v>
      </c>
      <c r="AB17" s="17">
        <f t="shared" si="16"/>
        <v>8.85</v>
      </c>
      <c r="AC17" s="13" t="str">
        <f t="shared" si="10"/>
        <v>ENMX</v>
      </c>
      <c r="AD17" s="201"/>
      <c r="AE17" s="217">
        <f t="shared" si="2"/>
        <v>-1.9999999999999574</v>
      </c>
      <c r="AF17" s="253">
        <v>29</v>
      </c>
      <c r="AG17" s="253">
        <v>31</v>
      </c>
      <c r="AH17" s="67">
        <f t="shared" si="3"/>
        <v>9.9999999999999645E-2</v>
      </c>
      <c r="AI17" s="13">
        <f t="shared" si="4"/>
        <v>-0.13999999999999879</v>
      </c>
      <c r="AJ17" s="211">
        <f t="shared" si="0"/>
        <v>4.9999999999998934</v>
      </c>
      <c r="AK17" s="201"/>
      <c r="AL17" s="177" t="str">
        <v>nv38</v>
      </c>
      <c r="AM17" s="252">
        <v>9.07</v>
      </c>
      <c r="AN17" s="252">
        <v>9.0500000000000007</v>
      </c>
      <c r="AO17" s="19">
        <f t="shared" si="5"/>
        <v>-53.999999999999915</v>
      </c>
      <c r="AP17" s="201"/>
      <c r="AQ17" s="177" t="str">
        <v>nv38</v>
      </c>
      <c r="AR17" s="252">
        <f t="shared" si="11"/>
        <v>9.06</v>
      </c>
      <c r="AS17" s="178">
        <f t="shared" si="12"/>
        <v>-53.999999999999915</v>
      </c>
      <c r="AT17" s="186"/>
      <c r="AU17" s="276"/>
      <c r="AV17" s="186" t="s">
        <v>14</v>
      </c>
      <c r="AW17" s="186" t="s">
        <v>15</v>
      </c>
      <c r="AX17" s="219" t="s">
        <v>17</v>
      </c>
      <c r="AY17" s="186"/>
      <c r="AZ17" s="277"/>
      <c r="BA17" s="186"/>
    </row>
    <row r="18" spans="1:53">
      <c r="B18" s="231" t="str">
        <v>nv42</v>
      </c>
      <c r="C18" s="83">
        <v>8.93</v>
      </c>
      <c r="D18" s="83">
        <v>8.93</v>
      </c>
      <c r="E18" s="83" t="str">
        <v/>
      </c>
      <c r="F18" s="83">
        <v>8.9600000000000009</v>
      </c>
      <c r="G18" s="83" t="str">
        <v/>
      </c>
      <c r="H18" s="83" t="str">
        <v/>
      </c>
      <c r="I18" s="83" t="str">
        <v xml:space="preserve">     </v>
      </c>
      <c r="J18" s="232" t="str">
        <v/>
      </c>
      <c r="K18" s="83">
        <v>8.81</v>
      </c>
      <c r="L18" s="83">
        <v>8.81</v>
      </c>
      <c r="M18" s="83" t="str">
        <v/>
      </c>
      <c r="N18" s="83">
        <v>8.81</v>
      </c>
      <c r="O18" s="83" t="str">
        <v xml:space="preserve">     </v>
      </c>
      <c r="P18" s="83" t="str">
        <v/>
      </c>
      <c r="Q18" s="83" t="str">
        <v xml:space="preserve">     </v>
      </c>
      <c r="R18" s="232" t="str">
        <v/>
      </c>
      <c r="T18" s="68"/>
      <c r="U18" s="143" t="str">
        <f t="shared" si="6"/>
        <v>ENMX</v>
      </c>
      <c r="V18" s="208">
        <f t="shared" si="14"/>
        <v>42</v>
      </c>
      <c r="W18" s="169" t="str">
        <v>nv42</v>
      </c>
      <c r="X18" s="67">
        <f t="shared" si="7"/>
        <v>8.93</v>
      </c>
      <c r="Y18" s="13">
        <f t="shared" si="8"/>
        <v>8.81</v>
      </c>
      <c r="Z18" s="19">
        <f t="shared" si="1"/>
        <v>-73</v>
      </c>
      <c r="AA18" s="281">
        <v>9.6</v>
      </c>
      <c r="AB18" s="17">
        <f t="shared" si="16"/>
        <v>8.870000000000001</v>
      </c>
      <c r="AC18" s="13" t="str">
        <f t="shared" si="10"/>
        <v>ENMX</v>
      </c>
      <c r="AD18" s="201"/>
      <c r="AE18" s="217">
        <f t="shared" si="2"/>
        <v>-78.000000000000028</v>
      </c>
      <c r="AF18" s="253">
        <v>25</v>
      </c>
      <c r="AG18" s="253">
        <v>27</v>
      </c>
      <c r="AH18" s="67">
        <f t="shared" si="3"/>
        <v>-0.66000000000000014</v>
      </c>
      <c r="AI18" s="13">
        <f t="shared" si="4"/>
        <v>-0.90000000000000036</v>
      </c>
      <c r="AJ18" s="211">
        <f t="shared" si="0"/>
        <v>-53.999999999999915</v>
      </c>
      <c r="AK18" s="201"/>
      <c r="AL18" s="177" t="str">
        <v>nv42</v>
      </c>
      <c r="AM18" s="252">
        <v>9.02</v>
      </c>
      <c r="AN18" s="252">
        <v>9.01</v>
      </c>
      <c r="AO18" s="19">
        <f t="shared" si="5"/>
        <v>-58.499999999999908</v>
      </c>
      <c r="AP18" s="201"/>
      <c r="AQ18" s="177" t="str">
        <v>nv42</v>
      </c>
      <c r="AR18" s="252">
        <f t="shared" si="11"/>
        <v>9.0150000000000006</v>
      </c>
      <c r="AS18" s="178">
        <f t="shared" si="12"/>
        <v>-58.499999999999908</v>
      </c>
      <c r="AT18" s="186"/>
      <c r="AU18" s="276" t="s">
        <v>312</v>
      </c>
      <c r="AV18" s="270">
        <v>8.56</v>
      </c>
      <c r="AW18" s="270">
        <v>8.5399999999999991</v>
      </c>
      <c r="AX18" s="213"/>
      <c r="AY18" s="186"/>
      <c r="AZ18" s="277"/>
      <c r="BA18" s="186"/>
    </row>
    <row r="19" spans="1:53">
      <c r="B19" s="231" t="str">
        <v>nv47</v>
      </c>
      <c r="C19" s="83">
        <v>8.9</v>
      </c>
      <c r="D19" s="83">
        <v>8.9</v>
      </c>
      <c r="E19" s="83" t="str">
        <v/>
      </c>
      <c r="F19" s="83">
        <v>8.92</v>
      </c>
      <c r="G19" s="83" t="str">
        <v/>
      </c>
      <c r="H19" s="83" t="str">
        <v/>
      </c>
      <c r="I19" s="83" t="str">
        <v xml:space="preserve">     </v>
      </c>
      <c r="J19" s="232" t="str">
        <v/>
      </c>
      <c r="K19" s="83">
        <v>8.7799999999999994</v>
      </c>
      <c r="L19" s="83">
        <v>8.7799999999999994</v>
      </c>
      <c r="M19" s="83" t="str">
        <v/>
      </c>
      <c r="N19" s="83">
        <v>8.77</v>
      </c>
      <c r="O19" s="83" t="str">
        <v xml:space="preserve">     </v>
      </c>
      <c r="P19" s="83" t="str">
        <v/>
      </c>
      <c r="Q19" s="83" t="str">
        <v xml:space="preserve">     </v>
      </c>
      <c r="R19" s="232" t="str">
        <v/>
      </c>
      <c r="T19" s="68"/>
      <c r="U19" s="143" t="str">
        <f t="shared" si="6"/>
        <v>ENMX</v>
      </c>
      <c r="V19" s="208">
        <f t="shared" si="14"/>
        <v>47</v>
      </c>
      <c r="W19" s="169" t="str">
        <v>nv47</v>
      </c>
      <c r="X19" s="67">
        <f t="shared" si="7"/>
        <v>8.9</v>
      </c>
      <c r="Y19" s="13">
        <f>IF(MAX(K19:R19)=0,"",MAX(K19:R19))</f>
        <v>8.7799999999999994</v>
      </c>
      <c r="Z19" s="19">
        <f t="shared" si="1"/>
        <v>-76</v>
      </c>
      <c r="AA19" s="281">
        <v>9.6</v>
      </c>
      <c r="AB19" s="17">
        <f t="shared" si="16"/>
        <v>8.84</v>
      </c>
      <c r="AC19" s="13" t="str">
        <f t="shared" si="10"/>
        <v>ENMX</v>
      </c>
      <c r="AD19" s="201"/>
      <c r="AE19" s="217">
        <f t="shared" si="2"/>
        <v>5.9999999999999609</v>
      </c>
      <c r="AF19" s="253">
        <v>31</v>
      </c>
      <c r="AG19" s="253">
        <v>47</v>
      </c>
      <c r="AH19" s="67">
        <f>IFERROR(VLOOKUP(AG19,$V$4:$AB$22,3,0)-VLOOKUP(AF19,$V$4:$AB$22,4,0),"")</f>
        <v>0.17999999999999972</v>
      </c>
      <c r="AI19" s="13">
        <f>IFERROR(VLOOKUP(AG19,$V$4:$AB$22,4,0)-VLOOKUP(AF19,$V$4:$AB$22,3,0),"")</f>
        <v>-6.0000000000000497E-2</v>
      </c>
      <c r="AJ19" s="211">
        <f t="shared" si="0"/>
        <v>8.9999999999999858</v>
      </c>
      <c r="AK19" s="201"/>
      <c r="AL19" s="179" t="str">
        <v>nv47</v>
      </c>
      <c r="AM19" s="252">
        <v>9.0399999999999991</v>
      </c>
      <c r="AN19" s="252">
        <v>9.01</v>
      </c>
      <c r="AO19" s="19">
        <f t="shared" si="5"/>
        <v>-57.500000000000107</v>
      </c>
      <c r="AP19" s="201"/>
      <c r="AQ19" s="177" t="str">
        <v>nv47</v>
      </c>
      <c r="AR19" s="252">
        <f t="shared" si="11"/>
        <v>9.0249999999999986</v>
      </c>
      <c r="AS19" s="178">
        <f t="shared" si="12"/>
        <v>-57.500000000000107</v>
      </c>
      <c r="AT19" s="186"/>
      <c r="AU19" s="276" t="s">
        <v>311</v>
      </c>
      <c r="AV19" s="270">
        <v>8.8000000000000007</v>
      </c>
      <c r="AW19" s="270">
        <v>8.77</v>
      </c>
      <c r="AX19" s="213"/>
      <c r="AY19" s="186"/>
      <c r="AZ19" s="277"/>
      <c r="BA19" s="186"/>
    </row>
    <row r="20" spans="1:53">
      <c r="B20" s="231" t="str">
        <v>jl53</v>
      </c>
      <c r="C20" s="83">
        <v>8.93</v>
      </c>
      <c r="D20" s="83">
        <v>8.93</v>
      </c>
      <c r="E20" s="83" t="str">
        <v/>
      </c>
      <c r="F20" s="83">
        <v>8.9499999999999993</v>
      </c>
      <c r="G20" s="83" t="str">
        <v/>
      </c>
      <c r="H20" s="83" t="str">
        <v/>
      </c>
      <c r="I20" s="83" t="str">
        <v xml:space="preserve">    </v>
      </c>
      <c r="J20" s="232" t="str">
        <v/>
      </c>
      <c r="K20" s="83">
        <v>8.81</v>
      </c>
      <c r="L20" s="83">
        <v>8.81</v>
      </c>
      <c r="M20" s="83" t="str">
        <v/>
      </c>
      <c r="N20" s="83">
        <v>8.8000000000000007</v>
      </c>
      <c r="O20" s="83" t="str">
        <v xml:space="preserve">     </v>
      </c>
      <c r="P20" s="83" t="str">
        <v/>
      </c>
      <c r="Q20" s="83" t="str">
        <v xml:space="preserve">     </v>
      </c>
      <c r="R20" s="232" t="str">
        <v/>
      </c>
      <c r="T20" s="68"/>
      <c r="U20" s="143" t="str">
        <f t="shared" si="6"/>
        <v>ENMX</v>
      </c>
      <c r="V20" s="208">
        <f t="shared" si="14"/>
        <v>53</v>
      </c>
      <c r="W20" s="169" t="str">
        <v>jl53</v>
      </c>
      <c r="X20" s="67">
        <f t="shared" si="7"/>
        <v>8.93</v>
      </c>
      <c r="Y20" s="13">
        <f t="shared" si="8"/>
        <v>8.81</v>
      </c>
      <c r="Z20" s="19">
        <f t="shared" si="1"/>
        <v>-73</v>
      </c>
      <c r="AA20" s="281">
        <v>9.6</v>
      </c>
      <c r="AB20" s="17">
        <f t="shared" si="16"/>
        <v>8.870000000000001</v>
      </c>
      <c r="AC20" s="13" t="str">
        <f t="shared" si="10"/>
        <v>ENMX</v>
      </c>
      <c r="AD20" s="201"/>
      <c r="AE20" s="217">
        <f t="shared" si="2"/>
        <v>2.0000000000000462</v>
      </c>
      <c r="AF20" s="253">
        <v>38</v>
      </c>
      <c r="AG20" s="253">
        <v>42</v>
      </c>
      <c r="AH20" s="67">
        <f t="shared" si="3"/>
        <v>0.14000000000000057</v>
      </c>
      <c r="AI20" s="13">
        <f t="shared" si="4"/>
        <v>-9.9999999999999645E-2</v>
      </c>
      <c r="AJ20" s="211">
        <f t="shared" si="0"/>
        <v>0</v>
      </c>
      <c r="AK20" s="201"/>
      <c r="AL20" s="180" t="str">
        <v>jl53</v>
      </c>
      <c r="AM20" s="252">
        <v>9.0399999999999991</v>
      </c>
      <c r="AN20" s="252">
        <v>9.01</v>
      </c>
      <c r="AO20" s="19">
        <f t="shared" si="5"/>
        <v>-57.500000000000107</v>
      </c>
      <c r="AP20" s="201"/>
      <c r="AQ20" s="177" t="str">
        <v>jl53</v>
      </c>
      <c r="AR20" s="252">
        <f t="shared" ref="AR20" si="17">+IFERROR(((AM20+AN20)/2),"")</f>
        <v>9.0249999999999986</v>
      </c>
      <c r="AS20" s="178">
        <f t="shared" ref="AS20" si="18">+AO20</f>
        <v>-57.500000000000107</v>
      </c>
      <c r="AT20" s="186"/>
      <c r="AU20" s="276"/>
      <c r="AV20" s="287">
        <f>+AV19-AW18</f>
        <v>0.26000000000000156</v>
      </c>
      <c r="AW20" s="287">
        <f>+AW19-AV18</f>
        <v>0.20999999999999908</v>
      </c>
      <c r="AX20" s="213">
        <f>+AX19-AX18</f>
        <v>0</v>
      </c>
      <c r="AY20" s="186"/>
      <c r="AZ20" s="277"/>
      <c r="BA20" s="186"/>
    </row>
    <row r="21" spans="1:53">
      <c r="B21" s="231" t="str">
        <v>my35</v>
      </c>
      <c r="C21" s="83" t="str">
        <v/>
      </c>
      <c r="D21" s="83" t="str">
        <v/>
      </c>
      <c r="E21" s="83">
        <v>8.85</v>
      </c>
      <c r="F21" s="83" t="str">
        <v/>
      </c>
      <c r="G21" s="83" t="str">
        <v/>
      </c>
      <c r="H21" s="83" t="str">
        <v/>
      </c>
      <c r="I21" s="83" t="str">
        <v/>
      </c>
      <c r="J21" s="232" t="str">
        <v/>
      </c>
      <c r="K21" s="83" t="str">
        <v/>
      </c>
      <c r="L21" s="83" t="str">
        <v/>
      </c>
      <c r="M21" s="83" t="str">
        <v/>
      </c>
      <c r="N21" s="83" t="str">
        <v/>
      </c>
      <c r="O21" s="83" t="str">
        <v xml:space="preserve">     </v>
      </c>
      <c r="P21" s="83" t="str">
        <v/>
      </c>
      <c r="Q21" s="83" t="str">
        <v/>
      </c>
      <c r="R21" s="232" t="str">
        <v/>
      </c>
      <c r="T21" s="68"/>
      <c r="U21" s="143" t="str">
        <f t="shared" si="6"/>
        <v>SIFM</v>
      </c>
      <c r="V21" s="208">
        <f t="shared" si="14"/>
        <v>35</v>
      </c>
      <c r="W21" s="169" t="str">
        <v>my35</v>
      </c>
      <c r="X21" s="67">
        <f t="shared" si="7"/>
        <v>8.85</v>
      </c>
      <c r="Y21" s="13" t="str">
        <f t="shared" si="8"/>
        <v/>
      </c>
      <c r="Z21" s="19" t="str">
        <f t="shared" ref="Z21" si="19">+IFERROR(ROUND(IFERROR((AB21-AA21)*100,""),1),"")</f>
        <v/>
      </c>
      <c r="AA21" s="281">
        <v>9.42</v>
      </c>
      <c r="AB21" s="17" t="str">
        <f t="shared" ref="AB21" si="20">IFERROR(((X21+Y21)/2),"")</f>
        <v/>
      </c>
      <c r="AC21" s="13" t="str">
        <f t="shared" ref="AC21" si="21">IF(Y21="","",INDEX($K$2:$R$2,MATCH($Y21,$K21:$R21,0)))</f>
        <v/>
      </c>
      <c r="AD21" s="201"/>
      <c r="AE21" s="217">
        <f t="shared" si="2"/>
        <v>0</v>
      </c>
      <c r="AF21" s="253">
        <v>42</v>
      </c>
      <c r="AG21" s="253">
        <v>53</v>
      </c>
      <c r="AH21" s="67">
        <f t="shared" si="3"/>
        <v>0.11999999999999922</v>
      </c>
      <c r="AI21" s="13">
        <f t="shared" si="4"/>
        <v>-0.11999999999999922</v>
      </c>
      <c r="AJ21" s="211">
        <f t="shared" si="0"/>
        <v>0</v>
      </c>
      <c r="AK21" s="201"/>
      <c r="AL21" s="200" t="str">
        <v>my35</v>
      </c>
      <c r="AM21" s="233"/>
      <c r="AN21" s="233"/>
      <c r="AO21" s="268"/>
      <c r="AP21" s="201"/>
      <c r="AQ21" s="200" t="str">
        <v>my35</v>
      </c>
      <c r="AR21" s="233"/>
      <c r="AS21" s="234"/>
      <c r="AT21" s="186"/>
      <c r="AU21" s="276" t="s">
        <v>312</v>
      </c>
      <c r="AV21" s="270">
        <v>9.4700000000000006</v>
      </c>
      <c r="AW21" s="270">
        <v>9.52</v>
      </c>
      <c r="AX21" s="219"/>
      <c r="AY21" s="186"/>
      <c r="AZ21" s="277"/>
      <c r="BA21" s="186"/>
    </row>
    <row r="22" spans="1:53">
      <c r="B22" s="231"/>
      <c r="J22" s="232"/>
      <c r="R22" s="232"/>
      <c r="T22" s="68"/>
      <c r="U22" s="143"/>
      <c r="V22" s="208"/>
      <c r="W22" s="169" t="s">
        <v>875</v>
      </c>
      <c r="X22" s="67"/>
      <c r="Y22" s="13"/>
      <c r="Z22" s="19"/>
      <c r="AA22" s="281">
        <v>9.48</v>
      </c>
      <c r="AB22" s="17"/>
      <c r="AC22" s="13"/>
      <c r="AD22" s="201"/>
      <c r="AE22" s="217">
        <f t="shared" si="2"/>
        <v>-40.500000000000028</v>
      </c>
      <c r="AF22" s="253">
        <v>24</v>
      </c>
      <c r="AG22" s="253">
        <v>24.1</v>
      </c>
      <c r="AH22" s="67">
        <f t="shared" si="3"/>
        <v>-0.29000000000000092</v>
      </c>
      <c r="AI22" s="13">
        <f t="shared" si="4"/>
        <v>-0.51999999999999957</v>
      </c>
      <c r="AJ22" s="211">
        <f t="shared" si="0"/>
        <v>-23.000000000000043</v>
      </c>
      <c r="AK22" s="201"/>
      <c r="AL22" s="200"/>
      <c r="AM22" s="233"/>
      <c r="AN22" s="233"/>
      <c r="AO22" s="268"/>
      <c r="AP22" s="201"/>
      <c r="AQ22" s="200"/>
      <c r="AR22" s="233"/>
      <c r="AS22" s="234"/>
      <c r="AT22" s="186"/>
      <c r="AU22" s="276" t="s">
        <v>311</v>
      </c>
      <c r="AV22" s="270">
        <v>7.95</v>
      </c>
      <c r="AW22" s="270">
        <v>7.97</v>
      </c>
      <c r="AX22" s="213"/>
      <c r="AY22" s="186"/>
      <c r="AZ22" s="277"/>
      <c r="BA22" s="186"/>
    </row>
    <row r="23" spans="1:53">
      <c r="B23" s="231"/>
      <c r="J23" s="232"/>
      <c r="R23" s="232"/>
      <c r="T23" s="68"/>
      <c r="U23" s="143"/>
      <c r="V23" s="208"/>
      <c r="W23" s="169"/>
      <c r="X23" s="67"/>
      <c r="Y23" s="13"/>
      <c r="Z23" s="19"/>
      <c r="AA23" s="285"/>
      <c r="AB23" s="17"/>
      <c r="AC23" s="13"/>
      <c r="AD23" s="243"/>
      <c r="AE23" s="218">
        <f t="shared" si="2"/>
        <v>-11.000000000000032</v>
      </c>
      <c r="AF23" s="254">
        <v>27</v>
      </c>
      <c r="AG23" s="254">
        <v>27.1</v>
      </c>
      <c r="AH23" s="147">
        <f t="shared" si="3"/>
        <v>9.9999999999997868E-3</v>
      </c>
      <c r="AI23" s="148">
        <f t="shared" si="4"/>
        <v>-0.23000000000000043</v>
      </c>
      <c r="AJ23" s="212">
        <f t="shared" si="0"/>
        <v>-3.9999999999999147</v>
      </c>
      <c r="AK23" s="243"/>
      <c r="AL23" s="235"/>
      <c r="AM23" s="236"/>
      <c r="AN23" s="236"/>
      <c r="AO23" s="269"/>
      <c r="AP23" s="243"/>
      <c r="AQ23" s="235"/>
      <c r="AR23" s="236"/>
      <c r="AS23" s="237"/>
      <c r="AT23" s="186"/>
      <c r="AU23" s="278"/>
      <c r="AV23" s="288">
        <f>+AV22-AW21</f>
        <v>-1.5699999999999994</v>
      </c>
      <c r="AW23" s="288">
        <f>+AW22-AV21</f>
        <v>-1.5000000000000009</v>
      </c>
      <c r="AX23" s="214">
        <f>+AX22-AX21</f>
        <v>0</v>
      </c>
      <c r="AY23" s="279"/>
      <c r="AZ23" s="280"/>
      <c r="BA23" s="186"/>
    </row>
    <row r="24" spans="1:53">
      <c r="B24" s="227"/>
      <c r="C24" s="228"/>
      <c r="D24" s="228"/>
      <c r="E24" s="228"/>
      <c r="F24" s="228"/>
      <c r="G24" s="228"/>
      <c r="H24" s="228"/>
      <c r="I24" s="228"/>
      <c r="J24" s="229"/>
      <c r="K24" s="228"/>
      <c r="L24" s="228"/>
      <c r="M24" s="228"/>
      <c r="N24" s="228"/>
      <c r="O24" s="228"/>
      <c r="P24" s="228"/>
      <c r="Q24" s="228"/>
      <c r="R24" s="229"/>
      <c r="T24" s="68"/>
      <c r="U24" s="183"/>
      <c r="V24" s="181"/>
      <c r="W24" s="182"/>
      <c r="X24" s="183"/>
      <c r="Y24" s="184"/>
      <c r="Z24" s="185"/>
      <c r="AA24" s="185"/>
      <c r="AB24" s="185"/>
      <c r="AC24" s="184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6"/>
      <c r="BA24" s="186"/>
    </row>
    <row r="25" spans="1:53">
      <c r="B25" s="223" t="s">
        <v>19</v>
      </c>
      <c r="C25" s="224" t="s">
        <v>1</v>
      </c>
      <c r="D25" s="224"/>
      <c r="E25" s="224"/>
      <c r="F25" s="224"/>
      <c r="G25" s="224"/>
      <c r="H25" s="224"/>
      <c r="I25" s="224"/>
      <c r="J25" s="225"/>
      <c r="K25" s="238" t="s">
        <v>2</v>
      </c>
      <c r="L25" s="224"/>
      <c r="M25" s="224"/>
      <c r="N25" s="224"/>
      <c r="O25" s="224"/>
      <c r="P25" s="224"/>
      <c r="Q25" s="224"/>
      <c r="R25" s="225"/>
      <c r="T25" s="68"/>
      <c r="U25" s="143"/>
      <c r="V25" s="10"/>
      <c r="W25" s="169"/>
      <c r="X25" s="67"/>
      <c r="Y25" s="13"/>
      <c r="Z25" s="13"/>
      <c r="AA25" s="13"/>
      <c r="AB25" s="13"/>
      <c r="AC25" s="13"/>
      <c r="AD25" s="164"/>
      <c r="AE25" s="163"/>
      <c r="AF25" s="138"/>
      <c r="AG25" s="138"/>
      <c r="AH25" s="138"/>
      <c r="AI25" s="138"/>
      <c r="AJ25" s="138"/>
      <c r="AK25" s="138"/>
      <c r="AL25" s="138"/>
      <c r="AM25" s="138"/>
      <c r="AN25" s="175"/>
      <c r="AO25" s="248" t="s">
        <v>306</v>
      </c>
      <c r="AP25" s="174"/>
      <c r="AQ25" s="174"/>
      <c r="AR25" s="174"/>
      <c r="AS25" s="174"/>
      <c r="AT25" s="175"/>
      <c r="AU25" s="248" t="s">
        <v>307</v>
      </c>
      <c r="AV25" s="174"/>
      <c r="AW25" s="174"/>
      <c r="AX25" s="174"/>
      <c r="AY25" s="175"/>
      <c r="AZ25" s="186"/>
      <c r="BA25" s="186"/>
    </row>
    <row r="26" spans="1:53">
      <c r="B26" s="227" t="s">
        <v>3</v>
      </c>
      <c r="C26" s="228" t="s">
        <v>4</v>
      </c>
      <c r="D26" s="228" t="s">
        <v>5</v>
      </c>
      <c r="E26" s="228" t="s">
        <v>6</v>
      </c>
      <c r="F26" s="228" t="s">
        <v>7</v>
      </c>
      <c r="G26" s="228" t="s">
        <v>8</v>
      </c>
      <c r="H26" s="228"/>
      <c r="I26" s="228"/>
      <c r="J26" s="229" t="s">
        <v>273</v>
      </c>
      <c r="K26" s="239" t="s">
        <v>4</v>
      </c>
      <c r="L26" s="228" t="s">
        <v>5</v>
      </c>
      <c r="M26" s="228" t="s">
        <v>6</v>
      </c>
      <c r="N26" s="228" t="s">
        <v>7</v>
      </c>
      <c r="O26" s="228" t="s">
        <v>8</v>
      </c>
      <c r="P26" s="228"/>
      <c r="Q26" s="228"/>
      <c r="R26" s="229" t="s">
        <v>274</v>
      </c>
      <c r="T26" s="68"/>
      <c r="U26" s="143"/>
      <c r="V26" s="186"/>
      <c r="W26" s="251" t="s">
        <v>20</v>
      </c>
      <c r="X26" s="11"/>
      <c r="Y26" s="12"/>
      <c r="Z26" s="7"/>
      <c r="AA26" s="7"/>
      <c r="AB26" s="7"/>
      <c r="AC26" s="13"/>
      <c r="AD26" s="263"/>
      <c r="AE26" s="200"/>
      <c r="AF26" s="186"/>
      <c r="AG26" s="186" t="s">
        <v>300</v>
      </c>
      <c r="AH26" s="186"/>
      <c r="AI26" s="186"/>
      <c r="AJ26" s="186"/>
      <c r="AK26" s="186"/>
      <c r="AL26" s="186"/>
      <c r="AM26" s="186"/>
      <c r="AN26" s="201"/>
      <c r="AO26" s="200" t="s">
        <v>64</v>
      </c>
      <c r="AP26" s="186" t="s">
        <v>65</v>
      </c>
      <c r="AQ26" s="186" t="s">
        <v>14</v>
      </c>
      <c r="AR26" s="186" t="s">
        <v>15</v>
      </c>
      <c r="AS26" s="266" t="s">
        <v>17</v>
      </c>
      <c r="AT26" s="201"/>
      <c r="AU26" s="200" t="s">
        <v>64</v>
      </c>
      <c r="AV26" s="186" t="s">
        <v>65</v>
      </c>
      <c r="AW26" s="186" t="s">
        <v>14</v>
      </c>
      <c r="AX26" s="186" t="s">
        <v>15</v>
      </c>
      <c r="AY26" s="220" t="s">
        <v>17</v>
      </c>
      <c r="AZ26" s="186"/>
      <c r="BA26" s="186"/>
    </row>
    <row r="27" spans="1:53">
      <c r="A27" s="292"/>
      <c r="B27" s="231"/>
      <c r="C27" s="238"/>
      <c r="D27" s="224"/>
      <c r="E27" s="224"/>
      <c r="F27" s="224"/>
      <c r="G27" s="224"/>
      <c r="H27" s="224"/>
      <c r="I27" s="224"/>
      <c r="J27" s="225"/>
      <c r="K27" s="238"/>
      <c r="L27" s="224"/>
      <c r="M27" s="224"/>
      <c r="N27" s="224"/>
      <c r="O27" s="224"/>
      <c r="P27" s="224"/>
      <c r="Q27" s="224"/>
      <c r="R27" s="225"/>
      <c r="T27" s="68"/>
      <c r="U27" s="141" t="s">
        <v>13</v>
      </c>
      <c r="V27" s="6"/>
      <c r="W27" s="8"/>
      <c r="X27" s="18" t="s">
        <v>14</v>
      </c>
      <c r="Y27" s="15" t="s">
        <v>15</v>
      </c>
      <c r="Z27" s="221" t="s">
        <v>277</v>
      </c>
      <c r="AA27" s="219" t="s">
        <v>17</v>
      </c>
      <c r="AB27" s="15" t="s">
        <v>18</v>
      </c>
      <c r="AC27" s="258" t="s">
        <v>13</v>
      </c>
      <c r="AD27" s="263"/>
      <c r="AE27" s="283" t="s">
        <v>22</v>
      </c>
      <c r="AF27" s="6"/>
      <c r="AG27" s="8"/>
      <c r="AH27" s="18" t="s">
        <v>1</v>
      </c>
      <c r="AI27" s="15" t="s">
        <v>2</v>
      </c>
      <c r="AJ27" s="221" t="s">
        <v>277</v>
      </c>
      <c r="AK27" s="219" t="s">
        <v>17</v>
      </c>
      <c r="AL27" s="15" t="s">
        <v>18</v>
      </c>
      <c r="AM27" s="15" t="s">
        <v>22</v>
      </c>
      <c r="AN27" s="201"/>
      <c r="AO27" s="198">
        <v>3</v>
      </c>
      <c r="AP27" s="172">
        <v>6</v>
      </c>
      <c r="AQ27" s="67">
        <f ca="1">IFERROR(VLOOKUP(AP27,$AF$28:$AL$46,3,0)-VLOOKUP(AO27,$AF$28:$AL$46,4,0),"")</f>
        <v>-0.11999999999999922</v>
      </c>
      <c r="AR27" s="13">
        <f ca="1">IFERROR(VLOOKUP(AP27,$AF$28:$AL$46,4,0)-VLOOKUP(AO27,$AF$28:$AL$46,3,0),"")</f>
        <v>-6.0000000000000497E-2</v>
      </c>
      <c r="AS27" s="213">
        <f>IFERROR(VLOOKUP(AP27,$AF$28:$AL$46,6,0)-VLOOKUP(AO27,$AF$28:$AL$46,6,0),"")</f>
        <v>-9.4999999999998863E-2</v>
      </c>
      <c r="AT27" s="201"/>
      <c r="AU27" s="198">
        <v>3</v>
      </c>
      <c r="AV27" s="172">
        <v>6</v>
      </c>
      <c r="AW27" s="67">
        <f>IFERROR(VLOOKUP(AV27,$AE$52:$AK$70,3,0)-VLOOKUP(AU27,$AE$52:$AK$70,4,0),"")</f>
        <v>-0.11999999999999922</v>
      </c>
      <c r="AX27" s="13">
        <f ca="1">IFERROR(VLOOKUP(AV27,$AF$28:$AL$46,4,0)-VLOOKUP(AU27,$AF$28:$AL$46,3,0),"")</f>
        <v>-6.0000000000000497E-2</v>
      </c>
      <c r="AY27" s="215">
        <f>IFERROR(VLOOKUP(AV27,$AF$28:$AL$46,6,0)-VLOOKUP(AU27,$AF$28:$AL$46,6,0),"")</f>
        <v>-9.4999999999998863E-2</v>
      </c>
      <c r="AZ27" s="186"/>
      <c r="BA27" s="186"/>
    </row>
    <row r="28" spans="1:53">
      <c r="A28" s="292" t="str" cm="1">
        <f t="array" ref="A28">_xlfn.UNIQUE((IF(IFERROR(_xlfn.ANCHORARRAY(ENMX!I82), "")&lt;&gt;"", "ENMX!I82#", "FALTA "&amp;C26)))</f>
        <v>ENMX!I82#</v>
      </c>
      <c r="B28" s="231" cm="1">
        <f t="array" aca="1" ref="B28:B43" ca="1">+_xlfn._xlws.SORT(VALUE(_xlfn.UNIQUE(TRANSPOSE(_xlfn.TEXTSPLIT(_xlfn.TEXTJOIN(",",1, IF(ISNUMBER(FIND("FALTA", A28)),"",INDIRECT(A28)), IF(ISNUMBER(FIND("FALTA", A29)),"",INDIRECT(A29)), IF(ISNUMBER(FIND("FALTA", A30)),"",INDIRECT(A30)), IF(ISNUMBER(FIND("FALTA", A31)),"",INDIRECT(A31)), IF(ISNUMBER(FIND("FALTA", A32)),"",INDIRECT(A32))), ",")))),,1)</f>
        <v>2</v>
      </c>
      <c r="C28" s="240" t="str" cm="1">
        <f t="array" aca="1" ref="C28:C43" ca="1">+IFERROR(VLOOKUP(_xlfn.ANCHORARRAY($B28),ENMX_TIIE,2,FALSE),"")</f>
        <v/>
      </c>
      <c r="D28" s="83" t="str" cm="1">
        <f t="array" aca="1" ref="D28:D43" ca="1">+IFERROR(VLOOKUP(_xlfn.ANCHORARRAY($B28),RTMX_TIIE,2,FALSE),"")</f>
        <v/>
      </c>
      <c r="E28" s="83" t="str" cm="1">
        <f t="array" aca="1" ref="E28:E43" ca="1">+IFERROR(VLOOKUP(_xlfn.ANCHORARRAY($B28),SIF_TIIE,2,FALSE),"")</f>
        <v/>
      </c>
      <c r="F28" s="83" t="str" cm="1">
        <f t="array" aca="1" ref="F28:F43" ca="1">+IFERROR(VLOOKUP(_xlfn.ANCHORARRAY($B28),TMEX_TIIE,2,FALSE),"")</f>
        <v/>
      </c>
      <c r="G28" s="83" t="str" cm="1">
        <f t="array" aca="1" ref="G28:G43" ca="1">+IFERROR(VLOOKUP(_xlfn.ANCHORARRAY($B28),GFI_TIIE,2,FALSE),"")</f>
        <v/>
      </c>
      <c r="J28" s="232" t="str">
        <f ca="1">+IF(MAX(C28:G28)=0,"",MAX(C28:G28))</f>
        <v/>
      </c>
      <c r="K28" s="240" t="str" cm="1">
        <f t="array" aca="1" ref="K28:K43" ca="1">+IFERROR(VLOOKUP(_xlfn.ANCHORARRAY($B28),ENMX_TIIE,3,FALSE),"")</f>
        <v/>
      </c>
      <c r="L28" s="83" t="str" cm="1">
        <f t="array" aca="1" ref="L28:L43" ca="1">+IFERROR(VLOOKUP(_xlfn.ANCHORARRAY($B28),RTMX_TIIE,3,FALSE),"")</f>
        <v/>
      </c>
      <c r="M28" s="83" t="str" cm="1">
        <f t="array" aca="1" ref="M28:M43" ca="1">+IFERROR(VLOOKUP(_xlfn.ANCHORARRAY($B28),SIF_TIIE,3,FALSE),"")</f>
        <v/>
      </c>
      <c r="N28" s="83" t="str" cm="1">
        <f t="array" aca="1" ref="N28:N43" ca="1">+IFERROR(VLOOKUP(_xlfn.ANCHORARRAY($B28),TMEX_TIIE,3,FALSE),"")</f>
        <v/>
      </c>
      <c r="O28" s="83" t="str" cm="1">
        <f t="array" aca="1" ref="O28:O43" ca="1">+IFERROR(VLOOKUP(_xlfn.ANCHORARRAY($B28),GFI_TIIE,3,FALSE),"")</f>
        <v/>
      </c>
      <c r="R28" s="232" t="str">
        <f ca="1">+IF(MIN(K28:O28)=0,"",MIN(K28:O28))</f>
        <v/>
      </c>
      <c r="T28" s="68"/>
      <c r="U28" s="143" t="str">
        <f ca="1">IF(X28="","",INDEX($C$2:$J$2,MATCH($X28,INDIRECT("C"&amp;27+MATCH(V28,_xlfn.ANCHORARRAY($B$28),0)&amp;":G"&amp;27+MATCH(V28,_xlfn.ANCHORARRAY($B$28),0)),0)))</f>
        <v>RTMX</v>
      </c>
      <c r="V28" s="8">
        <v>3</v>
      </c>
      <c r="W28" s="9" t="str">
        <f>+V28&amp;"m"</f>
        <v>3m</v>
      </c>
      <c r="X28" s="160">
        <f t="shared" ref="X28:X39" ca="1" si="22">VLOOKUP(V28,$B$28:$R$45,9,FALSE)</f>
        <v>11.48</v>
      </c>
      <c r="Y28" s="16">
        <f ca="1">VLOOKUP(V28,$B$28:$R$45,17,FALSE)</f>
        <v>11.5</v>
      </c>
      <c r="Z28" s="19">
        <f ca="1">IFERROR((AB28-AA28)*100,"")</f>
        <v>-1.4999999999998792</v>
      </c>
      <c r="AA28" s="290">
        <v>11.504999999999999</v>
      </c>
      <c r="AB28" s="17">
        <f t="shared" ref="AB28:AB41" ca="1" si="23">IFERROR(((X28+Y28)/2),"")</f>
        <v>11.49</v>
      </c>
      <c r="AC28" s="13" t="str">
        <f ca="1">IF(Y28="","",INDEX($K$2:$R$2,MATCH($Y28,INDIRECT("K"&amp;27+MATCH(V28,_xlfn.ANCHORARRAY($B$28),0)&amp;":O"&amp;27+MATCH(V28,_xlfn.ANCHORARRAY($B$28),0)),0)))</f>
        <v>ENMX</v>
      </c>
      <c r="AD28" s="263"/>
      <c r="AE28" s="165">
        <f ca="1">IF(AH28="","",IFERROR(IFERROR(INDEX(_xlfn.ANCHORARRAY($C$91),MATCH($AH28,INDIRECT("C"&amp;91+MATCH(AF28,_xlfn.ANCHORARRAY($B$92),0)&amp;":Q"&amp;91+MATCH(AF28,_xlfn.ANCHORARRAY($B$92),0)),0)),INDEX(_xlfn.ANCHORARRAY($C$91),MATCH($AH28,INDIRECT("C"&amp;112+MATCH(AF28,_xlfn.ANCHORARRAY($B$92),0)&amp;":Q"&amp;112+MATCH(AF28,_xlfn.ANCHORARRAY($B$92),0)),0))),AF28))</f>
        <v>3</v>
      </c>
      <c r="AF28" s="8">
        <v>3</v>
      </c>
      <c r="AG28" s="9" t="str">
        <f>+AF28&amp;"m"</f>
        <v>3m</v>
      </c>
      <c r="AH28" s="160">
        <f ca="1">+IF(MAX(IFERROR(VALUE(VLOOKUP(AF28,$B$92:$R$109,17,FALSE)),0),IFERROR(VALUE(VLOOKUP(AF28,$B$113:$R$130,17,FALSE)),0),IFERROR(VALUE(VLOOKUP(AF28,$B$28:$R$45,9,FALSE)),0))=0,"",MAX(IFERROR(VALUE(VLOOKUP(AF28,$B$92:$R$109,17,FALSE)),0),IFERROR(VALUE(VLOOKUP(AF28,$B$113:$R$130,17,FALSE)),0),IFERROR(VALUE(VLOOKUP(AF28,$B$28:$R$45,9,FALSE)),0)))</f>
        <v>11.48</v>
      </c>
      <c r="AI28" s="16">
        <f ca="1">+IF(MIN(IFERROR(VALUE(VLOOKUP(AF28,$B$134:$R$151,17,FALSE)),1000),IFERROR(VALUE(VLOOKUP(AF28,$B$157:$R$174,17,FALSE)),1000),IFERROR(VALUE(VLOOKUP(AF28,$B$28:$R$45,17,FALSE)),1000))=1000,"",MIN(IFERROR(VALUE(VLOOKUP(AF28,$B$134:$R$151,17,FALSE)),1000),IFERROR(VALUE(VLOOKUP(AF28,$B$157:$R$174,17,FALSE)),1000),IFERROR(VALUE(VLOOKUP(AF28,$B$28:$R$45,17,FALSE)),1000)))</f>
        <v>11.5</v>
      </c>
      <c r="AJ28" s="19">
        <f t="shared" ref="AJ28:AJ43" ca="1" si="24">IFERROR((AL28-AK28)*100,"")</f>
        <v>-1.4999999999998792</v>
      </c>
      <c r="AK28" s="213">
        <f>+IFERROR(VLOOKUP(AF28,$V$28:$AA$41,6,FALSE),"")</f>
        <v>11.504999999999999</v>
      </c>
      <c r="AL28" s="17">
        <f ca="1">IFERROR(((AH28+AI28)/2),"")</f>
        <v>11.49</v>
      </c>
      <c r="AM28" s="12">
        <f ca="1">IF(AI28="","",IFERROR(IFERROR(INDEX(_xlfn.ANCHORARRAY($C$91),MATCH($AI28,INDIRECT("C"&amp;133+MATCH(AF28,_xlfn.ANCHORARRAY($B$92),0)&amp;":Q"&amp;133+MATCH(AF28,_xlfn.ANCHORARRAY($B$92),0)),0)),INDEX(_xlfn.ANCHORARRAY($C$91),MATCH($AI28,INDIRECT("C"&amp;156+MATCH(AF28,_xlfn.ANCHORARRAY($B$92),0)&amp;":Q"&amp;156+MATCH(AF28,_xlfn.ANCHORARRAY($B$92),0)),0))),AF28))</f>
        <v>3</v>
      </c>
      <c r="AN28" s="201"/>
      <c r="AO28" s="198">
        <v>6</v>
      </c>
      <c r="AP28" s="172">
        <v>9</v>
      </c>
      <c r="AQ28" s="67">
        <f t="shared" ref="AQ28:AQ47" ca="1" si="25">IFERROR(VLOOKUP(AP28,$AF$28:$AL$46,3,0)-VLOOKUP(AO28,$AF$28:$AL$46,4,0),"")</f>
        <v>-0.20999999999999908</v>
      </c>
      <c r="AR28" s="13">
        <f t="shared" ref="AR28:AR46" ca="1" si="26">IFERROR(VLOOKUP(AP28,$AF$28:$AL$46,4,0)-VLOOKUP(AO28,$AF$28:$AL$46,3,0),"")</f>
        <v>-0.10500000000000043</v>
      </c>
      <c r="AS28" s="213">
        <f t="shared" ref="AS28:AS44" si="27">IFERROR(VLOOKUP(AP28,$AF$28:$AL$46,6,0)-VLOOKUP(AO28,$AF$28:$AL$46,6,0),"")</f>
        <v>-0.13499999999999979</v>
      </c>
      <c r="AT28" s="201"/>
      <c r="AU28" s="198">
        <v>6</v>
      </c>
      <c r="AV28" s="172">
        <v>9</v>
      </c>
      <c r="AW28" s="67">
        <f t="shared" ref="AW28:AW47" si="28">IFERROR(VLOOKUP(AV28,$AE$52:$AK$70,3,0)-VLOOKUP(AU28,$AE$52:$AK$70,4,0),"")</f>
        <v>-0.20999999999999908</v>
      </c>
      <c r="AX28" s="13">
        <f t="shared" ref="AX28:AX46" ca="1" si="29">IFERROR(VLOOKUP(AV28,$AF$28:$AL$46,4,0)-VLOOKUP(AU28,$AF$28:$AL$46,3,0),"")</f>
        <v>-0.10500000000000043</v>
      </c>
      <c r="AY28" s="215">
        <f>IFERROR(VLOOKUP(AV28,$AF$28:$AL$46,6,0)-VLOOKUP(AU28,$AF$28:$AL$46,6,0),"")</f>
        <v>-0.13499999999999979</v>
      </c>
      <c r="AZ28" s="186"/>
      <c r="BA28" s="186"/>
    </row>
    <row r="29" spans="1:53">
      <c r="A29" s="292" t="str" cm="1">
        <f t="array" ref="A29">_xlfn.UNIQUE((IF(IFERROR(_xlfn.ANCHORARRAY(RTMX!I91), "")&lt;&gt;"", "RTMX!I91#", "FALTA "&amp;D26)))</f>
        <v>RTMX!I91#</v>
      </c>
      <c r="B29" s="231">
        <f ca="1"/>
        <v>3</v>
      </c>
      <c r="C29" s="240">
        <f ca="1"/>
        <v>11.47</v>
      </c>
      <c r="D29" s="83">
        <f ca="1"/>
        <v>11.48</v>
      </c>
      <c r="E29" s="83">
        <f ca="1"/>
        <v>11.475</v>
      </c>
      <c r="F29" s="83">
        <f ca="1"/>
        <v>11.47</v>
      </c>
      <c r="G29" s="83" t="str">
        <f ca="1"/>
        <v/>
      </c>
      <c r="J29" s="232">
        <f t="shared" ref="J29:J46" ca="1" si="30">+IF(MAX(C29:G29)=0,"",MAX(C29:G29))</f>
        <v>11.48</v>
      </c>
      <c r="K29" s="240">
        <f ca="1"/>
        <v>11.5</v>
      </c>
      <c r="L29" s="83">
        <f ca="1"/>
        <v>11.52</v>
      </c>
      <c r="M29" s="83">
        <f ca="1"/>
        <v>11.505000000000001</v>
      </c>
      <c r="N29" s="83">
        <f ca="1"/>
        <v>11.51</v>
      </c>
      <c r="O29" s="83" t="str">
        <f ca="1"/>
        <v/>
      </c>
      <c r="R29" s="232">
        <f t="shared" ref="R29:R46" ca="1" si="31">+IF(MIN(K29:O29)=0,"",MIN(K29:O29))</f>
        <v>11.5</v>
      </c>
      <c r="T29" s="68"/>
      <c r="U29" s="143" t="str">
        <f t="shared" ref="U29:U41" ca="1" si="32">IF(X29="","",INDEX($C$2:$J$2,MATCH($X29,INDIRECT("C"&amp;27+MATCH(V29,_xlfn.ANCHORARRAY($B$28),0)&amp;":G"&amp;27+MATCH(V29,_xlfn.ANCHORARRAY($B$28),0)),0)))</f>
        <v>SIFM</v>
      </c>
      <c r="V29" s="8">
        <v>6</v>
      </c>
      <c r="W29" s="9" t="str">
        <f t="shared" ref="W29:W41" si="33">+V29&amp;"m"</f>
        <v>6m</v>
      </c>
      <c r="X29" s="160">
        <f t="shared" ca="1" si="22"/>
        <v>11.38</v>
      </c>
      <c r="Y29" s="16">
        <f t="shared" ref="Y29:Y41" ca="1" si="34">VLOOKUP(V29,$B$28:$R$45,17,FALSE)</f>
        <v>11.43</v>
      </c>
      <c r="Z29" s="19">
        <f t="shared" ref="Z29:Z41" ca="1" si="35">IFERROR((AB29-AA29)*100,"")</f>
        <v>-0.49999999999990052</v>
      </c>
      <c r="AA29" s="290">
        <v>11.41</v>
      </c>
      <c r="AB29" s="17">
        <f t="shared" ca="1" si="23"/>
        <v>11.405000000000001</v>
      </c>
      <c r="AC29" s="13" t="str">
        <f t="shared" ref="AC29:AC41" ca="1" si="36">IF(Y29="","",INDEX($K$2:$R$2,MATCH($Y29,INDIRECT("K"&amp;27+MATCH(V29,_xlfn.ANCHORARRAY($B$28),0)&amp;":O"&amp;27+MATCH(V29,_xlfn.ANCHORARRAY($B$28),0)),0)))</f>
        <v>SIFM</v>
      </c>
      <c r="AD29" s="263"/>
      <c r="AE29" s="165">
        <f t="shared" ref="AE29:AE47" ca="1" si="37">IF(AH29="","",IFERROR(IFERROR(INDEX(_xlfn.ANCHORARRAY($C$91),MATCH($AH29,INDIRECT("C"&amp;91+MATCH(AF29,_xlfn.ANCHORARRAY($B$92),0)&amp;":Q"&amp;91+MATCH(AF29,_xlfn.ANCHORARRAY($B$92),0)),0)),INDEX(_xlfn.ANCHORARRAY($C$91),MATCH($AH29,INDIRECT("C"&amp;112+MATCH(AF29,_xlfn.ANCHORARRAY($B$92),0)&amp;":Q"&amp;112+MATCH(AF29,_xlfn.ANCHORARRAY($B$92),0)),0))),AF29))</f>
        <v>6</v>
      </c>
      <c r="AF29" s="8">
        <v>6</v>
      </c>
      <c r="AG29" s="9" t="str">
        <f t="shared" ref="AG29:AG41" si="38">+AF29&amp;"m"</f>
        <v>6m</v>
      </c>
      <c r="AH29" s="160">
        <f t="shared" ref="AH29:AH47" ca="1" si="39">+IF(MAX(IFERROR(VALUE(VLOOKUP(AF29,$B$92:$R$109,17,FALSE)),0),IFERROR(VALUE(VLOOKUP(AF29,$B$113:$R$130,17,FALSE)),0),IFERROR(VALUE(VLOOKUP(AF29,$B$28:$R$45,9,FALSE)),0))=0,"",MAX(IFERROR(VALUE(VLOOKUP(AF29,$B$92:$R$109,17,FALSE)),0),IFERROR(VALUE(VLOOKUP(AF29,$B$113:$R$130,17,FALSE)),0),IFERROR(VALUE(VLOOKUP(AF29,$B$28:$R$45,9,FALSE)),0)))</f>
        <v>11.38</v>
      </c>
      <c r="AI29" s="16">
        <f t="shared" ref="AI29:AI47" ca="1" si="40">+IF(MIN(IFERROR(VALUE(VLOOKUP(AF29,$B$134:$R$151,17,FALSE)),1000),IFERROR(VALUE(VLOOKUP(AF29,$B$157:$R$174,17,FALSE)),1000),IFERROR(VALUE(VLOOKUP(AF29,$B$28:$R$45,17,FALSE)),1000))=1000,"",MIN(IFERROR(VALUE(VLOOKUP(AF29,$B$134:$R$151,17,FALSE)),1000),IFERROR(VALUE(VLOOKUP(AF29,$B$157:$R$174,17,FALSE)),1000),IFERROR(VALUE(VLOOKUP(AF29,$B$28:$R$45,17,FALSE)),1000)))</f>
        <v>11.42</v>
      </c>
      <c r="AJ29" s="19">
        <f ca="1">IFERROR((AL29-AK29)*100,"")</f>
        <v>-0.99999999999997868</v>
      </c>
      <c r="AK29" s="213">
        <f t="shared" ref="AK29:AK47" si="41">+IFERROR(VLOOKUP(AF29,$V$28:$AA$41,6,FALSE),"")</f>
        <v>11.41</v>
      </c>
      <c r="AL29" s="17">
        <f t="shared" ref="AL29:AL47" ca="1" si="42">IFERROR(((AH29+AI29)/2),"")</f>
        <v>11.4</v>
      </c>
      <c r="AM29" s="12">
        <f t="shared" ref="AM29:AM47" ca="1" si="43">IF(AI29="","",IFERROR(IFERROR(INDEX(_xlfn.ANCHORARRAY($C$91),MATCH($AI29,INDIRECT("C"&amp;133+MATCH(AF29,_xlfn.ANCHORARRAY($B$92),0)&amp;":Q"&amp;133+MATCH(AF29,_xlfn.ANCHORARRAY($B$92),0)),0)),INDEX(_xlfn.ANCHORARRAY($C$91),MATCH($AI29,INDIRECT("C"&amp;156+MATCH(AF29,_xlfn.ANCHORARRAY($B$92),0)&amp;":Q"&amp;156+MATCH(AF29,_xlfn.ANCHORARRAY($B$92),0)),0))),AF29))</f>
        <v>3</v>
      </c>
      <c r="AN29" s="201"/>
      <c r="AO29" s="198">
        <v>9</v>
      </c>
      <c r="AP29" s="172">
        <v>13</v>
      </c>
      <c r="AQ29" s="67">
        <f t="shared" ca="1" si="25"/>
        <v>-0.41500000000000092</v>
      </c>
      <c r="AR29" s="13">
        <f t="shared" ca="1" si="26"/>
        <v>-0.30000000000000071</v>
      </c>
      <c r="AS29" s="213">
        <f t="shared" si="27"/>
        <v>-0.23000000000000043</v>
      </c>
      <c r="AT29" s="201"/>
      <c r="AU29" s="198">
        <v>9</v>
      </c>
      <c r="AV29" s="172">
        <v>13</v>
      </c>
      <c r="AW29" s="67">
        <f t="shared" si="28"/>
        <v>-0.41500000000000092</v>
      </c>
      <c r="AX29" s="13">
        <f t="shared" ca="1" si="29"/>
        <v>-0.30000000000000071</v>
      </c>
      <c r="AY29" s="215">
        <f t="shared" ref="AY29:AY44" si="44">IFERROR(VLOOKUP(AV29,$AF$28:$AL$46,6,0)-VLOOKUP(AU29,$AF$28:$AL$46,6,0),"")</f>
        <v>-0.23000000000000043</v>
      </c>
      <c r="AZ29" s="186"/>
      <c r="BA29" s="186"/>
    </row>
    <row r="30" spans="1:53">
      <c r="A30" s="292" t="str" cm="1">
        <f t="array" ref="A30">_xlfn.UNIQUE((IF(IFERROR(_xlfn.ANCHORARRAY(SIFM!I91), "")&lt;&gt;"", "SIFM!I91#", "FALTA "&amp;E26)))</f>
        <v>SIFM!I91#</v>
      </c>
      <c r="B30" s="231">
        <f ca="1"/>
        <v>6</v>
      </c>
      <c r="C30" s="240" t="str">
        <f ca="1"/>
        <v/>
      </c>
      <c r="D30" s="83" t="str">
        <f ca="1"/>
        <v/>
      </c>
      <c r="E30" s="83">
        <f ca="1"/>
        <v>11.38</v>
      </c>
      <c r="F30" s="83">
        <f ca="1"/>
        <v>11.38</v>
      </c>
      <c r="G30" s="83" t="str">
        <f ca="1"/>
        <v/>
      </c>
      <c r="J30" s="232">
        <f t="shared" ca="1" si="30"/>
        <v>11.38</v>
      </c>
      <c r="K30" s="240">
        <f ca="1"/>
        <v>11.445</v>
      </c>
      <c r="L30" s="83" t="str">
        <f ca="1"/>
        <v/>
      </c>
      <c r="M30" s="83">
        <f ca="1"/>
        <v>11.43</v>
      </c>
      <c r="N30" s="83">
        <f ca="1"/>
        <v>11.43</v>
      </c>
      <c r="O30" s="83" t="str">
        <f ca="1"/>
        <v/>
      </c>
      <c r="R30" s="232">
        <f t="shared" ca="1" si="31"/>
        <v>11.43</v>
      </c>
      <c r="T30" s="68"/>
      <c r="U30" s="143" t="str">
        <f t="shared" ca="1" si="32"/>
        <v>TMEX</v>
      </c>
      <c r="V30" s="8">
        <v>9</v>
      </c>
      <c r="W30" s="9" t="str">
        <f t="shared" si="33"/>
        <v>9m</v>
      </c>
      <c r="X30" s="160">
        <f t="shared" ca="1" si="22"/>
        <v>11.21</v>
      </c>
      <c r="Y30" s="16">
        <f t="shared" ca="1" si="34"/>
        <v>11.28</v>
      </c>
      <c r="Z30" s="19">
        <f t="shared" ca="1" si="35"/>
        <v>-2.9999999999999361</v>
      </c>
      <c r="AA30" s="290">
        <v>11.275</v>
      </c>
      <c r="AB30" s="17">
        <f t="shared" ca="1" si="23"/>
        <v>11.245000000000001</v>
      </c>
      <c r="AC30" s="13" t="str">
        <f t="shared" ca="1" si="36"/>
        <v>TMEX</v>
      </c>
      <c r="AD30" s="263"/>
      <c r="AE30" s="165">
        <f t="shared" ca="1" si="37"/>
        <v>9</v>
      </c>
      <c r="AF30" s="8">
        <v>9</v>
      </c>
      <c r="AG30" s="9" t="str">
        <f t="shared" si="38"/>
        <v>9m</v>
      </c>
      <c r="AH30" s="160">
        <f t="shared" ca="1" si="39"/>
        <v>11.21</v>
      </c>
      <c r="AI30" s="16">
        <f t="shared" ca="1" si="40"/>
        <v>11.275</v>
      </c>
      <c r="AJ30" s="19">
        <f t="shared" ca="1" si="24"/>
        <v>-3.2500000000000639</v>
      </c>
      <c r="AK30" s="213">
        <f t="shared" si="41"/>
        <v>11.275</v>
      </c>
      <c r="AL30" s="17">
        <f t="shared" ca="1" si="42"/>
        <v>11.2425</v>
      </c>
      <c r="AM30" s="12">
        <f t="shared" ca="1" si="43"/>
        <v>3</v>
      </c>
      <c r="AN30" s="201"/>
      <c r="AO30" s="198">
        <v>13</v>
      </c>
      <c r="AP30" s="172">
        <v>26</v>
      </c>
      <c r="AQ30" s="67">
        <f t="shared" ca="1" si="25"/>
        <v>-1.2900000000000009</v>
      </c>
      <c r="AR30" s="13">
        <f t="shared" ca="1" si="26"/>
        <v>-1.1899999999999995</v>
      </c>
      <c r="AS30" s="213">
        <f t="shared" si="27"/>
        <v>-0.97499999999999964</v>
      </c>
      <c r="AT30" s="201"/>
      <c r="AU30" s="198">
        <v>13</v>
      </c>
      <c r="AV30" s="172">
        <v>26</v>
      </c>
      <c r="AW30" s="67">
        <f t="shared" si="28"/>
        <v>-1.2900000000000009</v>
      </c>
      <c r="AX30" s="13">
        <f t="shared" ca="1" si="29"/>
        <v>-1.1899999999999995</v>
      </c>
      <c r="AY30" s="215">
        <f t="shared" si="44"/>
        <v>-0.97499999999999964</v>
      </c>
      <c r="AZ30" s="186"/>
      <c r="BA30" s="186"/>
    </row>
    <row r="31" spans="1:53">
      <c r="A31" s="292" t="str" cm="1">
        <f t="array" ref="A31">_xlfn.UNIQUE((IF(IFERROR(_xlfn.ANCHORARRAY(TMEX6!I70),"")&lt;&gt;"","TMEX6!I70#","FALTA "&amp;F26)))</f>
        <v>TMEX6!I70#</v>
      </c>
      <c r="B31" s="231">
        <f ca="1"/>
        <v>9</v>
      </c>
      <c r="C31" s="240">
        <f ca="1"/>
        <v>11.2</v>
      </c>
      <c r="D31" s="83" t="str">
        <f ca="1"/>
        <v/>
      </c>
      <c r="E31" s="83" t="str">
        <f ca="1"/>
        <v/>
      </c>
      <c r="F31" s="83">
        <f ca="1"/>
        <v>11.21</v>
      </c>
      <c r="G31" s="83" t="str">
        <f ca="1"/>
        <v/>
      </c>
      <c r="J31" s="232">
        <f t="shared" ca="1" si="30"/>
        <v>11.21</v>
      </c>
      <c r="K31" s="240">
        <f ca="1"/>
        <v>11.3</v>
      </c>
      <c r="L31" s="83">
        <f ca="1"/>
        <v>11.29</v>
      </c>
      <c r="M31" s="83" t="str">
        <f ca="1"/>
        <v/>
      </c>
      <c r="N31" s="83">
        <f ca="1"/>
        <v>11.28</v>
      </c>
      <c r="O31" s="83" t="str">
        <f ca="1"/>
        <v/>
      </c>
      <c r="R31" s="232">
        <f t="shared" ca="1" si="31"/>
        <v>11.28</v>
      </c>
      <c r="T31" s="68"/>
      <c r="U31" s="143" t="str">
        <f t="shared" ca="1" si="32"/>
        <v>TMEX</v>
      </c>
      <c r="V31" s="8">
        <v>13</v>
      </c>
      <c r="W31" s="9" t="str">
        <f t="shared" si="33"/>
        <v>13m</v>
      </c>
      <c r="X31" s="160">
        <f t="shared" ca="1" si="22"/>
        <v>10.86</v>
      </c>
      <c r="Y31" s="16">
        <f t="shared" ca="1" si="34"/>
        <v>10.91</v>
      </c>
      <c r="Z31" s="19">
        <f t="shared" ca="1" si="35"/>
        <v>-16.000000000000014</v>
      </c>
      <c r="AA31" s="290">
        <v>11.045</v>
      </c>
      <c r="AB31" s="17">
        <f t="shared" ca="1" si="23"/>
        <v>10.885</v>
      </c>
      <c r="AC31" s="13" t="str">
        <f t="shared" ca="1" si="36"/>
        <v>RTMX</v>
      </c>
      <c r="AD31" s="263"/>
      <c r="AE31" s="165">
        <f t="shared" ca="1" si="37"/>
        <v>13</v>
      </c>
      <c r="AF31" s="8">
        <v>13</v>
      </c>
      <c r="AG31" s="9" t="str">
        <f t="shared" si="38"/>
        <v>13m</v>
      </c>
      <c r="AH31" s="160">
        <f t="shared" ca="1" si="39"/>
        <v>10.86</v>
      </c>
      <c r="AI31" s="16">
        <f t="shared" ca="1" si="40"/>
        <v>10.91</v>
      </c>
      <c r="AJ31" s="19">
        <f t="shared" ca="1" si="24"/>
        <v>-16.000000000000014</v>
      </c>
      <c r="AK31" s="213">
        <f t="shared" si="41"/>
        <v>11.045</v>
      </c>
      <c r="AL31" s="17">
        <f ca="1">IFERROR(((AH31+AI31)/2),"")</f>
        <v>10.885</v>
      </c>
      <c r="AM31" s="12">
        <f t="shared" ca="1" si="43"/>
        <v>13</v>
      </c>
      <c r="AN31" s="201"/>
      <c r="AO31" s="198">
        <v>26</v>
      </c>
      <c r="AP31" s="172">
        <v>39</v>
      </c>
      <c r="AQ31" s="67">
        <f t="shared" ca="1" si="25"/>
        <v>-0.77000000000000135</v>
      </c>
      <c r="AR31" s="13">
        <f t="shared" ca="1" si="26"/>
        <v>-0.62999999999999901</v>
      </c>
      <c r="AS31" s="213">
        <f t="shared" si="27"/>
        <v>-0.56500000000000128</v>
      </c>
      <c r="AT31" s="201"/>
      <c r="AU31" s="198">
        <v>26</v>
      </c>
      <c r="AV31" s="172">
        <v>39</v>
      </c>
      <c r="AW31" s="67">
        <f t="shared" si="28"/>
        <v>-0.76999999999999957</v>
      </c>
      <c r="AX31" s="13">
        <f t="shared" ca="1" si="29"/>
        <v>-0.62999999999999901</v>
      </c>
      <c r="AY31" s="215">
        <f t="shared" si="44"/>
        <v>-0.56500000000000128</v>
      </c>
      <c r="AZ31" s="186"/>
      <c r="BA31" s="186"/>
    </row>
    <row r="32" spans="1:53">
      <c r="A32" s="291" t="str" cm="1">
        <f t="array" ref="A32">_xlfn.UNIQUE((IF(IFERROR(_xlfn.ANCHORARRAY(GFIM!I74), "")&lt;&gt;"", "GFIM!I74#", "FALTA "&amp;G26)))</f>
        <v>GFIM!I74#</v>
      </c>
      <c r="B32" s="231">
        <f ca="1"/>
        <v>13</v>
      </c>
      <c r="C32" s="240" t="str">
        <f ca="1"/>
        <v/>
      </c>
      <c r="D32" s="83" t="str">
        <f ca="1"/>
        <v/>
      </c>
      <c r="E32" s="83" t="str">
        <f ca="1"/>
        <v/>
      </c>
      <c r="F32" s="83">
        <f ca="1"/>
        <v>10.86</v>
      </c>
      <c r="G32" s="83" t="str">
        <f ca="1"/>
        <v/>
      </c>
      <c r="J32" s="232">
        <f t="shared" ca="1" si="30"/>
        <v>10.86</v>
      </c>
      <c r="K32" s="240">
        <f ca="1"/>
        <v>10.92</v>
      </c>
      <c r="L32" s="83">
        <f ca="1"/>
        <v>10.91</v>
      </c>
      <c r="M32" s="83" t="str">
        <f ca="1"/>
        <v/>
      </c>
      <c r="N32" s="83">
        <f ca="1"/>
        <v>10.93</v>
      </c>
      <c r="O32" s="83" t="str">
        <f ca="1"/>
        <v/>
      </c>
      <c r="R32" s="232">
        <f t="shared" ca="1" si="31"/>
        <v>10.91</v>
      </c>
      <c r="T32" s="68"/>
      <c r="U32" s="143" t="str">
        <f t="shared" ca="1" si="32"/>
        <v>ENMX</v>
      </c>
      <c r="V32" s="8">
        <v>26</v>
      </c>
      <c r="W32" s="9" t="str">
        <f t="shared" si="33"/>
        <v>26m</v>
      </c>
      <c r="X32" s="160">
        <f t="shared" ca="1" si="22"/>
        <v>9.6199999999999992</v>
      </c>
      <c r="Y32" s="16">
        <f t="shared" ca="1" si="34"/>
        <v>9.67</v>
      </c>
      <c r="Z32" s="19">
        <f t="shared" ca="1" si="35"/>
        <v>-42.500000000000071</v>
      </c>
      <c r="AA32" s="290">
        <v>10.07</v>
      </c>
      <c r="AB32" s="17">
        <f t="shared" ca="1" si="23"/>
        <v>9.6449999999999996</v>
      </c>
      <c r="AC32" s="13" t="str">
        <f t="shared" ca="1" si="36"/>
        <v>RTMX</v>
      </c>
      <c r="AD32" s="263"/>
      <c r="AE32" s="165">
        <f t="shared" ca="1" si="37"/>
        <v>26</v>
      </c>
      <c r="AF32" s="8">
        <v>26</v>
      </c>
      <c r="AG32" s="9" t="str">
        <f t="shared" si="38"/>
        <v>26m</v>
      </c>
      <c r="AH32" s="160">
        <f t="shared" ca="1" si="39"/>
        <v>9.6199999999999992</v>
      </c>
      <c r="AI32" s="16">
        <f t="shared" ca="1" si="40"/>
        <v>9.67</v>
      </c>
      <c r="AJ32" s="19">
        <f t="shared" ca="1" si="24"/>
        <v>-42.500000000000071</v>
      </c>
      <c r="AK32" s="213">
        <f t="shared" si="41"/>
        <v>10.07</v>
      </c>
      <c r="AL32" s="17">
        <f t="shared" ca="1" si="42"/>
        <v>9.6449999999999996</v>
      </c>
      <c r="AM32" s="12">
        <f t="shared" ca="1" si="43"/>
        <v>26</v>
      </c>
      <c r="AN32" s="201"/>
      <c r="AO32" s="198">
        <v>26</v>
      </c>
      <c r="AP32" s="172">
        <v>130</v>
      </c>
      <c r="AQ32" s="67">
        <f t="shared" ca="1" si="25"/>
        <v>-1.5399999999999991</v>
      </c>
      <c r="AR32" s="13">
        <f t="shared" ca="1" si="26"/>
        <v>-1.4399999999999995</v>
      </c>
      <c r="AS32" s="213">
        <f t="shared" si="27"/>
        <v>-1.0999999999999996</v>
      </c>
      <c r="AT32" s="201"/>
      <c r="AU32" s="198">
        <v>39</v>
      </c>
      <c r="AV32" s="172">
        <v>52</v>
      </c>
      <c r="AW32" s="67">
        <f t="shared" si="28"/>
        <v>-0.45000000000000107</v>
      </c>
      <c r="AX32" s="13">
        <f t="shared" ca="1" si="29"/>
        <v>-0.28999999999999737</v>
      </c>
      <c r="AY32" s="215">
        <f t="shared" si="44"/>
        <v>-0.3149999999999995</v>
      </c>
      <c r="AZ32" s="186"/>
      <c r="BA32" s="186"/>
    </row>
    <row r="33" spans="2:53">
      <c r="B33" s="231">
        <f ca="1"/>
        <v>26</v>
      </c>
      <c r="C33" s="240">
        <f ca="1"/>
        <v>9.6199999999999992</v>
      </c>
      <c r="D33" s="83" t="str">
        <f ca="1"/>
        <v/>
      </c>
      <c r="E33" s="83" t="str">
        <f ca="1"/>
        <v/>
      </c>
      <c r="F33" s="83" t="str">
        <f ca="1"/>
        <v/>
      </c>
      <c r="G33" s="83" t="str">
        <f ca="1"/>
        <v/>
      </c>
      <c r="J33" s="232">
        <f t="shared" ca="1" si="30"/>
        <v>9.6199999999999992</v>
      </c>
      <c r="K33" s="240">
        <f ca="1"/>
        <v>9.68</v>
      </c>
      <c r="L33" s="83">
        <f ca="1"/>
        <v>9.67</v>
      </c>
      <c r="M33" s="83" t="str">
        <f ca="1"/>
        <v/>
      </c>
      <c r="N33" s="83" t="str">
        <f ca="1"/>
        <v/>
      </c>
      <c r="O33" s="83" t="str">
        <f ca="1"/>
        <v/>
      </c>
      <c r="R33" s="232">
        <f t="shared" ca="1" si="31"/>
        <v>9.67</v>
      </c>
      <c r="T33" s="68"/>
      <c r="U33" s="143" t="str">
        <f t="shared" ca="1" si="32"/>
        <v/>
      </c>
      <c r="V33" s="8">
        <v>39</v>
      </c>
      <c r="W33" s="9" t="str">
        <f t="shared" si="33"/>
        <v>39m</v>
      </c>
      <c r="X33" s="160" t="str">
        <f t="shared" ca="1" si="22"/>
        <v/>
      </c>
      <c r="Y33" s="16" t="str">
        <f t="shared" ca="1" si="34"/>
        <v/>
      </c>
      <c r="Z33" s="19" t="str">
        <f t="shared" ca="1" si="35"/>
        <v/>
      </c>
      <c r="AA33" s="290">
        <v>9.504999999999999</v>
      </c>
      <c r="AB33" s="17" t="str">
        <f t="shared" ca="1" si="23"/>
        <v/>
      </c>
      <c r="AC33" s="13" t="str">
        <f t="shared" ca="1" si="36"/>
        <v/>
      </c>
      <c r="AD33" s="263"/>
      <c r="AE33" s="165">
        <f t="shared" ca="1" si="37"/>
        <v>26</v>
      </c>
      <c r="AF33" s="8">
        <v>39</v>
      </c>
      <c r="AG33" s="9" t="str">
        <f t="shared" si="38"/>
        <v>39m</v>
      </c>
      <c r="AH33" s="160">
        <f t="shared" ca="1" si="39"/>
        <v>8.8999999999999986</v>
      </c>
      <c r="AI33" s="16">
        <f t="shared" ca="1" si="40"/>
        <v>8.99</v>
      </c>
      <c r="AJ33" s="19">
        <f t="shared" ca="1" si="24"/>
        <v>-55.999999999999872</v>
      </c>
      <c r="AK33" s="213">
        <f t="shared" si="41"/>
        <v>9.504999999999999</v>
      </c>
      <c r="AL33" s="17">
        <f t="shared" ca="1" si="42"/>
        <v>8.9450000000000003</v>
      </c>
      <c r="AM33" s="12">
        <f t="shared" ca="1" si="43"/>
        <v>26</v>
      </c>
      <c r="AN33" s="201"/>
      <c r="AO33" s="198">
        <v>65</v>
      </c>
      <c r="AP33" s="172">
        <v>78</v>
      </c>
      <c r="AQ33" s="67" t="str">
        <f t="shared" ca="1" si="25"/>
        <v/>
      </c>
      <c r="AR33" s="13" t="str">
        <f t="shared" ca="1" si="26"/>
        <v/>
      </c>
      <c r="AS33" s="213" t="str">
        <f t="shared" si="27"/>
        <v/>
      </c>
      <c r="AT33" s="201"/>
      <c r="AU33" s="198">
        <v>65</v>
      </c>
      <c r="AV33" s="172">
        <v>78</v>
      </c>
      <c r="AW33" s="67" t="str">
        <f t="shared" si="28"/>
        <v/>
      </c>
      <c r="AX33" s="13" t="str">
        <f t="shared" ca="1" si="29"/>
        <v/>
      </c>
      <c r="AY33" s="215" t="str">
        <f t="shared" si="44"/>
        <v/>
      </c>
      <c r="AZ33" s="186"/>
      <c r="BA33" s="186"/>
    </row>
    <row r="34" spans="2:53">
      <c r="B34" s="231">
        <f ca="1"/>
        <v>39</v>
      </c>
      <c r="C34" s="240" t="str">
        <f ca="1"/>
        <v/>
      </c>
      <c r="D34" s="83" t="str">
        <f ca="1"/>
        <v/>
      </c>
      <c r="E34" s="83" t="str">
        <f ca="1"/>
        <v/>
      </c>
      <c r="F34" s="83" t="str">
        <f ca="1"/>
        <v/>
      </c>
      <c r="G34" s="83" t="str">
        <f ca="1"/>
        <v/>
      </c>
      <c r="J34" s="232" t="str">
        <f t="shared" ca="1" si="30"/>
        <v/>
      </c>
      <c r="K34" s="240" t="str">
        <f ca="1"/>
        <v/>
      </c>
      <c r="L34" s="83" t="str">
        <f ca="1"/>
        <v/>
      </c>
      <c r="M34" s="83" t="str">
        <f ca="1"/>
        <v/>
      </c>
      <c r="N34" s="83" t="str">
        <f ca="1"/>
        <v/>
      </c>
      <c r="O34" s="83" t="str">
        <f ca="1"/>
        <v/>
      </c>
      <c r="R34" s="232" t="str">
        <f t="shared" ca="1" si="31"/>
        <v/>
      </c>
      <c r="T34" s="68"/>
      <c r="U34" s="143" t="str">
        <f t="shared" ca="1" si="32"/>
        <v/>
      </c>
      <c r="V34" s="8">
        <v>52</v>
      </c>
      <c r="W34" s="9" t="str">
        <f t="shared" si="33"/>
        <v>52m</v>
      </c>
      <c r="X34" s="160" t="str">
        <f t="shared" ca="1" si="22"/>
        <v/>
      </c>
      <c r="Y34" s="16" t="str">
        <f t="shared" ca="1" si="34"/>
        <v/>
      </c>
      <c r="Z34" s="19" t="str">
        <f t="shared" ca="1" si="35"/>
        <v/>
      </c>
      <c r="AA34" s="290">
        <v>9.19</v>
      </c>
      <c r="AB34" s="17" t="str">
        <f t="shared" ca="1" si="23"/>
        <v/>
      </c>
      <c r="AC34" s="13" t="str">
        <f t="shared" ca="1" si="36"/>
        <v/>
      </c>
      <c r="AD34" s="263"/>
      <c r="AE34" s="165">
        <f t="shared" ca="1" si="37"/>
        <v>65</v>
      </c>
      <c r="AF34" s="8">
        <v>52</v>
      </c>
      <c r="AG34" s="9" t="str">
        <f t="shared" si="38"/>
        <v>52m</v>
      </c>
      <c r="AH34" s="160">
        <f t="shared" ca="1" si="39"/>
        <v>8.5399999999999991</v>
      </c>
      <c r="AI34" s="16">
        <f t="shared" ca="1" si="40"/>
        <v>8.6100000000000012</v>
      </c>
      <c r="AJ34" s="19">
        <f t="shared" ca="1" si="24"/>
        <v>-61.500000000000021</v>
      </c>
      <c r="AK34" s="213">
        <f t="shared" si="41"/>
        <v>9.19</v>
      </c>
      <c r="AL34" s="17">
        <f t="shared" ca="1" si="42"/>
        <v>8.5749999999999993</v>
      </c>
      <c r="AM34" s="12">
        <f t="shared" ca="1" si="43"/>
        <v>65</v>
      </c>
      <c r="AN34" s="201"/>
      <c r="AO34" s="198">
        <v>65</v>
      </c>
      <c r="AP34" s="172">
        <v>91</v>
      </c>
      <c r="AQ34" s="67" t="str">
        <f t="shared" ca="1" si="25"/>
        <v/>
      </c>
      <c r="AR34" s="13" t="str">
        <f t="shared" ca="1" si="26"/>
        <v/>
      </c>
      <c r="AS34" s="213">
        <f t="shared" si="27"/>
        <v>-9.5000000000000639E-2</v>
      </c>
      <c r="AT34" s="201"/>
      <c r="AU34" s="198">
        <v>65</v>
      </c>
      <c r="AV34" s="172">
        <v>91</v>
      </c>
      <c r="AW34" s="67">
        <f t="shared" si="28"/>
        <v>0.16999999999999993</v>
      </c>
      <c r="AX34" s="13" t="str">
        <f t="shared" ca="1" si="29"/>
        <v/>
      </c>
      <c r="AY34" s="215">
        <f t="shared" si="44"/>
        <v>-9.5000000000000639E-2</v>
      </c>
      <c r="AZ34" s="186"/>
      <c r="BA34" s="186"/>
    </row>
    <row r="35" spans="2:53">
      <c r="B35" s="231">
        <f ca="1"/>
        <v>52</v>
      </c>
      <c r="C35" s="240" t="str">
        <f ca="1"/>
        <v/>
      </c>
      <c r="D35" s="83" t="str">
        <f ca="1"/>
        <v/>
      </c>
      <c r="E35" s="83" t="str">
        <f ca="1"/>
        <v/>
      </c>
      <c r="F35" s="83" t="str">
        <f ca="1"/>
        <v/>
      </c>
      <c r="G35" s="83" t="str">
        <f ca="1"/>
        <v/>
      </c>
      <c r="J35" s="232" t="str">
        <f t="shared" ca="1" si="30"/>
        <v/>
      </c>
      <c r="K35" s="240" t="str">
        <f ca="1"/>
        <v/>
      </c>
      <c r="L35" s="83" t="str">
        <f ca="1"/>
        <v/>
      </c>
      <c r="M35" s="83" t="str">
        <f ca="1"/>
        <v/>
      </c>
      <c r="N35" s="83" t="str">
        <f ca="1"/>
        <v/>
      </c>
      <c r="O35" s="83" t="str">
        <f ca="1"/>
        <v/>
      </c>
      <c r="R35" s="232" t="str">
        <f t="shared" ca="1" si="31"/>
        <v/>
      </c>
      <c r="T35" s="68"/>
      <c r="U35" s="143" t="str">
        <f t="shared" ca="1" si="32"/>
        <v>RTMX</v>
      </c>
      <c r="V35" s="8">
        <v>65</v>
      </c>
      <c r="W35" s="9" t="str">
        <f t="shared" si="33"/>
        <v>65m</v>
      </c>
      <c r="X35" s="160">
        <f t="shared" ca="1" si="22"/>
        <v>8.35</v>
      </c>
      <c r="Y35" s="16">
        <f t="shared" ca="1" si="34"/>
        <v>8.39</v>
      </c>
      <c r="Z35" s="19">
        <f t="shared" ca="1" si="35"/>
        <v>-65.499999999999943</v>
      </c>
      <c r="AA35" s="290">
        <v>9.0250000000000004</v>
      </c>
      <c r="AB35" s="17">
        <f t="shared" ca="1" si="23"/>
        <v>8.370000000000001</v>
      </c>
      <c r="AC35" s="13" t="str">
        <f t="shared" ca="1" si="36"/>
        <v>RTMX</v>
      </c>
      <c r="AD35" s="263"/>
      <c r="AE35" s="165">
        <f t="shared" ca="1" si="37"/>
        <v>65</v>
      </c>
      <c r="AF35" s="8">
        <v>65</v>
      </c>
      <c r="AG35" s="9" t="str">
        <f t="shared" si="38"/>
        <v>65m</v>
      </c>
      <c r="AH35" s="160">
        <f t="shared" ca="1" si="39"/>
        <v>8.35</v>
      </c>
      <c r="AI35" s="16">
        <f t="shared" ca="1" si="40"/>
        <v>8.39</v>
      </c>
      <c r="AJ35" s="19">
        <f t="shared" ca="1" si="24"/>
        <v>-65.499999999999943</v>
      </c>
      <c r="AK35" s="213">
        <f t="shared" si="41"/>
        <v>9.0250000000000004</v>
      </c>
      <c r="AL35" s="17">
        <f t="shared" ca="1" si="42"/>
        <v>8.370000000000001</v>
      </c>
      <c r="AM35" s="12">
        <f t="shared" ca="1" si="43"/>
        <v>65</v>
      </c>
      <c r="AN35" s="201"/>
      <c r="AO35" s="198">
        <v>65</v>
      </c>
      <c r="AP35" s="172">
        <v>130</v>
      </c>
      <c r="AQ35" s="67">
        <f t="shared" ca="1" si="25"/>
        <v>-0.25999999999999979</v>
      </c>
      <c r="AR35" s="13">
        <f t="shared" ca="1" si="26"/>
        <v>-0.16999999999999993</v>
      </c>
      <c r="AS35" s="213">
        <f t="shared" si="27"/>
        <v>-5.4999999999999716E-2</v>
      </c>
      <c r="AT35" s="201"/>
      <c r="AU35" s="198">
        <v>65</v>
      </c>
      <c r="AV35" s="172">
        <v>130</v>
      </c>
      <c r="AW35" s="67">
        <f t="shared" si="28"/>
        <v>-0.25999999999999979</v>
      </c>
      <c r="AX35" s="13">
        <f t="shared" ca="1" si="29"/>
        <v>-0.16999999999999993</v>
      </c>
      <c r="AY35" s="215">
        <f t="shared" si="44"/>
        <v>-5.4999999999999716E-2</v>
      </c>
      <c r="AZ35" s="186"/>
      <c r="BA35" s="186"/>
    </row>
    <row r="36" spans="2:53">
      <c r="B36" s="231">
        <f ca="1"/>
        <v>65</v>
      </c>
      <c r="C36" s="240" t="str">
        <f ca="1"/>
        <v/>
      </c>
      <c r="D36" s="83">
        <f ca="1"/>
        <v>8.35</v>
      </c>
      <c r="E36" s="83" t="str">
        <f ca="1"/>
        <v/>
      </c>
      <c r="F36" s="83" t="str">
        <f ca="1"/>
        <v/>
      </c>
      <c r="G36" s="83" t="str">
        <f ca="1"/>
        <v/>
      </c>
      <c r="J36" s="232">
        <f t="shared" ca="1" si="30"/>
        <v>8.35</v>
      </c>
      <c r="K36" s="240" t="str">
        <f ca="1"/>
        <v/>
      </c>
      <c r="L36" s="83">
        <f ca="1"/>
        <v>8.39</v>
      </c>
      <c r="M36" s="83" t="str">
        <f ca="1"/>
        <v/>
      </c>
      <c r="N36" s="83" t="str">
        <f ca="1"/>
        <v/>
      </c>
      <c r="O36" s="83" t="str">
        <f ca="1"/>
        <v/>
      </c>
      <c r="R36" s="232">
        <f t="shared" ca="1" si="31"/>
        <v>8.39</v>
      </c>
      <c r="T36" s="68"/>
      <c r="U36" s="143" t="str">
        <f t="shared" ca="1" si="32"/>
        <v/>
      </c>
      <c r="V36" s="8">
        <v>91</v>
      </c>
      <c r="W36" s="9" t="str">
        <f t="shared" si="33"/>
        <v>91m</v>
      </c>
      <c r="X36" s="160" t="str">
        <f t="shared" ref="X36" ca="1" si="45">VLOOKUP(V36,$B$28:$R$45,9,FALSE)</f>
        <v/>
      </c>
      <c r="Y36" s="16" t="str">
        <f t="shared" ref="Y36" ca="1" si="46">VLOOKUP(V36,$B$28:$R$45,17,FALSE)</f>
        <v/>
      </c>
      <c r="Z36" s="19" t="str">
        <f t="shared" ca="1" si="35"/>
        <v/>
      </c>
      <c r="AA36" s="290">
        <v>8.93</v>
      </c>
      <c r="AB36" s="17" t="str">
        <f t="shared" ca="1" si="23"/>
        <v/>
      </c>
      <c r="AC36" s="13" t="str">
        <f t="shared" ca="1" si="36"/>
        <v/>
      </c>
      <c r="AD36" s="263"/>
      <c r="AE36" s="165" t="str">
        <f t="shared" ca="1" si="37"/>
        <v/>
      </c>
      <c r="AF36" s="8">
        <v>91</v>
      </c>
      <c r="AG36" s="9" t="str">
        <f t="shared" si="38"/>
        <v>91m</v>
      </c>
      <c r="AH36" s="160" t="str">
        <f t="shared" ca="1" si="39"/>
        <v/>
      </c>
      <c r="AI36" s="16" t="str">
        <f t="shared" ca="1" si="40"/>
        <v/>
      </c>
      <c r="AJ36" s="19" t="str">
        <f t="shared" ca="1" si="24"/>
        <v/>
      </c>
      <c r="AK36" s="213">
        <f t="shared" si="41"/>
        <v>8.93</v>
      </c>
      <c r="AL36" s="17" t="str">
        <f t="shared" ca="1" si="42"/>
        <v/>
      </c>
      <c r="AM36" s="12" t="str">
        <f t="shared" ca="1" si="43"/>
        <v/>
      </c>
      <c r="AN36" s="201"/>
      <c r="AO36" s="198">
        <v>78</v>
      </c>
      <c r="AP36" s="172">
        <v>91</v>
      </c>
      <c r="AQ36" s="67" t="str">
        <f t="shared" ca="1" si="25"/>
        <v/>
      </c>
      <c r="AR36" s="13" t="str">
        <f t="shared" ca="1" si="26"/>
        <v/>
      </c>
      <c r="AS36" s="213" t="str">
        <f t="shared" si="27"/>
        <v/>
      </c>
      <c r="AT36" s="201"/>
      <c r="AU36" s="198">
        <v>78</v>
      </c>
      <c r="AV36" s="172">
        <v>91</v>
      </c>
      <c r="AW36" s="67" t="str">
        <f t="shared" si="28"/>
        <v/>
      </c>
      <c r="AX36" s="13" t="str">
        <f t="shared" ca="1" si="29"/>
        <v/>
      </c>
      <c r="AY36" s="215" t="str">
        <f t="shared" si="44"/>
        <v/>
      </c>
      <c r="AZ36" s="186"/>
      <c r="BA36" s="186"/>
    </row>
    <row r="37" spans="2:53">
      <c r="B37" s="231">
        <f ca="1"/>
        <v>91</v>
      </c>
      <c r="C37" s="240" t="str">
        <f ca="1"/>
        <v/>
      </c>
      <c r="D37" s="83" t="str">
        <f ca="1"/>
        <v/>
      </c>
      <c r="E37" s="83" t="str">
        <f ca="1"/>
        <v/>
      </c>
      <c r="F37" s="83" t="str">
        <f ca="1"/>
        <v/>
      </c>
      <c r="G37" s="83" t="str">
        <f ca="1"/>
        <v/>
      </c>
      <c r="J37" s="232" t="str">
        <f t="shared" ca="1" si="30"/>
        <v/>
      </c>
      <c r="K37" s="240" t="str">
        <f ca="1"/>
        <v/>
      </c>
      <c r="L37" s="83" t="str">
        <f ca="1"/>
        <v/>
      </c>
      <c r="M37" s="83" t="str">
        <f ca="1"/>
        <v/>
      </c>
      <c r="N37" s="83" t="str">
        <f ca="1"/>
        <v/>
      </c>
      <c r="O37" s="83" t="str">
        <f ca="1"/>
        <v/>
      </c>
      <c r="R37" s="232" t="str">
        <f t="shared" ca="1" si="31"/>
        <v/>
      </c>
      <c r="T37" s="68"/>
      <c r="U37" s="143" t="str">
        <f t="shared" ca="1" si="32"/>
        <v>RTMX</v>
      </c>
      <c r="V37" s="8">
        <v>130</v>
      </c>
      <c r="W37" s="9" t="str">
        <f t="shared" si="33"/>
        <v>130m</v>
      </c>
      <c r="X37" s="160">
        <f t="shared" ca="1" si="22"/>
        <v>8.1300000000000008</v>
      </c>
      <c r="Y37" s="16">
        <f t="shared" ca="1" si="34"/>
        <v>8.18</v>
      </c>
      <c r="Z37" s="19">
        <f ca="1">IFERROR((AB37-AA37)*100,"")</f>
        <v>-81.499999999999943</v>
      </c>
      <c r="AA37" s="290">
        <v>8.9700000000000006</v>
      </c>
      <c r="AB37" s="17">
        <f t="shared" ca="1" si="23"/>
        <v>8.1550000000000011</v>
      </c>
      <c r="AC37" s="13" t="str">
        <f t="shared" ca="1" si="36"/>
        <v>RTMX</v>
      </c>
      <c r="AD37" s="263"/>
      <c r="AE37" s="165">
        <f t="shared" ca="1" si="37"/>
        <v>130</v>
      </c>
      <c r="AF37" s="8">
        <v>130</v>
      </c>
      <c r="AG37" s="9" t="str">
        <f t="shared" si="38"/>
        <v>130m</v>
      </c>
      <c r="AH37" s="160">
        <f t="shared" ca="1" si="39"/>
        <v>8.1300000000000008</v>
      </c>
      <c r="AI37" s="16">
        <f t="shared" ca="1" si="40"/>
        <v>8.18</v>
      </c>
      <c r="AJ37" s="19">
        <f t="shared" ca="1" si="24"/>
        <v>-81.499999999999943</v>
      </c>
      <c r="AK37" s="213">
        <f t="shared" si="41"/>
        <v>8.9700000000000006</v>
      </c>
      <c r="AL37" s="17">
        <f t="shared" ca="1" si="42"/>
        <v>8.1550000000000011</v>
      </c>
      <c r="AM37" s="12">
        <f t="shared" ca="1" si="43"/>
        <v>130</v>
      </c>
      <c r="AN37" s="201"/>
      <c r="AO37" s="198">
        <v>91</v>
      </c>
      <c r="AP37" s="172">
        <v>130</v>
      </c>
      <c r="AQ37" s="67" t="str">
        <f t="shared" ca="1" si="25"/>
        <v/>
      </c>
      <c r="AR37" s="13" t="str">
        <f t="shared" ca="1" si="26"/>
        <v/>
      </c>
      <c r="AS37" s="213">
        <f t="shared" si="27"/>
        <v>4.0000000000000924E-2</v>
      </c>
      <c r="AT37" s="201"/>
      <c r="AU37" s="198">
        <v>91</v>
      </c>
      <c r="AV37" s="172">
        <v>130</v>
      </c>
      <c r="AW37" s="67">
        <f t="shared" si="28"/>
        <v>-0.70999999999999908</v>
      </c>
      <c r="AX37" s="13" t="str">
        <f t="shared" ca="1" si="29"/>
        <v/>
      </c>
      <c r="AY37" s="215">
        <f t="shared" si="44"/>
        <v>4.0000000000000924E-2</v>
      </c>
      <c r="AZ37" s="186"/>
      <c r="BA37" s="186"/>
    </row>
    <row r="38" spans="2:53">
      <c r="B38" s="231">
        <f ca="1"/>
        <v>117</v>
      </c>
      <c r="C38" s="240" t="str">
        <f ca="1"/>
        <v/>
      </c>
      <c r="D38" s="83" t="str">
        <f ca="1"/>
        <v/>
      </c>
      <c r="E38" s="83" t="str">
        <f ca="1"/>
        <v/>
      </c>
      <c r="F38" s="83" t="str">
        <f ca="1"/>
        <v/>
      </c>
      <c r="G38" s="83" t="str">
        <f ca="1"/>
        <v/>
      </c>
      <c r="J38" s="232" t="str">
        <f t="shared" ca="1" si="30"/>
        <v/>
      </c>
      <c r="K38" s="240" t="str">
        <f ca="1"/>
        <v/>
      </c>
      <c r="L38" s="83" t="str">
        <f ca="1"/>
        <v/>
      </c>
      <c r="M38" s="83" t="str">
        <f ca="1"/>
        <v/>
      </c>
      <c r="N38" s="83" t="str">
        <f ca="1"/>
        <v/>
      </c>
      <c r="O38" s="83" t="str">
        <f ca="1"/>
        <v/>
      </c>
      <c r="R38" s="232" t="str">
        <f t="shared" ca="1" si="31"/>
        <v/>
      </c>
      <c r="T38" s="68"/>
      <c r="U38" s="143" t="str">
        <f t="shared" ca="1" si="32"/>
        <v/>
      </c>
      <c r="V38" s="8">
        <v>156</v>
      </c>
      <c r="W38" s="9" t="str">
        <f t="shared" si="33"/>
        <v>156m</v>
      </c>
      <c r="X38" s="160" t="str">
        <f t="shared" ca="1" si="22"/>
        <v/>
      </c>
      <c r="Y38" s="16" t="str">
        <f t="shared" ca="1" si="34"/>
        <v/>
      </c>
      <c r="Z38" s="19" t="str">
        <f t="shared" ca="1" si="35"/>
        <v/>
      </c>
      <c r="AA38" s="290">
        <v>8.995000000000001</v>
      </c>
      <c r="AB38" s="6" t="str">
        <f t="shared" ca="1" si="23"/>
        <v/>
      </c>
      <c r="AC38" s="13" t="str">
        <f t="shared" ca="1" si="36"/>
        <v/>
      </c>
      <c r="AD38" s="263"/>
      <c r="AE38" s="165" t="str">
        <f t="shared" ca="1" si="37"/>
        <v/>
      </c>
      <c r="AF38" s="8">
        <v>156</v>
      </c>
      <c r="AG38" s="9" t="str">
        <f t="shared" si="38"/>
        <v>156m</v>
      </c>
      <c r="AH38" s="160" t="str">
        <f t="shared" ca="1" si="39"/>
        <v/>
      </c>
      <c r="AI38" s="16" t="str">
        <f t="shared" ca="1" si="40"/>
        <v/>
      </c>
      <c r="AJ38" s="19" t="str">
        <f t="shared" ca="1" si="24"/>
        <v/>
      </c>
      <c r="AK38" s="213">
        <f t="shared" si="41"/>
        <v>8.995000000000001</v>
      </c>
      <c r="AL38" s="17" t="str">
        <f t="shared" ca="1" si="42"/>
        <v/>
      </c>
      <c r="AM38" s="12" t="str">
        <f t="shared" ca="1" si="43"/>
        <v/>
      </c>
      <c r="AN38" s="201"/>
      <c r="AO38" s="198">
        <v>91</v>
      </c>
      <c r="AP38" s="172">
        <v>156</v>
      </c>
      <c r="AQ38" s="67" t="str">
        <f t="shared" ca="1" si="25"/>
        <v/>
      </c>
      <c r="AR38" s="13" t="str">
        <f t="shared" ca="1" si="26"/>
        <v/>
      </c>
      <c r="AS38" s="213">
        <f t="shared" si="27"/>
        <v>6.5000000000001279E-2</v>
      </c>
      <c r="AT38" s="201"/>
      <c r="AU38" s="198">
        <v>91</v>
      </c>
      <c r="AV38" s="172">
        <v>156</v>
      </c>
      <c r="AW38" s="67" t="str">
        <f t="shared" si="28"/>
        <v/>
      </c>
      <c r="AX38" s="13" t="str">
        <f t="shared" ca="1" si="29"/>
        <v/>
      </c>
      <c r="AY38" s="215">
        <f t="shared" si="44"/>
        <v>6.5000000000001279E-2</v>
      </c>
      <c r="AZ38" s="186"/>
      <c r="BA38" s="186"/>
    </row>
    <row r="39" spans="2:53">
      <c r="B39" s="231">
        <f ca="1"/>
        <v>130</v>
      </c>
      <c r="C39" s="240" t="str">
        <f ca="1"/>
        <v/>
      </c>
      <c r="D39" s="83">
        <f ca="1"/>
        <v>8.1300000000000008</v>
      </c>
      <c r="E39" s="83" t="str">
        <f ca="1"/>
        <v/>
      </c>
      <c r="F39" s="83" t="str">
        <f ca="1"/>
        <v/>
      </c>
      <c r="G39" s="83" t="str">
        <f ca="1"/>
        <v/>
      </c>
      <c r="J39" s="232">
        <f t="shared" ca="1" si="30"/>
        <v>8.1300000000000008</v>
      </c>
      <c r="K39" s="240" t="str">
        <f ca="1"/>
        <v/>
      </c>
      <c r="L39" s="83">
        <f ca="1"/>
        <v>8.18</v>
      </c>
      <c r="M39" s="83" t="str">
        <f ca="1"/>
        <v/>
      </c>
      <c r="N39" s="83" t="str">
        <f ca="1"/>
        <v/>
      </c>
      <c r="O39" s="83" t="str">
        <f ca="1"/>
        <v/>
      </c>
      <c r="R39" s="232">
        <f t="shared" ca="1" si="31"/>
        <v>8.18</v>
      </c>
      <c r="T39" s="68"/>
      <c r="U39" s="143" t="str">
        <f t="shared" ca="1" si="32"/>
        <v/>
      </c>
      <c r="V39" s="8">
        <v>195</v>
      </c>
      <c r="W39" s="9" t="str">
        <f t="shared" si="33"/>
        <v>195m</v>
      </c>
      <c r="X39" s="160" t="str">
        <f t="shared" ca="1" si="22"/>
        <v/>
      </c>
      <c r="Y39" s="16" t="str">
        <f t="shared" ca="1" si="34"/>
        <v/>
      </c>
      <c r="Z39" s="19" t="str">
        <f t="shared" ca="1" si="35"/>
        <v/>
      </c>
      <c r="AA39" s="290">
        <v>9.02</v>
      </c>
      <c r="AB39" s="6" t="str">
        <f t="shared" ca="1" si="23"/>
        <v/>
      </c>
      <c r="AC39" s="13" t="str">
        <f t="shared" ca="1" si="36"/>
        <v/>
      </c>
      <c r="AD39" s="263"/>
      <c r="AE39" s="165" t="str">
        <f t="shared" ca="1" si="37"/>
        <v/>
      </c>
      <c r="AF39" s="8">
        <v>195</v>
      </c>
      <c r="AG39" s="9" t="str">
        <f t="shared" si="38"/>
        <v>195m</v>
      </c>
      <c r="AH39" s="160" t="str">
        <f t="shared" ca="1" si="39"/>
        <v/>
      </c>
      <c r="AI39" s="16" t="str">
        <f t="shared" ca="1" si="40"/>
        <v/>
      </c>
      <c r="AJ39" s="19" t="str">
        <f t="shared" ca="1" si="24"/>
        <v/>
      </c>
      <c r="AK39" s="213">
        <f>+IFERROR(VLOOKUP(AF39,$V$28:$AA$41,6,FALSE),"")</f>
        <v>9.02</v>
      </c>
      <c r="AL39" s="17" t="str">
        <f t="shared" ca="1" si="42"/>
        <v/>
      </c>
      <c r="AM39" s="12" t="str">
        <f t="shared" ca="1" si="43"/>
        <v/>
      </c>
      <c r="AN39" s="201"/>
      <c r="AO39" s="198">
        <v>130</v>
      </c>
      <c r="AP39" s="172">
        <v>156</v>
      </c>
      <c r="AQ39" s="67" t="str">
        <f t="shared" ca="1" si="25"/>
        <v/>
      </c>
      <c r="AR39" s="13" t="str">
        <f t="shared" ca="1" si="26"/>
        <v/>
      </c>
      <c r="AS39" s="213">
        <f t="shared" si="27"/>
        <v>2.5000000000000355E-2</v>
      </c>
      <c r="AT39" s="201"/>
      <c r="AU39" s="198">
        <v>130</v>
      </c>
      <c r="AV39" s="172">
        <v>156</v>
      </c>
      <c r="AW39" s="67" t="str">
        <f t="shared" si="28"/>
        <v/>
      </c>
      <c r="AX39" s="13" t="str">
        <f t="shared" ca="1" si="29"/>
        <v/>
      </c>
      <c r="AY39" s="215">
        <f t="shared" si="44"/>
        <v>2.5000000000000355E-2</v>
      </c>
      <c r="AZ39" s="186"/>
      <c r="BA39" s="186"/>
    </row>
    <row r="40" spans="2:53">
      <c r="B40" s="231">
        <f ca="1"/>
        <v>156</v>
      </c>
      <c r="C40" s="240" t="str">
        <f ca="1"/>
        <v/>
      </c>
      <c r="D40" s="83" t="str">
        <f ca="1"/>
        <v/>
      </c>
      <c r="E40" s="83" t="str">
        <f ca="1"/>
        <v/>
      </c>
      <c r="F40" s="83" t="str">
        <f ca="1"/>
        <v/>
      </c>
      <c r="G40" s="83" t="str">
        <f ca="1"/>
        <v/>
      </c>
      <c r="J40" s="232" t="str">
        <f t="shared" ca="1" si="30"/>
        <v/>
      </c>
      <c r="K40" s="240" t="str">
        <f ca="1"/>
        <v/>
      </c>
      <c r="L40" s="83" t="str">
        <f ca="1"/>
        <v/>
      </c>
      <c r="M40" s="83" t="str">
        <f ca="1"/>
        <v/>
      </c>
      <c r="N40" s="83" t="str">
        <f ca="1"/>
        <v/>
      </c>
      <c r="O40" s="83" t="str">
        <f ca="1"/>
        <v/>
      </c>
      <c r="R40" s="232" t="str">
        <f t="shared" ca="1" si="31"/>
        <v/>
      </c>
      <c r="T40" s="68"/>
      <c r="U40" s="143" t="str">
        <f t="shared" ca="1" si="32"/>
        <v/>
      </c>
      <c r="V40" s="8">
        <v>260</v>
      </c>
      <c r="W40" s="9" t="str">
        <f t="shared" si="33"/>
        <v>260m</v>
      </c>
      <c r="X40" s="160" t="str">
        <f t="shared" ref="X40:X41" ca="1" si="47">VLOOKUP(V40,$B$28:$R$45,9,FALSE)</f>
        <v/>
      </c>
      <c r="Y40" s="16" t="str">
        <f t="shared" ca="1" si="34"/>
        <v/>
      </c>
      <c r="Z40" s="19" t="str">
        <f t="shared" ca="1" si="35"/>
        <v/>
      </c>
      <c r="AA40" s="290">
        <v>9.0350000000000001</v>
      </c>
      <c r="AB40" s="6" t="str">
        <f t="shared" ca="1" si="23"/>
        <v/>
      </c>
      <c r="AC40" s="13" t="str">
        <f t="shared" ca="1" si="36"/>
        <v/>
      </c>
      <c r="AD40" s="263"/>
      <c r="AE40" s="165" t="str">
        <f t="shared" ca="1" si="37"/>
        <v/>
      </c>
      <c r="AF40" s="8">
        <v>260</v>
      </c>
      <c r="AG40" s="9" t="str">
        <f t="shared" si="38"/>
        <v>260m</v>
      </c>
      <c r="AH40" s="160" t="str">
        <f t="shared" ca="1" si="39"/>
        <v/>
      </c>
      <c r="AI40" s="16" t="str">
        <f t="shared" ca="1" si="40"/>
        <v/>
      </c>
      <c r="AJ40" s="19" t="str">
        <f t="shared" ca="1" si="24"/>
        <v/>
      </c>
      <c r="AK40" s="213">
        <f t="shared" si="41"/>
        <v>9.0350000000000001</v>
      </c>
      <c r="AL40" s="17" t="str">
        <f t="shared" ca="1" si="42"/>
        <v/>
      </c>
      <c r="AM40" s="12" t="str">
        <f t="shared" ca="1" si="43"/>
        <v/>
      </c>
      <c r="AN40" s="201"/>
      <c r="AO40" s="198">
        <v>130</v>
      </c>
      <c r="AP40" s="172">
        <v>260</v>
      </c>
      <c r="AQ40" s="67" t="str">
        <f t="shared" ca="1" si="25"/>
        <v/>
      </c>
      <c r="AR40" s="13" t="str">
        <f t="shared" ca="1" si="26"/>
        <v/>
      </c>
      <c r="AS40" s="213">
        <f t="shared" si="27"/>
        <v>6.4999999999999503E-2</v>
      </c>
      <c r="AT40" s="201"/>
      <c r="AU40" s="198">
        <v>130</v>
      </c>
      <c r="AV40" s="172">
        <v>260</v>
      </c>
      <c r="AW40" s="67" t="str">
        <f t="shared" si="28"/>
        <v/>
      </c>
      <c r="AX40" s="13" t="str">
        <f t="shared" ca="1" si="29"/>
        <v/>
      </c>
      <c r="AY40" s="215">
        <f t="shared" si="44"/>
        <v>6.4999999999999503E-2</v>
      </c>
      <c r="AZ40" s="186"/>
      <c r="BA40" s="186"/>
    </row>
    <row r="41" spans="2:53">
      <c r="B41" s="231">
        <f ca="1"/>
        <v>195</v>
      </c>
      <c r="C41" s="240" t="str">
        <f ca="1"/>
        <v/>
      </c>
      <c r="D41" s="83" t="str">
        <f ca="1"/>
        <v/>
      </c>
      <c r="E41" s="83" t="str">
        <f ca="1"/>
        <v/>
      </c>
      <c r="F41" s="83" t="str">
        <f ca="1"/>
        <v/>
      </c>
      <c r="G41" s="83" t="str">
        <f ca="1"/>
        <v/>
      </c>
      <c r="J41" s="232" t="str">
        <f t="shared" ca="1" si="30"/>
        <v/>
      </c>
      <c r="K41" s="240" t="str">
        <f ca="1"/>
        <v/>
      </c>
      <c r="L41" s="83" t="str">
        <f ca="1"/>
        <v/>
      </c>
      <c r="M41" s="83" t="str">
        <f ca="1"/>
        <v/>
      </c>
      <c r="N41" s="83" t="str">
        <f ca="1"/>
        <v/>
      </c>
      <c r="O41" s="83" t="str">
        <f ca="1"/>
        <v/>
      </c>
      <c r="R41" s="232" t="str">
        <f t="shared" ca="1" si="31"/>
        <v/>
      </c>
      <c r="T41" s="68"/>
      <c r="U41" s="143" t="str">
        <f t="shared" ca="1" si="32"/>
        <v/>
      </c>
      <c r="V41" s="8">
        <v>390</v>
      </c>
      <c r="W41" s="9" t="str">
        <f t="shared" si="33"/>
        <v>390m</v>
      </c>
      <c r="X41" s="160" t="str">
        <f t="shared" ca="1" si="47"/>
        <v/>
      </c>
      <c r="Y41" s="16" t="str">
        <f t="shared" ca="1" si="34"/>
        <v/>
      </c>
      <c r="Z41" s="19" t="str">
        <f t="shared" ca="1" si="35"/>
        <v/>
      </c>
      <c r="AA41" s="290">
        <v>9.0250000000000004</v>
      </c>
      <c r="AB41" s="6" t="str">
        <f t="shared" ca="1" si="23"/>
        <v/>
      </c>
      <c r="AC41" s="13" t="str">
        <f t="shared" ca="1" si="36"/>
        <v/>
      </c>
      <c r="AD41" s="263"/>
      <c r="AE41" s="165" t="str">
        <f t="shared" ca="1" si="37"/>
        <v/>
      </c>
      <c r="AF41" s="8">
        <v>390</v>
      </c>
      <c r="AG41" s="9" t="str">
        <f t="shared" si="38"/>
        <v>390m</v>
      </c>
      <c r="AH41" s="160" t="str">
        <f t="shared" ca="1" si="39"/>
        <v/>
      </c>
      <c r="AI41" s="16" t="str">
        <f t="shared" ca="1" si="40"/>
        <v/>
      </c>
      <c r="AJ41" s="19" t="str">
        <f t="shared" ca="1" si="24"/>
        <v/>
      </c>
      <c r="AK41" s="213">
        <f t="shared" si="41"/>
        <v>9.0250000000000004</v>
      </c>
      <c r="AL41" s="17" t="str">
        <f t="shared" ca="1" si="42"/>
        <v/>
      </c>
      <c r="AM41" s="12" t="str">
        <f t="shared" ca="1" si="43"/>
        <v/>
      </c>
      <c r="AN41" s="201"/>
      <c r="AO41" s="198">
        <v>130</v>
      </c>
      <c r="AP41" s="172">
        <v>390</v>
      </c>
      <c r="AQ41" s="67" t="str">
        <f t="shared" ca="1" si="25"/>
        <v/>
      </c>
      <c r="AR41" s="13" t="str">
        <f t="shared" ca="1" si="26"/>
        <v/>
      </c>
      <c r="AS41" s="213">
        <f t="shared" si="27"/>
        <v>5.4999999999999716E-2</v>
      </c>
      <c r="AT41" s="201"/>
      <c r="AU41" s="198">
        <v>130</v>
      </c>
      <c r="AV41" s="172">
        <v>390</v>
      </c>
      <c r="AW41" s="67" t="str">
        <f>IFERROR(VLOOKUP(AV41,$AE$52:$AK$70,3,0)-VLOOKUP(AU41,$AE$52:$AK$70,4,0),"")</f>
        <v/>
      </c>
      <c r="AX41" s="13" t="str">
        <f t="shared" ca="1" si="29"/>
        <v/>
      </c>
      <c r="AY41" s="215">
        <f t="shared" si="44"/>
        <v>5.4999999999999716E-2</v>
      </c>
      <c r="AZ41" s="186"/>
      <c r="BA41" s="186"/>
    </row>
    <row r="42" spans="2:53">
      <c r="B42" s="231">
        <f ca="1"/>
        <v>260</v>
      </c>
      <c r="C42" s="240" t="str">
        <f ca="1"/>
        <v/>
      </c>
      <c r="D42" s="83" t="str">
        <f ca="1"/>
        <v/>
      </c>
      <c r="E42" s="83" t="str">
        <f ca="1"/>
        <v/>
      </c>
      <c r="F42" s="83" t="str">
        <f ca="1"/>
        <v/>
      </c>
      <c r="G42" s="83" t="str">
        <f ca="1"/>
        <v/>
      </c>
      <c r="J42" s="232" t="str">
        <f t="shared" ca="1" si="30"/>
        <v/>
      </c>
      <c r="K42" s="240" t="str">
        <f ca="1"/>
        <v/>
      </c>
      <c r="L42" s="83" t="str">
        <f ca="1"/>
        <v/>
      </c>
      <c r="M42" s="83" t="str">
        <f ca="1"/>
        <v/>
      </c>
      <c r="N42" s="83" t="str">
        <f ca="1"/>
        <v/>
      </c>
      <c r="O42" s="83" t="str">
        <f ca="1"/>
        <v/>
      </c>
      <c r="R42" s="232" t="str">
        <f t="shared" ca="1" si="31"/>
        <v/>
      </c>
      <c r="T42" s="68"/>
      <c r="U42" s="143"/>
      <c r="V42" s="8"/>
      <c r="W42" s="8"/>
      <c r="X42" s="160"/>
      <c r="Y42" s="16"/>
      <c r="Z42" s="19"/>
      <c r="AA42" s="281"/>
      <c r="AB42" s="6"/>
      <c r="AC42" s="13"/>
      <c r="AD42" s="263"/>
      <c r="AE42" s="165" t="str">
        <f t="shared" ca="1" si="37"/>
        <v/>
      </c>
      <c r="AF42" s="8"/>
      <c r="AG42" s="8"/>
      <c r="AH42" s="160" t="str">
        <f t="shared" ca="1" si="39"/>
        <v/>
      </c>
      <c r="AI42" s="16" t="str">
        <f t="shared" ca="1" si="40"/>
        <v/>
      </c>
      <c r="AJ42" s="19" t="str">
        <f t="shared" ca="1" si="24"/>
        <v/>
      </c>
      <c r="AK42" s="213" t="str">
        <f t="shared" si="41"/>
        <v/>
      </c>
      <c r="AL42" s="17" t="str">
        <f t="shared" ca="1" si="42"/>
        <v/>
      </c>
      <c r="AM42" s="12" t="str">
        <f t="shared" ca="1" si="43"/>
        <v/>
      </c>
      <c r="AN42" s="201"/>
      <c r="AO42" s="198">
        <v>156</v>
      </c>
      <c r="AP42" s="172">
        <v>260</v>
      </c>
      <c r="AQ42" s="67" t="str">
        <f t="shared" ca="1" si="25"/>
        <v/>
      </c>
      <c r="AR42" s="13" t="str">
        <f t="shared" ca="1" si="26"/>
        <v/>
      </c>
      <c r="AS42" s="213">
        <f t="shared" si="27"/>
        <v>3.9999999999999147E-2</v>
      </c>
      <c r="AT42" s="201"/>
      <c r="AU42" s="198">
        <v>156</v>
      </c>
      <c r="AV42" s="172">
        <v>260</v>
      </c>
      <c r="AW42" s="67" t="str">
        <f t="shared" si="28"/>
        <v/>
      </c>
      <c r="AX42" s="13" t="str">
        <f t="shared" ca="1" si="29"/>
        <v/>
      </c>
      <c r="AY42" s="215">
        <f t="shared" si="44"/>
        <v>3.9999999999999147E-2</v>
      </c>
      <c r="AZ42" s="186"/>
      <c r="BA42" s="186"/>
    </row>
    <row r="43" spans="2:53">
      <c r="B43" s="231">
        <f ca="1"/>
        <v>390</v>
      </c>
      <c r="C43" s="240" t="str">
        <f ca="1"/>
        <v/>
      </c>
      <c r="D43" s="83" t="str">
        <f ca="1"/>
        <v/>
      </c>
      <c r="E43" s="83" t="str">
        <f ca="1"/>
        <v/>
      </c>
      <c r="F43" s="83" t="str">
        <f ca="1"/>
        <v/>
      </c>
      <c r="G43" s="83" t="str">
        <f ca="1"/>
        <v/>
      </c>
      <c r="J43" s="232" t="str">
        <f t="shared" ca="1" si="30"/>
        <v/>
      </c>
      <c r="K43" s="240" t="str">
        <f ca="1"/>
        <v/>
      </c>
      <c r="L43" s="83" t="str">
        <f ca="1"/>
        <v/>
      </c>
      <c r="M43" s="83" t="str">
        <f ca="1"/>
        <v/>
      </c>
      <c r="N43" s="83" t="str">
        <f ca="1"/>
        <v/>
      </c>
      <c r="O43" s="83" t="str">
        <f ca="1"/>
        <v/>
      </c>
      <c r="R43" s="232" t="str">
        <f t="shared" ca="1" si="31"/>
        <v/>
      </c>
      <c r="T43" s="68"/>
      <c r="U43" s="143"/>
      <c r="V43" s="8"/>
      <c r="W43" s="8"/>
      <c r="X43" s="160"/>
      <c r="Y43" s="16"/>
      <c r="Z43" s="19"/>
      <c r="AA43" s="281"/>
      <c r="AB43" s="6"/>
      <c r="AC43" s="13"/>
      <c r="AD43" s="263"/>
      <c r="AE43" s="165" t="str">
        <f t="shared" ca="1" si="37"/>
        <v/>
      </c>
      <c r="AF43" s="8"/>
      <c r="AG43" s="8"/>
      <c r="AH43" s="160" t="str">
        <f t="shared" ca="1" si="39"/>
        <v/>
      </c>
      <c r="AI43" s="16" t="str">
        <f t="shared" ca="1" si="40"/>
        <v/>
      </c>
      <c r="AJ43" s="19" t="str">
        <f t="shared" ca="1" si="24"/>
        <v/>
      </c>
      <c r="AK43" s="213" t="str">
        <f t="shared" si="41"/>
        <v/>
      </c>
      <c r="AL43" s="17" t="str">
        <f t="shared" ca="1" si="42"/>
        <v/>
      </c>
      <c r="AM43" s="12" t="str">
        <f t="shared" ca="1" si="43"/>
        <v/>
      </c>
      <c r="AN43" s="201"/>
      <c r="AO43" s="198">
        <v>26</v>
      </c>
      <c r="AP43" s="172">
        <v>130</v>
      </c>
      <c r="AQ43" s="67">
        <f t="shared" ca="1" si="25"/>
        <v>-1.5399999999999991</v>
      </c>
      <c r="AR43" s="13">
        <f t="shared" ca="1" si="26"/>
        <v>-1.4399999999999995</v>
      </c>
      <c r="AS43" s="213">
        <f t="shared" si="27"/>
        <v>-1.0999999999999996</v>
      </c>
      <c r="AT43" s="201"/>
      <c r="AU43" s="198">
        <v>156</v>
      </c>
      <c r="AV43" s="172">
        <v>390</v>
      </c>
      <c r="AW43" s="67" t="str">
        <f t="shared" si="28"/>
        <v/>
      </c>
      <c r="AX43" s="13" t="str">
        <f t="shared" ca="1" si="29"/>
        <v/>
      </c>
      <c r="AY43" s="215">
        <f t="shared" si="44"/>
        <v>2.9999999999999361E-2</v>
      </c>
      <c r="AZ43" s="186"/>
      <c r="BA43" s="186"/>
    </row>
    <row r="44" spans="2:53">
      <c r="B44" s="231"/>
      <c r="C44" s="240"/>
      <c r="J44" s="232" t="str">
        <f t="shared" si="30"/>
        <v/>
      </c>
      <c r="K44" s="240"/>
      <c r="R44" s="232" t="str">
        <f t="shared" si="31"/>
        <v/>
      </c>
      <c r="T44" s="68"/>
      <c r="U44" s="143"/>
      <c r="V44" s="8"/>
      <c r="W44" s="8"/>
      <c r="X44" s="161"/>
      <c r="Y44" s="14"/>
      <c r="Z44" s="19"/>
      <c r="AA44" s="281"/>
      <c r="AB44" s="6">
        <f ca="1">+AL34-AB11</f>
        <v>-0.60500000000000043</v>
      </c>
      <c r="AC44" s="13"/>
      <c r="AD44" s="263"/>
      <c r="AE44" s="165" t="str">
        <f t="shared" ca="1" si="37"/>
        <v/>
      </c>
      <c r="AF44" s="8">
        <v>2</v>
      </c>
      <c r="AG44" s="9" t="str">
        <f t="shared" ref="AG44:AG46" si="48">+AF44&amp;"m"</f>
        <v>2m</v>
      </c>
      <c r="AH44" s="160" t="str">
        <f t="shared" ref="AH44:AH46" ca="1" si="49">+IF(MAX(IFERROR(VALUE(VLOOKUP(AF44,$B$92:$R$109,17,FALSE)),0),IFERROR(VALUE(VLOOKUP(AF44,$B$113:$R$130,17,FALSE)),0),IFERROR(VALUE(VLOOKUP(AF44,$B$28:$R$45,9,FALSE)),0))=0,"",MAX(IFERROR(VALUE(VLOOKUP(AF44,$B$92:$R$109,17,FALSE)),0),IFERROR(VALUE(VLOOKUP(AF44,$B$113:$R$130,17,FALSE)),0),IFERROR(VALUE(VLOOKUP(AF44,$B$28:$R$45,9,FALSE)),0)))</f>
        <v/>
      </c>
      <c r="AI44" s="16" t="str">
        <f t="shared" ref="AI44:AI46" ca="1" si="50">+IF(MIN(IFERROR(VALUE(VLOOKUP(AF44,$B$134:$R$151,17,FALSE)),1000),IFERROR(VALUE(VLOOKUP(AF44,$B$157:$R$174,17,FALSE)),1000),IFERROR(VALUE(VLOOKUP(AF44,$B$28:$R$45,17,FALSE)),1000))=1000,"",MIN(IFERROR(VALUE(VLOOKUP(AF44,$B$134:$R$151,17,FALSE)),1000),IFERROR(VALUE(VLOOKUP(AF44,$B$157:$R$174,17,FALSE)),1000),IFERROR(VALUE(VLOOKUP(AF44,$B$28:$R$45,17,FALSE)),1000)))</f>
        <v/>
      </c>
      <c r="AJ44" s="19" t="str">
        <f ca="1">IFERROR((AL44-AK44)*100,"")</f>
        <v/>
      </c>
      <c r="AK44" s="213" t="str">
        <f t="shared" si="41"/>
        <v/>
      </c>
      <c r="AL44" s="17" t="str">
        <f t="shared" ca="1" si="42"/>
        <v/>
      </c>
      <c r="AM44" s="12" t="str">
        <f t="shared" ca="1" si="43"/>
        <v/>
      </c>
      <c r="AN44" s="201"/>
      <c r="AO44" s="198">
        <v>260</v>
      </c>
      <c r="AP44" s="172">
        <v>390</v>
      </c>
      <c r="AQ44" s="67" t="str">
        <f t="shared" ca="1" si="25"/>
        <v/>
      </c>
      <c r="AR44" s="13" t="str">
        <f t="shared" ca="1" si="26"/>
        <v/>
      </c>
      <c r="AS44" s="213">
        <f t="shared" si="27"/>
        <v>-9.9999999999997868E-3</v>
      </c>
      <c r="AT44" s="201"/>
      <c r="AU44" s="198">
        <v>260</v>
      </c>
      <c r="AV44" s="172">
        <v>390</v>
      </c>
      <c r="AW44" s="67" t="str">
        <f t="shared" si="28"/>
        <v/>
      </c>
      <c r="AX44" s="13" t="str">
        <f t="shared" ca="1" si="29"/>
        <v/>
      </c>
      <c r="AY44" s="215">
        <f t="shared" si="44"/>
        <v>-9.9999999999997868E-3</v>
      </c>
      <c r="AZ44" s="186"/>
      <c r="BA44" s="186"/>
    </row>
    <row r="45" spans="2:53">
      <c r="B45" s="231"/>
      <c r="C45" s="240"/>
      <c r="J45" s="232" t="str">
        <f t="shared" si="30"/>
        <v/>
      </c>
      <c r="K45" s="240"/>
      <c r="R45" s="232" t="str">
        <f t="shared" si="31"/>
        <v/>
      </c>
      <c r="T45" s="68"/>
      <c r="U45" s="143"/>
      <c r="V45" s="8"/>
      <c r="W45" s="8"/>
      <c r="X45" s="161"/>
      <c r="Y45" s="14"/>
      <c r="Z45" s="19"/>
      <c r="AA45" s="281"/>
      <c r="AB45" s="6">
        <f ca="1">+AL34-AB10</f>
        <v>-0.71499999999999986</v>
      </c>
      <c r="AC45" s="13"/>
      <c r="AD45" s="263"/>
      <c r="AE45" s="165" t="str">
        <f t="shared" ca="1" si="37"/>
        <v/>
      </c>
      <c r="AF45" s="8">
        <v>117</v>
      </c>
      <c r="AG45" s="9" t="str">
        <f t="shared" si="48"/>
        <v>117m</v>
      </c>
      <c r="AH45" s="160" t="str">
        <f t="shared" ca="1" si="49"/>
        <v/>
      </c>
      <c r="AI45" s="16" t="str">
        <f t="shared" ca="1" si="50"/>
        <v/>
      </c>
      <c r="AJ45" s="19" t="str">
        <f t="shared" ref="AJ45:AJ47" ca="1" si="51">IFERROR((AL45-AK45)*100,"")</f>
        <v/>
      </c>
      <c r="AK45" s="213" t="str">
        <f t="shared" si="41"/>
        <v/>
      </c>
      <c r="AL45" s="17" t="str">
        <f t="shared" ca="1" si="42"/>
        <v/>
      </c>
      <c r="AM45" s="12" t="str">
        <f t="shared" ca="1" si="43"/>
        <v/>
      </c>
      <c r="AN45" s="201"/>
      <c r="AO45" s="198">
        <v>260</v>
      </c>
      <c r="AP45" s="172">
        <v>390</v>
      </c>
      <c r="AQ45" s="67" t="str">
        <f t="shared" ca="1" si="25"/>
        <v/>
      </c>
      <c r="AR45" s="13" t="str">
        <f t="shared" ca="1" si="26"/>
        <v/>
      </c>
      <c r="AS45" s="213" t="str">
        <f t="shared" ref="AS45:AS47" si="52">IFERROR(VLOOKUP(AP45,$V$4:$AB$22,6,0)-VLOOKUP(AO45,$V$4:$AB$22,6,0),"")</f>
        <v/>
      </c>
      <c r="AT45" s="201"/>
      <c r="AU45" s="198">
        <v>260</v>
      </c>
      <c r="AV45" s="172">
        <v>390</v>
      </c>
      <c r="AW45" s="67" t="str">
        <f t="shared" si="28"/>
        <v/>
      </c>
      <c r="AX45" s="13" t="str">
        <f t="shared" ca="1" si="29"/>
        <v/>
      </c>
      <c r="AY45" s="215" t="str">
        <f t="shared" ref="AY45:AY47" si="53">IFERROR(VLOOKUP(AV45,$V$4:$AB$22,6,0)-VLOOKUP(AU45,$V$4:$AB$22,6,0),"")</f>
        <v/>
      </c>
      <c r="AZ45" s="186"/>
      <c r="BA45" s="186"/>
    </row>
    <row r="46" spans="2:53">
      <c r="B46" s="231"/>
      <c r="C46" s="240"/>
      <c r="J46" s="232" t="str">
        <f t="shared" si="30"/>
        <v/>
      </c>
      <c r="K46" s="240"/>
      <c r="R46" s="232" t="str">
        <f t="shared" si="31"/>
        <v/>
      </c>
      <c r="T46" s="68"/>
      <c r="U46" s="143"/>
      <c r="V46" s="8"/>
      <c r="W46" s="8"/>
      <c r="X46" s="161"/>
      <c r="Y46" s="14"/>
      <c r="Z46" s="19"/>
      <c r="AA46" s="281"/>
      <c r="AB46" s="6"/>
      <c r="AC46" s="13"/>
      <c r="AD46" s="263"/>
      <c r="AE46" s="165" t="str">
        <f t="shared" ca="1" si="37"/>
        <v/>
      </c>
      <c r="AF46" s="8">
        <v>78</v>
      </c>
      <c r="AG46" s="9" t="str">
        <f t="shared" si="48"/>
        <v>78m</v>
      </c>
      <c r="AH46" s="160" t="str">
        <f t="shared" ca="1" si="49"/>
        <v/>
      </c>
      <c r="AI46" s="16" t="str">
        <f t="shared" ca="1" si="50"/>
        <v/>
      </c>
      <c r="AJ46" s="19" t="str">
        <f t="shared" ca="1" si="51"/>
        <v/>
      </c>
      <c r="AK46" s="213" t="str">
        <f t="shared" si="41"/>
        <v/>
      </c>
      <c r="AL46" s="17" t="str">
        <f t="shared" ca="1" si="42"/>
        <v/>
      </c>
      <c r="AM46" s="12" t="str">
        <f t="shared" ca="1" si="43"/>
        <v/>
      </c>
      <c r="AN46" s="201"/>
      <c r="AO46" s="198">
        <v>260</v>
      </c>
      <c r="AP46" s="172">
        <v>390</v>
      </c>
      <c r="AQ46" s="67" t="str">
        <f t="shared" ca="1" si="25"/>
        <v/>
      </c>
      <c r="AR46" s="13" t="str">
        <f t="shared" ca="1" si="26"/>
        <v/>
      </c>
      <c r="AS46" s="213" t="str">
        <f t="shared" si="52"/>
        <v/>
      </c>
      <c r="AT46" s="201"/>
      <c r="AU46" s="198">
        <v>260</v>
      </c>
      <c r="AV46" s="172">
        <v>390</v>
      </c>
      <c r="AW46" s="67" t="str">
        <f t="shared" si="28"/>
        <v/>
      </c>
      <c r="AX46" s="13" t="str">
        <f t="shared" ca="1" si="29"/>
        <v/>
      </c>
      <c r="AY46" s="215" t="str">
        <f t="shared" si="53"/>
        <v/>
      </c>
      <c r="AZ46" s="186"/>
      <c r="BA46" s="186"/>
    </row>
    <row r="47" spans="2:53">
      <c r="B47" s="227"/>
      <c r="C47" s="239"/>
      <c r="D47" s="228"/>
      <c r="E47" s="228"/>
      <c r="F47" s="228"/>
      <c r="G47" s="228"/>
      <c r="H47" s="228"/>
      <c r="I47" s="228"/>
      <c r="J47" s="229"/>
      <c r="K47" s="239"/>
      <c r="L47" s="228"/>
      <c r="M47" s="228"/>
      <c r="N47" s="228"/>
      <c r="O47" s="228"/>
      <c r="P47" s="228"/>
      <c r="Q47" s="228"/>
      <c r="R47" s="229"/>
      <c r="T47" s="68"/>
      <c r="U47" s="144" t="str">
        <f t="shared" ref="U47" si="54">IF(X47="","",INDEX($C$2:$J$2,MATCH($X47,$C47:$J47,0)))</f>
        <v/>
      </c>
      <c r="V47" s="145"/>
      <c r="W47" s="146"/>
      <c r="X47" s="153"/>
      <c r="Y47" s="148"/>
      <c r="Z47" s="149"/>
      <c r="AA47" s="282"/>
      <c r="AB47" s="48"/>
      <c r="AC47" s="148" t="str">
        <f t="shared" ref="AC47" si="55">IF(Y47="","",INDEX($K$2:$R$2,MATCH($Y47,$K47:$R47,0)))</f>
        <v/>
      </c>
      <c r="AD47" s="264"/>
      <c r="AE47" s="167" t="str">
        <f t="shared" ca="1" si="37"/>
        <v/>
      </c>
      <c r="AF47" s="145"/>
      <c r="AG47" s="146"/>
      <c r="AH47" s="153" t="str">
        <f t="shared" ca="1" si="39"/>
        <v/>
      </c>
      <c r="AI47" s="171" t="str">
        <f t="shared" ca="1" si="40"/>
        <v/>
      </c>
      <c r="AJ47" s="149" t="str">
        <f t="shared" ca="1" si="51"/>
        <v/>
      </c>
      <c r="AK47" s="214" t="str">
        <f t="shared" si="41"/>
        <v/>
      </c>
      <c r="AL47" s="150" t="str">
        <f t="shared" ca="1" si="42"/>
        <v/>
      </c>
      <c r="AM47" s="265" t="str">
        <f t="shared" ca="1" si="43"/>
        <v/>
      </c>
      <c r="AN47" s="243"/>
      <c r="AO47" s="199">
        <v>260</v>
      </c>
      <c r="AP47" s="176">
        <v>390</v>
      </c>
      <c r="AQ47" s="147" t="str">
        <f t="shared" ca="1" si="25"/>
        <v/>
      </c>
      <c r="AR47" s="148" t="str">
        <f t="shared" ref="AR47" si="56">IFERROR(VLOOKUP(AP47,$V$4:$AB$22,4,0)-VLOOKUP(AO47,$V$4:$AB$22,3,0),"")</f>
        <v/>
      </c>
      <c r="AS47" s="214" t="str">
        <f t="shared" si="52"/>
        <v/>
      </c>
      <c r="AT47" s="243"/>
      <c r="AU47" s="199">
        <v>260</v>
      </c>
      <c r="AV47" s="176">
        <v>390</v>
      </c>
      <c r="AW47" s="147" t="str">
        <f t="shared" si="28"/>
        <v/>
      </c>
      <c r="AX47" s="148" t="str">
        <f t="shared" ref="AX47" si="57">IFERROR(VLOOKUP(AV47,$V$4:$AB$22,4,0)-VLOOKUP(AU47,$V$4:$AB$22,3,0),"")</f>
        <v/>
      </c>
      <c r="AY47" s="216" t="str">
        <f t="shared" si="53"/>
        <v/>
      </c>
      <c r="AZ47" s="186"/>
      <c r="BA47" s="186"/>
    </row>
    <row r="48" spans="2:53">
      <c r="B48" s="223" t="s">
        <v>23</v>
      </c>
      <c r="C48" s="224" t="s">
        <v>1</v>
      </c>
      <c r="D48" s="224"/>
      <c r="E48" s="224"/>
      <c r="F48" s="224"/>
      <c r="G48" s="224"/>
      <c r="H48" s="224"/>
      <c r="I48" s="224"/>
      <c r="J48" s="224"/>
      <c r="K48" s="238" t="s">
        <v>2</v>
      </c>
      <c r="L48" s="224"/>
      <c r="M48" s="224"/>
      <c r="N48" s="224"/>
      <c r="O48" s="224"/>
      <c r="P48" s="224"/>
      <c r="Q48" s="224"/>
      <c r="R48" s="225"/>
      <c r="T48" s="68"/>
      <c r="U48" s="8"/>
      <c r="V48" s="8"/>
      <c r="W48" s="8"/>
      <c r="X48" s="8"/>
      <c r="Y48" s="8"/>
      <c r="Z48" s="8"/>
      <c r="AA48" s="8"/>
      <c r="AB48" s="8"/>
      <c r="AC48" s="8"/>
      <c r="AD48" s="10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AZ48" s="186"/>
      <c r="BA48" s="186"/>
    </row>
    <row r="49" spans="1:53">
      <c r="B49" s="227" t="s">
        <v>3</v>
      </c>
      <c r="C49" s="228" t="s">
        <v>4</v>
      </c>
      <c r="D49" s="228" t="s">
        <v>5</v>
      </c>
      <c r="E49" s="228" t="s">
        <v>6</v>
      </c>
      <c r="F49" s="228" t="s">
        <v>7</v>
      </c>
      <c r="G49" s="228" t="s">
        <v>8</v>
      </c>
      <c r="H49" s="228"/>
      <c r="I49" s="228"/>
      <c r="J49" s="228"/>
      <c r="K49" s="239" t="s">
        <v>4</v>
      </c>
      <c r="L49" s="228" t="s">
        <v>5</v>
      </c>
      <c r="M49" s="228" t="s">
        <v>6</v>
      </c>
      <c r="N49" s="228" t="s">
        <v>7</v>
      </c>
      <c r="O49" s="228" t="s">
        <v>8</v>
      </c>
      <c r="P49" s="228"/>
      <c r="Q49" s="228"/>
      <c r="R49" s="229"/>
      <c r="T49" s="68"/>
      <c r="U49" s="157"/>
      <c r="V49" s="138"/>
      <c r="W49" s="158"/>
      <c r="X49" s="156"/>
      <c r="Y49" s="159"/>
      <c r="Z49" s="138"/>
      <c r="AA49" s="138"/>
      <c r="AB49" s="138"/>
      <c r="AC49" s="138"/>
      <c r="AD49" s="175"/>
      <c r="AE49" s="249" t="s">
        <v>301</v>
      </c>
      <c r="AF49" s="249"/>
      <c r="AG49" s="249"/>
      <c r="AH49" s="249"/>
      <c r="AI49" s="249"/>
      <c r="AJ49" s="249"/>
      <c r="AK49" s="249"/>
      <c r="AL49" s="249"/>
      <c r="AM49" s="174"/>
      <c r="AN49" s="175"/>
      <c r="AO49" s="202" t="s">
        <v>279</v>
      </c>
      <c r="AP49" s="241">
        <v>65</v>
      </c>
      <c r="AQ49" s="174"/>
      <c r="AR49" s="174"/>
      <c r="AS49" s="174"/>
      <c r="AT49" s="174"/>
      <c r="AU49" s="174"/>
      <c r="AV49" s="174"/>
      <c r="AW49" s="175"/>
      <c r="AX49" s="186"/>
      <c r="AY49" s="186"/>
      <c r="AZ49" s="186"/>
      <c r="BA49" s="186"/>
    </row>
    <row r="50" spans="1:53">
      <c r="B50" s="240"/>
      <c r="C50" s="238"/>
      <c r="D50" s="224"/>
      <c r="E50" s="224"/>
      <c r="F50" s="224"/>
      <c r="G50" s="224"/>
      <c r="H50" s="224"/>
      <c r="I50" s="224"/>
      <c r="J50" s="225"/>
      <c r="K50" s="224"/>
      <c r="L50" s="224"/>
      <c r="M50" s="224"/>
      <c r="N50" s="224"/>
      <c r="O50" s="224"/>
      <c r="P50" s="224"/>
      <c r="Q50" s="224"/>
      <c r="R50" s="225"/>
      <c r="T50" s="68"/>
      <c r="U50" s="180"/>
      <c r="V50" s="8"/>
      <c r="W50" s="251" t="s">
        <v>24</v>
      </c>
      <c r="X50" s="257"/>
      <c r="Y50" s="14"/>
      <c r="Z50" s="8"/>
      <c r="AA50" s="6"/>
      <c r="AB50" s="17"/>
      <c r="AC50" s="8"/>
      <c r="AD50" s="201"/>
      <c r="AE50" s="186"/>
      <c r="AF50" s="251" t="s">
        <v>20</v>
      </c>
      <c r="AG50" s="186"/>
      <c r="AH50" s="186"/>
      <c r="AI50" s="186"/>
      <c r="AJ50" s="186"/>
      <c r="AK50" s="186"/>
      <c r="AL50" s="186"/>
      <c r="AM50" s="186"/>
      <c r="AN50" s="201"/>
      <c r="AO50" s="186" t="s">
        <v>303</v>
      </c>
      <c r="AP50" s="284">
        <v>8.3450000000000006</v>
      </c>
      <c r="AQ50" s="186"/>
      <c r="AR50" s="186"/>
      <c r="AS50" s="186"/>
      <c r="AT50" s="186"/>
      <c r="AU50" s="186"/>
      <c r="AV50" s="186"/>
      <c r="AW50" s="201"/>
      <c r="AX50" s="186"/>
      <c r="AY50" s="186"/>
      <c r="AZ50" s="186"/>
      <c r="BA50" s="186"/>
    </row>
    <row r="51" spans="1:53">
      <c r="A51" s="291" t="s">
        <v>328</v>
      </c>
      <c r="B51" s="240" t="str" cm="1">
        <f t="array" aca="1" ref="B51:B56" ca="1">+_xlfn.CHOOSECOLS(_xlfn._xlws.SORT(_xlfn.ANCHORARRAY(Spreads!AC2):_xlfn.ANCHORARRAY(Spreads!AD2):_xlfn.ANCHORARRAY(Spreads!AE2),1,1),3)</f>
        <v>3-6</v>
      </c>
      <c r="C51" s="240" t="str" cm="1">
        <f t="array" aca="1" ref="C51:C56" ca="1">+VLOOKUP(_xlfn.ANCHORARRAY($B51),SPREAD_BID,5,FALSE)</f>
        <v/>
      </c>
      <c r="D51" s="83" t="str" cm="1">
        <f t="array" aca="1" ref="D51:D56" ca="1">+VLOOKUP(_xlfn.ANCHORARRAY($B51),SPREAD_BID,4,FALSE)</f>
        <v/>
      </c>
      <c r="E51" s="83" t="str" cm="1">
        <f t="array" aca="1" ref="E51:E56" ca="1">+VLOOKUP(_xlfn.ANCHORARRAY($B51),SPREAD_BID,6,FALSE)</f>
        <v/>
      </c>
      <c r="F51" s="83" cm="1">
        <f t="array" aca="1" ref="F51:F56" ca="1">+VLOOKUP(_xlfn.ANCHORARRAY($B51),SPREAD_BID,2,FALSE)</f>
        <v>-11</v>
      </c>
      <c r="G51" s="83" cm="1">
        <f t="array" aca="1" ref="G51:G56" ca="1">+VLOOKUP(_xlfn.ANCHORARRAY($B51),SPREAD_BID,3,FALSE)</f>
        <v>-11</v>
      </c>
      <c r="J51" s="232"/>
      <c r="K51" s="83" cm="1">
        <f t="array" aca="1" ref="K51:K56" ca="1">+VLOOKUP(_xlfn.ANCHORARRAY($B51),SPREAD_OFFER,5,FALSE)</f>
        <v>-6</v>
      </c>
      <c r="L51" s="83" t="str" cm="1">
        <f t="array" aca="1" ref="L51:L56" ca="1">+VLOOKUP(_xlfn.ANCHORARRAY($B51),SPREAD_OFFER,4,FALSE)</f>
        <v/>
      </c>
      <c r="M51" s="83" t="str" cm="1">
        <f t="array" aca="1" ref="M51:M56" ca="1">+VLOOKUP(_xlfn.ANCHORARRAY($B51),SPREAD_OFFER,6,FALSE)</f>
        <v/>
      </c>
      <c r="N51" s="83" cm="1">
        <f t="array" aca="1" ref="N51:N56" ca="1">+VLOOKUP(_xlfn.ANCHORARRAY($B51),SPREAD_OFFER,2,FALSE)</f>
        <v>-8</v>
      </c>
      <c r="O51" s="83" t="str" cm="1">
        <f t="array" aca="1" ref="O51:O56" ca="1">+VLOOKUP(_xlfn.ANCHORARRAY($B51),SPREAD_OFFER,3,FALSE)</f>
        <v/>
      </c>
      <c r="R51" s="232"/>
      <c r="T51" s="68"/>
      <c r="U51" s="141" t="s">
        <v>13</v>
      </c>
      <c r="V51" s="8"/>
      <c r="W51" s="186"/>
      <c r="X51" s="18" t="s">
        <v>14</v>
      </c>
      <c r="Y51" s="15" t="s">
        <v>15</v>
      </c>
      <c r="Z51" s="221" t="s">
        <v>277</v>
      </c>
      <c r="AA51" s="219" t="s">
        <v>17</v>
      </c>
      <c r="AB51" s="15" t="s">
        <v>18</v>
      </c>
      <c r="AC51" s="15" t="s">
        <v>13</v>
      </c>
      <c r="AD51" s="201"/>
      <c r="AE51" s="6"/>
      <c r="AF51" s="8"/>
      <c r="AG51" s="18" t="s">
        <v>1</v>
      </c>
      <c r="AH51" s="15" t="s">
        <v>2</v>
      </c>
      <c r="AI51" s="221" t="s">
        <v>277</v>
      </c>
      <c r="AJ51" s="219" t="s">
        <v>17</v>
      </c>
      <c r="AK51" s="15" t="s">
        <v>18</v>
      </c>
      <c r="AL51" s="15" t="s">
        <v>282</v>
      </c>
      <c r="AM51" s="15" t="s">
        <v>284</v>
      </c>
      <c r="AN51" s="201"/>
      <c r="AO51" s="258" t="s">
        <v>28</v>
      </c>
      <c r="AP51" s="186"/>
      <c r="AQ51" s="18" t="s">
        <v>1</v>
      </c>
      <c r="AR51" s="15" t="s">
        <v>2</v>
      </c>
      <c r="AS51" s="221" t="s">
        <v>21</v>
      </c>
      <c r="AT51" s="213" t="s">
        <v>17</v>
      </c>
      <c r="AU51" s="15" t="s">
        <v>18</v>
      </c>
      <c r="AV51" s="15" t="s">
        <v>282</v>
      </c>
      <c r="AW51" s="142" t="s">
        <v>284</v>
      </c>
      <c r="AX51" s="186"/>
      <c r="AY51" s="186"/>
      <c r="AZ51" s="186"/>
      <c r="BA51" s="186"/>
    </row>
    <row r="52" spans="1:53">
      <c r="A52" s="291" t="str">
        <f>IF(COUNTIF(ENMX!O100:O117, "-")&gt;0, "ENMX", "")</f>
        <v/>
      </c>
      <c r="B52" s="240" t="str">
        <f ca="1"/>
        <v>6-9</v>
      </c>
      <c r="C52" s="240">
        <f ca="1"/>
        <v>-19</v>
      </c>
      <c r="D52" s="83" t="str">
        <f ca="1"/>
        <v/>
      </c>
      <c r="E52" s="83" t="str">
        <f ca="1"/>
        <v/>
      </c>
      <c r="F52" s="83">
        <f ca="1"/>
        <v>-19</v>
      </c>
      <c r="G52" s="83" t="str">
        <f ca="1"/>
        <v/>
      </c>
      <c r="J52" s="232"/>
      <c r="K52" s="83">
        <f ca="1"/>
        <v>-14</v>
      </c>
      <c r="L52" s="83" t="str">
        <f ca="1"/>
        <v/>
      </c>
      <c r="M52" s="83" t="str">
        <f ca="1"/>
        <v/>
      </c>
      <c r="N52" s="83">
        <f ca="1"/>
        <v>-14.5</v>
      </c>
      <c r="O52" s="83" t="str">
        <f ca="1"/>
        <v/>
      </c>
      <c r="R52" s="232"/>
      <c r="T52" s="68"/>
      <c r="U52" s="143" t="str">
        <f t="shared" ref="U52:U74" ca="1" si="58">IF(X52="","",INDEX($C$2:$J$2,MATCH($X52,$C51:$J51,0)))</f>
        <v>TMEX</v>
      </c>
      <c r="V52" s="8" t="str" cm="1">
        <f t="array" aca="1" ref="V52:V57" ca="1">+_xlfn.ANCHORARRAY(B51)</f>
        <v>3-6</v>
      </c>
      <c r="W52" s="8" t="str" cm="1">
        <f t="array" aca="1" ref="W52:W57" ca="1">+VLOOKUP(_xlfn.ANCHORARRAY(V52),SPREAD_NAME,2,FALSE)</f>
        <v>3M-6M</v>
      </c>
      <c r="X52" s="259">
        <f t="shared" ref="X52:X74" ca="1" si="59">IF(MAX(C51:J51)=0,"",MAX(C51:J51))</f>
        <v>-11</v>
      </c>
      <c r="Y52" s="260">
        <f t="shared" ref="Y52:Y74" ca="1" si="60">IF(MIN(K51:R51)=0,"",MIN(K51:R51))</f>
        <v>-8</v>
      </c>
      <c r="Z52" s="19">
        <f ca="1">IFERROR((AB52-AA52),"")</f>
        <v>-1.1368683772161603E-13</v>
      </c>
      <c r="AA52" s="211" cm="1">
        <f t="array" aca="1" ref="AA52:AA57" ca="1">+IFERROR((VLOOKUP(VALUE(MID(_xlfn.ANCHORARRAY(V52),FIND("-",_xlfn.ANCHORARRAY(V52))+1,LEN(_xlfn.ANCHORARRAY(V52))-FIND("-",_xlfn.ANCHORARRAY(V52)))),INDIRECT("V28:AA"&amp;COUNT(V28:V41)+28),6,FALSE)-VLOOKUP(VALUE(MID(_xlfn.ANCHORARRAY(V52),1,FIND("-",_xlfn.ANCHORARRAY(V52))-1)),INDIRECT("V28:AA"&amp;COUNT(V28:V41)+28),6,FALSE))*100,"")</f>
        <v>-9.4999999999998863</v>
      </c>
      <c r="AB52" s="17">
        <f t="shared" ref="AB52:AB72" ca="1" si="61">IFERROR(((X52+Y52)/2),"")</f>
        <v>-9.5</v>
      </c>
      <c r="AC52" s="13" t="str">
        <f t="shared" ref="AC52:AC74" ca="1" si="62">IF(Y52="","",INDEX($K$49:$R$49,MATCH($Y52,$K51:$R51,0)))</f>
        <v>TMEX</v>
      </c>
      <c r="AD52" s="201"/>
      <c r="AE52" s="8">
        <v>3</v>
      </c>
      <c r="AF52" s="261" t="str">
        <f>IF(AE52&lt;&gt;"", CONCATENATE(AE52, "m"), "")</f>
        <v>3m</v>
      </c>
      <c r="AG52" s="289">
        <v>11.48</v>
      </c>
      <c r="AH52" s="16">
        <v>11.5</v>
      </c>
      <c r="AI52" s="19">
        <f t="shared" ref="AI52:AI73" si="63">IFERROR((AK52-AJ52)*100,"")</f>
        <v>-1.4999999999998792</v>
      </c>
      <c r="AJ52" s="213">
        <f>+IFERROR(VLOOKUP(AE52,$V$28:$AA$41,6,FALSE),"")</f>
        <v>11.504999999999999</v>
      </c>
      <c r="AK52" s="17">
        <f>IFERROR(IF(((AG52+AH52)/2)=0, "", ((AG52+AH52)/2)),"")</f>
        <v>11.49</v>
      </c>
      <c r="AL52" s="262" t="s">
        <v>380</v>
      </c>
      <c r="AM52" s="12" t="s">
        <v>380</v>
      </c>
      <c r="AN52" s="201"/>
      <c r="AO52" s="186" cm="1">
        <f t="array" aca="1" ref="AO52:AO65" ca="1">_xlfn._xlws.SORT(_xlfn.UNIQUE(INDIRECT("Paths!B2:B"&amp;1+COUNTIF(Paths!$B$2:$B$300,"&gt;0"))))</f>
        <v>3</v>
      </c>
      <c r="AP52" s="186" t="str" cm="1">
        <f t="array" aca="1" ref="AP52:AP65" ca="1">_xlfn.ANCHORARRAY(AO52)&amp;"m"</f>
        <v>3m</v>
      </c>
      <c r="AQ52" s="160" t="str">
        <f ca="1">IFERROR(IF(IF($AP$50="", VLOOKUP(_xlfn.CONCAT($AP$49, "m", AO52, "m"),Paths!$C:$I, 3, 0),$AP$50+VLOOKUP(_xlfn.CONCAT($AP$49, "m", AO52, "m"),Paths!$C:$I, 4, 0)/100)=0, "", IF($AP$50="", VLOOKUP(_xlfn.CONCAT($AP$49, "m", AO52, "m"),Paths!$C:$I, 3, 0),$AP$50+VLOOKUP(_xlfn.CONCAT($AP$49, "m", AO52, "m"),Paths!$C:$I, 4, 0)/100)), "")</f>
        <v/>
      </c>
      <c r="AR52" s="16" t="str">
        <f ca="1">IFERROR(IF( IF($AP$50="", VLOOKUP(_xlfn.CONCAT($AP$49, "m", AO52, "m"),Paths!$C:$I, 6, 0),$AP$50+VLOOKUP(_xlfn.CONCAT($AP$49, "m", AO52, "m"),Paths!$C:$I, 7, 0)/100)=0, "",  IF($AP$50="", VLOOKUP(_xlfn.CONCAT($AP$49, "m", AO52, "m"),Paths!$C:$I, 6, 0),$AP$50+VLOOKUP(_xlfn.CONCAT($AP$49, "m", AO52, "m"),Paths!$C:$I, 7, 0)/100)), "")</f>
        <v/>
      </c>
      <c r="AS52" s="19" t="str">
        <f t="shared" ref="AS52:AS62" ca="1" si="64">IFERROR((AU52-AT52)*100,"")</f>
        <v/>
      </c>
      <c r="AT52" s="213">
        <f ca="1">+IFERROR(VLOOKUP(AO52,$V$28:$AA$41,6,FALSE),"")</f>
        <v>11.504999999999999</v>
      </c>
      <c r="AU52" s="17" t="str">
        <f ca="1">IFERROR(IF(((AQ52+AR52)/2)=0, "", ((AQ52+AR52)/2)),"")</f>
        <v/>
      </c>
      <c r="AV52" s="262" t="str">
        <f ca="1">IFERROR(IF(VLOOKUP(_xlfn.CONCAT($AP$49, "m", AO52, "m"), Paths!$C:$I, 2, 0)=0,"", VLOOKUP(_xlfn.CONCAT($AP$49, "m", AO52, "m"), Paths!$C:$I, 2, 0)), "")</f>
        <v/>
      </c>
      <c r="AW52" s="166" t="str">
        <f ca="1">IFERROR(IF(VLOOKUP(_xlfn.CONCAT($AP$49, "m", AO52, "m"), Paths!$C:$I, 5, 0)=0,"", VLOOKUP(_xlfn.CONCAT($AP$49, "m", AO52, "m"), Paths!$C:$I, 5, 0)), "")</f>
        <v/>
      </c>
      <c r="AX52" s="186"/>
      <c r="AY52" s="186"/>
      <c r="AZ52" s="186"/>
      <c r="BA52" s="186"/>
    </row>
    <row r="53" spans="1:53">
      <c r="A53" s="291" t="str">
        <f ca="1">IF(COUNTIF(RTMX!O109:O124, "-")&gt;0, "RTMX", "")</f>
        <v/>
      </c>
      <c r="B53" s="240" t="str">
        <f ca="1"/>
        <v>9-13</v>
      </c>
      <c r="C53" s="240" t="str">
        <f ca="1"/>
        <v/>
      </c>
      <c r="D53" s="83">
        <f ca="1"/>
        <v>-38</v>
      </c>
      <c r="E53" s="83" t="str">
        <f ca="1"/>
        <v/>
      </c>
      <c r="F53" s="83">
        <f ca="1"/>
        <v>-37</v>
      </c>
      <c r="G53" s="83">
        <f ca="1"/>
        <v>-37</v>
      </c>
      <c r="J53" s="232"/>
      <c r="K53" s="83" t="str">
        <f ca="1"/>
        <v/>
      </c>
      <c r="L53" s="83">
        <f ca="1"/>
        <v>-35</v>
      </c>
      <c r="M53" s="83" t="str">
        <f ca="1"/>
        <v/>
      </c>
      <c r="N53" s="83">
        <f ca="1"/>
        <v>-35</v>
      </c>
      <c r="O53" s="83">
        <f ca="1"/>
        <v>-35</v>
      </c>
      <c r="R53" s="232"/>
      <c r="T53" s="68"/>
      <c r="U53" s="143" t="str">
        <f t="shared" ca="1" si="58"/>
        <v>ENMX</v>
      </c>
      <c r="V53" s="8" t="str">
        <f ca="1"/>
        <v>6-9</v>
      </c>
      <c r="W53" s="8" t="str">
        <f ca="1"/>
        <v>6M-9M</v>
      </c>
      <c r="X53" s="259">
        <f t="shared" ca="1" si="59"/>
        <v>-19</v>
      </c>
      <c r="Y53" s="260">
        <f t="shared" ca="1" si="60"/>
        <v>-14.5</v>
      </c>
      <c r="Z53" s="19">
        <f ca="1">IFERROR((AB53-AA53),"")</f>
        <v>-3.2500000000000213</v>
      </c>
      <c r="AA53" s="211">
        <f ca="1"/>
        <v>-13.499999999999979</v>
      </c>
      <c r="AB53" s="17">
        <f t="shared" ca="1" si="61"/>
        <v>-16.75</v>
      </c>
      <c r="AC53" s="13" t="str">
        <f t="shared" ca="1" si="62"/>
        <v>TMEX</v>
      </c>
      <c r="AD53" s="201"/>
      <c r="AE53" s="8">
        <v>6</v>
      </c>
      <c r="AF53" s="261" t="str">
        <f t="shared" ref="AF53:AF73" si="65">IF(AE53&lt;&gt;"", CONCATENATE(AE53, "m"), "")</f>
        <v>6m</v>
      </c>
      <c r="AG53" s="289">
        <v>11.38</v>
      </c>
      <c r="AH53" s="16">
        <v>11.42</v>
      </c>
      <c r="AI53" s="19">
        <f t="shared" si="63"/>
        <v>-0.99999999999997868</v>
      </c>
      <c r="AJ53" s="213">
        <f t="shared" ref="AJ53:AJ73" si="66">+IFERROR(VLOOKUP(AE53,$V$28:$AA$41,6,FALSE),"")</f>
        <v>11.41</v>
      </c>
      <c r="AK53" s="17">
        <f t="shared" ref="AK53:AK70" si="67">IFERROR(IF(((AG53+AH53)/2)=0, "", ((AG53+AH53)/2)),"")</f>
        <v>11.4</v>
      </c>
      <c r="AL53" s="262" t="s">
        <v>399</v>
      </c>
      <c r="AM53" s="12" t="s">
        <v>388</v>
      </c>
      <c r="AN53" s="201"/>
      <c r="AO53" s="186">
        <f ca="1"/>
        <v>6</v>
      </c>
      <c r="AP53" s="186" t="str">
        <f ca="1"/>
        <v>6m</v>
      </c>
      <c r="AQ53" s="160" t="str">
        <f ca="1">IFERROR(IF(IF($AP$50="", VLOOKUP(_xlfn.CONCAT($AP$49, "m", AO53, "m"),Paths!$C:$I, 3, 0),$AP$50+VLOOKUP(_xlfn.CONCAT($AP$49, "m", AO53, "m"),Paths!$C:$I, 4, 0)/100)=0, "", IF($AP$50="", VLOOKUP(_xlfn.CONCAT($AP$49, "m", AO53, "m"),Paths!$C:$I, 3, 0),$AP$50+VLOOKUP(_xlfn.CONCAT($AP$49, "m", AO53, "m"),Paths!$C:$I, 4, 0)/100)), "")</f>
        <v/>
      </c>
      <c r="AR53" s="16" t="str">
        <f ca="1">IFERROR(IF( IF($AP$50="", VLOOKUP(_xlfn.CONCAT($AP$49, "m", AO53, "m"),Paths!$C:$I, 6, 0),$AP$50+VLOOKUP(_xlfn.CONCAT($AP$49, "m", AO53, "m"),Paths!$C:$I, 7, 0)/100)=0, "",  IF($AP$50="", VLOOKUP(_xlfn.CONCAT($AP$49, "m", AO53, "m"),Paths!$C:$I, 6, 0),$AP$50+VLOOKUP(_xlfn.CONCAT($AP$49, "m", AO53, "m"),Paths!$C:$I, 7, 0)/100)), "")</f>
        <v/>
      </c>
      <c r="AS53" s="19" t="str">
        <f t="shared" ca="1" si="64"/>
        <v/>
      </c>
      <c r="AT53" s="213">
        <f t="shared" ref="AT53:AT73" ca="1" si="68">+IFERROR(VLOOKUP(AO53,$V$28:$AA$41,6,FALSE),"")</f>
        <v>11.41</v>
      </c>
      <c r="AU53" s="17" t="str">
        <f t="shared" ref="AU53:AU73" ca="1" si="69">IFERROR(IF(((AQ53+AR53)/2)=0, "", ((AQ53+AR53)/2)),"")</f>
        <v/>
      </c>
      <c r="AV53" s="262" t="str">
        <f ca="1">IFERROR(IF(VLOOKUP(_xlfn.CONCAT($AP$49, "m", AO53, "m"), Paths!$C:$I, 2, 0)=0,"", VLOOKUP(_xlfn.CONCAT($AP$49, "m", AO53, "m"), Paths!$C:$I, 2, 0)), "")</f>
        <v/>
      </c>
      <c r="AW53" s="166" t="str">
        <f ca="1">IFERROR(IF(VLOOKUP(_xlfn.CONCAT($AP$49, "m", AO53, "m"), Paths!$C:$I, 5, 0)=0,"", VLOOKUP(_xlfn.CONCAT($AP$49, "m", AO53, "m"), Paths!$C:$I, 5, 0)), "")</f>
        <v/>
      </c>
      <c r="AX53" s="186"/>
      <c r="AY53" s="186"/>
      <c r="AZ53" s="186"/>
      <c r="BA53" s="186"/>
    </row>
    <row r="54" spans="1:53">
      <c r="A54" s="291" t="str">
        <f>IF(COUNTIF(SIFM!O109:O129, "-")&gt;0, "SIFM", "")</f>
        <v/>
      </c>
      <c r="B54" s="240" t="str">
        <f ca="1"/>
        <v>26-39</v>
      </c>
      <c r="C54" s="240" t="str">
        <f ca="1"/>
        <v/>
      </c>
      <c r="D54" s="83" t="str">
        <f ca="1"/>
        <v/>
      </c>
      <c r="E54" s="83" t="str">
        <f ca="1"/>
        <v/>
      </c>
      <c r="F54" s="83">
        <f ca="1"/>
        <v>-72</v>
      </c>
      <c r="G54" s="83" t="str">
        <f ca="1"/>
        <v/>
      </c>
      <c r="J54" s="232"/>
      <c r="K54" s="83" t="str">
        <f ca="1"/>
        <v/>
      </c>
      <c r="L54" s="83" t="str">
        <f ca="1"/>
        <v/>
      </c>
      <c r="M54" s="83" t="str">
        <f ca="1"/>
        <v/>
      </c>
      <c r="N54" s="83">
        <f ca="1"/>
        <v>-68</v>
      </c>
      <c r="O54" s="83">
        <f ca="1"/>
        <v>-68</v>
      </c>
      <c r="R54" s="232"/>
      <c r="T54" s="68"/>
      <c r="U54" s="143" t="str">
        <f t="shared" ca="1" si="58"/>
        <v>TMEX</v>
      </c>
      <c r="V54" s="8" t="str">
        <f ca="1"/>
        <v>9-13</v>
      </c>
      <c r="W54" s="8" t="str">
        <f ca="1"/>
        <v>9M-1Y</v>
      </c>
      <c r="X54" s="259">
        <f t="shared" ca="1" si="59"/>
        <v>-37</v>
      </c>
      <c r="Y54" s="260">
        <f t="shared" ca="1" si="60"/>
        <v>-35</v>
      </c>
      <c r="Z54" s="19">
        <f t="shared" ref="Z54:Z64" ca="1" si="70">IFERROR((AB54-AA54),"")</f>
        <v>-12.999999999999957</v>
      </c>
      <c r="AA54" s="211">
        <f ca="1"/>
        <v>-23.000000000000043</v>
      </c>
      <c r="AB54" s="17">
        <f t="shared" ca="1" si="61"/>
        <v>-36</v>
      </c>
      <c r="AC54" s="13" t="str">
        <f t="shared" ca="1" si="62"/>
        <v>RTMX</v>
      </c>
      <c r="AD54" s="201"/>
      <c r="AE54" s="8">
        <v>9</v>
      </c>
      <c r="AF54" s="261" t="str">
        <f t="shared" si="65"/>
        <v>9m</v>
      </c>
      <c r="AG54" s="289">
        <v>11.21</v>
      </c>
      <c r="AH54" s="16">
        <v>11.275</v>
      </c>
      <c r="AI54" s="19">
        <f t="shared" si="63"/>
        <v>-3.2500000000000639</v>
      </c>
      <c r="AJ54" s="213">
        <f t="shared" si="66"/>
        <v>11.275</v>
      </c>
      <c r="AK54" s="17">
        <f t="shared" si="67"/>
        <v>11.2425</v>
      </c>
      <c r="AL54" s="262" t="s">
        <v>382</v>
      </c>
      <c r="AM54" s="12" t="s">
        <v>392</v>
      </c>
      <c r="AN54" s="201"/>
      <c r="AO54" s="186">
        <f ca="1"/>
        <v>9</v>
      </c>
      <c r="AP54" s="186" t="str">
        <f ca="1"/>
        <v>9m</v>
      </c>
      <c r="AQ54" s="160" t="str">
        <f ca="1">IFERROR(IF(IF($AP$50="", VLOOKUP(_xlfn.CONCAT($AP$49, "m", AO54, "m"),Paths!$C:$I, 3, 0),$AP$50+VLOOKUP(_xlfn.CONCAT($AP$49, "m", AO54, "m"),Paths!$C:$I, 4, 0)/100)=0, "", IF($AP$50="", VLOOKUP(_xlfn.CONCAT($AP$49, "m", AO54, "m"),Paths!$C:$I, 3, 0),$AP$50+VLOOKUP(_xlfn.CONCAT($AP$49, "m", AO54, "m"),Paths!$C:$I, 4, 0)/100)), "")</f>
        <v/>
      </c>
      <c r="AR54" s="16" t="str">
        <f ca="1">IFERROR(IF( IF($AP$50="", VLOOKUP(_xlfn.CONCAT($AP$49, "m", AO54, "m"),Paths!$C:$I, 6, 0),$AP$50+VLOOKUP(_xlfn.CONCAT($AP$49, "m", AO54, "m"),Paths!$C:$I, 7, 0)/100)=0, "",  IF($AP$50="", VLOOKUP(_xlfn.CONCAT($AP$49, "m", AO54, "m"),Paths!$C:$I, 6, 0),$AP$50+VLOOKUP(_xlfn.CONCAT($AP$49, "m", AO54, "m"),Paths!$C:$I, 7, 0)/100)), "")</f>
        <v/>
      </c>
      <c r="AS54" s="19" t="str">
        <f t="shared" ca="1" si="64"/>
        <v/>
      </c>
      <c r="AT54" s="213">
        <f t="shared" ca="1" si="68"/>
        <v>11.275</v>
      </c>
      <c r="AU54" s="17" t="str">
        <f t="shared" ca="1" si="69"/>
        <v/>
      </c>
      <c r="AV54" s="262" t="str">
        <f ca="1">IFERROR(IF(VLOOKUP(_xlfn.CONCAT($AP$49, "m", AO54, "m"), Paths!$C:$I, 2, 0)=0,"", VLOOKUP(_xlfn.CONCAT($AP$49, "m", AO54, "m"), Paths!$C:$I, 2, 0)), "")</f>
        <v/>
      </c>
      <c r="AW54" s="166" t="str">
        <f ca="1">IFERROR(IF(VLOOKUP(_xlfn.CONCAT($AP$49, "m", AO54, "m"), Paths!$C:$I, 5, 0)=0,"", VLOOKUP(_xlfn.CONCAT($AP$49, "m", AO54, "m"), Paths!$C:$I, 5, 0)), "")</f>
        <v/>
      </c>
      <c r="AX54" s="186"/>
      <c r="AY54" s="186"/>
      <c r="AZ54" s="186"/>
      <c r="BA54" s="186"/>
    </row>
    <row r="55" spans="1:53">
      <c r="A55" s="291" t="str">
        <f>IF(COUNTIF(TMEX6!O86:O110, "-")&gt;0, "TMEX6", "")</f>
        <v/>
      </c>
      <c r="B55" s="240" t="str">
        <f ca="1"/>
        <v>39-52</v>
      </c>
      <c r="C55" s="240" t="str">
        <f ca="1"/>
        <v/>
      </c>
      <c r="D55" s="83" t="str">
        <f ca="1"/>
        <v/>
      </c>
      <c r="E55" s="83" t="str">
        <f ca="1"/>
        <v/>
      </c>
      <c r="F55" s="83">
        <f ca="1"/>
        <v>-40.5</v>
      </c>
      <c r="G55" s="83" t="str">
        <f ca="1"/>
        <v/>
      </c>
      <c r="J55" s="232"/>
      <c r="K55" s="83" t="str">
        <f ca="1"/>
        <v/>
      </c>
      <c r="L55" s="83" t="str">
        <f ca="1"/>
        <v/>
      </c>
      <c r="M55" s="83" t="str">
        <f ca="1"/>
        <v/>
      </c>
      <c r="N55" s="83">
        <f ca="1"/>
        <v>-36</v>
      </c>
      <c r="O55" s="83" t="str">
        <f ca="1"/>
        <v/>
      </c>
      <c r="R55" s="232"/>
      <c r="T55" s="68"/>
      <c r="U55" s="143" t="str">
        <f t="shared" ca="1" si="58"/>
        <v>TMEX</v>
      </c>
      <c r="V55" s="8" t="str">
        <f ca="1"/>
        <v>26-39</v>
      </c>
      <c r="W55" s="8" t="str">
        <f ca="1"/>
        <v>2Y-3Y</v>
      </c>
      <c r="X55" s="259">
        <f t="shared" ca="1" si="59"/>
        <v>-72</v>
      </c>
      <c r="Y55" s="260">
        <f t="shared" ca="1" si="60"/>
        <v>-68</v>
      </c>
      <c r="Z55" s="19">
        <f t="shared" ca="1" si="70"/>
        <v>-13.499999999999872</v>
      </c>
      <c r="AA55" s="211">
        <f ca="1"/>
        <v>-56.500000000000128</v>
      </c>
      <c r="AB55" s="17">
        <f t="shared" ca="1" si="61"/>
        <v>-70</v>
      </c>
      <c r="AC55" s="13" t="str">
        <f t="shared" ca="1" si="62"/>
        <v>TMEX</v>
      </c>
      <c r="AD55" s="201"/>
      <c r="AE55" s="8">
        <v>13</v>
      </c>
      <c r="AF55" s="261" t="str">
        <f t="shared" si="65"/>
        <v>13m</v>
      </c>
      <c r="AG55" s="289">
        <v>10.86</v>
      </c>
      <c r="AH55" s="16">
        <v>10.91</v>
      </c>
      <c r="AI55" s="19">
        <f t="shared" si="63"/>
        <v>-16.000000000000014</v>
      </c>
      <c r="AJ55" s="213">
        <f t="shared" si="66"/>
        <v>11.045</v>
      </c>
      <c r="AK55" s="17">
        <f t="shared" si="67"/>
        <v>10.885</v>
      </c>
      <c r="AL55" s="262" t="s">
        <v>383</v>
      </c>
      <c r="AM55" s="12" t="s">
        <v>383</v>
      </c>
      <c r="AN55" s="201"/>
      <c r="AO55" s="186">
        <f ca="1"/>
        <v>13</v>
      </c>
      <c r="AP55" s="186" t="str">
        <f ca="1"/>
        <v>13m</v>
      </c>
      <c r="AQ55" s="160" t="str">
        <f ca="1">IFERROR(IF(IF($AP$50="", VLOOKUP(_xlfn.CONCAT($AP$49, "m", AO55, "m"),Paths!$C:$I, 3, 0),$AP$50+VLOOKUP(_xlfn.CONCAT($AP$49, "m", AO55, "m"),Paths!$C:$I, 4, 0)/100)=0, "", IF($AP$50="", VLOOKUP(_xlfn.CONCAT($AP$49, "m", AO55, "m"),Paths!$C:$I, 3, 0),$AP$50+VLOOKUP(_xlfn.CONCAT($AP$49, "m", AO55, "m"),Paths!$C:$I, 4, 0)/100)), "")</f>
        <v/>
      </c>
      <c r="AR55" s="16" t="str">
        <f ca="1">IFERROR(IF( IF($AP$50="", VLOOKUP(_xlfn.CONCAT($AP$49, "m", AO55, "m"),Paths!$C:$I, 6, 0),$AP$50+VLOOKUP(_xlfn.CONCAT($AP$49, "m", AO55, "m"),Paths!$C:$I, 7, 0)/100)=0, "",  IF($AP$50="", VLOOKUP(_xlfn.CONCAT($AP$49, "m", AO55, "m"),Paths!$C:$I, 6, 0),$AP$50+VLOOKUP(_xlfn.CONCAT($AP$49, "m", AO55, "m"),Paths!$C:$I, 7, 0)/100)), "")</f>
        <v/>
      </c>
      <c r="AS55" s="19" t="str">
        <f t="shared" ca="1" si="64"/>
        <v/>
      </c>
      <c r="AT55" s="213">
        <f t="shared" ca="1" si="68"/>
        <v>11.045</v>
      </c>
      <c r="AU55" s="17" t="str">
        <f t="shared" ca="1" si="69"/>
        <v/>
      </c>
      <c r="AV55" s="262" t="str">
        <f ca="1">IFERROR(IF(VLOOKUP(_xlfn.CONCAT($AP$49, "m", AO55, "m"), Paths!$C:$I, 2, 0)=0,"", VLOOKUP(_xlfn.CONCAT($AP$49, "m", AO55, "m"), Paths!$C:$I, 2, 0)), "")</f>
        <v/>
      </c>
      <c r="AW55" s="166" t="str">
        <f ca="1">IFERROR(IF(VLOOKUP(_xlfn.CONCAT($AP$49, "m", AO55, "m"), Paths!$C:$I, 5, 0)=0,"", VLOOKUP(_xlfn.CONCAT($AP$49, "m", AO55, "m"), Paths!$C:$I, 5, 0)), "")</f>
        <v/>
      </c>
      <c r="AX55" s="186"/>
      <c r="AY55" s="186"/>
      <c r="AZ55" s="186"/>
      <c r="BA55" s="186"/>
    </row>
    <row r="56" spans="1:53">
      <c r="A56" s="291" t="str">
        <f>IF(COUNTIF(GFIM!O92:O127, "-")&gt;0, "GFIM", "")</f>
        <v/>
      </c>
      <c r="B56" s="240" t="str">
        <f ca="1"/>
        <v>52-65</v>
      </c>
      <c r="C56" s="240" t="str">
        <f ca="1"/>
        <v/>
      </c>
      <c r="D56" s="83" t="str">
        <f ca="1"/>
        <v/>
      </c>
      <c r="E56" s="83" t="str">
        <f ca="1"/>
        <v/>
      </c>
      <c r="F56" s="83">
        <f ca="1"/>
        <v>-22</v>
      </c>
      <c r="G56" s="83" t="str">
        <f ca="1"/>
        <v/>
      </c>
      <c r="J56" s="232"/>
      <c r="K56" s="83" t="str">
        <f ca="1"/>
        <v/>
      </c>
      <c r="L56" s="83" t="str">
        <f ca="1"/>
        <v/>
      </c>
      <c r="M56" s="83" t="str">
        <f ca="1"/>
        <v/>
      </c>
      <c r="N56" s="83">
        <f ca="1"/>
        <v>-19</v>
      </c>
      <c r="O56" s="83" t="str">
        <f ca="1"/>
        <v/>
      </c>
      <c r="R56" s="232"/>
      <c r="T56" s="68"/>
      <c r="U56" s="143" t="str">
        <f t="shared" ca="1" si="58"/>
        <v>TMEX</v>
      </c>
      <c r="V56" s="8" t="str">
        <f ca="1"/>
        <v>39-52</v>
      </c>
      <c r="W56" s="8" t="str">
        <f ca="1"/>
        <v>3Y-4Y</v>
      </c>
      <c r="X56" s="259">
        <f t="shared" ca="1" si="59"/>
        <v>-40.5</v>
      </c>
      <c r="Y56" s="260">
        <f t="shared" ca="1" si="60"/>
        <v>-36</v>
      </c>
      <c r="Z56" s="19">
        <f t="shared" ca="1" si="70"/>
        <v>-6.7500000000000497</v>
      </c>
      <c r="AA56" s="211">
        <f ca="1"/>
        <v>-31.49999999999995</v>
      </c>
      <c r="AB56" s="17">
        <f t="shared" ca="1" si="61"/>
        <v>-38.25</v>
      </c>
      <c r="AC56" s="13" t="str">
        <f t="shared" ca="1" si="62"/>
        <v>TMEX</v>
      </c>
      <c r="AD56" s="201"/>
      <c r="AE56" s="8">
        <v>26</v>
      </c>
      <c r="AF56" s="261" t="str">
        <f t="shared" si="65"/>
        <v>26m</v>
      </c>
      <c r="AG56" s="289">
        <v>9.6199999999999992</v>
      </c>
      <c r="AH56" s="16">
        <v>9.67</v>
      </c>
      <c r="AI56" s="19">
        <f t="shared" si="63"/>
        <v>-42.500000000000071</v>
      </c>
      <c r="AJ56" s="213">
        <f t="shared" si="66"/>
        <v>10.07</v>
      </c>
      <c r="AK56" s="17">
        <f t="shared" si="67"/>
        <v>9.6449999999999996</v>
      </c>
      <c r="AL56" s="262" t="s">
        <v>384</v>
      </c>
      <c r="AM56" s="12" t="s">
        <v>384</v>
      </c>
      <c r="AN56" s="201"/>
      <c r="AO56" s="186">
        <f ca="1"/>
        <v>26</v>
      </c>
      <c r="AP56" s="186" t="str">
        <f ca="1"/>
        <v>26m</v>
      </c>
      <c r="AQ56" s="160">
        <f ca="1">IFERROR(IF(IF($AP$50="", VLOOKUP(_xlfn.CONCAT($AP$49, "m", AO56, "m"),Paths!$C:$I, 3, 0),$AP$50+VLOOKUP(_xlfn.CONCAT($AP$49, "m", AO56, "m"),Paths!$C:$I, 4, 0)/100)=0, "", IF($AP$50="", VLOOKUP(_xlfn.CONCAT($AP$49, "m", AO56, "m"),Paths!$C:$I, 3, 0),$AP$50+VLOOKUP(_xlfn.CONCAT($AP$49, "m", AO56, "m"),Paths!$C:$I, 4, 0)/100)), "")</f>
        <v>9.5750000000000011</v>
      </c>
      <c r="AR56" s="16">
        <f ca="1">IFERROR(IF( IF($AP$50="", VLOOKUP(_xlfn.CONCAT($AP$49, "m", AO56, "m"),Paths!$C:$I, 6, 0),$AP$50+VLOOKUP(_xlfn.CONCAT($AP$49, "m", AO56, "m"),Paths!$C:$I, 7, 0)/100)=0, "",  IF($AP$50="", VLOOKUP(_xlfn.CONCAT($AP$49, "m", AO56, "m"),Paths!$C:$I, 6, 0),$AP$50+VLOOKUP(_xlfn.CONCAT($AP$49, "m", AO56, "m"),Paths!$C:$I, 7, 0)/100)), "")</f>
        <v>9.6900000000000013</v>
      </c>
      <c r="AS56" s="19">
        <f t="shared" ca="1" si="64"/>
        <v>-43.75</v>
      </c>
      <c r="AT56" s="213">
        <f t="shared" ca="1" si="68"/>
        <v>10.07</v>
      </c>
      <c r="AU56" s="17">
        <f t="shared" ca="1" si="69"/>
        <v>9.6325000000000003</v>
      </c>
      <c r="AV56" s="262" t="str">
        <f ca="1">IFERROR(IF(VLOOKUP(_xlfn.CONCAT($AP$49, "m", AO56, "m"), Paths!$C:$I, 2, 0)=0,"", VLOOKUP(_xlfn.CONCAT($AP$49, "m", AO56, "m"), Paths!$C:$I, 2, 0)), "")</f>
        <v>[65, 52, 39, 26]</v>
      </c>
      <c r="AW56" s="166" t="str">
        <f ca="1">IFERROR(IF(VLOOKUP(_xlfn.CONCAT($AP$49, "m", AO56, "m"), Paths!$C:$I, 5, 0)=0,"", VLOOKUP(_xlfn.CONCAT($AP$49, "m", AO56, "m"), Paths!$C:$I, 5, 0)), "")</f>
        <v>[65, 52, 39, 26]</v>
      </c>
      <c r="AX56" s="186"/>
      <c r="AY56" s="186"/>
      <c r="AZ56" s="186"/>
      <c r="BA56" s="186"/>
    </row>
    <row r="57" spans="1:53">
      <c r="B57" s="240"/>
      <c r="C57" s="240"/>
      <c r="J57" s="232"/>
      <c r="R57" s="232"/>
      <c r="T57" s="68"/>
      <c r="U57" s="143" t="str">
        <f t="shared" ca="1" si="58"/>
        <v>TMEX</v>
      </c>
      <c r="V57" s="8" t="str">
        <f ca="1"/>
        <v>52-65</v>
      </c>
      <c r="W57" s="8" t="str">
        <f ca="1"/>
        <v>4Y-5Y</v>
      </c>
      <c r="X57" s="259">
        <f t="shared" ca="1" si="59"/>
        <v>-22</v>
      </c>
      <c r="Y57" s="260">
        <f t="shared" ca="1" si="60"/>
        <v>-19</v>
      </c>
      <c r="Z57" s="19">
        <f t="shared" ca="1" si="70"/>
        <v>-4.0000000000000853</v>
      </c>
      <c r="AA57" s="211">
        <f ca="1"/>
        <v>-16.499999999999915</v>
      </c>
      <c r="AB57" s="17">
        <f t="shared" ca="1" si="61"/>
        <v>-20.5</v>
      </c>
      <c r="AC57" s="13" t="str">
        <f t="shared" ca="1" si="62"/>
        <v>TMEX</v>
      </c>
      <c r="AD57" s="201"/>
      <c r="AE57" s="8">
        <v>39</v>
      </c>
      <c r="AF57" s="261" t="str">
        <f t="shared" si="65"/>
        <v>39m</v>
      </c>
      <c r="AG57" s="289">
        <v>8.9</v>
      </c>
      <c r="AH57" s="16">
        <v>8.99</v>
      </c>
      <c r="AI57" s="19">
        <f t="shared" si="63"/>
        <v>-55.999999999999872</v>
      </c>
      <c r="AJ57" s="213">
        <f t="shared" si="66"/>
        <v>9.504999999999999</v>
      </c>
      <c r="AK57" s="17">
        <f t="shared" si="67"/>
        <v>8.9450000000000003</v>
      </c>
      <c r="AL57" s="262" t="s">
        <v>441</v>
      </c>
      <c r="AM57" s="12" t="s">
        <v>441</v>
      </c>
      <c r="AN57" s="201"/>
      <c r="AO57" s="186">
        <f ca="1"/>
        <v>39</v>
      </c>
      <c r="AP57" s="186" t="str">
        <f ca="1"/>
        <v>39m</v>
      </c>
      <c r="AQ57" s="160">
        <f ca="1">IFERROR(IF(IF($AP$50="", VLOOKUP(_xlfn.CONCAT($AP$49, "m", AO57, "m"),Paths!$C:$I, 3, 0),$AP$50+VLOOKUP(_xlfn.CONCAT($AP$49, "m", AO57, "m"),Paths!$C:$I, 4, 0)/100)=0, "", IF($AP$50="", VLOOKUP(_xlfn.CONCAT($AP$49, "m", AO57, "m"),Paths!$C:$I, 3, 0),$AP$50+VLOOKUP(_xlfn.CONCAT($AP$49, "m", AO57, "m"),Paths!$C:$I, 4, 0)/100)), "")</f>
        <v>8.8950000000000014</v>
      </c>
      <c r="AR57" s="16">
        <f ca="1">IFERROR(IF( IF($AP$50="", VLOOKUP(_xlfn.CONCAT($AP$49, "m", AO57, "m"),Paths!$C:$I, 6, 0),$AP$50+VLOOKUP(_xlfn.CONCAT($AP$49, "m", AO57, "m"),Paths!$C:$I, 7, 0)/100)=0, "",  IF($AP$50="", VLOOKUP(_xlfn.CONCAT($AP$49, "m", AO57, "m"),Paths!$C:$I, 6, 0),$AP$50+VLOOKUP(_xlfn.CONCAT($AP$49, "m", AO57, "m"),Paths!$C:$I, 7, 0)/100)), "")</f>
        <v>8.9700000000000006</v>
      </c>
      <c r="AS57" s="19">
        <f t="shared" ca="1" si="64"/>
        <v>-57.249999999999801</v>
      </c>
      <c r="AT57" s="213">
        <f t="shared" ca="1" si="68"/>
        <v>9.504999999999999</v>
      </c>
      <c r="AU57" s="17">
        <f t="shared" ca="1" si="69"/>
        <v>8.932500000000001</v>
      </c>
      <c r="AV57" s="262" t="str">
        <f ca="1">IFERROR(IF(VLOOKUP(_xlfn.CONCAT($AP$49, "m", AO57, "m"), Paths!$C:$I, 2, 0)=0,"", VLOOKUP(_xlfn.CONCAT($AP$49, "m", AO57, "m"), Paths!$C:$I, 2, 0)), "")</f>
        <v>[65, 52, 39]</v>
      </c>
      <c r="AW57" s="166" t="str">
        <f ca="1">IFERROR(IF(VLOOKUP(_xlfn.CONCAT($AP$49, "m", AO57, "m"), Paths!$C:$I, 5, 0)=0,"", VLOOKUP(_xlfn.CONCAT($AP$49, "m", AO57, "m"), Paths!$C:$I, 5, 0)), "")</f>
        <v>[65, 52, 39]</v>
      </c>
      <c r="AX57" s="186"/>
      <c r="AY57" s="186"/>
      <c r="AZ57" s="186"/>
      <c r="BA57" s="186"/>
    </row>
    <row r="58" spans="1:53">
      <c r="B58" s="240"/>
      <c r="C58" s="240"/>
      <c r="J58" s="232"/>
      <c r="R58" s="232"/>
      <c r="T58" s="68"/>
      <c r="U58" s="143" t="str">
        <f t="shared" si="58"/>
        <v/>
      </c>
      <c r="V58" s="8"/>
      <c r="W58" s="8"/>
      <c r="X58" s="259" t="str">
        <f t="shared" si="59"/>
        <v/>
      </c>
      <c r="Y58" s="260" t="str">
        <f t="shared" si="60"/>
        <v/>
      </c>
      <c r="Z58" s="19" t="str">
        <f t="shared" si="70"/>
        <v/>
      </c>
      <c r="AA58" s="211"/>
      <c r="AB58" s="17" t="str">
        <f t="shared" si="61"/>
        <v/>
      </c>
      <c r="AC58" s="13" t="str">
        <f t="shared" si="62"/>
        <v/>
      </c>
      <c r="AD58" s="201"/>
      <c r="AE58" s="8">
        <v>52</v>
      </c>
      <c r="AF58" s="261" t="str">
        <f t="shared" si="65"/>
        <v>52m</v>
      </c>
      <c r="AG58" s="289">
        <v>8.5399999999999991</v>
      </c>
      <c r="AH58" s="16">
        <v>8.61</v>
      </c>
      <c r="AI58" s="19">
        <f t="shared" si="63"/>
        <v>-61.500000000000021</v>
      </c>
      <c r="AJ58" s="213">
        <f t="shared" si="66"/>
        <v>9.19</v>
      </c>
      <c r="AK58" s="17">
        <f t="shared" si="67"/>
        <v>8.5749999999999993</v>
      </c>
      <c r="AL58" s="262" t="s">
        <v>385</v>
      </c>
      <c r="AM58" s="12" t="s">
        <v>385</v>
      </c>
      <c r="AN58" s="201"/>
      <c r="AO58" s="186">
        <f ca="1"/>
        <v>52</v>
      </c>
      <c r="AP58" s="186" t="str">
        <f ca="1"/>
        <v>52m</v>
      </c>
      <c r="AQ58" s="160">
        <f ca="1">IFERROR(IF(IF($AP$50="", VLOOKUP(_xlfn.CONCAT($AP$49, "m", AO58, "m"),Paths!$C:$I, 3, 0),$AP$50+VLOOKUP(_xlfn.CONCAT($AP$49, "m", AO58, "m"),Paths!$C:$I, 4, 0)/100)=0, "", IF($AP$50="", VLOOKUP(_xlfn.CONCAT($AP$49, "m", AO58, "m"),Paths!$C:$I, 3, 0),$AP$50+VLOOKUP(_xlfn.CONCAT($AP$49, "m", AO58, "m"),Paths!$C:$I, 4, 0)/100)), "")</f>
        <v>8.5350000000000001</v>
      </c>
      <c r="AR58" s="16">
        <f ca="1">IFERROR(IF( IF($AP$50="", VLOOKUP(_xlfn.CONCAT($AP$49, "m", AO58, "m"),Paths!$C:$I, 6, 0),$AP$50+VLOOKUP(_xlfn.CONCAT($AP$49, "m", AO58, "m"),Paths!$C:$I, 7, 0)/100)=0, "",  IF($AP$50="", VLOOKUP(_xlfn.CONCAT($AP$49, "m", AO58, "m"),Paths!$C:$I, 6, 0),$AP$50+VLOOKUP(_xlfn.CONCAT($AP$49, "m", AO58, "m"),Paths!$C:$I, 7, 0)/100)), "")</f>
        <v>8.5650000000000013</v>
      </c>
      <c r="AS58" s="19">
        <f t="shared" ca="1" si="64"/>
        <v>-63.999999999999879</v>
      </c>
      <c r="AT58" s="213">
        <f t="shared" ca="1" si="68"/>
        <v>9.19</v>
      </c>
      <c r="AU58" s="17">
        <f t="shared" ca="1" si="69"/>
        <v>8.5500000000000007</v>
      </c>
      <c r="AV58" s="262" t="str">
        <f ca="1">IFERROR(IF(VLOOKUP(_xlfn.CONCAT($AP$49, "m", AO58, "m"), Paths!$C:$I, 2, 0)=0,"", VLOOKUP(_xlfn.CONCAT($AP$49, "m", AO58, "m"), Paths!$C:$I, 2, 0)), "")</f>
        <v>[65, 52]</v>
      </c>
      <c r="AW58" s="166" t="str">
        <f ca="1">IFERROR(IF(VLOOKUP(_xlfn.CONCAT($AP$49, "m", AO58, "m"), Paths!$C:$I, 5, 0)=0,"", VLOOKUP(_xlfn.CONCAT($AP$49, "m", AO58, "m"), Paths!$C:$I, 5, 0)), "")</f>
        <v>[65, 52]</v>
      </c>
      <c r="AX58" s="186"/>
      <c r="AY58" s="186"/>
      <c r="AZ58" s="186"/>
      <c r="BA58" s="186"/>
    </row>
    <row r="59" spans="1:53">
      <c r="B59" s="240"/>
      <c r="C59" s="240"/>
      <c r="J59" s="232"/>
      <c r="R59" s="232"/>
      <c r="T59" s="68"/>
      <c r="U59" s="143" t="str">
        <f t="shared" si="58"/>
        <v/>
      </c>
      <c r="V59" s="8"/>
      <c r="W59" s="8"/>
      <c r="X59" s="259" t="str">
        <f t="shared" si="59"/>
        <v/>
      </c>
      <c r="Y59" s="260" t="str">
        <f t="shared" si="60"/>
        <v/>
      </c>
      <c r="Z59" s="19" t="str">
        <f t="shared" si="70"/>
        <v/>
      </c>
      <c r="AA59" s="211"/>
      <c r="AB59" s="17" t="str">
        <f t="shared" si="61"/>
        <v/>
      </c>
      <c r="AC59" s="13" t="str">
        <f t="shared" si="62"/>
        <v/>
      </c>
      <c r="AD59" s="201"/>
      <c r="AE59" s="8">
        <v>65</v>
      </c>
      <c r="AF59" s="261" t="str">
        <f t="shared" si="65"/>
        <v>65m</v>
      </c>
      <c r="AG59" s="289">
        <v>8.35</v>
      </c>
      <c r="AH59" s="16">
        <v>8.39</v>
      </c>
      <c r="AI59" s="19">
        <f t="shared" si="63"/>
        <v>-65.499999999999943</v>
      </c>
      <c r="AJ59" s="213">
        <f t="shared" si="66"/>
        <v>9.0250000000000004</v>
      </c>
      <c r="AK59" s="17">
        <f t="shared" si="67"/>
        <v>8.370000000000001</v>
      </c>
      <c r="AL59" s="262" t="s">
        <v>386</v>
      </c>
      <c r="AM59" s="12" t="s">
        <v>386</v>
      </c>
      <c r="AN59" s="201"/>
      <c r="AO59" s="186">
        <f ca="1"/>
        <v>65</v>
      </c>
      <c r="AP59" s="186" t="str">
        <f ca="1"/>
        <v>65m</v>
      </c>
      <c r="AQ59" s="160">
        <f ca="1">IFERROR(IF(IF($AP$50="", VLOOKUP(_xlfn.CONCAT($AP$49, "m", AO59, "m"),Paths!$C:$I, 3, 0),$AP$50+VLOOKUP(_xlfn.CONCAT($AP$49, "m", AO59, "m"),Paths!$C:$I, 4, 0)/100)=0, "", IF($AP$50="", VLOOKUP(_xlfn.CONCAT($AP$49, "m", AO59, "m"),Paths!$C:$I, 3, 0),$AP$50+VLOOKUP(_xlfn.CONCAT($AP$49, "m", AO59, "m"),Paths!$C:$I, 4, 0)/100)), "")</f>
        <v>8.3450000000000006</v>
      </c>
      <c r="AR59" s="16">
        <f ca="1">IFERROR(IF( IF($AP$50="", VLOOKUP(_xlfn.CONCAT($AP$49, "m", AO59, "m"),Paths!$C:$I, 6, 0),$AP$50+VLOOKUP(_xlfn.CONCAT($AP$49, "m", AO59, "m"),Paths!$C:$I, 7, 0)/100)=0, "",  IF($AP$50="", VLOOKUP(_xlfn.CONCAT($AP$49, "m", AO59, "m"),Paths!$C:$I, 6, 0),$AP$50+VLOOKUP(_xlfn.CONCAT($AP$49, "m", AO59, "m"),Paths!$C:$I, 7, 0)/100)), "")</f>
        <v>8.3450000000000006</v>
      </c>
      <c r="AS59" s="19">
        <f t="shared" ca="1" si="64"/>
        <v>-67.999999999999972</v>
      </c>
      <c r="AT59" s="213">
        <f t="shared" ca="1" si="68"/>
        <v>9.0250000000000004</v>
      </c>
      <c r="AU59" s="17">
        <f t="shared" ca="1" si="69"/>
        <v>8.3450000000000006</v>
      </c>
      <c r="AV59" s="262" t="str">
        <f ca="1">IFERROR(IF(VLOOKUP(_xlfn.CONCAT($AP$49, "m", AO59, "m"), Paths!$C:$I, 2, 0)=0,"", VLOOKUP(_xlfn.CONCAT($AP$49, "m", AO59, "m"), Paths!$C:$I, 2, 0)), "")</f>
        <v>[65]</v>
      </c>
      <c r="AW59" s="166" t="str">
        <f ca="1">IFERROR(IF(VLOOKUP(_xlfn.CONCAT($AP$49, "m", AO59, "m"), Paths!$C:$I, 5, 0)=0,"", VLOOKUP(_xlfn.CONCAT($AP$49, "m", AO59, "m"), Paths!$C:$I, 5, 0)), "")</f>
        <v>[65]</v>
      </c>
      <c r="AX59" s="186"/>
      <c r="AY59" s="186"/>
      <c r="AZ59" s="186"/>
      <c r="BA59" s="186"/>
    </row>
    <row r="60" spans="1:53">
      <c r="B60" s="240"/>
      <c r="C60" s="240"/>
      <c r="J60" s="232"/>
      <c r="R60" s="232"/>
      <c r="T60" s="68"/>
      <c r="U60" s="143" t="str">
        <f t="shared" si="58"/>
        <v/>
      </c>
      <c r="V60" s="8"/>
      <c r="W60" s="8"/>
      <c r="X60" s="259" t="str">
        <f t="shared" si="59"/>
        <v/>
      </c>
      <c r="Y60" s="260" t="str">
        <f t="shared" si="60"/>
        <v/>
      </c>
      <c r="Z60" s="19" t="str">
        <f t="shared" si="70"/>
        <v/>
      </c>
      <c r="AA60" s="211"/>
      <c r="AB60" s="17" t="str">
        <f t="shared" si="61"/>
        <v/>
      </c>
      <c r="AC60" s="13" t="str">
        <f t="shared" si="62"/>
        <v/>
      </c>
      <c r="AD60" s="201"/>
      <c r="AE60" s="8">
        <v>91</v>
      </c>
      <c r="AF60" s="261" t="str">
        <f t="shared" si="65"/>
        <v>91m</v>
      </c>
      <c r="AG60" s="289">
        <v>8.56</v>
      </c>
      <c r="AH60" s="16">
        <v>8.84</v>
      </c>
      <c r="AI60" s="19">
        <f t="shared" si="63"/>
        <v>-23.000000000000043</v>
      </c>
      <c r="AJ60" s="213">
        <f t="shared" si="66"/>
        <v>8.93</v>
      </c>
      <c r="AK60" s="17">
        <f t="shared" si="67"/>
        <v>8.6999999999999993</v>
      </c>
      <c r="AL60" s="262" t="s">
        <v>490</v>
      </c>
      <c r="AM60" s="12" t="s">
        <v>490</v>
      </c>
      <c r="AN60" s="201"/>
      <c r="AO60" s="186">
        <f ca="1"/>
        <v>91</v>
      </c>
      <c r="AP60" s="186" t="str">
        <f ca="1"/>
        <v>91m</v>
      </c>
      <c r="AQ60" s="160" t="str">
        <f ca="1">IFERROR(IF(IF($AP$50="", VLOOKUP(_xlfn.CONCAT($AP$49, "m", AO60, "m"),Paths!$C:$I, 3, 0),$AP$50+VLOOKUP(_xlfn.CONCAT($AP$49, "m", AO60, "m"),Paths!$C:$I, 4, 0)/100)=0, "", IF($AP$50="", VLOOKUP(_xlfn.CONCAT($AP$49, "m", AO60, "m"),Paths!$C:$I, 3, 0),$AP$50+VLOOKUP(_xlfn.CONCAT($AP$49, "m", AO60, "m"),Paths!$C:$I, 4, 0)/100)), "")</f>
        <v/>
      </c>
      <c r="AR60" s="16" t="str">
        <f ca="1">IFERROR(IF( IF($AP$50="", VLOOKUP(_xlfn.CONCAT($AP$49, "m", AO60, "m"),Paths!$C:$I, 6, 0),$AP$50+VLOOKUP(_xlfn.CONCAT($AP$49, "m", AO60, "m"),Paths!$C:$I, 7, 0)/100)=0, "",  IF($AP$50="", VLOOKUP(_xlfn.CONCAT($AP$49, "m", AO60, "m"),Paths!$C:$I, 6, 0),$AP$50+VLOOKUP(_xlfn.CONCAT($AP$49, "m", AO60, "m"),Paths!$C:$I, 7, 0)/100)), "")</f>
        <v/>
      </c>
      <c r="AS60" s="19" t="str">
        <f t="shared" ca="1" si="64"/>
        <v/>
      </c>
      <c r="AT60" s="213">
        <f t="shared" ca="1" si="68"/>
        <v>8.93</v>
      </c>
      <c r="AU60" s="17" t="str">
        <f t="shared" ca="1" si="69"/>
        <v/>
      </c>
      <c r="AV60" s="262" t="str">
        <f ca="1">IFERROR(IF(VLOOKUP(_xlfn.CONCAT($AP$49, "m", AO60, "m"), Paths!$C:$I, 2, 0)=0,"", VLOOKUP(_xlfn.CONCAT($AP$49, "m", AO60, "m"), Paths!$C:$I, 2, 0)), "")</f>
        <v/>
      </c>
      <c r="AW60" s="166" t="str">
        <f ca="1">IFERROR(IF(VLOOKUP(_xlfn.CONCAT($AP$49, "m", AO60, "m"), Paths!$C:$I, 5, 0)=0,"", VLOOKUP(_xlfn.CONCAT($AP$49, "m", AO60, "m"), Paths!$C:$I, 5, 0)), "")</f>
        <v/>
      </c>
      <c r="AX60" s="186"/>
      <c r="AY60" s="186"/>
      <c r="AZ60" s="186"/>
      <c r="BA60" s="186"/>
    </row>
    <row r="61" spans="1:53">
      <c r="B61" s="240"/>
      <c r="C61" s="240"/>
      <c r="J61" s="232"/>
      <c r="R61" s="232"/>
      <c r="T61" s="68"/>
      <c r="U61" s="143" t="str">
        <f t="shared" si="58"/>
        <v/>
      </c>
      <c r="V61" s="8"/>
      <c r="W61" s="8"/>
      <c r="X61" s="259" t="str">
        <f t="shared" si="59"/>
        <v/>
      </c>
      <c r="Y61" s="260" t="str">
        <f t="shared" si="60"/>
        <v/>
      </c>
      <c r="Z61" s="19" t="str">
        <f t="shared" si="70"/>
        <v/>
      </c>
      <c r="AA61" s="211"/>
      <c r="AB61" s="17" t="str">
        <f t="shared" si="61"/>
        <v/>
      </c>
      <c r="AC61" s="13" t="str">
        <f t="shared" si="62"/>
        <v/>
      </c>
      <c r="AD61" s="201"/>
      <c r="AE61" s="8">
        <v>130</v>
      </c>
      <c r="AF61" s="261" t="str">
        <f t="shared" si="65"/>
        <v>130m</v>
      </c>
      <c r="AG61" s="289">
        <v>8.1300000000000008</v>
      </c>
      <c r="AH61" s="16">
        <v>8.18</v>
      </c>
      <c r="AI61" s="19">
        <f t="shared" si="63"/>
        <v>-81.499999999999943</v>
      </c>
      <c r="AJ61" s="213">
        <f t="shared" si="66"/>
        <v>8.9700000000000006</v>
      </c>
      <c r="AK61" s="17">
        <f t="shared" si="67"/>
        <v>8.1550000000000011</v>
      </c>
      <c r="AL61" s="262" t="s">
        <v>387</v>
      </c>
      <c r="AM61" s="12" t="s">
        <v>387</v>
      </c>
      <c r="AN61" s="201"/>
      <c r="AO61" s="186">
        <f ca="1"/>
        <v>130</v>
      </c>
      <c r="AP61" s="186" t="str">
        <f ca="1"/>
        <v>130m</v>
      </c>
      <c r="AQ61" s="160" t="str">
        <f ca="1">IFERROR(IF(IF($AP$50="", VLOOKUP(_xlfn.CONCAT($AP$49, "m", AO61, "m"),Paths!$C:$I, 3, 0),$AP$50+VLOOKUP(_xlfn.CONCAT($AP$49, "m", AO61, "m"),Paths!$C:$I, 4, 0)/100)=0, "", IF($AP$50="", VLOOKUP(_xlfn.CONCAT($AP$49, "m", AO61, "m"),Paths!$C:$I, 3, 0),$AP$50+VLOOKUP(_xlfn.CONCAT($AP$49, "m", AO61, "m"),Paths!$C:$I, 4, 0)/100)), "")</f>
        <v/>
      </c>
      <c r="AR61" s="16" t="str">
        <f ca="1">IFERROR(IF( IF($AP$50="", VLOOKUP(_xlfn.CONCAT($AP$49, "m", AO61, "m"),Paths!$C:$I, 6, 0),$AP$50+VLOOKUP(_xlfn.CONCAT($AP$49, "m", AO61, "m"),Paths!$C:$I, 7, 0)/100)=0, "",  IF($AP$50="", VLOOKUP(_xlfn.CONCAT($AP$49, "m", AO61, "m"),Paths!$C:$I, 6, 0),$AP$50+VLOOKUP(_xlfn.CONCAT($AP$49, "m", AO61, "m"),Paths!$C:$I, 7, 0)/100)), "")</f>
        <v/>
      </c>
      <c r="AS61" s="19" t="str">
        <f t="shared" ca="1" si="64"/>
        <v/>
      </c>
      <c r="AT61" s="213">
        <f t="shared" ca="1" si="68"/>
        <v>8.9700000000000006</v>
      </c>
      <c r="AU61" s="17" t="str">
        <f t="shared" ca="1" si="69"/>
        <v/>
      </c>
      <c r="AV61" s="262" t="str">
        <f ca="1">IFERROR(IF(VLOOKUP(_xlfn.CONCAT($AP$49, "m", AO61, "m"), Paths!$C:$I, 2, 0)=0,"", VLOOKUP(_xlfn.CONCAT($AP$49, "m", AO61, "m"), Paths!$C:$I, 2, 0)), "")</f>
        <v/>
      </c>
      <c r="AW61" s="166" t="str">
        <f ca="1">IFERROR(IF(VLOOKUP(_xlfn.CONCAT($AP$49, "m", AO61, "m"), Paths!$C:$I, 5, 0)=0,"", VLOOKUP(_xlfn.CONCAT($AP$49, "m", AO61, "m"), Paths!$C:$I, 5, 0)), "")</f>
        <v/>
      </c>
      <c r="AX61" s="186"/>
      <c r="AY61" s="186"/>
      <c r="AZ61" s="186"/>
      <c r="BA61" s="186"/>
    </row>
    <row r="62" spans="1:53">
      <c r="B62" s="240"/>
      <c r="C62" s="240"/>
      <c r="J62" s="232"/>
      <c r="R62" s="232"/>
      <c r="T62" s="68"/>
      <c r="U62" s="143" t="str">
        <f t="shared" si="58"/>
        <v/>
      </c>
      <c r="V62" s="8"/>
      <c r="W62" s="8"/>
      <c r="X62" s="259" t="str">
        <f t="shared" si="59"/>
        <v/>
      </c>
      <c r="Y62" s="260" t="str">
        <f t="shared" si="60"/>
        <v/>
      </c>
      <c r="Z62" s="19" t="str">
        <f t="shared" si="70"/>
        <v/>
      </c>
      <c r="AA62" s="211"/>
      <c r="AB62" s="17" t="str">
        <f t="shared" si="61"/>
        <v/>
      </c>
      <c r="AC62" s="13" t="str">
        <f t="shared" si="62"/>
        <v/>
      </c>
      <c r="AD62" s="201"/>
      <c r="AE62" s="8">
        <v>156</v>
      </c>
      <c r="AF62" s="261" t="str">
        <f t="shared" si="65"/>
        <v>156m</v>
      </c>
      <c r="AG62" s="289" t="s">
        <v>302</v>
      </c>
      <c r="AH62" s="16" t="s">
        <v>302</v>
      </c>
      <c r="AI62" s="19" t="str">
        <f t="shared" si="63"/>
        <v/>
      </c>
      <c r="AJ62" s="213">
        <f t="shared" si="66"/>
        <v>8.995000000000001</v>
      </c>
      <c r="AK62" s="17" t="str">
        <f t="shared" si="67"/>
        <v/>
      </c>
      <c r="AL62" s="262"/>
      <c r="AM62" s="12"/>
      <c r="AN62" s="201"/>
      <c r="AO62" s="186">
        <f ca="1"/>
        <v>156</v>
      </c>
      <c r="AP62" s="186" t="str">
        <f ca="1"/>
        <v>156m</v>
      </c>
      <c r="AQ62" s="160" t="str">
        <f ca="1">IFERROR(IF(IF($AP$50="", VLOOKUP(_xlfn.CONCAT($AP$49, "m", AO62, "m"),Paths!$C:$I, 3, 0),$AP$50+VLOOKUP(_xlfn.CONCAT($AP$49, "m", AO62, "m"),Paths!$C:$I, 4, 0)/100)=0, "", IF($AP$50="", VLOOKUP(_xlfn.CONCAT($AP$49, "m", AO62, "m"),Paths!$C:$I, 3, 0),$AP$50+VLOOKUP(_xlfn.CONCAT($AP$49, "m", AO62, "m"),Paths!$C:$I, 4, 0)/100)), "")</f>
        <v/>
      </c>
      <c r="AR62" s="16" t="str">
        <f ca="1">IFERROR(IF( IF($AP$50="", VLOOKUP(_xlfn.CONCAT($AP$49, "m", AO62, "m"),Paths!$C:$I, 6, 0),$AP$50+VLOOKUP(_xlfn.CONCAT($AP$49, "m", AO62, "m"),Paths!$C:$I, 7, 0)/100)=0, "",  IF($AP$50="", VLOOKUP(_xlfn.CONCAT($AP$49, "m", AO62, "m"),Paths!$C:$I, 6, 0),$AP$50+VLOOKUP(_xlfn.CONCAT($AP$49, "m", AO62, "m"),Paths!$C:$I, 7, 0)/100)), "")</f>
        <v/>
      </c>
      <c r="AS62" s="19" t="str">
        <f t="shared" ca="1" si="64"/>
        <v/>
      </c>
      <c r="AT62" s="213">
        <f t="shared" ca="1" si="68"/>
        <v>8.995000000000001</v>
      </c>
      <c r="AU62" s="17" t="str">
        <f t="shared" ca="1" si="69"/>
        <v/>
      </c>
      <c r="AV62" s="262" t="str">
        <f ca="1">IFERROR(IF(VLOOKUP(_xlfn.CONCAT($AP$49, "m", AO62, "m"), Paths!$C:$I, 2, 0)=0,"", VLOOKUP(_xlfn.CONCAT($AP$49, "m", AO62, "m"), Paths!$C:$I, 2, 0)), "")</f>
        <v/>
      </c>
      <c r="AW62" s="166" t="str">
        <f ca="1">IFERROR(IF(VLOOKUP(_xlfn.CONCAT($AP$49, "m", AO62, "m"), Paths!$C:$I, 5, 0)=0,"", VLOOKUP(_xlfn.CONCAT($AP$49, "m", AO62, "m"), Paths!$C:$I, 5, 0)), "")</f>
        <v/>
      </c>
      <c r="AX62" s="186"/>
      <c r="AY62" s="186"/>
      <c r="AZ62" s="186"/>
      <c r="BA62" s="186"/>
    </row>
    <row r="63" spans="1:53">
      <c r="B63" s="240"/>
      <c r="C63" s="240"/>
      <c r="J63" s="232"/>
      <c r="R63" s="232"/>
      <c r="T63" s="68"/>
      <c r="U63" s="143" t="str">
        <f t="shared" si="58"/>
        <v/>
      </c>
      <c r="V63" s="8"/>
      <c r="W63" s="8"/>
      <c r="X63" s="259" t="str">
        <f t="shared" si="59"/>
        <v/>
      </c>
      <c r="Y63" s="260" t="str">
        <f t="shared" si="60"/>
        <v/>
      </c>
      <c r="Z63" s="19" t="str">
        <f t="shared" si="70"/>
        <v/>
      </c>
      <c r="AA63" s="211"/>
      <c r="AB63" s="17" t="str">
        <f t="shared" si="61"/>
        <v/>
      </c>
      <c r="AC63" s="13" t="str">
        <f t="shared" si="62"/>
        <v/>
      </c>
      <c r="AD63" s="201"/>
      <c r="AE63" s="8">
        <v>195</v>
      </c>
      <c r="AF63" s="261" t="str">
        <f t="shared" si="65"/>
        <v>195m</v>
      </c>
      <c r="AG63" s="289" t="s">
        <v>302</v>
      </c>
      <c r="AH63" s="16" t="s">
        <v>302</v>
      </c>
      <c r="AI63" s="19" t="str">
        <f t="shared" si="63"/>
        <v/>
      </c>
      <c r="AJ63" s="213">
        <f t="shared" si="66"/>
        <v>9.02</v>
      </c>
      <c r="AK63" s="17" t="str">
        <f t="shared" si="67"/>
        <v/>
      </c>
      <c r="AL63" s="262"/>
      <c r="AM63" s="12"/>
      <c r="AN63" s="201"/>
      <c r="AO63" s="186">
        <f ca="1"/>
        <v>195</v>
      </c>
      <c r="AP63" s="186" t="str">
        <f ca="1"/>
        <v>195m</v>
      </c>
      <c r="AQ63" s="160" t="str">
        <f ca="1">IFERROR(IF(IF($AP$50="", VLOOKUP(_xlfn.CONCAT($AP$49, "m", AO63, "m"),Paths!$C:$I, 3, 0),$AP$50+VLOOKUP(_xlfn.CONCAT($AP$49, "m", AO63, "m"),Paths!$C:$I, 4, 0)/100)=0, "", IF($AP$50="", VLOOKUP(_xlfn.CONCAT($AP$49, "m", AO63, "m"),Paths!$C:$I, 3, 0),$AP$50+VLOOKUP(_xlfn.CONCAT($AP$49, "m", AO63, "m"),Paths!$C:$I, 4, 0)/100)), "")</f>
        <v/>
      </c>
      <c r="AR63" s="16" t="str">
        <f ca="1">IFERROR(IF( IF($AP$50="", VLOOKUP(_xlfn.CONCAT($AP$49, "m", AO63, "m"),Paths!$C:$I, 6, 0),$AP$50+VLOOKUP(_xlfn.CONCAT($AP$49, "m", AO63, "m"),Paths!$C:$I, 7, 0)/100)=0, "",  IF($AP$50="", VLOOKUP(_xlfn.CONCAT($AP$49, "m", AO63, "m"),Paths!$C:$I, 6, 0),$AP$50+VLOOKUP(_xlfn.CONCAT($AP$49, "m", AO63, "m"),Paths!$C:$I, 7, 0)/100)), "")</f>
        <v/>
      </c>
      <c r="AS63" s="19" t="str">
        <f t="shared" ref="AS63:AS73" ca="1" si="71">IFERROR((AU63-AT63)*100,"")</f>
        <v/>
      </c>
      <c r="AT63" s="213">
        <f t="shared" ca="1" si="68"/>
        <v>9.02</v>
      </c>
      <c r="AU63" s="17" t="str">
        <f t="shared" ca="1" si="69"/>
        <v/>
      </c>
      <c r="AV63" s="262" t="str">
        <f ca="1">IFERROR(IF(VLOOKUP(_xlfn.CONCAT($AP$49, "m", AO63, "m"), Paths!$C:$I, 2, 0)=0,"", VLOOKUP(_xlfn.CONCAT($AP$49, "m", AO63, "m"), Paths!$C:$I, 2, 0)), "")</f>
        <v/>
      </c>
      <c r="AW63" s="166" t="str">
        <f ca="1">IFERROR(IF(VLOOKUP(_xlfn.CONCAT($AP$49, "m", AO63, "m"), Paths!$C:$I, 5, 0)=0,"", VLOOKUP(_xlfn.CONCAT($AP$49, "m", AO63, "m"), Paths!$C:$I, 5, 0)), "")</f>
        <v/>
      </c>
      <c r="AX63" s="186"/>
      <c r="AY63" s="186"/>
      <c r="AZ63" s="186"/>
      <c r="BA63" s="186"/>
    </row>
    <row r="64" spans="1:53">
      <c r="B64" s="240"/>
      <c r="C64" s="240"/>
      <c r="J64" s="232"/>
      <c r="R64" s="232"/>
      <c r="T64" s="68"/>
      <c r="U64" s="143" t="str">
        <f t="shared" si="58"/>
        <v/>
      </c>
      <c r="V64" s="8"/>
      <c r="W64" s="8"/>
      <c r="X64" s="259" t="str">
        <f t="shared" si="59"/>
        <v/>
      </c>
      <c r="Y64" s="260" t="str">
        <f t="shared" si="60"/>
        <v/>
      </c>
      <c r="Z64" s="19" t="str">
        <f t="shared" si="70"/>
        <v/>
      </c>
      <c r="AA64" s="211"/>
      <c r="AB64" s="17" t="str">
        <f t="shared" si="61"/>
        <v/>
      </c>
      <c r="AC64" s="13" t="str">
        <f t="shared" si="62"/>
        <v/>
      </c>
      <c r="AD64" s="201"/>
      <c r="AE64" s="8">
        <v>260</v>
      </c>
      <c r="AF64" s="261" t="str">
        <f t="shared" si="65"/>
        <v>260m</v>
      </c>
      <c r="AG64" s="289" t="s">
        <v>302</v>
      </c>
      <c r="AH64" s="16" t="s">
        <v>302</v>
      </c>
      <c r="AI64" s="19" t="str">
        <f t="shared" si="63"/>
        <v/>
      </c>
      <c r="AJ64" s="213">
        <f t="shared" si="66"/>
        <v>9.0350000000000001</v>
      </c>
      <c r="AK64" s="17" t="str">
        <f t="shared" si="67"/>
        <v/>
      </c>
      <c r="AL64" s="262"/>
      <c r="AM64" s="12"/>
      <c r="AN64" s="201"/>
      <c r="AO64" s="186">
        <f ca="1"/>
        <v>260</v>
      </c>
      <c r="AP64" s="186" t="str">
        <f ca="1"/>
        <v>260m</v>
      </c>
      <c r="AQ64" s="160" t="str">
        <f ca="1">IFERROR(IF(IF($AP$50="", VLOOKUP(_xlfn.CONCAT($AP$49, "m", AO64, "m"),Paths!$C:$I, 3, 0),$AP$50+VLOOKUP(_xlfn.CONCAT($AP$49, "m", AO64, "m"),Paths!$C:$I, 4, 0)/100)=0, "", IF($AP$50="", VLOOKUP(_xlfn.CONCAT($AP$49, "m", AO64, "m"),Paths!$C:$I, 3, 0),$AP$50+VLOOKUP(_xlfn.CONCAT($AP$49, "m", AO64, "m"),Paths!$C:$I, 4, 0)/100)), "")</f>
        <v/>
      </c>
      <c r="AR64" s="16" t="str">
        <f ca="1">IFERROR(IF( IF($AP$50="", VLOOKUP(_xlfn.CONCAT($AP$49, "m", AO64, "m"),Paths!$C:$I, 6, 0),$AP$50+VLOOKUP(_xlfn.CONCAT($AP$49, "m", AO64, "m"),Paths!$C:$I, 7, 0)/100)=0, "",  IF($AP$50="", VLOOKUP(_xlfn.CONCAT($AP$49, "m", AO64, "m"),Paths!$C:$I, 6, 0),$AP$50+VLOOKUP(_xlfn.CONCAT($AP$49, "m", AO64, "m"),Paths!$C:$I, 7, 0)/100)), "")</f>
        <v/>
      </c>
      <c r="AS64" s="19" t="str">
        <f t="shared" ca="1" si="71"/>
        <v/>
      </c>
      <c r="AT64" s="213">
        <f t="shared" ca="1" si="68"/>
        <v>9.0350000000000001</v>
      </c>
      <c r="AU64" s="17" t="str">
        <f t="shared" ca="1" si="69"/>
        <v/>
      </c>
      <c r="AV64" s="262" t="str">
        <f ca="1">IFERROR(IF(VLOOKUP(_xlfn.CONCAT($AP$49, "m", AO64, "m"), Paths!$C:$I, 2, 0)=0,"", VLOOKUP(_xlfn.CONCAT($AP$49, "m", AO64, "m"), Paths!$C:$I, 2, 0)), "")</f>
        <v/>
      </c>
      <c r="AW64" s="166" t="str">
        <f ca="1">IFERROR(IF(VLOOKUP(_xlfn.CONCAT($AP$49, "m", AO64, "m"), Paths!$C:$I, 5, 0)=0,"", VLOOKUP(_xlfn.CONCAT($AP$49, "m", AO64, "m"), Paths!$C:$I, 5, 0)), "")</f>
        <v/>
      </c>
      <c r="AX64" s="186"/>
      <c r="AY64" s="186"/>
      <c r="AZ64" s="186"/>
      <c r="BA64" s="186"/>
    </row>
    <row r="65" spans="2:53">
      <c r="B65" s="240"/>
      <c r="C65" s="240"/>
      <c r="J65" s="232"/>
      <c r="R65" s="232"/>
      <c r="T65" s="68"/>
      <c r="U65" s="143" t="str">
        <f>IF(X65="","",INDEX($C$2:$J$2,MATCH($X65,$C64:$J64,0)))</f>
        <v/>
      </c>
      <c r="V65" s="8"/>
      <c r="W65" s="8"/>
      <c r="X65" s="259" t="str">
        <f>IF(MAX(C64:J64)=0,"",MAX(C64:J64))</f>
        <v/>
      </c>
      <c r="Y65" s="260" t="str">
        <f>IF(MIN(K64:R64)=0,"",MIN(K64:R64))</f>
        <v/>
      </c>
      <c r="Z65" s="19" t="str">
        <f>IFERROR((AB65-AA65),"")</f>
        <v/>
      </c>
      <c r="AA65" s="211"/>
      <c r="AB65" s="17" t="str">
        <f>IFERROR(((X65+Y65)/2),"")</f>
        <v/>
      </c>
      <c r="AC65" s="13" t="str">
        <f>IF(Y65="","",INDEX($K$49:$R$49,MATCH($Y65,$K64:$R64,0)))</f>
        <v/>
      </c>
      <c r="AD65" s="201"/>
      <c r="AE65" s="8">
        <v>390</v>
      </c>
      <c r="AF65" s="261" t="str">
        <f>IF(AE65&lt;&gt;"", CONCATENATE(AE65, "m"), "")</f>
        <v>390m</v>
      </c>
      <c r="AG65" s="289" t="s">
        <v>302</v>
      </c>
      <c r="AH65" s="16" t="s">
        <v>302</v>
      </c>
      <c r="AI65" s="19" t="str">
        <f t="shared" si="63"/>
        <v/>
      </c>
      <c r="AJ65" s="213">
        <f t="shared" si="66"/>
        <v>9.0250000000000004</v>
      </c>
      <c r="AK65" s="17" t="str">
        <f t="shared" si="67"/>
        <v/>
      </c>
      <c r="AL65" s="262"/>
      <c r="AM65" s="12"/>
      <c r="AN65" s="201"/>
      <c r="AO65" s="186">
        <f ca="1"/>
        <v>390</v>
      </c>
      <c r="AP65" s="186" t="str">
        <f ca="1"/>
        <v>390m</v>
      </c>
      <c r="AQ65" s="160" t="str">
        <f ca="1">IFERROR(IF(IF($AP$50="", VLOOKUP(_xlfn.CONCAT($AP$49, "m", AO65, "m"),Paths!$C:$I, 3, 0),$AP$50+VLOOKUP(_xlfn.CONCAT($AP$49, "m", AO65, "m"),Paths!$C:$I, 4, 0)/100)=0, "", IF($AP$50="", VLOOKUP(_xlfn.CONCAT($AP$49, "m", AO65, "m"),Paths!$C:$I, 3, 0),$AP$50+VLOOKUP(_xlfn.CONCAT($AP$49, "m", AO65, "m"),Paths!$C:$I, 4, 0)/100)), "")</f>
        <v/>
      </c>
      <c r="AR65" s="16" t="str">
        <f ca="1">IFERROR(IF( IF($AP$50="", VLOOKUP(_xlfn.CONCAT($AP$49, "m", AO65, "m"),Paths!$C:$I, 6, 0),$AP$50+VLOOKUP(_xlfn.CONCAT($AP$49, "m", AO65, "m"),Paths!$C:$I, 7, 0)/100)=0, "",  IF($AP$50="", VLOOKUP(_xlfn.CONCAT($AP$49, "m", AO65, "m"),Paths!$C:$I, 6, 0),$AP$50+VLOOKUP(_xlfn.CONCAT($AP$49, "m", AO65, "m"),Paths!$C:$I, 7, 0)/100)), "")</f>
        <v/>
      </c>
      <c r="AS65" s="19" t="str">
        <f t="shared" ca="1" si="71"/>
        <v/>
      </c>
      <c r="AT65" s="213">
        <f t="shared" ca="1" si="68"/>
        <v>9.0250000000000004</v>
      </c>
      <c r="AU65" s="17" t="str">
        <f t="shared" ca="1" si="69"/>
        <v/>
      </c>
      <c r="AV65" s="262" t="str">
        <f ca="1">IFERROR(IF(VLOOKUP(_xlfn.CONCAT($AP$49, "m", AO65, "m"), Paths!$C:$I, 2, 0)=0,"", VLOOKUP(_xlfn.CONCAT($AP$49, "m", AO65, "m"), Paths!$C:$I, 2, 0)), "")</f>
        <v/>
      </c>
      <c r="AW65" s="166" t="str">
        <f ca="1">IFERROR(IF(VLOOKUP(_xlfn.CONCAT($AP$49, "m", AO65, "m"), Paths!$C:$I, 5, 0)=0,"", VLOOKUP(_xlfn.CONCAT($AP$49, "m", AO65, "m"), Paths!$C:$I, 5, 0)), "")</f>
        <v/>
      </c>
      <c r="AX65" s="186"/>
      <c r="AY65" s="186"/>
      <c r="AZ65" s="186"/>
      <c r="BA65" s="186"/>
    </row>
    <row r="66" spans="2:53">
      <c r="B66" s="240"/>
      <c r="C66" s="240"/>
      <c r="J66" s="232"/>
      <c r="R66" s="232"/>
      <c r="T66" s="68"/>
      <c r="U66" s="143" t="str">
        <f t="shared" si="58"/>
        <v/>
      </c>
      <c r="V66" s="8"/>
      <c r="W66" s="8"/>
      <c r="X66" s="259" t="str">
        <f t="shared" si="59"/>
        <v/>
      </c>
      <c r="Y66" s="260" t="str">
        <f>IF(MIN(K65:R65)=0,"",MIN(K65:R65))</f>
        <v/>
      </c>
      <c r="Z66" s="19" t="str">
        <f>IFERROR((AB66-AA66),"")</f>
        <v/>
      </c>
      <c r="AA66" s="211"/>
      <c r="AB66" s="17" t="str">
        <f t="shared" si="61"/>
        <v/>
      </c>
      <c r="AC66" s="13" t="str">
        <f t="shared" si="62"/>
        <v/>
      </c>
      <c r="AD66" s="201"/>
      <c r="AE66" s="8"/>
      <c r="AF66" s="261" t="str">
        <f t="shared" si="65"/>
        <v/>
      </c>
      <c r="AG66" s="160"/>
      <c r="AH66" s="16"/>
      <c r="AI66" s="19" t="str">
        <f t="shared" si="63"/>
        <v/>
      </c>
      <c r="AJ66" s="213" t="str">
        <f t="shared" si="66"/>
        <v/>
      </c>
      <c r="AK66" s="17" t="str">
        <f t="shared" si="67"/>
        <v/>
      </c>
      <c r="AL66" s="262"/>
      <c r="AM66" s="12"/>
      <c r="AN66" s="201"/>
      <c r="AO66" s="186"/>
      <c r="AP66" s="186"/>
      <c r="AQ66" s="160"/>
      <c r="AR66" s="16"/>
      <c r="AS66" s="19" t="str">
        <f t="shared" si="71"/>
        <v/>
      </c>
      <c r="AT66" s="213" t="str">
        <f t="shared" si="68"/>
        <v/>
      </c>
      <c r="AU66" s="17" t="str">
        <f t="shared" si="69"/>
        <v/>
      </c>
      <c r="AV66" s="262" t="str">
        <f>IFERROR(IF(VLOOKUP(_xlfn.CONCAT($AP$49, "m", AO66, "m"), Paths!$C:$I, 2, 0)=0,"", VLOOKUP(_xlfn.CONCAT($AP$49, "m", AO66, "m"), Paths!$C:$I, 2, 0)), "")</f>
        <v/>
      </c>
      <c r="AW66" s="166" t="str">
        <f>IFERROR(IF(VLOOKUP(_xlfn.CONCAT($AP$49, "m", AO66, "m"), Paths!$C:$I, 5, 0)=0,"", VLOOKUP(_xlfn.CONCAT($AP$49, "m", AO66, "m"), Paths!$C:$I, 5, 0)), "")</f>
        <v/>
      </c>
      <c r="AX66" s="186"/>
      <c r="AY66" s="186"/>
      <c r="AZ66" s="186"/>
      <c r="BA66" s="186"/>
    </row>
    <row r="67" spans="2:53">
      <c r="B67" s="240"/>
      <c r="C67" s="240"/>
      <c r="J67" s="232"/>
      <c r="R67" s="232"/>
      <c r="T67" s="68"/>
      <c r="U67" s="143" t="str">
        <f t="shared" si="58"/>
        <v/>
      </c>
      <c r="V67" s="8"/>
      <c r="W67" s="8"/>
      <c r="X67" s="259" t="str">
        <f t="shared" si="59"/>
        <v/>
      </c>
      <c r="Y67" s="260" t="str">
        <f t="shared" si="60"/>
        <v/>
      </c>
      <c r="Z67" s="19" t="str">
        <f>IFERROR((AB67-AA67),"")</f>
        <v/>
      </c>
      <c r="AA67" s="211"/>
      <c r="AB67" s="17" t="str">
        <f t="shared" si="61"/>
        <v/>
      </c>
      <c r="AC67" s="13" t="str">
        <f t="shared" si="62"/>
        <v/>
      </c>
      <c r="AD67" s="201"/>
      <c r="AE67" s="8"/>
      <c r="AF67" s="261" t="str">
        <f t="shared" si="65"/>
        <v/>
      </c>
      <c r="AG67" s="160"/>
      <c r="AH67" s="16"/>
      <c r="AI67" s="19" t="str">
        <f t="shared" si="63"/>
        <v/>
      </c>
      <c r="AJ67" s="213" t="str">
        <f t="shared" si="66"/>
        <v/>
      </c>
      <c r="AK67" s="17" t="str">
        <f t="shared" si="67"/>
        <v/>
      </c>
      <c r="AL67" s="262"/>
      <c r="AM67" s="12"/>
      <c r="AN67" s="201"/>
      <c r="AO67" s="186"/>
      <c r="AP67" s="186"/>
      <c r="AQ67" s="160"/>
      <c r="AR67" s="16"/>
      <c r="AS67" s="19" t="str">
        <f t="shared" si="71"/>
        <v/>
      </c>
      <c r="AT67" s="213" t="str">
        <f t="shared" si="68"/>
        <v/>
      </c>
      <c r="AU67" s="17" t="str">
        <f t="shared" si="69"/>
        <v/>
      </c>
      <c r="AV67" s="262" t="str">
        <f>IFERROR(IF(VLOOKUP(_xlfn.CONCAT($AP$49, "m", AO67, "m"), Paths!$C:$I, 2, 0)=0,"", VLOOKUP(_xlfn.CONCAT($AP$49, "m", AO67, "m"), Paths!$C:$I, 2, 0)), "")</f>
        <v/>
      </c>
      <c r="AW67" s="166" t="str">
        <f>IFERROR(IF(VLOOKUP(_xlfn.CONCAT($AP$49, "m", AO67, "m"), Paths!$C:$I, 5, 0)=0,"", VLOOKUP(_xlfn.CONCAT($AP$49, "m", AO67, "m"), Paths!$C:$I, 5, 0)), "")</f>
        <v/>
      </c>
      <c r="AX67" s="186"/>
      <c r="AY67" s="186"/>
      <c r="AZ67" s="186"/>
      <c r="BA67" s="186"/>
    </row>
    <row r="68" spans="2:53">
      <c r="B68" s="240"/>
      <c r="C68" s="240"/>
      <c r="J68" s="232"/>
      <c r="R68" s="232"/>
      <c r="T68" s="68"/>
      <c r="U68" s="143" t="str">
        <f t="shared" si="58"/>
        <v/>
      </c>
      <c r="V68" s="8"/>
      <c r="W68" s="8"/>
      <c r="X68" s="259" t="str">
        <f t="shared" si="59"/>
        <v/>
      </c>
      <c r="Y68" s="260" t="str">
        <f t="shared" si="60"/>
        <v/>
      </c>
      <c r="Z68" s="19" t="str">
        <f t="shared" ref="Z68:Z72" si="72">IFERROR((AB68-AA68),"")</f>
        <v/>
      </c>
      <c r="AA68" s="211"/>
      <c r="AB68" s="17" t="str">
        <f t="shared" si="61"/>
        <v/>
      </c>
      <c r="AC68" s="13" t="str">
        <f t="shared" si="62"/>
        <v/>
      </c>
      <c r="AD68" s="201"/>
      <c r="AE68" s="8"/>
      <c r="AF68" s="261" t="str">
        <f t="shared" si="65"/>
        <v/>
      </c>
      <c r="AG68" s="160"/>
      <c r="AH68" s="14"/>
      <c r="AI68" s="19" t="str">
        <f t="shared" si="63"/>
        <v/>
      </c>
      <c r="AJ68" s="213" t="str">
        <f t="shared" si="66"/>
        <v/>
      </c>
      <c r="AK68" s="17" t="str">
        <f t="shared" si="67"/>
        <v/>
      </c>
      <c r="AL68" s="262"/>
      <c r="AM68" s="12"/>
      <c r="AN68" s="201"/>
      <c r="AO68" s="186"/>
      <c r="AP68" s="186"/>
      <c r="AQ68" s="160"/>
      <c r="AR68" s="14"/>
      <c r="AS68" s="19" t="str">
        <f t="shared" si="71"/>
        <v/>
      </c>
      <c r="AT68" s="213" t="str">
        <f t="shared" si="68"/>
        <v/>
      </c>
      <c r="AU68" s="17" t="str">
        <f t="shared" si="69"/>
        <v/>
      </c>
      <c r="AV68" s="262" t="str">
        <f>IFERROR(IF(VLOOKUP(_xlfn.CONCAT($AP$49, "m", AO68, "m"), Paths!$C:$I, 2, 0)=0,"", VLOOKUP(_xlfn.CONCAT($AP$49, "m", AO68, "m"), Paths!$C:$I, 2, 0)), "")</f>
        <v/>
      </c>
      <c r="AW68" s="166" t="str">
        <f>IFERROR(IF(VLOOKUP(_xlfn.CONCAT($AP$49, "m", AO68, "m"), Paths!$C:$I, 5, 0)=0,"", VLOOKUP(_xlfn.CONCAT($AP$49, "m", AO68, "m"), Paths!$C:$I, 5, 0)), "")</f>
        <v/>
      </c>
      <c r="AX68" s="186"/>
      <c r="AY68" s="186"/>
      <c r="AZ68" s="186"/>
      <c r="BA68" s="186"/>
    </row>
    <row r="69" spans="2:53">
      <c r="B69" s="240"/>
      <c r="C69" s="240"/>
      <c r="J69" s="232"/>
      <c r="R69" s="232"/>
      <c r="T69" s="68"/>
      <c r="U69" s="143" t="str">
        <f t="shared" si="58"/>
        <v/>
      </c>
      <c r="V69" s="8"/>
      <c r="W69" s="8"/>
      <c r="X69" s="259" t="str">
        <f t="shared" si="59"/>
        <v/>
      </c>
      <c r="Y69" s="260" t="str">
        <f t="shared" si="60"/>
        <v/>
      </c>
      <c r="Z69" s="19" t="str">
        <f t="shared" si="72"/>
        <v/>
      </c>
      <c r="AA69" s="211"/>
      <c r="AB69" s="17" t="str">
        <f t="shared" si="61"/>
        <v/>
      </c>
      <c r="AC69" s="13" t="str">
        <f t="shared" si="62"/>
        <v/>
      </c>
      <c r="AD69" s="201"/>
      <c r="AE69" s="8"/>
      <c r="AF69" s="261" t="str">
        <f t="shared" si="65"/>
        <v/>
      </c>
      <c r="AG69" s="160"/>
      <c r="AH69" s="14"/>
      <c r="AI69" s="19" t="str">
        <f t="shared" si="63"/>
        <v/>
      </c>
      <c r="AJ69" s="213" t="str">
        <f t="shared" si="66"/>
        <v/>
      </c>
      <c r="AK69" s="17" t="str">
        <f t="shared" si="67"/>
        <v/>
      </c>
      <c r="AL69" s="262"/>
      <c r="AM69" s="12"/>
      <c r="AN69" s="201"/>
      <c r="AO69" s="186"/>
      <c r="AP69" s="186"/>
      <c r="AQ69" s="160"/>
      <c r="AR69" s="14"/>
      <c r="AS69" s="19" t="str">
        <f t="shared" si="71"/>
        <v/>
      </c>
      <c r="AT69" s="213" t="str">
        <f t="shared" si="68"/>
        <v/>
      </c>
      <c r="AU69" s="17" t="str">
        <f t="shared" si="69"/>
        <v/>
      </c>
      <c r="AV69" s="262" t="str">
        <f>IFERROR(IF(VLOOKUP(_xlfn.CONCAT($AP$49, "m", AO69, "m"), Paths!$C:$I, 2, 0)=0,"", VLOOKUP(_xlfn.CONCAT($AP$49, "m", AO69, "m"), Paths!$C:$I, 2, 0)), "")</f>
        <v/>
      </c>
      <c r="AW69" s="166" t="str">
        <f>IFERROR(IF(VLOOKUP(_xlfn.CONCAT($AP$49, "m", AO69, "m"), Paths!$C:$I, 5, 0)=0,"", VLOOKUP(_xlfn.CONCAT($AP$49, "m", AO69, "m"), Paths!$C:$I, 5, 0)), "")</f>
        <v/>
      </c>
      <c r="AX69" s="186"/>
      <c r="AY69" s="186"/>
      <c r="AZ69" s="186"/>
      <c r="BA69" s="186"/>
    </row>
    <row r="70" spans="2:53">
      <c r="B70" s="240"/>
      <c r="C70" s="240"/>
      <c r="J70" s="232"/>
      <c r="R70" s="232"/>
      <c r="T70" s="68"/>
      <c r="U70" s="143" t="str">
        <f t="shared" si="58"/>
        <v/>
      </c>
      <c r="V70" s="8"/>
      <c r="W70" s="8"/>
      <c r="X70" s="259" t="str">
        <f t="shared" si="59"/>
        <v/>
      </c>
      <c r="Y70" s="260" t="str">
        <f t="shared" si="60"/>
        <v/>
      </c>
      <c r="Z70" s="19" t="str">
        <f t="shared" si="72"/>
        <v/>
      </c>
      <c r="AA70" s="211"/>
      <c r="AB70" s="17" t="str">
        <f t="shared" si="61"/>
        <v/>
      </c>
      <c r="AC70" s="13" t="str">
        <f t="shared" si="62"/>
        <v/>
      </c>
      <c r="AD70" s="201"/>
      <c r="AE70" s="8"/>
      <c r="AF70" s="261" t="str">
        <f t="shared" si="65"/>
        <v/>
      </c>
      <c r="AG70" s="160"/>
      <c r="AH70" s="14"/>
      <c r="AI70" s="19" t="str">
        <f t="shared" si="63"/>
        <v/>
      </c>
      <c r="AJ70" s="213" t="str">
        <f t="shared" si="66"/>
        <v/>
      </c>
      <c r="AK70" s="17" t="str">
        <f t="shared" si="67"/>
        <v/>
      </c>
      <c r="AL70" s="262"/>
      <c r="AM70" s="12"/>
      <c r="AN70" s="201"/>
      <c r="AO70" s="186"/>
      <c r="AP70" s="186"/>
      <c r="AQ70" s="160"/>
      <c r="AR70" s="14"/>
      <c r="AS70" s="19" t="str">
        <f t="shared" si="71"/>
        <v/>
      </c>
      <c r="AT70" s="213" t="str">
        <f t="shared" si="68"/>
        <v/>
      </c>
      <c r="AU70" s="17" t="str">
        <f t="shared" si="69"/>
        <v/>
      </c>
      <c r="AV70" s="262" t="str">
        <f>IFERROR(IF(VLOOKUP(_xlfn.CONCAT($AP$49, "m", AO70, "m"), Paths!$C:$I, 2, 0)=0,"", VLOOKUP(_xlfn.CONCAT($AP$49, "m", AO70, "m"), Paths!$C:$I, 2, 0)), "")</f>
        <v/>
      </c>
      <c r="AW70" s="166" t="str">
        <f>IFERROR(IF(VLOOKUP(_xlfn.CONCAT($AP$49, "m", AO70, "m"), Paths!$C:$I, 5, 0)=0,"", VLOOKUP(_xlfn.CONCAT($AP$49, "m", AO70, "m"), Paths!$C:$I, 5, 0)), "")</f>
        <v/>
      </c>
      <c r="AX70" s="186"/>
      <c r="AY70" s="186"/>
      <c r="AZ70" s="186"/>
      <c r="BA70" s="186"/>
    </row>
    <row r="71" spans="2:53">
      <c r="B71" s="240"/>
      <c r="C71" s="240"/>
      <c r="J71" s="232"/>
      <c r="R71" s="232"/>
      <c r="T71" s="68"/>
      <c r="U71" s="143" t="str">
        <f t="shared" si="58"/>
        <v/>
      </c>
      <c r="V71" s="8"/>
      <c r="W71" s="8"/>
      <c r="X71" s="259" t="str">
        <f t="shared" si="59"/>
        <v/>
      </c>
      <c r="Y71" s="260" t="str">
        <f t="shared" si="60"/>
        <v/>
      </c>
      <c r="Z71" s="19" t="str">
        <f t="shared" si="72"/>
        <v/>
      </c>
      <c r="AA71" s="211"/>
      <c r="AB71" s="17" t="str">
        <f t="shared" si="61"/>
        <v/>
      </c>
      <c r="AC71" s="13" t="str">
        <f t="shared" si="62"/>
        <v/>
      </c>
      <c r="AD71" s="201"/>
      <c r="AE71" s="186"/>
      <c r="AF71" s="261" t="str">
        <f t="shared" si="65"/>
        <v/>
      </c>
      <c r="AG71" s="186"/>
      <c r="AH71" s="186"/>
      <c r="AI71" s="19" t="str">
        <f t="shared" si="63"/>
        <v/>
      </c>
      <c r="AJ71" s="213" t="str">
        <f t="shared" si="66"/>
        <v/>
      </c>
      <c r="AK71" s="186"/>
      <c r="AL71" s="186"/>
      <c r="AM71" s="186"/>
      <c r="AN71" s="201"/>
      <c r="AO71" s="186"/>
      <c r="AP71" s="186"/>
      <c r="AQ71" s="160"/>
      <c r="AR71" s="13"/>
      <c r="AS71" s="19" t="str">
        <f t="shared" si="71"/>
        <v/>
      </c>
      <c r="AT71" s="213" t="str">
        <f t="shared" si="68"/>
        <v/>
      </c>
      <c r="AU71" s="17" t="str">
        <f t="shared" si="69"/>
        <v/>
      </c>
      <c r="AV71" s="262" t="str">
        <f>IFERROR(IF(VLOOKUP(_xlfn.CONCAT($AP$49, "m", AO71, "m"), Paths!$C:$I, 2, 0)=0,"", VLOOKUP(_xlfn.CONCAT($AP$49, "m", AO71, "m"), Paths!$C:$I, 2, 0)), "")</f>
        <v/>
      </c>
      <c r="AW71" s="166" t="str">
        <f>IFERROR(IF(VLOOKUP(_xlfn.CONCAT($AP$49, "m", AO71, "m"), Paths!$C:$I, 5, 0)=0,"", VLOOKUP(_xlfn.CONCAT($AP$49, "m", AO71, "m"), Paths!$C:$I, 5, 0)), "")</f>
        <v/>
      </c>
      <c r="AX71" s="186"/>
      <c r="AY71" s="186"/>
      <c r="AZ71" s="186"/>
      <c r="BA71" s="186"/>
    </row>
    <row r="72" spans="2:53">
      <c r="B72" s="240"/>
      <c r="C72" s="240"/>
      <c r="J72" s="232"/>
      <c r="R72" s="232"/>
      <c r="T72" s="68"/>
      <c r="U72" s="143" t="str">
        <f t="shared" si="58"/>
        <v/>
      </c>
      <c r="V72" s="8"/>
      <c r="W72" s="8"/>
      <c r="X72" s="259" t="str">
        <f t="shared" si="59"/>
        <v/>
      </c>
      <c r="Y72" s="260" t="str">
        <f t="shared" si="60"/>
        <v/>
      </c>
      <c r="Z72" s="19" t="str">
        <f t="shared" si="72"/>
        <v/>
      </c>
      <c r="AA72" s="211"/>
      <c r="AB72" s="17" t="str">
        <f t="shared" si="61"/>
        <v/>
      </c>
      <c r="AC72" s="13" t="str">
        <f t="shared" si="62"/>
        <v/>
      </c>
      <c r="AD72" s="201"/>
      <c r="AE72" s="186"/>
      <c r="AF72" s="261" t="str">
        <f t="shared" si="65"/>
        <v/>
      </c>
      <c r="AG72" s="186"/>
      <c r="AH72" s="186"/>
      <c r="AI72" s="19" t="str">
        <f t="shared" si="63"/>
        <v/>
      </c>
      <c r="AJ72" s="213" t="str">
        <f t="shared" si="66"/>
        <v/>
      </c>
      <c r="AK72" s="186"/>
      <c r="AL72" s="186"/>
      <c r="AM72" s="186"/>
      <c r="AN72" s="201"/>
      <c r="AO72" s="186"/>
      <c r="AP72" s="186"/>
      <c r="AQ72" s="186"/>
      <c r="AR72" s="186"/>
      <c r="AS72" s="19" t="str">
        <f t="shared" si="71"/>
        <v/>
      </c>
      <c r="AT72" s="213" t="str">
        <f t="shared" si="68"/>
        <v/>
      </c>
      <c r="AU72" s="17" t="str">
        <f t="shared" si="69"/>
        <v/>
      </c>
      <c r="AV72" s="262" t="str">
        <f>IFERROR(IF(VLOOKUP(_xlfn.CONCAT($AP$49, "m", AO72, "m"), Paths!$C:$I, 2, 0)=0,"", VLOOKUP(_xlfn.CONCAT($AP$49, "m", AO72, "m"), Paths!$C:$I, 2, 0)), "")</f>
        <v/>
      </c>
      <c r="AW72" s="166" t="str">
        <f>IFERROR(IF(VLOOKUP(_xlfn.CONCAT($AP$49, "m", AO72, "m"), Paths!$C:$I, 5, 0)=0,"", VLOOKUP(_xlfn.CONCAT($AP$49, "m", AO72, "m"), Paths!$C:$I, 5, 0)), "")</f>
        <v/>
      </c>
      <c r="AX72" s="186"/>
      <c r="AY72" s="186"/>
      <c r="AZ72" s="186"/>
      <c r="BA72" s="186"/>
    </row>
    <row r="73" spans="2:53">
      <c r="B73" s="239"/>
      <c r="C73" s="239"/>
      <c r="D73" s="228"/>
      <c r="E73" s="228"/>
      <c r="F73" s="228"/>
      <c r="G73" s="228"/>
      <c r="H73" s="228"/>
      <c r="I73" s="228"/>
      <c r="J73" s="229"/>
      <c r="K73" s="228"/>
      <c r="L73" s="228"/>
      <c r="M73" s="228"/>
      <c r="N73" s="228"/>
      <c r="O73" s="228"/>
      <c r="P73" s="228"/>
      <c r="Q73" s="228"/>
      <c r="R73" s="229"/>
      <c r="T73" s="68"/>
      <c r="U73" s="162" t="str">
        <f t="shared" si="58"/>
        <v/>
      </c>
      <c r="V73" s="209"/>
      <c r="W73" s="209"/>
      <c r="X73" s="204" t="str">
        <f t="shared" si="59"/>
        <v/>
      </c>
      <c r="Y73" s="205" t="str">
        <f t="shared" si="60"/>
        <v/>
      </c>
      <c r="Z73" s="19" t="str">
        <f t="shared" ref="Z73:Z74" si="73">IFERROR((AB73-AA73),"")</f>
        <v/>
      </c>
      <c r="AA73" s="211"/>
      <c r="AB73" s="152" t="str">
        <f t="shared" ref="AB73:AB74" si="74">IFERROR(((X73+Y73)/2),"")</f>
        <v/>
      </c>
      <c r="AC73" s="151" t="str">
        <f t="shared" si="62"/>
        <v/>
      </c>
      <c r="AD73" s="201"/>
      <c r="AE73" s="186"/>
      <c r="AF73" s="261" t="str">
        <f t="shared" si="65"/>
        <v/>
      </c>
      <c r="AG73" s="186"/>
      <c r="AH73" s="186"/>
      <c r="AI73" s="19" t="str">
        <f t="shared" si="63"/>
        <v/>
      </c>
      <c r="AJ73" s="213" t="str">
        <f t="shared" si="66"/>
        <v/>
      </c>
      <c r="AK73" s="186"/>
      <c r="AL73" s="186"/>
      <c r="AM73" s="186"/>
      <c r="AN73" s="201"/>
      <c r="AO73" s="186"/>
      <c r="AP73" s="186"/>
      <c r="AQ73" s="186"/>
      <c r="AR73" s="186"/>
      <c r="AS73" s="19" t="str">
        <f t="shared" si="71"/>
        <v/>
      </c>
      <c r="AT73" s="213" t="str">
        <f t="shared" si="68"/>
        <v/>
      </c>
      <c r="AU73" s="17" t="str">
        <f t="shared" si="69"/>
        <v/>
      </c>
      <c r="AV73" s="262" t="str">
        <f>IFERROR(IF(VLOOKUP(_xlfn.CONCAT($AP$49, "m", AO73, "m"), Paths!$C:$I, 2, 0)=0,"", VLOOKUP(_xlfn.CONCAT($AP$49, "m", AO73, "m"), Paths!$C:$I, 2, 0)), "")</f>
        <v/>
      </c>
      <c r="AW73" s="166" t="str">
        <f>IFERROR(IF(VLOOKUP(_xlfn.CONCAT($AP$49, "m", AO73, "m"), Paths!$C:$I, 5, 0)=0,"", VLOOKUP(_xlfn.CONCAT($AP$49, "m", AO73, "m"), Paths!$C:$I, 5, 0)), "")</f>
        <v/>
      </c>
      <c r="AX73" s="186"/>
      <c r="AY73" s="186"/>
      <c r="AZ73" s="186"/>
      <c r="BA73" s="186"/>
    </row>
    <row r="74" spans="2:53">
      <c r="B74" s="223" t="s">
        <v>25</v>
      </c>
      <c r="C74" s="224" t="s">
        <v>14</v>
      </c>
      <c r="D74" s="224"/>
      <c r="E74" s="224"/>
      <c r="F74" s="224"/>
      <c r="G74" s="224"/>
      <c r="H74" s="224"/>
      <c r="I74" s="224"/>
      <c r="J74" s="225"/>
      <c r="K74" s="224"/>
      <c r="L74" s="224"/>
      <c r="M74" s="224"/>
      <c r="N74" s="224"/>
      <c r="O74" s="224"/>
      <c r="P74" s="224"/>
      <c r="Q74" s="224"/>
      <c r="R74" s="225"/>
      <c r="T74" s="68"/>
      <c r="U74" s="144" t="str">
        <f t="shared" si="58"/>
        <v/>
      </c>
      <c r="V74" s="210"/>
      <c r="W74" s="210"/>
      <c r="X74" s="206" t="str">
        <f t="shared" si="59"/>
        <v/>
      </c>
      <c r="Y74" s="207" t="str">
        <f t="shared" si="60"/>
        <v/>
      </c>
      <c r="Z74" s="149" t="str">
        <f t="shared" si="73"/>
        <v/>
      </c>
      <c r="AA74" s="212"/>
      <c r="AB74" s="150" t="str">
        <f t="shared" si="74"/>
        <v/>
      </c>
      <c r="AC74" s="148" t="str">
        <f t="shared" si="62"/>
        <v/>
      </c>
      <c r="AD74" s="243"/>
      <c r="AE74" s="242"/>
      <c r="AF74" s="242"/>
      <c r="AG74" s="242"/>
      <c r="AH74" s="242"/>
      <c r="AI74" s="149"/>
      <c r="AJ74" s="214"/>
      <c r="AK74" s="242"/>
      <c r="AL74" s="242"/>
      <c r="AM74" s="242"/>
      <c r="AN74" s="243"/>
      <c r="AO74" s="242"/>
      <c r="AP74" s="242"/>
      <c r="AQ74" s="242"/>
      <c r="AR74" s="242"/>
      <c r="AS74" s="149"/>
      <c r="AT74" s="214"/>
      <c r="AU74" s="242"/>
      <c r="AV74" s="242"/>
      <c r="AW74" s="243"/>
      <c r="AX74" s="186"/>
      <c r="AY74" s="186"/>
      <c r="AZ74" s="186"/>
      <c r="BA74" s="186"/>
    </row>
    <row r="75" spans="2:53">
      <c r="B75" s="227" t="s">
        <v>3</v>
      </c>
      <c r="C75" s="228" t="s">
        <v>4</v>
      </c>
      <c r="D75" s="228" t="s">
        <v>5</v>
      </c>
      <c r="E75" s="228" t="s">
        <v>6</v>
      </c>
      <c r="F75" s="228" t="s">
        <v>7</v>
      </c>
      <c r="G75" s="228" t="s">
        <v>8</v>
      </c>
      <c r="H75" s="228" t="s">
        <v>9</v>
      </c>
      <c r="I75" s="228" t="s">
        <v>10</v>
      </c>
      <c r="J75" s="229" t="s">
        <v>11</v>
      </c>
      <c r="K75" s="228" t="s">
        <v>4</v>
      </c>
      <c r="L75" s="228" t="s">
        <v>5</v>
      </c>
      <c r="M75" s="228" t="s">
        <v>6</v>
      </c>
      <c r="N75" s="228" t="s">
        <v>7</v>
      </c>
      <c r="O75" s="228" t="s">
        <v>8</v>
      </c>
      <c r="P75" s="228" t="s">
        <v>9</v>
      </c>
      <c r="Q75" s="228" t="s">
        <v>10</v>
      </c>
      <c r="R75" s="229" t="s">
        <v>11</v>
      </c>
      <c r="T75" s="68"/>
      <c r="U75" s="186"/>
      <c r="V75" s="186"/>
      <c r="W75" s="186"/>
      <c r="X75" s="186"/>
      <c r="Y75" s="186"/>
      <c r="Z75" s="186"/>
      <c r="AA75" s="186"/>
      <c r="AB75" s="186"/>
      <c r="AC75" s="186"/>
      <c r="AD75" s="186"/>
      <c r="AE75" s="186"/>
      <c r="AF75" s="186"/>
      <c r="AG75" s="186"/>
      <c r="AH75" s="186"/>
      <c r="AI75" s="186"/>
      <c r="AJ75" s="186"/>
      <c r="AK75" s="186"/>
      <c r="AL75" s="186"/>
      <c r="AM75" s="186"/>
      <c r="AN75" s="186"/>
      <c r="AO75" s="186"/>
      <c r="AP75" s="186"/>
      <c r="AQ75" s="186"/>
      <c r="AR75" s="186"/>
      <c r="AS75" s="186"/>
      <c r="AT75" s="186"/>
      <c r="AU75" s="186"/>
      <c r="AV75" s="186"/>
      <c r="AW75" s="186"/>
      <c r="AX75" s="186"/>
      <c r="AY75" s="186"/>
      <c r="AZ75" s="186"/>
      <c r="BA75" s="186"/>
    </row>
    <row r="76" spans="2:53">
      <c r="B76" s="238"/>
      <c r="C76" s="224"/>
      <c r="D76" s="224"/>
      <c r="E76" s="224"/>
      <c r="F76" s="224"/>
      <c r="G76" s="224"/>
      <c r="H76" s="224"/>
      <c r="I76" s="224"/>
      <c r="J76" s="225"/>
      <c r="K76" s="238"/>
      <c r="L76" s="224"/>
      <c r="M76" s="224"/>
      <c r="N76" s="224"/>
      <c r="O76" s="224"/>
      <c r="P76" s="224"/>
      <c r="Q76" s="224"/>
      <c r="R76" s="225"/>
      <c r="T76" s="68"/>
      <c r="U76" s="157"/>
      <c r="V76" s="138"/>
      <c r="W76" s="158"/>
      <c r="X76" s="156"/>
      <c r="Y76" s="159"/>
      <c r="Z76" s="138"/>
      <c r="AA76" s="138"/>
      <c r="AB76" s="138"/>
      <c r="AC76" s="138"/>
      <c r="AD76" s="175"/>
      <c r="AE76" s="187" t="s">
        <v>293</v>
      </c>
      <c r="AF76" s="139"/>
      <c r="AG76" s="139"/>
      <c r="AH76" s="139"/>
      <c r="AI76" s="139"/>
      <c r="AJ76" s="175"/>
      <c r="AK76" s="174"/>
      <c r="AL76" s="174"/>
      <c r="AM76" s="174"/>
      <c r="AN76" s="174"/>
      <c r="AO76" s="175"/>
      <c r="AP76" s="174"/>
      <c r="AQ76" s="174"/>
      <c r="AR76" s="175"/>
      <c r="AS76" s="186"/>
      <c r="AT76" s="186"/>
      <c r="AU76" s="186"/>
      <c r="AV76" s="186"/>
      <c r="AW76" s="186"/>
      <c r="AX76" s="186"/>
      <c r="AY76" s="186"/>
      <c r="AZ76" s="186"/>
      <c r="BA76" s="186"/>
    </row>
    <row r="77" spans="2:53">
      <c r="B77" s="240" t="str" cm="1">
        <f t="array" ref="B77:B86">+_xlfn.UNIQUE(TRANSPOSE(_xlfn.TEXTSPLIT(_xlfn.TEXTJOIN(",",1,_xlfn.ANCHORARRAY(ENMX!J52),_xlfn.ANCHORARRAY(RTMX!K59),_xlfn.ANCHORARRAY(SIFM!J61),_xlfn.ANCHORARRAY(TMEX6!J37),_xlfn.ANCHORARRAY(GFIM!J44),_xlfn.ANCHORARRAY(MEI!J35),_xlfn.ANCHORARRAY(VAR!J32),_xlfn.ANCHORARRAY(SIPO!J35)),",")))</f>
        <v>nv23</v>
      </c>
      <c r="C77" s="83" t="str" cm="1">
        <f t="array" ref="C77:C86">+IFERROR(VLOOKUP(_xlfn.ANCHORARRAY($B77),ENMX_UDI,2,FALSE),"")</f>
        <v/>
      </c>
      <c r="D77" s="83" t="str" cm="1">
        <f t="array" ref="D77:D86">+IFERROR(VLOOKUP(_xlfn.ANCHORARRAY($B77),RTMX_UDI,2,FALSE),"")</f>
        <v/>
      </c>
      <c r="E77" s="83" t="str" cm="1">
        <f t="array" ref="E77:E86">+IFERROR(VLOOKUP(_xlfn.ANCHORARRAY($B77),SIF_UDI,2,FALSE),"")</f>
        <v/>
      </c>
      <c r="F77" s="83" t="str" cm="1">
        <f t="array" ref="F77:F86">+IFERROR(VLOOKUP(_xlfn.ANCHORARRAY($B77),TMEX_UDI,2,FALSE),"")</f>
        <v/>
      </c>
      <c r="G77" s="83" t="str" cm="1">
        <f t="array" ref="G77:G86">+IFERROR(VLOOKUP(_xlfn.ANCHORARRAY($B77),GFI_UDI,2,FALSE),"")</f>
        <v xml:space="preserve">    </v>
      </c>
      <c r="H77" s="83" t="str" cm="1">
        <f t="array" ref="H77:H86">+IFERROR(VLOOKUP(_xlfn.ANCHORARRAY($B77),MEI_UDI,2,FALSE),"")</f>
        <v/>
      </c>
      <c r="I77" s="83" t="str" cm="1">
        <f t="array" ref="I77:I86">+IFERROR(VLOOKUP(_xlfn.ANCHORARRAY($B77),VAR_UDI,2,FALSE),"")</f>
        <v/>
      </c>
      <c r="J77" s="232" t="str" cm="1">
        <f t="array" ref="J77:J86">+IFERROR(VLOOKUP(_xlfn.ANCHORARRAY($B77),SIPO_UDI,2,FALSE),"")</f>
        <v/>
      </c>
      <c r="K77" s="83" t="str" cm="1">
        <f t="array" ref="K77:K86">+IFERROR(VLOOKUP(_xlfn.ANCHORARRAY($B77),ENMX_UDI,3,FALSE),"")</f>
        <v/>
      </c>
      <c r="L77" s="83" t="str" cm="1">
        <f t="array" ref="L77:L86">+IFERROR(VLOOKUP(_xlfn.ANCHORARRAY($B77),RTMX_UDI,3,FALSE),"")</f>
        <v/>
      </c>
      <c r="M77" s="83" t="str" cm="1">
        <f t="array" ref="M77:M86">+IFERROR(VLOOKUP(_xlfn.ANCHORARRAY($B77),SIF_UDI,3,FALSE),"")</f>
        <v/>
      </c>
      <c r="N77" s="83" t="str" cm="1">
        <f t="array" ref="N77:N86">+IFERROR(VLOOKUP(_xlfn.ANCHORARRAY($B77),TMEX_UDI,3,FALSE),"")</f>
        <v/>
      </c>
      <c r="O77" s="83" t="str" cm="1">
        <f t="array" ref="O77:O86">+IFERROR(VLOOKUP(_xlfn.ANCHORARRAY($B77),GFI_UDI,3,FALSE),"")</f>
        <v xml:space="preserve">    </v>
      </c>
      <c r="P77" s="83" t="str" cm="1">
        <f t="array" ref="P77:P86">+IFERROR(VLOOKUP(_xlfn.ANCHORARRAY($B77),MEI_UDI,3,FALSE),"")</f>
        <v/>
      </c>
      <c r="Q77" s="83" t="str" cm="1">
        <f t="array" ref="Q77:Q86">+IFERROR(VLOOKUP(_xlfn.ANCHORARRAY($B77),VAR_UDI,3,FALSE),"")</f>
        <v/>
      </c>
      <c r="R77" s="232" t="str" cm="1">
        <f t="array" ref="R77:R86">+IFERROR(VLOOKUP(_xlfn.ANCHORARRAY($B77),SIPO_UDI,3,FALSE),"")</f>
        <v/>
      </c>
      <c r="T77" s="68"/>
      <c r="U77" s="180"/>
      <c r="V77" s="8"/>
      <c r="W77" s="251" t="s">
        <v>423</v>
      </c>
      <c r="X77" s="257"/>
      <c r="Y77" s="14"/>
      <c r="Z77" s="8"/>
      <c r="AA77" s="6"/>
      <c r="AB77" s="17"/>
      <c r="AC77" s="8"/>
      <c r="AD77" s="201"/>
      <c r="AE77" s="141"/>
      <c r="AF77" s="15"/>
      <c r="AG77" s="15" t="s">
        <v>14</v>
      </c>
      <c r="AH77" s="15" t="s">
        <v>15</v>
      </c>
      <c r="AI77" s="219" t="s">
        <v>17</v>
      </c>
      <c r="AJ77" s="201"/>
      <c r="AK77" s="255" t="s">
        <v>296</v>
      </c>
      <c r="AL77" s="15"/>
      <c r="AM77" s="15"/>
      <c r="AN77" s="15"/>
      <c r="AO77" s="192"/>
      <c r="AP77" s="255" t="s">
        <v>296</v>
      </c>
      <c r="AQ77" s="15"/>
      <c r="AR77" s="142"/>
      <c r="AS77" s="15"/>
      <c r="AT77" s="15"/>
      <c r="AU77" s="8"/>
      <c r="AV77" s="8"/>
      <c r="AW77" s="186"/>
      <c r="AX77" s="186"/>
      <c r="AY77" s="186"/>
      <c r="AZ77" s="186"/>
      <c r="BA77" s="186"/>
    </row>
    <row r="78" spans="2:53">
      <c r="B78" s="240" t="str">
        <v>dc25</v>
      </c>
      <c r="C78" s="83" t="str">
        <v/>
      </c>
      <c r="D78" s="83">
        <v>5.67</v>
      </c>
      <c r="E78" s="83" t="str">
        <v/>
      </c>
      <c r="F78" s="83" t="str">
        <v/>
      </c>
      <c r="G78" s="83" t="str">
        <v xml:space="preserve">    </v>
      </c>
      <c r="H78" s="83" t="str">
        <v/>
      </c>
      <c r="I78" s="83" t="str">
        <v/>
      </c>
      <c r="J78" s="232" t="str">
        <v/>
      </c>
      <c r="K78" s="244" t="str">
        <v/>
      </c>
      <c r="L78" s="245">
        <v>5.47</v>
      </c>
      <c r="M78" s="245" t="str">
        <v/>
      </c>
      <c r="N78" s="245" t="str">
        <v/>
      </c>
      <c r="O78" s="245" t="str">
        <v xml:space="preserve">    </v>
      </c>
      <c r="P78" s="245" t="str">
        <v/>
      </c>
      <c r="Q78" s="245" t="str">
        <v/>
      </c>
      <c r="R78" s="246" t="str">
        <v/>
      </c>
      <c r="T78" s="68"/>
      <c r="U78" s="141" t="s">
        <v>13</v>
      </c>
      <c r="V78" s="296"/>
      <c r="W78" s="186"/>
      <c r="X78" s="18" t="s">
        <v>14</v>
      </c>
      <c r="Y78" s="15" t="s">
        <v>15</v>
      </c>
      <c r="Z78" s="221" t="s">
        <v>277</v>
      </c>
      <c r="AA78" s="219" t="s">
        <v>17</v>
      </c>
      <c r="AB78" s="15" t="s">
        <v>18</v>
      </c>
      <c r="AC78" s="15" t="s">
        <v>13</v>
      </c>
      <c r="AD78" s="201"/>
      <c r="AE78" s="188">
        <v>31</v>
      </c>
      <c r="AF78" s="256">
        <v>35</v>
      </c>
      <c r="AG78" s="67">
        <f t="shared" ref="AG78:AG89" si="75">IFERROR(VLOOKUP(AF78,$V$100:$AA$111,3,0)-VLOOKUP(AE78,$V$100:$AA$111,4,0),"")</f>
        <v>2.0000000000000462E-2</v>
      </c>
      <c r="AH78" s="13">
        <f t="shared" ref="AH78:AH88" si="76">IFERROR(VLOOKUP(AF78,$V$100:$AA$111,4,0)-VLOOKUP(AE78,$V$100:$AA$111,3,0),"")</f>
        <v>-0.37999999999999989</v>
      </c>
      <c r="AI78" s="211">
        <f t="shared" ref="AI78:AI88" si="77">_xlfn.IFNA((VLOOKUP(AF78,$V$100:$AA$111,6,0)-VLOOKUP(AE78,$V$100:$AA$111,6,0))*100,"")</f>
        <v>-4.9999999999999822</v>
      </c>
      <c r="AJ78" s="201"/>
      <c r="AK78" s="15" t="s">
        <v>275</v>
      </c>
      <c r="AL78" s="15" t="s">
        <v>14</v>
      </c>
      <c r="AM78" s="15" t="s">
        <v>15</v>
      </c>
      <c r="AN78" s="221" t="s">
        <v>21</v>
      </c>
      <c r="AO78" s="192"/>
      <c r="AP78" s="15" t="s">
        <v>275</v>
      </c>
      <c r="AQ78" s="15" t="s">
        <v>18</v>
      </c>
      <c r="AR78" s="222" t="s">
        <v>277</v>
      </c>
      <c r="AS78" s="8"/>
      <c r="AT78" s="15"/>
      <c r="AU78" s="15"/>
      <c r="AV78" s="8"/>
      <c r="AW78" s="186"/>
      <c r="AX78" s="186"/>
      <c r="AY78" s="186"/>
      <c r="AZ78" s="186"/>
      <c r="BA78" s="186"/>
    </row>
    <row r="79" spans="2:53">
      <c r="B79" s="240" t="str">
        <v>dc26</v>
      </c>
      <c r="C79" s="83" t="str">
        <v/>
      </c>
      <c r="D79" s="83">
        <v>5.47</v>
      </c>
      <c r="E79" s="83" t="str">
        <v/>
      </c>
      <c r="F79" s="83" t="str">
        <v/>
      </c>
      <c r="G79" s="83" t="str">
        <v xml:space="preserve">    </v>
      </c>
      <c r="H79" s="83" t="str">
        <v/>
      </c>
      <c r="I79" s="83" t="str">
        <v/>
      </c>
      <c r="J79" s="232" t="str">
        <v/>
      </c>
      <c r="K79" s="244" t="str">
        <v/>
      </c>
      <c r="L79" s="245">
        <v>5.27</v>
      </c>
      <c r="M79" s="245" t="str">
        <v/>
      </c>
      <c r="N79" s="245" t="str">
        <v/>
      </c>
      <c r="O79" s="245" t="str">
        <v xml:space="preserve">    </v>
      </c>
      <c r="P79" s="245" t="str">
        <v/>
      </c>
      <c r="Q79" s="245" t="str">
        <v/>
      </c>
      <c r="R79" s="246" t="str">
        <v/>
      </c>
      <c r="T79" s="68"/>
      <c r="U79" s="143" t="str">
        <f ca="1">IF(X79="","",INDEX($C$2:$J$2,MATCH($X79,$C178:$J178,0)))</f>
        <v/>
      </c>
      <c r="V79" s="296" t="str" cm="1">
        <f t="array" aca="1" ref="V79:V80" ca="1">+_xlfn.ANCHORARRAY(B178)</f>
        <v>3-6-9</v>
      </c>
      <c r="W79" s="8" t="str" cm="1">
        <f t="array" aca="1" ref="W79:W80" ca="1">+VLOOKUP(_xlfn.ANCHORARRAY(V79),FLIES_NAME,2,FALSE)</f>
        <v>3M-6M-9M</v>
      </c>
      <c r="X79" s="259" t="str">
        <f ca="1">+IF(MAX(C178:G178)=0,"",MAX(C178:G178))</f>
        <v/>
      </c>
      <c r="Y79" s="259">
        <f ca="1">+IF(MIN(K178:O178)=0,"",MIN(K178:O178))</f>
        <v>12</v>
      </c>
      <c r="Z79" s="19" t="str">
        <f ca="1">IFERROR((AB79-AA79),"")</f>
        <v/>
      </c>
      <c r="AA79" s="298" cm="1">
        <f t="array" aca="1" ref="AA79:AA80" ca="1">(2*VLOOKUP(VLOOKUP(_xlfn.ANCHORARRAY(W79),_xlfn.ANCHORARRAY(Flies!A2):_xlfn.ANCHORARRAY(Flies!B2):_xlfn.ANCHORARRAY(Flies!C2):_xlfn.ANCHORARRAY(Flies!D2):_xlfn.ANCHORARRAY(Flies!E2):_xlfn.ANCHORARRAY(Flies!F2):'Flies'!G2,6,FALSE),BEST!$V$28:$AC$41,6,FALSE)-VLOOKUP(VLOOKUP(_xlfn.ANCHORARRAY(W79),_xlfn.ANCHORARRAY(Flies!A2):_xlfn.ANCHORARRAY(Flies!B2):_xlfn.ANCHORARRAY(Flies!C2):_xlfn.ANCHORARRAY(Flies!D2):_xlfn.ANCHORARRAY(Flies!E2):_xlfn.ANCHORARRAY(Flies!F2):'Flies'!G2,5,FALSE),BEST!$V$28:$AC$41,6,FALSE)-VLOOKUP(VLOOKUP(_xlfn.ANCHORARRAY(W79),_xlfn.ANCHORARRAY(Flies!A2):_xlfn.ANCHORARRAY(Flies!B2):_xlfn.ANCHORARRAY(Flies!C2):_xlfn.ANCHORARRAY(Flies!D2):_xlfn.ANCHORARRAY(Flies!E2):_xlfn.ANCHORARRAY(Flies!F2):'Flies'!G2,7,FALSE),BEST!$V$28:$AC$41,6,FALSE))*100</f>
        <v>4.0000000000000924</v>
      </c>
      <c r="AB79" s="17" t="str">
        <f t="shared" ref="AB79:AB93" ca="1" si="78">IFERROR(((X79+Y79)/2),"")</f>
        <v/>
      </c>
      <c r="AC79" s="13" t="str">
        <f ca="1">IF(Y79="","",INDEX($C$2:$J$2,MATCH($Y79,$K178:$R178,0)))</f>
        <v>TMEX</v>
      </c>
      <c r="AD79" s="201"/>
      <c r="AE79" s="188">
        <v>46</v>
      </c>
      <c r="AF79" s="256">
        <v>50</v>
      </c>
      <c r="AG79" s="67">
        <f t="shared" si="75"/>
        <v>0.22999999999999954</v>
      </c>
      <c r="AH79" s="13">
        <f t="shared" si="76"/>
        <v>-0.16999999999999993</v>
      </c>
      <c r="AI79" s="211">
        <f t="shared" si="77"/>
        <v>4.0000000000000036</v>
      </c>
      <c r="AJ79" s="201"/>
      <c r="AK79" s="9" t="e" cm="1">
        <f t="array" ref="AK79">+_xlfn.ANCHORARRAY(#REF!)</f>
        <v>#REF!</v>
      </c>
      <c r="AL79" s="252">
        <v>6.9</v>
      </c>
      <c r="AM79" s="252">
        <v>6.77</v>
      </c>
      <c r="AN79" s="19">
        <f t="shared" ref="AN79:AN88" si="79">IFERROR((((AL79+AM79)/2)-AA100)*100,"")</f>
        <v>683.5</v>
      </c>
      <c r="AO79" s="192"/>
      <c r="AP79" s="9" t="e" cm="1">
        <f t="array" ref="AP79">+_xlfn.ANCHORARRAY(AK79)</f>
        <v>#REF!</v>
      </c>
      <c r="AQ79" s="252">
        <f t="shared" ref="AQ79:AQ87" si="80">+IFERROR(((AL79+AM79)/2),"")</f>
        <v>6.835</v>
      </c>
      <c r="AR79" s="178">
        <f>+AN79</f>
        <v>683.5</v>
      </c>
      <c r="AS79" s="8"/>
      <c r="AT79" s="9"/>
      <c r="AU79" s="247"/>
      <c r="AV79" s="203"/>
      <c r="AW79" s="186"/>
      <c r="AX79" s="186"/>
      <c r="AY79" s="186"/>
      <c r="AZ79" s="186"/>
      <c r="BA79" s="186"/>
    </row>
    <row r="80" spans="2:53">
      <c r="B80" s="240" t="str">
        <v>nv28</v>
      </c>
      <c r="C80" s="83" t="str">
        <v/>
      </c>
      <c r="D80" s="83">
        <v>4.68</v>
      </c>
      <c r="E80" s="83" t="str">
        <v/>
      </c>
      <c r="F80" s="83" t="str">
        <v/>
      </c>
      <c r="G80" s="83" t="str">
        <v xml:space="preserve">    </v>
      </c>
      <c r="H80" s="83" t="str">
        <v/>
      </c>
      <c r="I80" s="83" t="str">
        <v/>
      </c>
      <c r="J80" s="232" t="str">
        <v/>
      </c>
      <c r="K80" s="244" t="str">
        <v/>
      </c>
      <c r="L80" s="245">
        <v>4.4800000000000004</v>
      </c>
      <c r="M80" s="245" t="str">
        <v/>
      </c>
      <c r="N80" s="245" t="str">
        <v/>
      </c>
      <c r="O80" s="245" t="str">
        <v xml:space="preserve">    </v>
      </c>
      <c r="P80" s="245" t="str">
        <v/>
      </c>
      <c r="Q80" s="245" t="str">
        <v/>
      </c>
      <c r="R80" s="246" t="str">
        <v/>
      </c>
      <c r="T80" s="68"/>
      <c r="U80" s="143" t="str">
        <f t="shared" ref="U80:U95" ca="1" si="81">IF(X80="","",INDEX($C$2:$J$2,MATCH($X80,$C179:$J179,0)))</f>
        <v>TMEX</v>
      </c>
      <c r="V80" s="296" t="str">
        <f ca="1"/>
        <v>13-26-39</v>
      </c>
      <c r="W80" s="8" t="str">
        <f ca="1"/>
        <v>1Y-2Y-3Y</v>
      </c>
      <c r="X80" s="259">
        <f t="shared" ref="X80:X90" ca="1" si="82">+IF(MAX(C179:G179)=0,"",MAX(C179:G179))</f>
        <v>-57</v>
      </c>
      <c r="Y80" s="259">
        <f t="shared" ref="Y80:Y90" ca="1" si="83">+IF(MIN(K179:O179)=0,"",MIN(K179:O179))</f>
        <v>-51</v>
      </c>
      <c r="Z80" s="19">
        <f t="shared" ref="Z80:Z93" ca="1" si="84">IFERROR((AB80-AA80),"")</f>
        <v>-13.000000000000163</v>
      </c>
      <c r="AA80" s="211">
        <f ca="1"/>
        <v>-40.999999999999837</v>
      </c>
      <c r="AB80" s="17">
        <f t="shared" ca="1" si="78"/>
        <v>-54</v>
      </c>
      <c r="AC80" s="13" t="str">
        <f t="shared" ref="AC80:AC95" ca="1" si="85">IF(Y80="","",INDEX($C$2:$J$2,MATCH($Y80,$K179:$R179,0)))</f>
        <v>TMEX</v>
      </c>
      <c r="AD80" s="201"/>
      <c r="AE80" s="188">
        <v>28</v>
      </c>
      <c r="AF80" s="256">
        <v>50</v>
      </c>
      <c r="AG80" s="67">
        <f t="shared" si="75"/>
        <v>6.9999999999999396E-2</v>
      </c>
      <c r="AH80" s="13">
        <f t="shared" si="76"/>
        <v>-0.33000000000000007</v>
      </c>
      <c r="AI80" s="211">
        <f t="shared" si="77"/>
        <v>8.0000000000000071</v>
      </c>
      <c r="AJ80" s="201"/>
      <c r="AK80" s="9"/>
      <c r="AL80" s="252">
        <v>4.78</v>
      </c>
      <c r="AM80" s="252">
        <v>4.72</v>
      </c>
      <c r="AN80" s="19">
        <f t="shared" si="79"/>
        <v>-108</v>
      </c>
      <c r="AO80" s="192"/>
      <c r="AP80" s="9"/>
      <c r="AQ80" s="252">
        <f t="shared" si="80"/>
        <v>4.75</v>
      </c>
      <c r="AR80" s="178">
        <f t="shared" ref="AR80:AR87" si="86">+AN80</f>
        <v>-108</v>
      </c>
      <c r="AS80" s="8"/>
      <c r="AT80" s="9"/>
      <c r="AU80" s="247"/>
      <c r="AV80" s="203"/>
      <c r="AW80" s="186"/>
      <c r="AX80" s="186"/>
      <c r="AY80" s="186"/>
      <c r="AZ80" s="186"/>
      <c r="BA80" s="186"/>
    </row>
    <row r="81" spans="2:53">
      <c r="B81" s="240" t="str">
        <v>nv31</v>
      </c>
      <c r="C81" s="83" t="str">
        <v/>
      </c>
      <c r="D81" s="83">
        <v>4.55</v>
      </c>
      <c r="E81" s="83" t="str">
        <v/>
      </c>
      <c r="F81" s="83" t="str">
        <v/>
      </c>
      <c r="G81" s="83" t="str">
        <v xml:space="preserve">    </v>
      </c>
      <c r="H81" s="83" t="str">
        <v/>
      </c>
      <c r="I81" s="83" t="str">
        <v/>
      </c>
      <c r="J81" s="232" t="str">
        <v/>
      </c>
      <c r="K81" s="244" t="str">
        <v/>
      </c>
      <c r="L81" s="245">
        <v>4.3499999999999996</v>
      </c>
      <c r="M81" s="245" t="str">
        <v/>
      </c>
      <c r="N81" s="245" t="str">
        <v/>
      </c>
      <c r="O81" s="245" t="str">
        <v xml:space="preserve">    </v>
      </c>
      <c r="P81" s="245" t="str">
        <v/>
      </c>
      <c r="Q81" s="245" t="str">
        <v/>
      </c>
      <c r="R81" s="246" t="str">
        <v/>
      </c>
      <c r="T81" s="68"/>
      <c r="U81" s="143" t="str">
        <f t="shared" si="81"/>
        <v/>
      </c>
      <c r="V81" s="296"/>
      <c r="W81" s="8"/>
      <c r="X81" s="259" t="str">
        <f t="shared" si="82"/>
        <v/>
      </c>
      <c r="Y81" s="259" t="str">
        <f t="shared" si="83"/>
        <v/>
      </c>
      <c r="Z81" s="19" t="str">
        <f t="shared" si="84"/>
        <v/>
      </c>
      <c r="AA81" s="211"/>
      <c r="AB81" s="17" t="str">
        <f t="shared" si="78"/>
        <v/>
      </c>
      <c r="AC81" s="13" t="str">
        <f t="shared" si="85"/>
        <v/>
      </c>
      <c r="AD81" s="201"/>
      <c r="AE81" s="188">
        <v>20</v>
      </c>
      <c r="AF81" s="256">
        <v>25</v>
      </c>
      <c r="AG81" s="67" t="str">
        <f t="shared" si="75"/>
        <v/>
      </c>
      <c r="AH81" s="13" t="str">
        <f t="shared" si="76"/>
        <v/>
      </c>
      <c r="AI81" s="211" t="str">
        <f t="shared" si="77"/>
        <v/>
      </c>
      <c r="AJ81" s="201"/>
      <c r="AK81" s="9"/>
      <c r="AL81" s="252">
        <v>4.5199999999999996</v>
      </c>
      <c r="AM81" s="252">
        <v>4.43</v>
      </c>
      <c r="AN81" s="19">
        <f t="shared" si="79"/>
        <v>-85.500000000000043</v>
      </c>
      <c r="AO81" s="192"/>
      <c r="AP81" s="9"/>
      <c r="AQ81" s="252">
        <f t="shared" si="80"/>
        <v>4.4749999999999996</v>
      </c>
      <c r="AR81" s="178">
        <f t="shared" si="86"/>
        <v>-85.500000000000043</v>
      </c>
      <c r="AS81" s="8"/>
      <c r="AT81" s="9"/>
      <c r="AU81" s="247"/>
      <c r="AV81" s="203"/>
      <c r="AW81" s="186"/>
      <c r="AX81" s="186"/>
      <c r="AY81" s="186"/>
      <c r="AZ81" s="186"/>
      <c r="BA81" s="186"/>
    </row>
    <row r="82" spans="2:53">
      <c r="B82" s="240" t="str">
        <v>nv35</v>
      </c>
      <c r="C82" s="83" t="str">
        <v/>
      </c>
      <c r="D82" s="83">
        <v>4.37</v>
      </c>
      <c r="E82" s="83" t="str">
        <v/>
      </c>
      <c r="F82" s="83" t="str">
        <v/>
      </c>
      <c r="G82" s="83" t="str">
        <v xml:space="preserve">    </v>
      </c>
      <c r="H82" s="83" t="str">
        <v/>
      </c>
      <c r="I82" s="83" t="str">
        <v/>
      </c>
      <c r="J82" s="232" t="str">
        <v/>
      </c>
      <c r="K82" s="244" t="str">
        <v/>
      </c>
      <c r="L82" s="245">
        <v>4.17</v>
      </c>
      <c r="M82" s="245" t="str">
        <v/>
      </c>
      <c r="N82" s="245" t="str">
        <v/>
      </c>
      <c r="O82" s="245" t="str">
        <v xml:space="preserve">    </v>
      </c>
      <c r="P82" s="245" t="str">
        <v/>
      </c>
      <c r="Q82" s="245" t="str">
        <v/>
      </c>
      <c r="R82" s="246" t="str">
        <v/>
      </c>
      <c r="T82" s="68"/>
      <c r="U82" s="143" t="str">
        <f t="shared" si="81"/>
        <v/>
      </c>
      <c r="V82" s="296"/>
      <c r="W82" s="8"/>
      <c r="X82" s="259" t="str">
        <f t="shared" si="82"/>
        <v/>
      </c>
      <c r="Y82" s="259" t="str">
        <f t="shared" si="83"/>
        <v/>
      </c>
      <c r="Z82" s="19" t="str">
        <f t="shared" si="84"/>
        <v/>
      </c>
      <c r="AA82" s="211"/>
      <c r="AB82" s="17" t="str">
        <f t="shared" si="78"/>
        <v/>
      </c>
      <c r="AC82" s="13" t="str">
        <f t="shared" si="85"/>
        <v/>
      </c>
      <c r="AD82" s="201"/>
      <c r="AE82" s="188">
        <v>22</v>
      </c>
      <c r="AF82" s="256">
        <v>25</v>
      </c>
      <c r="AG82" s="67" t="str">
        <f t="shared" si="75"/>
        <v/>
      </c>
      <c r="AH82" s="13" t="str">
        <f t="shared" si="76"/>
        <v/>
      </c>
      <c r="AI82" s="211" t="str">
        <f t="shared" si="77"/>
        <v/>
      </c>
      <c r="AJ82" s="201"/>
      <c r="AK82" s="9"/>
      <c r="AL82" s="252">
        <v>4.18</v>
      </c>
      <c r="AM82" s="252">
        <v>4.09</v>
      </c>
      <c r="AN82" s="19">
        <f t="shared" si="79"/>
        <v>-50.499999999999986</v>
      </c>
      <c r="AO82" s="192"/>
      <c r="AP82" s="9"/>
      <c r="AQ82" s="252">
        <f t="shared" si="80"/>
        <v>4.1349999999999998</v>
      </c>
      <c r="AR82" s="178">
        <f t="shared" si="86"/>
        <v>-50.499999999999986</v>
      </c>
      <c r="AS82" s="8"/>
      <c r="AT82" s="9"/>
      <c r="AU82" s="247"/>
      <c r="AV82" s="203"/>
      <c r="AW82" s="186"/>
      <c r="AX82" s="186"/>
      <c r="AY82" s="186"/>
      <c r="AZ82" s="186"/>
      <c r="BA82" s="186"/>
    </row>
    <row r="83" spans="2:53">
      <c r="B83" s="240" t="str">
        <v>nv40</v>
      </c>
      <c r="C83" s="83" t="str">
        <v/>
      </c>
      <c r="D83" s="83">
        <v>4.4400000000000004</v>
      </c>
      <c r="E83" s="83" t="str">
        <v/>
      </c>
      <c r="F83" s="83" t="str">
        <v/>
      </c>
      <c r="G83" s="83" t="str">
        <v xml:space="preserve">    </v>
      </c>
      <c r="H83" s="83" t="str">
        <v/>
      </c>
      <c r="I83" s="83" t="str">
        <v/>
      </c>
      <c r="J83" s="232" t="str">
        <v/>
      </c>
      <c r="K83" s="244" t="str">
        <v/>
      </c>
      <c r="L83" s="245">
        <v>4.24</v>
      </c>
      <c r="M83" s="245" t="str">
        <v/>
      </c>
      <c r="N83" s="245" t="str">
        <v/>
      </c>
      <c r="O83" s="245" t="str">
        <v xml:space="preserve">    </v>
      </c>
      <c r="P83" s="245" t="str">
        <v/>
      </c>
      <c r="Q83" s="245" t="str">
        <v/>
      </c>
      <c r="R83" s="246" t="str">
        <v/>
      </c>
      <c r="T83" s="68"/>
      <c r="U83" s="143" t="str">
        <f t="shared" si="81"/>
        <v/>
      </c>
      <c r="V83" s="296"/>
      <c r="W83" s="8"/>
      <c r="X83" s="259" t="str">
        <f t="shared" si="82"/>
        <v/>
      </c>
      <c r="Y83" s="259" t="str">
        <f t="shared" si="83"/>
        <v/>
      </c>
      <c r="Z83" s="19" t="str">
        <f t="shared" si="84"/>
        <v/>
      </c>
      <c r="AA83" s="211"/>
      <c r="AB83" s="17" t="str">
        <f t="shared" si="78"/>
        <v/>
      </c>
      <c r="AC83" s="13" t="str">
        <f t="shared" si="85"/>
        <v/>
      </c>
      <c r="AD83" s="201"/>
      <c r="AE83" s="188"/>
      <c r="AF83" s="256"/>
      <c r="AG83" s="67" t="str">
        <f t="shared" si="75"/>
        <v/>
      </c>
      <c r="AH83" s="13" t="str">
        <f t="shared" si="76"/>
        <v/>
      </c>
      <c r="AI83" s="211" t="str">
        <f t="shared" si="77"/>
        <v/>
      </c>
      <c r="AJ83" s="201"/>
      <c r="AK83" s="9"/>
      <c r="AL83" s="252">
        <v>4.05</v>
      </c>
      <c r="AM83" s="252">
        <v>3.98</v>
      </c>
      <c r="AN83" s="19">
        <f t="shared" si="79"/>
        <v>-79.5</v>
      </c>
      <c r="AO83" s="192"/>
      <c r="AP83" s="9"/>
      <c r="AQ83" s="252">
        <f t="shared" si="80"/>
        <v>4.0149999999999997</v>
      </c>
      <c r="AR83" s="178">
        <f t="shared" si="86"/>
        <v>-79.5</v>
      </c>
      <c r="AS83" s="8"/>
      <c r="AT83" s="9"/>
      <c r="AU83" s="247"/>
      <c r="AV83" s="203"/>
      <c r="AW83" s="186"/>
      <c r="AX83" s="186"/>
      <c r="AY83" s="186"/>
      <c r="AZ83" s="186"/>
      <c r="BA83" s="186"/>
    </row>
    <row r="84" spans="2:53">
      <c r="B84" s="240" t="str">
        <v>nv43</v>
      </c>
      <c r="C84" s="83" t="str">
        <v/>
      </c>
      <c r="D84" s="83">
        <v>4.53</v>
      </c>
      <c r="E84" s="83" t="str">
        <v/>
      </c>
      <c r="F84" s="83" t="str">
        <v/>
      </c>
      <c r="G84" s="83" t="str">
        <v xml:space="preserve">    </v>
      </c>
      <c r="H84" s="83" t="str">
        <v/>
      </c>
      <c r="I84" s="83" t="str">
        <v/>
      </c>
      <c r="J84" s="232" t="str">
        <v/>
      </c>
      <c r="K84" s="244" t="str">
        <v/>
      </c>
      <c r="L84" s="245">
        <v>4.33</v>
      </c>
      <c r="M84" s="245" t="str">
        <v/>
      </c>
      <c r="N84" s="245" t="str">
        <v/>
      </c>
      <c r="O84" s="245" t="str">
        <v xml:space="preserve">    </v>
      </c>
      <c r="P84" s="245" t="str">
        <v/>
      </c>
      <c r="Q84" s="245" t="str">
        <v/>
      </c>
      <c r="R84" s="246" t="str">
        <v/>
      </c>
      <c r="T84" s="68"/>
      <c r="U84" s="143" t="str">
        <f t="shared" si="81"/>
        <v/>
      </c>
      <c r="V84" s="296"/>
      <c r="W84" s="8"/>
      <c r="X84" s="259" t="str">
        <f t="shared" si="82"/>
        <v/>
      </c>
      <c r="Y84" s="259" t="str">
        <f t="shared" si="83"/>
        <v/>
      </c>
      <c r="Z84" s="19" t="str">
        <f t="shared" si="84"/>
        <v/>
      </c>
      <c r="AA84" s="211"/>
      <c r="AB84" s="17" t="str">
        <f t="shared" si="78"/>
        <v/>
      </c>
      <c r="AC84" s="13" t="str">
        <f t="shared" si="85"/>
        <v/>
      </c>
      <c r="AD84" s="201"/>
      <c r="AE84" s="188">
        <v>25</v>
      </c>
      <c r="AF84" s="256">
        <v>40</v>
      </c>
      <c r="AG84" s="67">
        <f t="shared" si="75"/>
        <v>-1.0299999999999994</v>
      </c>
      <c r="AH84" s="13">
        <f t="shared" si="76"/>
        <v>-1.4299999999999997</v>
      </c>
      <c r="AI84" s="211">
        <f t="shared" si="77"/>
        <v>-107.00000000000003</v>
      </c>
      <c r="AJ84" s="201"/>
      <c r="AK84" s="9"/>
      <c r="AL84" s="252">
        <v>4.08</v>
      </c>
      <c r="AM84" s="252">
        <v>4.01</v>
      </c>
      <c r="AN84" s="19">
        <f t="shared" si="79"/>
        <v>-71.499999999999986</v>
      </c>
      <c r="AO84" s="192"/>
      <c r="AP84" s="9"/>
      <c r="AQ84" s="252">
        <f t="shared" si="80"/>
        <v>4.0449999999999999</v>
      </c>
      <c r="AR84" s="178">
        <f t="shared" si="86"/>
        <v>-71.499999999999986</v>
      </c>
      <c r="AS84" s="8"/>
      <c r="AT84" s="9"/>
      <c r="AU84" s="247"/>
      <c r="AV84" s="203"/>
      <c r="AW84" s="186"/>
      <c r="AX84" s="186"/>
      <c r="AY84" s="186"/>
      <c r="AZ84" s="186"/>
      <c r="BA84" s="186"/>
    </row>
    <row r="85" spans="2:53">
      <c r="B85" s="240" t="str">
        <v>nv46</v>
      </c>
      <c r="C85" s="83" t="str">
        <v/>
      </c>
      <c r="D85" s="83">
        <v>4.5199999999999996</v>
      </c>
      <c r="E85" s="83" t="str">
        <v/>
      </c>
      <c r="F85" s="83" t="str">
        <v/>
      </c>
      <c r="G85" s="83" t="str">
        <v xml:space="preserve">    </v>
      </c>
      <c r="H85" s="83" t="str">
        <v/>
      </c>
      <c r="I85" s="83" t="str">
        <v/>
      </c>
      <c r="J85" s="232" t="str">
        <v/>
      </c>
      <c r="K85" s="244" t="str">
        <v/>
      </c>
      <c r="L85" s="245">
        <v>4.32</v>
      </c>
      <c r="M85" s="245" t="str">
        <v/>
      </c>
      <c r="N85" s="245" t="str">
        <v/>
      </c>
      <c r="O85" s="245" t="str">
        <v xml:space="preserve">    </v>
      </c>
      <c r="P85" s="245" t="str">
        <v/>
      </c>
      <c r="Q85" s="245" t="str">
        <v/>
      </c>
      <c r="R85" s="246" t="str">
        <v/>
      </c>
      <c r="T85" s="68"/>
      <c r="U85" s="143" t="str">
        <f t="shared" si="81"/>
        <v/>
      </c>
      <c r="V85" s="296"/>
      <c r="W85" s="8"/>
      <c r="X85" s="259" t="str">
        <f t="shared" si="82"/>
        <v/>
      </c>
      <c r="Y85" s="259" t="str">
        <f t="shared" si="83"/>
        <v/>
      </c>
      <c r="Z85" s="19" t="str">
        <f t="shared" si="84"/>
        <v/>
      </c>
      <c r="AA85" s="211"/>
      <c r="AB85" s="17" t="str">
        <f t="shared" si="78"/>
        <v/>
      </c>
      <c r="AC85" s="13" t="str">
        <f t="shared" si="85"/>
        <v/>
      </c>
      <c r="AD85" s="201"/>
      <c r="AE85" s="141" t="s">
        <v>294</v>
      </c>
      <c r="AF85" s="8"/>
      <c r="AG85" s="67" t="str">
        <f t="shared" si="75"/>
        <v/>
      </c>
      <c r="AH85" s="13" t="str">
        <f t="shared" si="76"/>
        <v/>
      </c>
      <c r="AI85" s="211" t="str">
        <f t="shared" si="77"/>
        <v/>
      </c>
      <c r="AJ85" s="201"/>
      <c r="AK85" s="9"/>
      <c r="AL85" s="252">
        <v>4.07</v>
      </c>
      <c r="AM85" s="252">
        <v>4.0199999999999996</v>
      </c>
      <c r="AN85" s="19">
        <f t="shared" si="79"/>
        <v>-71.499999999999986</v>
      </c>
      <c r="AO85" s="192"/>
      <c r="AP85" s="9"/>
      <c r="AQ85" s="252">
        <f t="shared" si="80"/>
        <v>4.0449999999999999</v>
      </c>
      <c r="AR85" s="178">
        <f t="shared" si="86"/>
        <v>-71.499999999999986</v>
      </c>
      <c r="AS85" s="8"/>
      <c r="AT85" s="9"/>
      <c r="AU85" s="247"/>
      <c r="AV85" s="203"/>
      <c r="AW85" s="186"/>
      <c r="AX85" s="186"/>
      <c r="AY85" s="186"/>
      <c r="AZ85" s="186"/>
      <c r="BA85" s="186"/>
    </row>
    <row r="86" spans="2:53">
      <c r="B86" s="240" t="str">
        <v>nv50</v>
      </c>
      <c r="C86" s="83" t="str">
        <v/>
      </c>
      <c r="D86" s="83">
        <v>4.55</v>
      </c>
      <c r="E86" s="83" t="str">
        <v/>
      </c>
      <c r="F86" s="83" t="str">
        <v/>
      </c>
      <c r="G86" s="83" t="str">
        <v/>
      </c>
      <c r="H86" s="83" t="str">
        <v/>
      </c>
      <c r="I86" s="83" t="str">
        <v/>
      </c>
      <c r="J86" s="232" t="str">
        <v/>
      </c>
      <c r="K86" s="244" t="str">
        <v/>
      </c>
      <c r="L86" s="245">
        <v>4.3499999999999996</v>
      </c>
      <c r="M86" s="245" t="str">
        <v/>
      </c>
      <c r="N86" s="245" t="str">
        <v/>
      </c>
      <c r="O86" s="245" t="str">
        <v/>
      </c>
      <c r="P86" s="245" t="str">
        <v/>
      </c>
      <c r="Q86" s="245" t="str">
        <v/>
      </c>
      <c r="R86" s="246" t="str">
        <v/>
      </c>
      <c r="T86" s="68"/>
      <c r="U86" s="143" t="str">
        <f t="shared" si="81"/>
        <v/>
      </c>
      <c r="V86" s="296"/>
      <c r="W86" s="8"/>
      <c r="X86" s="259" t="str">
        <f t="shared" si="82"/>
        <v/>
      </c>
      <c r="Y86" s="259" t="str">
        <f t="shared" si="83"/>
        <v/>
      </c>
      <c r="Z86" s="19" t="str">
        <f t="shared" si="84"/>
        <v/>
      </c>
      <c r="AA86" s="211"/>
      <c r="AB86" s="17" t="str">
        <f t="shared" si="78"/>
        <v/>
      </c>
      <c r="AC86" s="13" t="str">
        <f t="shared" si="85"/>
        <v/>
      </c>
      <c r="AD86" s="201"/>
      <c r="AE86" s="180" t="s">
        <v>57</v>
      </c>
      <c r="AF86" s="8" t="s">
        <v>295</v>
      </c>
      <c r="AG86" s="67" t="str">
        <f t="shared" si="75"/>
        <v/>
      </c>
      <c r="AH86" s="13" t="str">
        <f t="shared" si="76"/>
        <v/>
      </c>
      <c r="AI86" s="211" t="str">
        <f t="shared" si="77"/>
        <v/>
      </c>
      <c r="AJ86" s="201"/>
      <c r="AK86" s="9"/>
      <c r="AL86" s="252">
        <v>4</v>
      </c>
      <c r="AM86" s="252">
        <v>3.95</v>
      </c>
      <c r="AN86" s="19">
        <f t="shared" si="79"/>
        <v>-78.499999999999972</v>
      </c>
      <c r="AO86" s="192"/>
      <c r="AP86" s="9"/>
      <c r="AQ86" s="252">
        <f t="shared" si="80"/>
        <v>3.9750000000000001</v>
      </c>
      <c r="AR86" s="178">
        <f t="shared" si="86"/>
        <v>-78.499999999999972</v>
      </c>
      <c r="AS86" s="8"/>
      <c r="AT86" s="9"/>
      <c r="AU86" s="247"/>
      <c r="AV86" s="203"/>
      <c r="AW86" s="186"/>
      <c r="AX86" s="186"/>
      <c r="AY86" s="186"/>
      <c r="AZ86" s="186"/>
      <c r="BA86" s="186"/>
    </row>
    <row r="87" spans="2:53">
      <c r="B87" s="240"/>
      <c r="J87" s="232"/>
      <c r="K87" s="240"/>
      <c r="R87" s="232"/>
      <c r="T87" s="68"/>
      <c r="U87" s="143" t="str">
        <f t="shared" si="81"/>
        <v/>
      </c>
      <c r="V87" s="296"/>
      <c r="W87" s="8"/>
      <c r="X87" s="259" t="str">
        <f t="shared" si="82"/>
        <v/>
      </c>
      <c r="Y87" s="259" t="str">
        <f t="shared" si="83"/>
        <v/>
      </c>
      <c r="Z87" s="19" t="str">
        <f t="shared" si="84"/>
        <v/>
      </c>
      <c r="AA87" s="211"/>
      <c r="AB87" s="17" t="str">
        <f t="shared" si="78"/>
        <v/>
      </c>
      <c r="AC87" s="13" t="str">
        <f t="shared" si="85"/>
        <v/>
      </c>
      <c r="AD87" s="201"/>
      <c r="AE87" s="188">
        <v>26</v>
      </c>
      <c r="AF87" s="256">
        <v>22</v>
      </c>
      <c r="AG87" s="67" t="str">
        <f t="shared" si="75"/>
        <v/>
      </c>
      <c r="AH87" s="13" t="str">
        <f t="shared" si="76"/>
        <v/>
      </c>
      <c r="AI87" s="211" t="str">
        <f t="shared" si="77"/>
        <v/>
      </c>
      <c r="AJ87" s="201"/>
      <c r="AK87" s="9"/>
      <c r="AL87" s="252">
        <v>4.05</v>
      </c>
      <c r="AM87" s="252">
        <v>3.98</v>
      </c>
      <c r="AN87" s="19">
        <f t="shared" si="79"/>
        <v>-66.5</v>
      </c>
      <c r="AO87" s="192"/>
      <c r="AP87" s="9"/>
      <c r="AQ87" s="252">
        <f t="shared" si="80"/>
        <v>4.0149999999999997</v>
      </c>
      <c r="AR87" s="178">
        <f t="shared" si="86"/>
        <v>-66.5</v>
      </c>
      <c r="AS87" s="8"/>
      <c r="AT87" s="9"/>
      <c r="AU87" s="247"/>
      <c r="AV87" s="203"/>
      <c r="AW87" s="186"/>
      <c r="AX87" s="186"/>
      <c r="AY87" s="186"/>
      <c r="AZ87" s="186"/>
      <c r="BA87" s="186"/>
    </row>
    <row r="88" spans="2:53">
      <c r="B88" s="240"/>
      <c r="J88" s="232"/>
      <c r="K88" s="240"/>
      <c r="R88" s="232"/>
      <c r="T88" s="68"/>
      <c r="U88" s="143" t="str">
        <f t="shared" si="81"/>
        <v/>
      </c>
      <c r="V88" s="296"/>
      <c r="W88" s="8"/>
      <c r="X88" s="259" t="str">
        <f t="shared" si="82"/>
        <v/>
      </c>
      <c r="Y88" s="259" t="str">
        <f t="shared" si="83"/>
        <v/>
      </c>
      <c r="Z88" s="19" t="str">
        <f t="shared" si="84"/>
        <v/>
      </c>
      <c r="AA88" s="211"/>
      <c r="AB88" s="17" t="str">
        <f t="shared" si="78"/>
        <v/>
      </c>
      <c r="AC88" s="13" t="str">
        <f t="shared" si="85"/>
        <v/>
      </c>
      <c r="AD88" s="201"/>
      <c r="AE88" s="188">
        <v>39</v>
      </c>
      <c r="AF88" s="256">
        <v>23</v>
      </c>
      <c r="AG88" s="67" t="str">
        <f t="shared" si="75"/>
        <v/>
      </c>
      <c r="AH88" s="13" t="str">
        <f t="shared" si="76"/>
        <v/>
      </c>
      <c r="AI88" s="211" t="str">
        <f t="shared" si="77"/>
        <v/>
      </c>
      <c r="AJ88" s="201"/>
      <c r="AK88" s="8"/>
      <c r="AL88" s="252">
        <v>4.05</v>
      </c>
      <c r="AM88" s="252">
        <v>3.98</v>
      </c>
      <c r="AN88" s="19">
        <f t="shared" si="79"/>
        <v>-70.5</v>
      </c>
      <c r="AO88" s="192"/>
      <c r="AP88" s="8"/>
      <c r="AQ88" s="252">
        <f t="shared" ref="AQ88" si="87">+IFERROR(((AL88+AM88)/2),"")</f>
        <v>4.0149999999999997</v>
      </c>
      <c r="AR88" s="178">
        <f t="shared" ref="AR88" si="88">+AN88</f>
        <v>-70.5</v>
      </c>
      <c r="AS88" s="8"/>
      <c r="AT88" s="9"/>
      <c r="AU88" s="247"/>
      <c r="AV88" s="203"/>
      <c r="AW88" s="186"/>
      <c r="AX88" s="186"/>
      <c r="AY88" s="186"/>
      <c r="AZ88" s="186"/>
      <c r="BA88" s="186"/>
    </row>
    <row r="89" spans="2:53">
      <c r="B89" s="240"/>
      <c r="J89" s="232"/>
      <c r="K89" s="240"/>
      <c r="R89" s="232"/>
      <c r="T89" s="68"/>
      <c r="U89" s="143" t="str">
        <f t="shared" si="81"/>
        <v/>
      </c>
      <c r="V89" s="296"/>
      <c r="W89" s="8"/>
      <c r="X89" s="259" t="str">
        <f t="shared" si="82"/>
        <v/>
      </c>
      <c r="Y89" s="259" t="str">
        <f t="shared" si="83"/>
        <v/>
      </c>
      <c r="Z89" s="19" t="str">
        <f t="shared" si="84"/>
        <v/>
      </c>
      <c r="AA89" s="211"/>
      <c r="AB89" s="17" t="str">
        <f t="shared" si="78"/>
        <v/>
      </c>
      <c r="AC89" s="13" t="str">
        <f t="shared" si="85"/>
        <v/>
      </c>
      <c r="AD89" s="201"/>
      <c r="AE89" s="200"/>
      <c r="AF89" s="186"/>
      <c r="AG89" s="67" t="str">
        <f t="shared" si="75"/>
        <v/>
      </c>
      <c r="AH89" s="186"/>
      <c r="AI89" s="186"/>
      <c r="AJ89" s="201"/>
      <c r="AK89" s="8"/>
      <c r="AL89" s="8"/>
      <c r="AM89" s="8"/>
      <c r="AN89" s="8"/>
      <c r="AO89" s="192"/>
      <c r="AP89" s="8"/>
      <c r="AQ89" s="8"/>
      <c r="AR89" s="192"/>
      <c r="AS89" s="8"/>
      <c r="AT89" s="8"/>
      <c r="AU89" s="8"/>
      <c r="AV89" s="203"/>
      <c r="AW89" s="186"/>
      <c r="AX89" s="186"/>
      <c r="AY89" s="186"/>
      <c r="AZ89" s="186"/>
      <c r="BA89" s="186"/>
    </row>
    <row r="90" spans="2:53">
      <c r="B90" s="240"/>
      <c r="R90" s="232"/>
      <c r="T90" s="68"/>
      <c r="U90" s="143" t="str">
        <f t="shared" si="81"/>
        <v/>
      </c>
      <c r="V90" s="296"/>
      <c r="W90" s="8"/>
      <c r="X90" s="259" t="str">
        <f t="shared" si="82"/>
        <v/>
      </c>
      <c r="Y90" s="259" t="str">
        <f t="shared" si="83"/>
        <v/>
      </c>
      <c r="Z90" s="19" t="str">
        <f t="shared" si="84"/>
        <v/>
      </c>
      <c r="AA90" s="211"/>
      <c r="AB90" s="17" t="str">
        <f t="shared" si="78"/>
        <v/>
      </c>
      <c r="AC90" s="13" t="str">
        <f t="shared" si="85"/>
        <v/>
      </c>
      <c r="AD90" s="201"/>
      <c r="AE90" s="200"/>
      <c r="AF90" s="186"/>
      <c r="AG90" s="186"/>
      <c r="AH90" s="186"/>
      <c r="AI90" s="186"/>
      <c r="AJ90" s="201"/>
      <c r="AK90" s="186"/>
      <c r="AL90" s="186"/>
      <c r="AM90" s="186"/>
      <c r="AN90" s="186"/>
      <c r="AO90" s="201"/>
      <c r="AP90" s="186"/>
      <c r="AQ90" s="186"/>
      <c r="AR90" s="201"/>
      <c r="AS90" s="186"/>
      <c r="AT90" s="186"/>
      <c r="AU90" s="186"/>
      <c r="AV90" s="186"/>
      <c r="AW90" s="186"/>
      <c r="AX90" s="186"/>
      <c r="AY90" s="186"/>
      <c r="AZ90" s="186"/>
      <c r="BA90" s="186"/>
    </row>
    <row r="91" spans="2:53">
      <c r="B91" s="8" t="s">
        <v>1</v>
      </c>
      <c r="C91" s="168" cm="1">
        <f t="array" aca="1" ref="C91:J91" ca="1">+TRANSPOSE(_xlfn.ANCHORARRAY(B92))</f>
        <v>3</v>
      </c>
      <c r="D91" s="168">
        <f ca="1"/>
        <v>6</v>
      </c>
      <c r="E91" s="168">
        <f ca="1"/>
        <v>9</v>
      </c>
      <c r="F91" s="168">
        <f ca="1"/>
        <v>13</v>
      </c>
      <c r="G91" s="168">
        <f ca="1"/>
        <v>26</v>
      </c>
      <c r="H91" s="168">
        <f ca="1"/>
        <v>39</v>
      </c>
      <c r="I91" s="168">
        <f ca="1"/>
        <v>52</v>
      </c>
      <c r="J91" s="168">
        <f ca="1"/>
        <v>65</v>
      </c>
      <c r="K91" s="168"/>
      <c r="L91" s="168"/>
      <c r="M91" s="168"/>
      <c r="N91" s="168"/>
      <c r="O91" s="168"/>
      <c r="P91" s="168"/>
      <c r="Q91" s="168"/>
      <c r="R91" s="8" t="s">
        <v>273</v>
      </c>
      <c r="T91" s="68"/>
      <c r="U91" s="143" t="str">
        <f t="shared" si="81"/>
        <v/>
      </c>
      <c r="V91" s="296"/>
      <c r="W91" s="8"/>
      <c r="X91" s="259" t="str">
        <f t="shared" ref="X91:X94" si="89">+IF(MAX(C190:G190)=0,"",MAX(C190:G190))</f>
        <v/>
      </c>
      <c r="Y91" s="259" t="str">
        <f t="shared" ref="Y91:Y94" si="90">+IF(MIN(K190:O190)=0,"",MIN(K190:O190))</f>
        <v/>
      </c>
      <c r="Z91" s="19" t="str">
        <f t="shared" si="84"/>
        <v/>
      </c>
      <c r="AA91" s="211"/>
      <c r="AB91" s="17" t="str">
        <f t="shared" si="78"/>
        <v/>
      </c>
      <c r="AC91" s="13" t="str">
        <f t="shared" si="85"/>
        <v/>
      </c>
      <c r="AD91" s="201"/>
      <c r="AE91" s="189"/>
      <c r="AF91" s="190"/>
      <c r="AG91" s="190"/>
      <c r="AH91" s="190"/>
      <c r="AI91" s="190"/>
      <c r="AJ91" s="191"/>
      <c r="AK91" s="190"/>
      <c r="AL91" s="190"/>
      <c r="AM91" s="190"/>
      <c r="AN91" s="190"/>
      <c r="AO91" s="191"/>
      <c r="AP91" s="190"/>
      <c r="AQ91" s="190"/>
      <c r="AR91" s="191"/>
      <c r="AS91" s="68"/>
      <c r="AT91" s="68"/>
      <c r="AU91" s="68"/>
      <c r="AV91" s="68"/>
      <c r="AW91" s="68"/>
      <c r="AX91" s="68"/>
      <c r="AY91" s="186"/>
      <c r="AZ91" s="186"/>
      <c r="BA91" s="186"/>
    </row>
    <row r="92" spans="2:53">
      <c r="B92" s="8" cm="1">
        <f t="array" aca="1" ref="B92:B99" ca="1">+_xlfn._xlws.SORT(_xlfn.UNIQUE(TRANSPOSE(VALUE(_xlfn.TEXTSPLIT(_xlfn.TEXTJOIN(",",TRUE,_xlfn.ANCHORARRAY(Spreads!$AC$2),_xlfn.ANCHORARRAY(Spreads!$AD$2)),",")))))</f>
        <v>3</v>
      </c>
      <c r="C92" s="8">
        <f ca="1">+IFERROR(VALUE(VLOOKUP(C$91,INDIRECT("V28:Y"&amp;COUNT(_xlfn.ANCHORARRAY($B$92))+28),3,FALSE)),"na")</f>
        <v>11.48</v>
      </c>
      <c r="D92" s="8" cm="1">
        <f t="array" aca="1" ref="D92" ca="1">+IFERROR(D93-VALUE(VLOOKUP($B92&amp;"-"&amp;$B93,INDIRECT("V51:Y"&amp;COUNT((FIND("-",_xlfn.ANCHORARRAY($B$51))&gt;0)*1)+51),4,FALSE))/100,"na")</f>
        <v>11.46</v>
      </c>
      <c r="E92" s="8" cm="1">
        <f t="array" aca="1" ref="E92" ca="1">+IFERROR(IF(E93&lt;&gt;"na",E93-VALUE(VLOOKUP($B92&amp;"-"&amp;$B93,INDIRECT("V51:Y"&amp;COUNT((FIND("-",_xlfn.ANCHORARRAY($B$51))&gt;0)*1)+51),4,FALSE))/100,E114-VALUE(VLOOKUP($B92&amp;"-"&amp;$B93,INDIRECT("V51:Y"&amp;COUNT((FIND("-",_xlfn.ANCHORARRAY($B$51))&gt;0)*1)+51),4,FALSE))/100),"na")</f>
        <v>11.435</v>
      </c>
      <c r="F92" s="8" cm="1">
        <f t="array" aca="1" ref="F92" ca="1">+IFERROR(IF(F93&lt;&gt;"na",F93-VALUE(VLOOKUP($B92&amp;"-"&amp;$B93,INDIRECT("V51:Y"&amp;COUNT((FIND("-",_xlfn.ANCHORARRAY($B$51))&gt;0)*1)+51),4,FALSE))/100,F114-VALUE(VLOOKUP($B92&amp;"-"&amp;$B93,INDIRECT("V51:Y"&amp;COUNT((FIND("-",_xlfn.ANCHORARRAY($B$51))&gt;0)*1)+51),4,FALSE))/100),"na")</f>
        <v>11.434999999999999</v>
      </c>
      <c r="G92" s="8" t="str" cm="1">
        <f t="array" aca="1" ref="G92" ca="1">+IFERROR(IF(G93&lt;&gt;"na",G93-VALUE(VLOOKUP($B92&amp;"-"&amp;$B93,INDIRECT("V51:Y"&amp;COUNT((FIND("-",_xlfn.ANCHORARRAY($B$51))&gt;0)*1)+51),4,FALSE))/100,G114-VALUE(VLOOKUP($B92&amp;"-"&amp;$B93,INDIRECT("V51:Y"&amp;COUNT((FIND("-",_xlfn.ANCHORARRAY($B$51))&gt;0)*1)+51),4,FALSE))/100),"na")</f>
        <v>na</v>
      </c>
      <c r="H92" s="8" t="str" cm="1">
        <f t="array" aca="1" ref="H92" ca="1">+IFERROR(IF(H93&lt;&gt;"na",H93-VALUE(VLOOKUP($B92&amp;"-"&amp;$B93,INDIRECT("V51:Y"&amp;COUNT((FIND("-",_xlfn.ANCHORARRAY($B$51))&gt;0)*1)+51),4,FALSE))/100,H114-VALUE(VLOOKUP($B92&amp;"-"&amp;$B93,INDIRECT("V51:Y"&amp;COUNT((FIND("-",_xlfn.ANCHORARRAY($B$51))&gt;0)*1)+51),4,FALSE))/100),"na")</f>
        <v>na</v>
      </c>
      <c r="I92" s="8" t="str" cm="1">
        <f t="array" aca="1" ref="I92" ca="1">+IFERROR(IF(I93&lt;&gt;"na",I93-VALUE(VLOOKUP($B92&amp;"-"&amp;$B93,INDIRECT("V51:Y"&amp;COUNT((FIND("-",_xlfn.ANCHORARRAY($B$51))&gt;0)*1)+51),4,FALSE))/100,I114-VALUE(VLOOKUP($B92&amp;"-"&amp;$B93,INDIRECT("V51:Y"&amp;COUNT((FIND("-",_xlfn.ANCHORARRAY($B$51))&gt;0)*1)+51),4,FALSE))/100),"na")</f>
        <v>na</v>
      </c>
      <c r="J92" s="8" t="str" cm="1">
        <f t="array" aca="1" ref="J92" ca="1">+IFERROR(IF(J93&lt;&gt;"na",J93-VALUE(VLOOKUP($B92&amp;"-"&amp;$B93,INDIRECT("V51:Y"&amp;COUNT((FIND("-",_xlfn.ANCHORARRAY($B$51))&gt;0)*1)+51),4,FALSE))/100,J114-VALUE(VLOOKUP($B92&amp;"-"&amp;$B93,INDIRECT("V51:Y"&amp;COUNT((FIND("-",_xlfn.ANCHORARRAY($B$51))&gt;0)*1)+51),4,FALSE))/100),"na")</f>
        <v>na</v>
      </c>
      <c r="K92" s="8" t="str" cm="1">
        <f t="array" aca="1" ref="K92" ca="1">+IFERROR(IF(K93&lt;&gt;"na",K93-VALUE(VLOOKUP($B92&amp;"-"&amp;$B93,INDIRECT("V51:Y"&amp;COUNT((FIND("-",_xlfn.ANCHORARRAY($B$51))&gt;0)*1)+51),4,FALSE))/100,K114-VALUE(VLOOKUP($B92&amp;"-"&amp;$B93,INDIRECT("V51:Y"&amp;COUNT((FIND("-",_xlfn.ANCHORARRAY($B$51))&gt;0)*1)+51),4,FALSE))/100),"na")</f>
        <v>na</v>
      </c>
      <c r="L92" s="8" t="str" cm="1">
        <f t="array" aca="1" ref="L92" ca="1">+IFERROR(IF(L93&lt;&gt;"na",L93-VALUE(VLOOKUP($B92&amp;"-"&amp;$B93,INDIRECT("V51:Y"&amp;COUNT((FIND("-",_xlfn.ANCHORARRAY($B$51))&gt;0)*1)+51),4,FALSE))/100,L114-VALUE(VLOOKUP($B92&amp;"-"&amp;$B93,INDIRECT("V51:Y"&amp;COUNT((FIND("-",_xlfn.ANCHORARRAY($B$51))&gt;0)*1)+51),4,FALSE))/100),"na")</f>
        <v>na</v>
      </c>
      <c r="M92" s="8" t="str" cm="1">
        <f t="array" aca="1" ref="M92" ca="1">+IFERROR(IF(M93&lt;&gt;"na",M93-VALUE(VLOOKUP($B92&amp;"-"&amp;$B93,INDIRECT("V51:Y"&amp;COUNT((FIND("-",_xlfn.ANCHORARRAY($B$51))&gt;0)*1)+51),4,FALSE))/100,M114-VALUE(VLOOKUP($B92&amp;"-"&amp;$B93,INDIRECT("V51:Y"&amp;COUNT((FIND("-",_xlfn.ANCHORARRAY($B$51))&gt;0)*1)+51),4,FALSE))/100),"na")</f>
        <v>na</v>
      </c>
      <c r="N92" s="8" t="str" cm="1">
        <f t="array" aca="1" ref="N92" ca="1">+IFERROR(IF(N93&lt;&gt;"na",N93-VALUE(VLOOKUP($B92&amp;"-"&amp;$B93,INDIRECT("V51:Y"&amp;COUNT((FIND("-",_xlfn.ANCHORARRAY($B$51))&gt;0)*1)+51),4,FALSE))/100,N114-VALUE(VLOOKUP($B92&amp;"-"&amp;$B93,INDIRECT("V51:Y"&amp;COUNT((FIND("-",_xlfn.ANCHORARRAY($B$51))&gt;0)*1)+51),4,FALSE))/100),"na")</f>
        <v>na</v>
      </c>
      <c r="O92" s="8" t="str" cm="1">
        <f t="array" aca="1" ref="O92" ca="1">+IFERROR(IF(O93&lt;&gt;"na",O93-VALUE(VLOOKUP($B92&amp;"-"&amp;$B93,INDIRECT("V51:Y"&amp;COUNT((FIND("-",_xlfn.ANCHORARRAY($B$51))&gt;0)*1)+51),4,FALSE))/100,O114-VALUE(VLOOKUP($B92&amp;"-"&amp;$B93,INDIRECT("V51:Y"&amp;COUNT((FIND("-",_xlfn.ANCHORARRAY($B$51))&gt;0)*1)+51),4,FALSE))/100),"na")</f>
        <v>na</v>
      </c>
      <c r="P92" s="8" t="str" cm="1">
        <f t="array" aca="1" ref="P92" ca="1">+IFERROR(IF(P93&lt;&gt;"na",P93-VALUE(VLOOKUP($B92&amp;"-"&amp;$B93,INDIRECT("V51:Y"&amp;COUNT((FIND("-",_xlfn.ANCHORARRAY($B$51))&gt;0)*1)+51),4,FALSE))/100,P114-VALUE(VLOOKUP($B92&amp;"-"&amp;$B93,INDIRECT("V51:Y"&amp;COUNT((FIND("-",_xlfn.ANCHORARRAY($B$51))&gt;0)*1)+51),4,FALSE))/100),"na")</f>
        <v>na</v>
      </c>
      <c r="Q92" s="8" t="str" cm="1">
        <f t="array" aca="1" ref="Q92" ca="1">+IFERROR(IF(Q93&lt;&gt;"na",Q93-VALUE(VLOOKUP($B92&amp;"-"&amp;$B93,INDIRECT("V51:Y"&amp;COUNT((FIND("-",_xlfn.ANCHORARRAY($B$51))&gt;0)*1)+51),4,FALSE))/100,Q114-VALUE(VLOOKUP($B92&amp;"-"&amp;$B93,INDIRECT("V51:Y"&amp;COUNT((FIND("-",_xlfn.ANCHORARRAY($B$51))&gt;0)*1)+51),4,FALSE))/100),"na")</f>
        <v>na</v>
      </c>
      <c r="R92" s="8">
        <f ca="1">+IF(MAX(C92:Q92)=0,"",MAX(C92:Q92))</f>
        <v>11.48</v>
      </c>
      <c r="T92" s="68"/>
      <c r="U92" s="143" t="str">
        <f t="shared" si="81"/>
        <v/>
      </c>
      <c r="V92" s="296"/>
      <c r="W92" s="8"/>
      <c r="X92" s="259" t="str">
        <f t="shared" si="89"/>
        <v/>
      </c>
      <c r="Y92" s="259" t="str">
        <f t="shared" si="90"/>
        <v/>
      </c>
      <c r="Z92" s="19" t="str">
        <f t="shared" si="84"/>
        <v/>
      </c>
      <c r="AA92" s="211"/>
      <c r="AB92" s="17" t="str">
        <f t="shared" si="78"/>
        <v/>
      </c>
      <c r="AC92" s="13" t="str">
        <f t="shared" si="85"/>
        <v/>
      </c>
      <c r="AD92" s="201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186"/>
      <c r="AZ92" s="186"/>
      <c r="BA92" s="186"/>
    </row>
    <row r="93" spans="2:53">
      <c r="B93" s="8">
        <f ca="1"/>
        <v>6</v>
      </c>
      <c r="C93" s="8" cm="1">
        <f t="array" aca="1" ref="C93" ca="1">+IFERROR(C92+VALUE(VLOOKUP($B92&amp;"-"&amp;$B93,INDIRECT("V51:Y"&amp;COUNT((FIND("-",_xlfn.ANCHORARRAY($B$51))&gt;0)*1)+51),3,FALSE))/100,"na")</f>
        <v>11.370000000000001</v>
      </c>
      <c r="D93" s="8">
        <f ca="1">+IFERROR(VALUE(VLOOKUP(D$91,INDIRECT("V28:Y"&amp;COUNT(_xlfn.ANCHORARRAY($B$92))+28),3,FALSE)),"na")</f>
        <v>11.38</v>
      </c>
      <c r="E93" s="8" cm="1">
        <f t="array" aca="1" ref="E93" ca="1">+IFERROR(E94-VALUE(VLOOKUP($B93&amp;"-"&amp;$B94,INDIRECT("V51:Y"&amp;COUNT((FIND("-",_xlfn.ANCHORARRAY($B$51))&gt;0)*1)+51),4,FALSE))/100,"na")</f>
        <v>11.355</v>
      </c>
      <c r="F93" s="8" cm="1">
        <f t="array" aca="1" ref="F93" ca="1">+IFERROR(IF(F94&lt;&gt;"na",F94-VALUE(VLOOKUP($B93&amp;"-"&amp;$B94,INDIRECT("V51:Y"&amp;COUNT((FIND("-",_xlfn.ANCHORARRAY($B$51))&gt;0)*1)+51),4,FALSE))/100,F115-VALUE(VLOOKUP($B93&amp;"-"&amp;$B94,INDIRECT("V51:Y"&amp;COUNT((FIND("-",_xlfn.ANCHORARRAY($B$51))&gt;0)*1)+51),4,FALSE))/100),"na")</f>
        <v>11.354999999999999</v>
      </c>
      <c r="G93" s="8" t="str" cm="1">
        <f t="array" aca="1" ref="G93" ca="1">+IFERROR(IF(G94&lt;&gt;"na",G94-VALUE(VLOOKUP($B93&amp;"-"&amp;$B94,INDIRECT("V51:Y"&amp;COUNT((FIND("-",_xlfn.ANCHORARRAY($B$51))&gt;0)*1)+51),4,FALSE))/100,G115-VALUE(VLOOKUP($B93&amp;"-"&amp;$B94,INDIRECT("V51:Y"&amp;COUNT((FIND("-",_xlfn.ANCHORARRAY($B$51))&gt;0)*1)+51),4,FALSE))/100),"na")</f>
        <v>na</v>
      </c>
      <c r="H93" s="8" t="str" cm="1">
        <f t="array" aca="1" ref="H93" ca="1">+IFERROR(IF(H94&lt;&gt;"na",H94-VALUE(VLOOKUP($B93&amp;"-"&amp;$B94,INDIRECT("V51:Y"&amp;COUNT((FIND("-",_xlfn.ANCHORARRAY($B$51))&gt;0)*1)+51),4,FALSE))/100,H115-VALUE(VLOOKUP($B93&amp;"-"&amp;$B94,INDIRECT("V51:Y"&amp;COUNT((FIND("-",_xlfn.ANCHORARRAY($B$51))&gt;0)*1)+51),4,FALSE))/100),"na")</f>
        <v>na</v>
      </c>
      <c r="I93" s="8" t="str" cm="1">
        <f t="array" aca="1" ref="I93" ca="1">+IFERROR(IF(I94&lt;&gt;"na",I94-VALUE(VLOOKUP($B93&amp;"-"&amp;$B94,INDIRECT("V51:Y"&amp;COUNT((FIND("-",_xlfn.ANCHORARRAY($B$51))&gt;0)*1)+51),4,FALSE))/100,I115-VALUE(VLOOKUP($B93&amp;"-"&amp;$B94,INDIRECT("V51:Y"&amp;COUNT((FIND("-",_xlfn.ANCHORARRAY($B$51))&gt;0)*1)+51),4,FALSE))/100),"na")</f>
        <v>na</v>
      </c>
      <c r="J93" s="8" t="str" cm="1">
        <f t="array" aca="1" ref="J93" ca="1">+IFERROR(IF(J94&lt;&gt;"na",J94-VALUE(VLOOKUP($B93&amp;"-"&amp;$B94,INDIRECT("V51:Y"&amp;COUNT((FIND("-",_xlfn.ANCHORARRAY($B$51))&gt;0)*1)+51),4,FALSE))/100,J115-VALUE(VLOOKUP($B93&amp;"-"&amp;$B94,INDIRECT("V51:Y"&amp;COUNT((FIND("-",_xlfn.ANCHORARRAY($B$51))&gt;0)*1)+51),4,FALSE))/100),"na")</f>
        <v>na</v>
      </c>
      <c r="K93" s="8" t="str" cm="1">
        <f t="array" aca="1" ref="K93" ca="1">+IFERROR(IF(K94&lt;&gt;"na",K94-VALUE(VLOOKUP($B93&amp;"-"&amp;$B94,INDIRECT("V51:Y"&amp;COUNT((FIND("-",_xlfn.ANCHORARRAY($B$51))&gt;0)*1)+51),4,FALSE))/100,K115-VALUE(VLOOKUP($B93&amp;"-"&amp;$B94,INDIRECT("V51:Y"&amp;COUNT((FIND("-",_xlfn.ANCHORARRAY($B$51))&gt;0)*1)+51),4,FALSE))/100),"na")</f>
        <v>na</v>
      </c>
      <c r="L93" s="8" t="str" cm="1">
        <f t="array" aca="1" ref="L93" ca="1">+IFERROR(IF(L94&lt;&gt;"na",L94-VALUE(VLOOKUP($B93&amp;"-"&amp;$B94,INDIRECT("V51:Y"&amp;COUNT((FIND("-",_xlfn.ANCHORARRAY($B$51))&gt;0)*1)+51),4,FALSE))/100,L115-VALUE(VLOOKUP($B93&amp;"-"&amp;$B94,INDIRECT("V51:Y"&amp;COUNT((FIND("-",_xlfn.ANCHORARRAY($B$51))&gt;0)*1)+51),4,FALSE))/100),"na")</f>
        <v>na</v>
      </c>
      <c r="M93" s="8" t="str" cm="1">
        <f t="array" aca="1" ref="M93" ca="1">+IFERROR(IF(M94&lt;&gt;"na",M94-VALUE(VLOOKUP($B93&amp;"-"&amp;$B94,INDIRECT("V51:Y"&amp;COUNT((FIND("-",_xlfn.ANCHORARRAY($B$51))&gt;0)*1)+51),4,FALSE))/100,M115-VALUE(VLOOKUP($B93&amp;"-"&amp;$B94,INDIRECT("V51:Y"&amp;COUNT((FIND("-",_xlfn.ANCHORARRAY($B$51))&gt;0)*1)+51),4,FALSE))/100),"na")</f>
        <v>na</v>
      </c>
      <c r="N93" s="8" t="str" cm="1">
        <f t="array" aca="1" ref="N93" ca="1">+IFERROR(IF(N94&lt;&gt;"na",N94-VALUE(VLOOKUP($B93&amp;"-"&amp;$B94,INDIRECT("V51:Y"&amp;COUNT((FIND("-",_xlfn.ANCHORARRAY($B$51))&gt;0)*1)+51),4,FALSE))/100,N115-VALUE(VLOOKUP($B93&amp;"-"&amp;$B94,INDIRECT("V51:Y"&amp;COUNT((FIND("-",_xlfn.ANCHORARRAY($B$51))&gt;0)*1)+51),4,FALSE))/100),"na")</f>
        <v>na</v>
      </c>
      <c r="O93" s="8" t="str" cm="1">
        <f t="array" aca="1" ref="O93" ca="1">+IFERROR(IF(O94&lt;&gt;"na",O94-VALUE(VLOOKUP($B93&amp;"-"&amp;$B94,INDIRECT("V51:Y"&amp;COUNT((FIND("-",_xlfn.ANCHORARRAY($B$51))&gt;0)*1)+51),4,FALSE))/100,O115-VALUE(VLOOKUP($B93&amp;"-"&amp;$B94,INDIRECT("V51:Y"&amp;COUNT((FIND("-",_xlfn.ANCHORARRAY($B$51))&gt;0)*1)+51),4,FALSE))/100),"na")</f>
        <v>na</v>
      </c>
      <c r="P93" s="8" t="str" cm="1">
        <f t="array" aca="1" ref="P93" ca="1">+IFERROR(IF(P94&lt;&gt;"na",P94-VALUE(VLOOKUP($B93&amp;"-"&amp;$B94,INDIRECT("V51:Y"&amp;COUNT((FIND("-",_xlfn.ANCHORARRAY($B$51))&gt;0)*1)+51),4,FALSE))/100,P115-VALUE(VLOOKUP($B93&amp;"-"&amp;$B94,INDIRECT("V51:Y"&amp;COUNT((FIND("-",_xlfn.ANCHORARRAY($B$51))&gt;0)*1)+51),4,FALSE))/100),"na")</f>
        <v>na</v>
      </c>
      <c r="Q93" s="8" t="str" cm="1">
        <f t="array" aca="1" ref="Q93" ca="1">+IFERROR(IF(Q94&lt;&gt;"na",Q94-VALUE(VLOOKUP($B93&amp;"-"&amp;$B94,INDIRECT("V51:Y"&amp;COUNT((FIND("-",_xlfn.ANCHORARRAY($B$51))&gt;0)*1)+51),4,FALSE))/100,Q115-VALUE(VLOOKUP($B93&amp;"-"&amp;$B94,INDIRECT("V51:Y"&amp;COUNT((FIND("-",_xlfn.ANCHORARRAY($B$51))&gt;0)*1)+51),4,FALSE))/100),"na")</f>
        <v>na</v>
      </c>
      <c r="R93" s="8">
        <f t="shared" ref="R93:R109" ca="1" si="91">+IF(MAX(C93:Q93)=0,"",MAX(C93:Q93))</f>
        <v>11.38</v>
      </c>
      <c r="T93" s="68"/>
      <c r="U93" s="143" t="str">
        <f t="shared" si="81"/>
        <v/>
      </c>
      <c r="V93" s="296"/>
      <c r="W93" s="8"/>
      <c r="X93" s="259" t="str">
        <f t="shared" si="89"/>
        <v/>
      </c>
      <c r="Y93" s="259" t="str">
        <f t="shared" si="90"/>
        <v/>
      </c>
      <c r="Z93" s="19" t="str">
        <f t="shared" si="84"/>
        <v/>
      </c>
      <c r="AA93" s="211"/>
      <c r="AB93" s="17" t="str">
        <f t="shared" si="78"/>
        <v/>
      </c>
      <c r="AC93" s="13" t="str">
        <f t="shared" si="85"/>
        <v/>
      </c>
      <c r="AD93" s="201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186"/>
      <c r="AZ93" s="186"/>
      <c r="BA93" s="186"/>
    </row>
    <row r="94" spans="2:53">
      <c r="B94" s="8">
        <f ca="1"/>
        <v>9</v>
      </c>
      <c r="C94" s="8" cm="1">
        <f t="array" aca="1" ref="C94" ca="1">+IFERROR(IF(C93&lt;&gt;"na",C93+VALUE(VLOOKUP($B93&amp;"-"&amp;$B94,INDIRECT("V51:Y"&amp;COUNT((FIND("-",_xlfn.ANCHORARRAY($B$51))&gt;0)*1)+51),3,FALSE))/100,C114+VALUE(VLOOKUP($B93&amp;"-"&amp;$B94,INDIRECT("V51:Y"&amp;COUNT((FIND("-",_xlfn.ANCHORARRAY($B$51))&gt;0)*1)+51),3,FALSE))/100),"na")</f>
        <v>11.180000000000001</v>
      </c>
      <c r="D94" s="8" cm="1">
        <f t="array" aca="1" ref="D94" ca="1">+IFERROR(D93+VALUE(VLOOKUP($B93&amp;"-"&amp;$B94,INDIRECT("V51:Y"&amp;COUNT((FIND("-",_xlfn.ANCHORARRAY($B$51))&gt;0)*1)+51),3,FALSE))/100,"na")</f>
        <v>11.190000000000001</v>
      </c>
      <c r="E94" s="8">
        <f ca="1">+IFERROR(VALUE(VLOOKUP(E$91,INDIRECT("V28:Y"&amp;COUNT(_xlfn.ANCHORARRAY($B$92))+28),3,FALSE)),"na")</f>
        <v>11.21</v>
      </c>
      <c r="F94" s="8" cm="1">
        <f t="array" aca="1" ref="F94" ca="1">+IFERROR(F95-VALUE(VLOOKUP($B94&amp;"-"&amp;$B95,INDIRECT("V51:Y"&amp;COUNT((FIND("-",_xlfn.ANCHORARRAY($B$51))&gt;0)*1)+51),4,FALSE))/100,"na")</f>
        <v>11.209999999999999</v>
      </c>
      <c r="G94" s="8" t="str" cm="1">
        <f t="array" aca="1" ref="G94" ca="1">+IFERROR(IF(G95&lt;&gt;"na",G95-VALUE(VLOOKUP($B94&amp;"-"&amp;$B95,INDIRECT("V51:Y"&amp;COUNT((FIND("-",_xlfn.ANCHORARRAY($B$51))&gt;0)*1)+51),4,FALSE))/100,G116-VALUE(VLOOKUP($B94&amp;"-"&amp;$B95,INDIRECT("V51:Y"&amp;COUNT((FIND("-",_xlfn.ANCHORARRAY($B$51))&gt;0)*1)+51),4,FALSE))/100),"na")</f>
        <v>na</v>
      </c>
      <c r="H94" s="8" t="str" cm="1">
        <f t="array" aca="1" ref="H94" ca="1">+IFERROR(IF(H95&lt;&gt;"na",H95-VALUE(VLOOKUP($B94&amp;"-"&amp;$B95,INDIRECT("V51:Y"&amp;COUNT((FIND("-",_xlfn.ANCHORARRAY($B$51))&gt;0)*1)+51),4,FALSE))/100,H116-VALUE(VLOOKUP($B94&amp;"-"&amp;$B95,INDIRECT("V51:Y"&amp;COUNT((FIND("-",_xlfn.ANCHORARRAY($B$51))&gt;0)*1)+51),4,FALSE))/100),"na")</f>
        <v>na</v>
      </c>
      <c r="I94" s="8" t="str" cm="1">
        <f t="array" aca="1" ref="I94" ca="1">+IFERROR(IF(I95&lt;&gt;"na",I95-VALUE(VLOOKUP($B94&amp;"-"&amp;$B95,INDIRECT("V51:Y"&amp;COUNT((FIND("-",_xlfn.ANCHORARRAY($B$51))&gt;0)*1)+51),4,FALSE))/100,I116-VALUE(VLOOKUP($B94&amp;"-"&amp;$B95,INDIRECT("V51:Y"&amp;COUNT((FIND("-",_xlfn.ANCHORARRAY($B$51))&gt;0)*1)+51),4,FALSE))/100),"na")</f>
        <v>na</v>
      </c>
      <c r="J94" s="8" t="str" cm="1">
        <f t="array" aca="1" ref="J94" ca="1">+IFERROR(IF(J95&lt;&gt;"na",J95-VALUE(VLOOKUP($B94&amp;"-"&amp;$B95,INDIRECT("V51:Y"&amp;COUNT((FIND("-",_xlfn.ANCHORARRAY($B$51))&gt;0)*1)+51),4,FALSE))/100,J116-VALUE(VLOOKUP($B94&amp;"-"&amp;$B95,INDIRECT("V51:Y"&amp;COUNT((FIND("-",_xlfn.ANCHORARRAY($B$51))&gt;0)*1)+51),4,FALSE))/100),"na")</f>
        <v>na</v>
      </c>
      <c r="K94" s="8" t="str" cm="1">
        <f t="array" aca="1" ref="K94" ca="1">+IFERROR(IF(K95&lt;&gt;"na",K95-VALUE(VLOOKUP($B94&amp;"-"&amp;$B95,INDIRECT("V51:Y"&amp;COUNT((FIND("-",_xlfn.ANCHORARRAY($B$51))&gt;0)*1)+51),4,FALSE))/100,K116-VALUE(VLOOKUP($B94&amp;"-"&amp;$B95,INDIRECT("V51:Y"&amp;COUNT((FIND("-",_xlfn.ANCHORARRAY($B$51))&gt;0)*1)+51),4,FALSE))/100),"na")</f>
        <v>na</v>
      </c>
      <c r="L94" s="8" t="str" cm="1">
        <f t="array" aca="1" ref="L94" ca="1">+IFERROR(IF(L95&lt;&gt;"na",L95-VALUE(VLOOKUP($B94&amp;"-"&amp;$B95,INDIRECT("V51:Y"&amp;COUNT((FIND("-",_xlfn.ANCHORARRAY($B$51))&gt;0)*1)+51),4,FALSE))/100,L116-VALUE(VLOOKUP($B94&amp;"-"&amp;$B95,INDIRECT("V51:Y"&amp;COUNT((FIND("-",_xlfn.ANCHORARRAY($B$51))&gt;0)*1)+51),4,FALSE))/100),"na")</f>
        <v>na</v>
      </c>
      <c r="M94" s="8" t="str" cm="1">
        <f t="array" aca="1" ref="M94" ca="1">+IFERROR(IF(M95&lt;&gt;"na",M95-VALUE(VLOOKUP($B94&amp;"-"&amp;$B95,INDIRECT("V51:Y"&amp;COUNT((FIND("-",_xlfn.ANCHORARRAY($B$51))&gt;0)*1)+51),4,FALSE))/100,M116-VALUE(VLOOKUP($B94&amp;"-"&amp;$B95,INDIRECT("V51:Y"&amp;COUNT((FIND("-",_xlfn.ANCHORARRAY($B$51))&gt;0)*1)+51),4,FALSE))/100),"na")</f>
        <v>na</v>
      </c>
      <c r="N94" s="8" t="str" cm="1">
        <f t="array" aca="1" ref="N94" ca="1">+IFERROR(IF(N95&lt;&gt;"na",N95-VALUE(VLOOKUP($B94&amp;"-"&amp;$B95,INDIRECT("V51:Y"&amp;COUNT((FIND("-",_xlfn.ANCHORARRAY($B$51))&gt;0)*1)+51),4,FALSE))/100,N116-VALUE(VLOOKUP($B94&amp;"-"&amp;$B95,INDIRECT("V51:Y"&amp;COUNT((FIND("-",_xlfn.ANCHORARRAY($B$51))&gt;0)*1)+51),4,FALSE))/100),"na")</f>
        <v>na</v>
      </c>
      <c r="O94" s="8" t="str" cm="1">
        <f t="array" aca="1" ref="O94" ca="1">+IFERROR(IF(O95&lt;&gt;"na",O95-VALUE(VLOOKUP($B94&amp;"-"&amp;$B95,INDIRECT("V51:Y"&amp;COUNT((FIND("-",_xlfn.ANCHORARRAY($B$51))&gt;0)*1)+51),4,FALSE))/100,O116-VALUE(VLOOKUP($B94&amp;"-"&amp;$B95,INDIRECT("V51:Y"&amp;COUNT((FIND("-",_xlfn.ANCHORARRAY($B$51))&gt;0)*1)+51),4,FALSE))/100),"na")</f>
        <v>na</v>
      </c>
      <c r="P94" s="8" t="str" cm="1">
        <f t="array" aca="1" ref="P94" ca="1">+IFERROR(IF(P95&lt;&gt;"na",P95-VALUE(VLOOKUP($B94&amp;"-"&amp;$B95,INDIRECT("V51:Y"&amp;COUNT((FIND("-",_xlfn.ANCHORARRAY($B$51))&gt;0)*1)+51),4,FALSE))/100,P116-VALUE(VLOOKUP($B94&amp;"-"&amp;$B95,INDIRECT("V51:Y"&amp;COUNT((FIND("-",_xlfn.ANCHORARRAY($B$51))&gt;0)*1)+51),4,FALSE))/100),"na")</f>
        <v>na</v>
      </c>
      <c r="Q94" s="8" t="str" cm="1">
        <f t="array" aca="1" ref="Q94" ca="1">+IFERROR(IF(Q95&lt;&gt;"na",Q95-VALUE(VLOOKUP($B94&amp;"-"&amp;$B95,INDIRECT("V51:Y"&amp;COUNT((FIND("-",_xlfn.ANCHORARRAY($B$51))&gt;0)*1)+51),4,FALSE))/100,Q116-VALUE(VLOOKUP($B94&amp;"-"&amp;$B95,INDIRECT("V51:Y"&amp;COUNT((FIND("-",_xlfn.ANCHORARRAY($B$51))&gt;0)*1)+51),4,FALSE))/100),"na")</f>
        <v>na</v>
      </c>
      <c r="R94" s="8">
        <f t="shared" ca="1" si="91"/>
        <v>11.21</v>
      </c>
      <c r="T94" s="68"/>
      <c r="U94" s="143" t="str">
        <f t="shared" si="81"/>
        <v/>
      </c>
      <c r="V94" s="296"/>
      <c r="W94" s="8"/>
      <c r="X94" s="259" t="str">
        <f t="shared" si="89"/>
        <v/>
      </c>
      <c r="Y94" s="259" t="str">
        <f t="shared" si="90"/>
        <v/>
      </c>
      <c r="Z94" s="19">
        <f>IFERROR((AB94-AA94),"")</f>
        <v>0</v>
      </c>
      <c r="AA94" s="211"/>
      <c r="AB94" s="17"/>
      <c r="AC94" s="13" t="str">
        <f t="shared" si="85"/>
        <v/>
      </c>
      <c r="AD94" s="201"/>
      <c r="AE94" s="68"/>
      <c r="AF94" s="186"/>
      <c r="AG94" s="186"/>
      <c r="AH94" s="186"/>
      <c r="AI94" s="186"/>
      <c r="AJ94" s="186"/>
      <c r="AK94" s="186"/>
      <c r="AL94" s="186"/>
      <c r="AM94" s="186"/>
      <c r="AN94" s="186"/>
      <c r="AO94" s="186"/>
      <c r="AP94" s="186"/>
      <c r="AQ94" s="186"/>
      <c r="AR94" s="186"/>
      <c r="AS94" s="186"/>
      <c r="AT94" s="186"/>
      <c r="AU94" s="186"/>
      <c r="AV94" s="186"/>
      <c r="AW94" s="186"/>
      <c r="AX94" s="186"/>
      <c r="AY94" s="186"/>
      <c r="AZ94" s="186"/>
      <c r="BA94" s="186"/>
    </row>
    <row r="95" spans="2:53">
      <c r="B95" s="8">
        <f ca="1"/>
        <v>13</v>
      </c>
      <c r="C95" s="8" cm="1">
        <f t="array" aca="1" ref="C95" ca="1">+IFERROR(IF(C94&lt;&gt;"na",C94+VALUE(VLOOKUP($B94&amp;"-"&amp;$B95,INDIRECT("V51:Y"&amp;COUNT((FIND("-",_xlfn.ANCHORARRAY($B$51))&gt;0)*1)+51),3,FALSE))/100,C115+VALUE(VLOOKUP($B94&amp;"-"&amp;$B95,INDIRECT("V51:Y"&amp;COUNT((FIND("-",_xlfn.ANCHORARRAY($B$51))&gt;0)*1)+51),3,FALSE))/100),"na")</f>
        <v>10.810000000000002</v>
      </c>
      <c r="D95" s="8" cm="1">
        <f t="array" aca="1" ref="D95" ca="1">+IFERROR(IF(D94&lt;&gt;"na",D94+VALUE(VLOOKUP($B94&amp;"-"&amp;$B95,INDIRECT("V51:Y"&amp;COUNT((FIND("-",_xlfn.ANCHORARRAY($B$51))&gt;0)*1)+51),3,FALSE))/100,D115+VALUE(VLOOKUP($B94&amp;"-"&amp;$B95,INDIRECT("V51:Y"&amp;COUNT((FIND("-",_xlfn.ANCHORARRAY($B$51))&gt;0)*1)+51),3,FALSE))/100),"na")</f>
        <v>10.820000000000002</v>
      </c>
      <c r="E95" s="8" cm="1">
        <f t="array" aca="1" ref="E95" ca="1">+IFERROR(E94+VALUE(VLOOKUP($B94&amp;"-"&amp;$B95,INDIRECT("V51:Y"&amp;COUNT((FIND("-",_xlfn.ANCHORARRAY($B$51))&gt;0)*1)+51),3,FALSE))/100,"na")</f>
        <v>10.840000000000002</v>
      </c>
      <c r="F95" s="8">
        <f ca="1">+IFERROR(VALUE(VLOOKUP(F$91,INDIRECT("V28:Y"&amp;COUNT(_xlfn.ANCHORARRAY($B$92))+28),3,FALSE)),"na")</f>
        <v>10.86</v>
      </c>
      <c r="G95" s="8" t="str" cm="1">
        <f t="array" aca="1" ref="G95" ca="1">+IFERROR(G96-VALUE(VLOOKUP($B95&amp;"-"&amp;$B96,INDIRECT("V51:Y"&amp;COUNT((FIND("-",_xlfn.ANCHORARRAY($B$51))&gt;0)*1)+51),4,FALSE))/100,"na")</f>
        <v>na</v>
      </c>
      <c r="H95" s="8" t="str" cm="1">
        <f t="array" aca="1" ref="H95" ca="1">+IFERROR(IF(H96&lt;&gt;"na",H96-VALUE(VLOOKUP($B95&amp;"-"&amp;$B96,INDIRECT("V51:Y"&amp;COUNT((FIND("-",_xlfn.ANCHORARRAY($B$51))&gt;0)*1)+51),4,FALSE))/100,H117-VALUE(VLOOKUP($B95&amp;"-"&amp;$B96,INDIRECT("V51:Y"&amp;COUNT((FIND("-",_xlfn.ANCHORARRAY($B$51))&gt;0)*1)+51),4,FALSE))/100),"na")</f>
        <v>na</v>
      </c>
      <c r="I95" s="8" t="str" cm="1">
        <f t="array" aca="1" ref="I95" ca="1">+IFERROR(IF(I96&lt;&gt;"na",I96-VALUE(VLOOKUP($B95&amp;"-"&amp;$B96,INDIRECT("V51:Y"&amp;COUNT((FIND("-",_xlfn.ANCHORARRAY($B$51))&gt;0)*1)+51),4,FALSE))/100,I117-VALUE(VLOOKUP($B95&amp;"-"&amp;$B96,INDIRECT("V51:Y"&amp;COUNT((FIND("-",_xlfn.ANCHORARRAY($B$51))&gt;0)*1)+51),4,FALSE))/100),"na")</f>
        <v>na</v>
      </c>
      <c r="J95" s="8" t="str" cm="1">
        <f t="array" aca="1" ref="J95" ca="1">+IFERROR(IF(J96&lt;&gt;"na",J96-VALUE(VLOOKUP($B95&amp;"-"&amp;$B96,INDIRECT("V51:Y"&amp;COUNT((FIND("-",_xlfn.ANCHORARRAY($B$51))&gt;0)*1)+51),4,FALSE))/100,J117-VALUE(VLOOKUP($B95&amp;"-"&amp;$B96,INDIRECT("V51:Y"&amp;COUNT((FIND("-",_xlfn.ANCHORARRAY($B$51))&gt;0)*1)+51),4,FALSE))/100),"na")</f>
        <v>na</v>
      </c>
      <c r="K95" s="8" t="str" cm="1">
        <f t="array" aca="1" ref="K95" ca="1">+IFERROR(IF(K96&lt;&gt;"na",K96-VALUE(VLOOKUP($B95&amp;"-"&amp;$B96,INDIRECT("V51:Y"&amp;COUNT((FIND("-",_xlfn.ANCHORARRAY($B$51))&gt;0)*1)+51),4,FALSE))/100,K117-VALUE(VLOOKUP($B95&amp;"-"&amp;$B96,INDIRECT("V51:Y"&amp;COUNT((FIND("-",_xlfn.ANCHORARRAY($B$51))&gt;0)*1)+51),4,FALSE))/100),"na")</f>
        <v>na</v>
      </c>
      <c r="L95" s="8" t="str" cm="1">
        <f t="array" aca="1" ref="L95" ca="1">+IFERROR(IF(L96&lt;&gt;"na",L96-VALUE(VLOOKUP($B95&amp;"-"&amp;$B96,INDIRECT("V51:Y"&amp;COUNT((FIND("-",_xlfn.ANCHORARRAY($B$51))&gt;0)*1)+51),4,FALSE))/100,L117-VALUE(VLOOKUP($B95&amp;"-"&amp;$B96,INDIRECT("V51:Y"&amp;COUNT((FIND("-",_xlfn.ANCHORARRAY($B$51))&gt;0)*1)+51),4,FALSE))/100),"na")</f>
        <v>na</v>
      </c>
      <c r="M95" s="8" t="str" cm="1">
        <f t="array" aca="1" ref="M95" ca="1">+IFERROR(IF(M96&lt;&gt;"na",M96-VALUE(VLOOKUP($B95&amp;"-"&amp;$B96,INDIRECT("V51:Y"&amp;COUNT((FIND("-",_xlfn.ANCHORARRAY($B$51))&gt;0)*1)+51),4,FALSE))/100,M117-VALUE(VLOOKUP($B95&amp;"-"&amp;$B96,INDIRECT("V51:Y"&amp;COUNT((FIND("-",_xlfn.ANCHORARRAY($B$51))&gt;0)*1)+51),4,FALSE))/100),"na")</f>
        <v>na</v>
      </c>
      <c r="N95" s="8" t="str" cm="1">
        <f t="array" aca="1" ref="N95" ca="1">+IFERROR(IF(N96&lt;&gt;"na",N96-VALUE(VLOOKUP($B95&amp;"-"&amp;$B96,INDIRECT("V51:Y"&amp;COUNT((FIND("-",_xlfn.ANCHORARRAY($B$51))&gt;0)*1)+51),4,FALSE))/100,N117-VALUE(VLOOKUP($B95&amp;"-"&amp;$B96,INDIRECT("V51:Y"&amp;COUNT((FIND("-",_xlfn.ANCHORARRAY($B$51))&gt;0)*1)+51),4,FALSE))/100),"na")</f>
        <v>na</v>
      </c>
      <c r="O95" s="8" t="str" cm="1">
        <f t="array" aca="1" ref="O95" ca="1">+IFERROR(IF(O96&lt;&gt;"na",O96-VALUE(VLOOKUP($B95&amp;"-"&amp;$B96,INDIRECT("V51:Y"&amp;COUNT((FIND("-",_xlfn.ANCHORARRAY($B$51))&gt;0)*1)+51),4,FALSE))/100,O117-VALUE(VLOOKUP($B95&amp;"-"&amp;$B96,INDIRECT("V51:Y"&amp;COUNT((FIND("-",_xlfn.ANCHORARRAY($B$51))&gt;0)*1)+51),4,FALSE))/100),"na")</f>
        <v>na</v>
      </c>
      <c r="P95" s="8" t="str" cm="1">
        <f t="array" aca="1" ref="P95" ca="1">+IFERROR(IF(P96&lt;&gt;"na",P96-VALUE(VLOOKUP($B95&amp;"-"&amp;$B96,INDIRECT("V51:Y"&amp;COUNT((FIND("-",_xlfn.ANCHORARRAY($B$51))&gt;0)*1)+51),4,FALSE))/100,P117-VALUE(VLOOKUP($B95&amp;"-"&amp;$B96,INDIRECT("V51:Y"&amp;COUNT((FIND("-",_xlfn.ANCHORARRAY($B$51))&gt;0)*1)+51),4,FALSE))/100),"na")</f>
        <v>na</v>
      </c>
      <c r="Q95" s="8" t="str" cm="1">
        <f t="array" aca="1" ref="Q95" ca="1">+IFERROR(IF(Q96&lt;&gt;"na",Q96-VALUE(VLOOKUP($B95&amp;"-"&amp;$B96,INDIRECT("V51:Y"&amp;COUNT((FIND("-",_xlfn.ANCHORARRAY($B$51))&gt;0)*1)+51),4,FALSE))/100,Q117-VALUE(VLOOKUP($B95&amp;"-"&amp;$B96,INDIRECT("V51:Y"&amp;COUNT((FIND("-",_xlfn.ANCHORARRAY($B$51))&gt;0)*1)+51),4,FALSE))/100),"na")</f>
        <v>na</v>
      </c>
      <c r="R95" s="8">
        <f t="shared" ca="1" si="91"/>
        <v>10.86</v>
      </c>
      <c r="S95" s="155"/>
      <c r="T95" s="68"/>
      <c r="U95" s="143" t="str">
        <f t="shared" si="81"/>
        <v/>
      </c>
      <c r="V95" s="297"/>
      <c r="W95" s="190"/>
      <c r="X95" s="190"/>
      <c r="Y95" s="190"/>
      <c r="Z95" s="190"/>
      <c r="AA95" s="190"/>
      <c r="AB95" s="190"/>
      <c r="AC95" s="190" t="str">
        <f t="shared" si="85"/>
        <v/>
      </c>
      <c r="AD95" s="191"/>
      <c r="AE95" s="68"/>
      <c r="AF95" s="186"/>
      <c r="AG95" s="186"/>
      <c r="AH95" s="186"/>
      <c r="AI95" s="186"/>
      <c r="AJ95" s="186"/>
      <c r="AK95" s="186"/>
      <c r="AL95" s="186"/>
      <c r="AM95" s="186"/>
      <c r="AN95" s="186"/>
      <c r="AO95" s="186"/>
      <c r="AP95" s="186"/>
      <c r="AQ95" s="186"/>
      <c r="AR95" s="186"/>
      <c r="AS95" s="186"/>
      <c r="AT95" s="186"/>
      <c r="AU95" s="186"/>
      <c r="AV95" s="186"/>
      <c r="AW95" s="186"/>
      <c r="AX95" s="186"/>
      <c r="AY95" s="186"/>
      <c r="AZ95" s="186"/>
      <c r="BA95" s="186"/>
    </row>
    <row r="96" spans="2:53">
      <c r="B96" s="8">
        <f ca="1"/>
        <v>26</v>
      </c>
      <c r="C96" s="8" t="str" cm="1">
        <f t="array" aca="1" ref="C96" ca="1">+IFERROR(IF(C95&lt;&gt;"na",C95+VALUE(VLOOKUP($B95&amp;"-"&amp;$B96,INDIRECT("V51:Y"&amp;COUNT((FIND("-",_xlfn.ANCHORARRAY($B$51))&gt;0)*1)+51),3,FALSE))/100,C116+VALUE(VLOOKUP($B95&amp;"-"&amp;$B96,INDIRECT("V51:Y"&amp;COUNT((FIND("-",_xlfn.ANCHORARRAY($B$51))&gt;0)*1)+51),3,FALSE))/100),"na")</f>
        <v>na</v>
      </c>
      <c r="D96" s="8" t="str" cm="1">
        <f t="array" aca="1" ref="D96" ca="1">+IFERROR(IF(D95&lt;&gt;"na",D95+VALUE(VLOOKUP($B95&amp;"-"&amp;$B96,INDIRECT("V51:Y"&amp;COUNT((FIND("-",_xlfn.ANCHORARRAY($B$51))&gt;0)*1)+51),3,FALSE))/100,D116+VALUE(VLOOKUP($B95&amp;"-"&amp;$B96,INDIRECT("V51:Y"&amp;COUNT((FIND("-",_xlfn.ANCHORARRAY($B$51))&gt;0)*1)+51),3,FALSE))/100),"na")</f>
        <v>na</v>
      </c>
      <c r="E96" s="8" t="str" cm="1">
        <f t="array" aca="1" ref="E96" ca="1">+IFERROR(IF(E95&lt;&gt;"na",E95+VALUE(VLOOKUP($B95&amp;"-"&amp;$B96,INDIRECT("V51:Y"&amp;COUNT((FIND("-",_xlfn.ANCHORARRAY($B$51))&gt;0)*1)+51),3,FALSE))/100,E116+VALUE(VLOOKUP($B95&amp;"-"&amp;$B96,INDIRECT("V51:Y"&amp;COUNT((FIND("-",_xlfn.ANCHORARRAY($B$51))&gt;0)*1)+51),3,FALSE))/100),"na")</f>
        <v>na</v>
      </c>
      <c r="F96" s="8" t="str" cm="1">
        <f t="array" aca="1" ref="F96" ca="1">+IFERROR(F95+VALUE(VLOOKUP($B95&amp;"-"&amp;$B96,INDIRECT("V51:Y"&amp;COUNT((FIND("-",_xlfn.ANCHORARRAY($B$51))&gt;0)*1)+51),3,FALSE))/100,"na")</f>
        <v>na</v>
      </c>
      <c r="G96" s="8">
        <f ca="1">+IFERROR(VALUE(VLOOKUP(G$91,INDIRECT("V28:Y"&amp;COUNT(_xlfn.ANCHORARRAY($B$92))+28),3,FALSE)),"na")</f>
        <v>9.6199999999999992</v>
      </c>
      <c r="H96" s="8" t="str" cm="1">
        <f t="array" aca="1" ref="H96" ca="1">+IFERROR(H97-VALUE(VLOOKUP($B96&amp;"-"&amp;$B97,INDIRECT("V51:Y"&amp;COUNT((FIND("-",_xlfn.ANCHORARRAY($B$51))&gt;0)*1)+51),4,FALSE))/100,"na")</f>
        <v>na</v>
      </c>
      <c r="I96" s="8" t="str" cm="1">
        <f t="array" aca="1" ref="I96" ca="1">+IFERROR(IF(I97&lt;&gt;"na",I97-VALUE(VLOOKUP($B96&amp;"-"&amp;$B97,INDIRECT("V51:Y"&amp;COUNT((FIND("-",_xlfn.ANCHORARRAY($B$51))&gt;0)*1)+51),4,FALSE))/100,I118-VALUE(VLOOKUP($B96&amp;"-"&amp;$B97,INDIRECT("V51:Y"&amp;COUNT((FIND("-",_xlfn.ANCHORARRAY($B$51))&gt;0)*1)+51),4,FALSE))/100),"na")</f>
        <v>na</v>
      </c>
      <c r="J96" s="8" cm="1">
        <f t="array" aca="1" ref="J96" ca="1">+IFERROR(IF(J97&lt;&gt;"na",J97-VALUE(VLOOKUP($B96&amp;"-"&amp;$B97,INDIRECT("V51:Y"&amp;COUNT((FIND("-",_xlfn.ANCHORARRAY($B$51))&gt;0)*1)+51),4,FALSE))/100,J118-VALUE(VLOOKUP($B96&amp;"-"&amp;$B97,INDIRECT("V51:Y"&amp;COUNT((FIND("-",_xlfn.ANCHORARRAY($B$51))&gt;0)*1)+51),4,FALSE))/100),"na")</f>
        <v>9.5799999999999983</v>
      </c>
      <c r="K96" s="8" t="str" cm="1">
        <f t="array" aca="1" ref="K96" ca="1">+IFERROR(IF(K97&lt;&gt;"na",K97-VALUE(VLOOKUP($B96&amp;"-"&amp;$B97,INDIRECT("V51:Y"&amp;COUNT((FIND("-",_xlfn.ANCHORARRAY($B$51))&gt;0)*1)+51),4,FALSE))/100,K118-VALUE(VLOOKUP($B96&amp;"-"&amp;$B97,INDIRECT("V51:Y"&amp;COUNT((FIND("-",_xlfn.ANCHORARRAY($B$51))&gt;0)*1)+51),4,FALSE))/100),"na")</f>
        <v>na</v>
      </c>
      <c r="L96" s="8" t="str" cm="1">
        <f t="array" aca="1" ref="L96" ca="1">+IFERROR(IF(L97&lt;&gt;"na",L97-VALUE(VLOOKUP($B96&amp;"-"&amp;$B97,INDIRECT("V51:Y"&amp;COUNT((FIND("-",_xlfn.ANCHORARRAY($B$51))&gt;0)*1)+51),4,FALSE))/100,L118-VALUE(VLOOKUP($B96&amp;"-"&amp;$B97,INDIRECT("V51:Y"&amp;COUNT((FIND("-",_xlfn.ANCHORARRAY($B$51))&gt;0)*1)+51),4,FALSE))/100),"na")</f>
        <v>na</v>
      </c>
      <c r="M96" s="8" t="str" cm="1">
        <f t="array" aca="1" ref="M96" ca="1">+IFERROR(IF(M97&lt;&gt;"na",M97-VALUE(VLOOKUP($B96&amp;"-"&amp;$B97,INDIRECT("V51:Y"&amp;COUNT((FIND("-",_xlfn.ANCHORARRAY($B$51))&gt;0)*1)+51),4,FALSE))/100,M118-VALUE(VLOOKUP($B96&amp;"-"&amp;$B97,INDIRECT("V51:Y"&amp;COUNT((FIND("-",_xlfn.ANCHORARRAY($B$51))&gt;0)*1)+51),4,FALSE))/100),"na")</f>
        <v>na</v>
      </c>
      <c r="N96" s="8" t="str" cm="1">
        <f t="array" aca="1" ref="N96" ca="1">+IFERROR(IF(N97&lt;&gt;"na",N97-VALUE(VLOOKUP($B96&amp;"-"&amp;$B97,INDIRECT("V51:Y"&amp;COUNT((FIND("-",_xlfn.ANCHORARRAY($B$51))&gt;0)*1)+51),4,FALSE))/100,N118-VALUE(VLOOKUP($B96&amp;"-"&amp;$B97,INDIRECT("V51:Y"&amp;COUNT((FIND("-",_xlfn.ANCHORARRAY($B$51))&gt;0)*1)+51),4,FALSE))/100),"na")</f>
        <v>na</v>
      </c>
      <c r="O96" s="8" t="str" cm="1">
        <f t="array" aca="1" ref="O96" ca="1">+IFERROR(IF(O97&lt;&gt;"na",O97-VALUE(VLOOKUP($B96&amp;"-"&amp;$B97,INDIRECT("V51:Y"&amp;COUNT((FIND("-",_xlfn.ANCHORARRAY($B$51))&gt;0)*1)+51),4,FALSE))/100,O118-VALUE(VLOOKUP($B96&amp;"-"&amp;$B97,INDIRECT("V51:Y"&amp;COUNT((FIND("-",_xlfn.ANCHORARRAY($B$51))&gt;0)*1)+51),4,FALSE))/100),"na")</f>
        <v>na</v>
      </c>
      <c r="P96" s="8" t="str" cm="1">
        <f t="array" aca="1" ref="P96" ca="1">+IFERROR(IF(P97&lt;&gt;"na",P97-VALUE(VLOOKUP($B96&amp;"-"&amp;$B97,INDIRECT("V51:Y"&amp;COUNT((FIND("-",_xlfn.ANCHORARRAY($B$51))&gt;0)*1)+51),4,FALSE))/100,P118-VALUE(VLOOKUP($B96&amp;"-"&amp;$B97,INDIRECT("V51:Y"&amp;COUNT((FIND("-",_xlfn.ANCHORARRAY($B$51))&gt;0)*1)+51),4,FALSE))/100),"na")</f>
        <v>na</v>
      </c>
      <c r="Q96" s="8" t="str" cm="1">
        <f t="array" aca="1" ref="Q96" ca="1">+IFERROR(IF(Q97&lt;&gt;"na",Q97-VALUE(VLOOKUP($B96&amp;"-"&amp;$B97,INDIRECT("V51:Y"&amp;COUNT((FIND("-",_xlfn.ANCHORARRAY($B$51))&gt;0)*1)+51),4,FALSE))/100,Q118-VALUE(VLOOKUP($B96&amp;"-"&amp;$B97,INDIRECT("V51:Y"&amp;COUNT((FIND("-",_xlfn.ANCHORARRAY($B$51))&gt;0)*1)+51),4,FALSE))/100),"na")</f>
        <v>na</v>
      </c>
      <c r="R96" s="8">
        <f t="shared" ca="1" si="91"/>
        <v>9.6199999999999992</v>
      </c>
      <c r="S96" s="155"/>
      <c r="T96" s="68"/>
      <c r="U96" s="157"/>
      <c r="V96" s="68"/>
      <c r="W96" s="68"/>
      <c r="X96" s="68"/>
      <c r="Y96" s="68"/>
      <c r="Z96" s="68"/>
      <c r="AA96" s="68"/>
      <c r="AB96" s="68"/>
      <c r="AC96" s="68"/>
      <c r="AD96" s="201"/>
      <c r="AE96" s="68"/>
      <c r="AF96" s="186"/>
      <c r="AG96" s="186"/>
      <c r="AH96" s="186"/>
      <c r="AI96" s="186"/>
      <c r="AJ96" s="186"/>
      <c r="AK96" s="186"/>
      <c r="AL96" s="186"/>
      <c r="AM96" s="186"/>
      <c r="AN96" s="186"/>
      <c r="AO96" s="186"/>
      <c r="AP96" s="186"/>
      <c r="AQ96" s="186"/>
      <c r="AR96" s="186"/>
      <c r="AS96" s="186"/>
      <c r="AT96" s="186"/>
      <c r="AU96" s="186"/>
      <c r="AV96" s="186"/>
      <c r="AW96" s="186"/>
      <c r="AX96" s="186"/>
      <c r="AY96" s="186"/>
      <c r="AZ96" s="186"/>
      <c r="BA96" s="186"/>
    </row>
    <row r="97" spans="2:53">
      <c r="B97" s="8">
        <f ca="1"/>
        <v>39</v>
      </c>
      <c r="C97" s="8" t="str" cm="1">
        <f t="array" aca="1" ref="C97" ca="1">+IFERROR(IF(C96&lt;&gt;"na",C96+VALUE(VLOOKUP($B96&amp;"-"&amp;$B97,INDIRECT("V51:Y"&amp;COUNT((FIND("-",_xlfn.ANCHORARRAY($B$51))&gt;0)*1)+51),3,FALSE))/100,C117+VALUE(VLOOKUP($B96&amp;"-"&amp;$B97,INDIRECT("V51:Y"&amp;COUNT((FIND("-",_xlfn.ANCHORARRAY($B$51))&gt;0)*1)+51),3,FALSE))/100),"na")</f>
        <v>na</v>
      </c>
      <c r="D97" s="8" t="str" cm="1">
        <f t="array" aca="1" ref="D97" ca="1">+IFERROR(IF(D96&lt;&gt;"na",D96+VALUE(VLOOKUP($B96&amp;"-"&amp;$B97,INDIRECT("V51:Y"&amp;COUNT((FIND("-",_xlfn.ANCHORARRAY($B$51))&gt;0)*1)+51),3,FALSE))/100,D117+VALUE(VLOOKUP($B96&amp;"-"&amp;$B97,INDIRECT("V51:Y"&amp;COUNT((FIND("-",_xlfn.ANCHORARRAY($B$51))&gt;0)*1)+51),3,FALSE))/100),"na")</f>
        <v>na</v>
      </c>
      <c r="E97" s="8" t="str" cm="1">
        <f t="array" aca="1" ref="E97" ca="1">+IFERROR(IF(E96&lt;&gt;"na",E96+VALUE(VLOOKUP($B96&amp;"-"&amp;$B97,INDIRECT("V51:Y"&amp;COUNT((FIND("-",_xlfn.ANCHORARRAY($B$51))&gt;0)*1)+51),3,FALSE))/100,E117+VALUE(VLOOKUP($B96&amp;"-"&amp;$B97,INDIRECT("V51:Y"&amp;COUNT((FIND("-",_xlfn.ANCHORARRAY($B$51))&gt;0)*1)+51),3,FALSE))/100),"na")</f>
        <v>na</v>
      </c>
      <c r="F97" s="8" t="str" cm="1">
        <f t="array" aca="1" ref="F97" ca="1">+IFERROR(IF(F96&lt;&gt;"na",F96+VALUE(VLOOKUP($B96&amp;"-"&amp;$B97,INDIRECT("V51:Y"&amp;COUNT((FIND("-",_xlfn.ANCHORARRAY($B$51))&gt;0)*1)+51),3,FALSE))/100,F117+VALUE(VLOOKUP($B96&amp;"-"&amp;$B97,INDIRECT("V51:Y"&amp;COUNT((FIND("-",_xlfn.ANCHORARRAY($B$51))&gt;0)*1)+51),3,FALSE))/100),"na")</f>
        <v>na</v>
      </c>
      <c r="G97" s="8" cm="1">
        <f t="array" aca="1" ref="G97" ca="1">+IFERROR(G96+VALUE(VLOOKUP($B96&amp;"-"&amp;$B97,INDIRECT("V51:Y"&amp;COUNT((FIND("-",_xlfn.ANCHORARRAY($B$51))&gt;0)*1)+51),3,FALSE))/100,"na")</f>
        <v>8.8999999999999986</v>
      </c>
      <c r="H97" s="8" t="str">
        <f ca="1">+IFERROR(VALUE(VLOOKUP(H$91,INDIRECT("V28:Y"&amp;COUNT(_xlfn.ANCHORARRAY($B$92))+28),3,FALSE)),"na")</f>
        <v>na</v>
      </c>
      <c r="I97" s="8" t="str" cm="1">
        <f t="array" aca="1" ref="I97" ca="1">+IFERROR(I98-VALUE(VLOOKUP($B97&amp;"-"&amp;$B98,INDIRECT("V51:Y"&amp;COUNT((FIND("-",_xlfn.ANCHORARRAY($B$51))&gt;0)*1)+51),4,FALSE))/100,"na")</f>
        <v>na</v>
      </c>
      <c r="J97" s="8" cm="1">
        <f t="array" aca="1" ref="J97" ca="1">+IFERROR(IF(J98&lt;&gt;"na",J98-VALUE(VLOOKUP($B97&amp;"-"&amp;$B98,INDIRECT("V51:Y"&amp;COUNT((FIND("-",_xlfn.ANCHORARRAY($B$51))&gt;0)*1)+51),4,FALSE))/100,J119-VALUE(VLOOKUP($B97&amp;"-"&amp;$B98,INDIRECT("V51:Y"&amp;COUNT((FIND("-",_xlfn.ANCHORARRAY($B$51))&gt;0)*1)+51),4,FALSE))/100),"na")</f>
        <v>8.8999999999999986</v>
      </c>
      <c r="K97" s="8" t="str" cm="1">
        <f t="array" aca="1" ref="K97" ca="1">+IFERROR(IF(K98&lt;&gt;"na",K98-VALUE(VLOOKUP($B97&amp;"-"&amp;$B98,INDIRECT("V51:Y"&amp;COUNT((FIND("-",_xlfn.ANCHORARRAY($B$51))&gt;0)*1)+51),4,FALSE))/100,K119-VALUE(VLOOKUP($B97&amp;"-"&amp;$B98,INDIRECT("V51:Y"&amp;COUNT((FIND("-",_xlfn.ANCHORARRAY($B$51))&gt;0)*1)+51),4,FALSE))/100),"na")</f>
        <v>na</v>
      </c>
      <c r="L97" s="8" t="str" cm="1">
        <f t="array" aca="1" ref="L97" ca="1">+IFERROR(IF(L98&lt;&gt;"na",L98-VALUE(VLOOKUP($B97&amp;"-"&amp;$B98,INDIRECT("V51:Y"&amp;COUNT((FIND("-",_xlfn.ANCHORARRAY($B$51))&gt;0)*1)+51),4,FALSE))/100,L119-VALUE(VLOOKUP($B97&amp;"-"&amp;$B98,INDIRECT("V51:Y"&amp;COUNT((FIND("-",_xlfn.ANCHORARRAY($B$51))&gt;0)*1)+51),4,FALSE))/100),"na")</f>
        <v>na</v>
      </c>
      <c r="M97" s="8" t="str" cm="1">
        <f t="array" aca="1" ref="M97" ca="1">+IFERROR(IF(M98&lt;&gt;"na",M98-VALUE(VLOOKUP($B97&amp;"-"&amp;$B98,INDIRECT("V51:Y"&amp;COUNT((FIND("-",_xlfn.ANCHORARRAY($B$51))&gt;0)*1)+51),4,FALSE))/100,M119-VALUE(VLOOKUP($B97&amp;"-"&amp;$B98,INDIRECT("V51:Y"&amp;COUNT((FIND("-",_xlfn.ANCHORARRAY($B$51))&gt;0)*1)+51),4,FALSE))/100),"na")</f>
        <v>na</v>
      </c>
      <c r="N97" s="8" t="str" cm="1">
        <f t="array" aca="1" ref="N97" ca="1">+IFERROR(IF(N98&lt;&gt;"na",N98-VALUE(VLOOKUP($B97&amp;"-"&amp;$B98,INDIRECT("V51:Y"&amp;COUNT((FIND("-",_xlfn.ANCHORARRAY($B$51))&gt;0)*1)+51),4,FALSE))/100,N119-VALUE(VLOOKUP($B97&amp;"-"&amp;$B98,INDIRECT("V51:Y"&amp;COUNT((FIND("-",_xlfn.ANCHORARRAY($B$51))&gt;0)*1)+51),4,FALSE))/100),"na")</f>
        <v>na</v>
      </c>
      <c r="O97" s="8" t="str" cm="1">
        <f t="array" aca="1" ref="O97" ca="1">+IFERROR(IF(O98&lt;&gt;"na",O98-VALUE(VLOOKUP($B97&amp;"-"&amp;$B98,INDIRECT("V51:Y"&amp;COUNT((FIND("-",_xlfn.ANCHORARRAY($B$51))&gt;0)*1)+51),4,FALSE))/100,O119-VALUE(VLOOKUP($B97&amp;"-"&amp;$B98,INDIRECT("V51:Y"&amp;COUNT((FIND("-",_xlfn.ANCHORARRAY($B$51))&gt;0)*1)+51),4,FALSE))/100),"na")</f>
        <v>na</v>
      </c>
      <c r="P97" s="8" t="str" cm="1">
        <f t="array" aca="1" ref="P97" ca="1">+IFERROR(IF(P98&lt;&gt;"na",P98-VALUE(VLOOKUP($B97&amp;"-"&amp;$B98,INDIRECT("V51:Y"&amp;COUNT((FIND("-",_xlfn.ANCHORARRAY($B$51))&gt;0)*1)+51),4,FALSE))/100,P119-VALUE(VLOOKUP($B97&amp;"-"&amp;$B98,INDIRECT("V51:Y"&amp;COUNT((FIND("-",_xlfn.ANCHORARRAY($B$51))&gt;0)*1)+51),4,FALSE))/100),"na")</f>
        <v>na</v>
      </c>
      <c r="Q97" s="8" t="str" cm="1">
        <f t="array" aca="1" ref="Q97" ca="1">+IFERROR(IF(Q98&lt;&gt;"na",Q98-VALUE(VLOOKUP($B97&amp;"-"&amp;$B98,INDIRECT("V51:Y"&amp;COUNT((FIND("-",_xlfn.ANCHORARRAY($B$51))&gt;0)*1)+51),4,FALSE))/100,Q119-VALUE(VLOOKUP($B97&amp;"-"&amp;$B98,INDIRECT("V51:Y"&amp;COUNT((FIND("-",_xlfn.ANCHORARRAY($B$51))&gt;0)*1)+51),4,FALSE))/100),"na")</f>
        <v>na</v>
      </c>
      <c r="R97" s="8">
        <f t="shared" ca="1" si="91"/>
        <v>8.8999999999999986</v>
      </c>
      <c r="S97" s="155"/>
      <c r="T97" s="68"/>
      <c r="U97" s="143"/>
      <c r="V97" s="68"/>
      <c r="W97" s="68"/>
      <c r="X97" s="68"/>
      <c r="Y97" s="68"/>
      <c r="Z97" s="68"/>
      <c r="AA97" s="68"/>
      <c r="AB97" s="68"/>
      <c r="AC97" s="68"/>
      <c r="AD97" s="201"/>
      <c r="AE97" s="68"/>
      <c r="AF97" s="186"/>
      <c r="AG97" s="186"/>
      <c r="AH97" s="186"/>
      <c r="AI97" s="186"/>
      <c r="AJ97" s="186"/>
      <c r="AK97" s="186"/>
      <c r="AL97" s="186"/>
      <c r="AM97" s="186"/>
      <c r="AN97" s="186"/>
      <c r="AO97" s="186"/>
      <c r="AP97" s="186"/>
      <c r="AQ97" s="186"/>
      <c r="AR97" s="186"/>
      <c r="AS97" s="186"/>
      <c r="AT97" s="186"/>
      <c r="AU97" s="186"/>
      <c r="AV97" s="186"/>
      <c r="AW97" s="186"/>
      <c r="AX97" s="186"/>
      <c r="AY97" s="186"/>
      <c r="AZ97" s="186"/>
      <c r="BA97" s="186"/>
    </row>
    <row r="98" spans="2:53">
      <c r="B98" s="8">
        <f ca="1"/>
        <v>52</v>
      </c>
      <c r="C98" s="8" t="str" cm="1">
        <f t="array" aca="1" ref="C98" ca="1">+IFERROR(IF(C97&lt;&gt;"na",C97+VALUE(VLOOKUP($B97&amp;"-"&amp;$B98,INDIRECT("V51:Y"&amp;COUNT((FIND("-",_xlfn.ANCHORARRAY($B$51))&gt;0)*1)+51),3,FALSE))/100,C118+VALUE(VLOOKUP($B97&amp;"-"&amp;$B98,INDIRECT("V51:Y"&amp;COUNT((FIND("-",_xlfn.ANCHORARRAY($B$51))&gt;0)*1)+51),3,FALSE))/100),"na")</f>
        <v>na</v>
      </c>
      <c r="D98" s="8" t="str" cm="1">
        <f t="array" aca="1" ref="D98" ca="1">+IFERROR(IF(D97&lt;&gt;"na",D97+VALUE(VLOOKUP($B97&amp;"-"&amp;$B98,INDIRECT("V51:Y"&amp;COUNT((FIND("-",_xlfn.ANCHORARRAY($B$51))&gt;0)*1)+51),3,FALSE))/100,D118+VALUE(VLOOKUP($B97&amp;"-"&amp;$B98,INDIRECT("V51:Y"&amp;COUNT((FIND("-",_xlfn.ANCHORARRAY($B$51))&gt;0)*1)+51),3,FALSE))/100),"na")</f>
        <v>na</v>
      </c>
      <c r="E98" s="8" t="str" cm="1">
        <f t="array" aca="1" ref="E98" ca="1">+IFERROR(IF(E97&lt;&gt;"na",E97+VALUE(VLOOKUP($B97&amp;"-"&amp;$B98,INDIRECT("V51:Y"&amp;COUNT((FIND("-",_xlfn.ANCHORARRAY($B$51))&gt;0)*1)+51),3,FALSE))/100,E118+VALUE(VLOOKUP($B97&amp;"-"&amp;$B98,INDIRECT("V51:Y"&amp;COUNT((FIND("-",_xlfn.ANCHORARRAY($B$51))&gt;0)*1)+51),3,FALSE))/100),"na")</f>
        <v>na</v>
      </c>
      <c r="F98" s="8" t="str" cm="1">
        <f t="array" aca="1" ref="F98" ca="1">+IFERROR(IF(F97&lt;&gt;"na",F97+VALUE(VLOOKUP($B97&amp;"-"&amp;$B98,INDIRECT("V51:Y"&amp;COUNT((FIND("-",_xlfn.ANCHORARRAY($B$51))&gt;0)*1)+51),3,FALSE))/100,F118+VALUE(VLOOKUP($B97&amp;"-"&amp;$B98,INDIRECT("V51:Y"&amp;COUNT((FIND("-",_xlfn.ANCHORARRAY($B$51))&gt;0)*1)+51),3,FALSE))/100),"na")</f>
        <v>na</v>
      </c>
      <c r="G98" s="8" cm="1">
        <f t="array" aca="1" ref="G98" ca="1">+IFERROR(IF(G97&lt;&gt;"na",G97+VALUE(VLOOKUP($B97&amp;"-"&amp;$B98,INDIRECT("V51:Y"&amp;COUNT((FIND("-",_xlfn.ANCHORARRAY($B$51))&gt;0)*1)+51),3,FALSE))/100,G118+VALUE(VLOOKUP($B97&amp;"-"&amp;$B98,INDIRECT("V51:Y"&amp;COUNT((FIND("-",_xlfn.ANCHORARRAY($B$51))&gt;0)*1)+51),3,FALSE))/100),"na")</f>
        <v>8.4949999999999992</v>
      </c>
      <c r="H98" s="8" t="str" cm="1">
        <f t="array" aca="1" ref="H98" ca="1">+IFERROR(H97+VALUE(VLOOKUP($B97&amp;"-"&amp;$B98,INDIRECT("V51:Y"&amp;COUNT((FIND("-",_xlfn.ANCHORARRAY($B$51))&gt;0)*1)+51),3,FALSE))/100,"na")</f>
        <v>na</v>
      </c>
      <c r="I98" s="8" t="str">
        <f ca="1">+IFERROR(VALUE(VLOOKUP(I$91,INDIRECT("V28:Y"&amp;COUNT(_xlfn.ANCHORARRAY($B$92))+28),3,FALSE)),"na")</f>
        <v>na</v>
      </c>
      <c r="J98" s="8" cm="1">
        <f t="array" aca="1" ref="J98" ca="1">+IFERROR(J99-VALUE(VLOOKUP($B98&amp;"-"&amp;$B99,INDIRECT("V51:Y"&amp;COUNT((FIND("-",_xlfn.ANCHORARRAY($B$51))&gt;0)*1)+51),4,FALSE))/100,"na")</f>
        <v>8.5399999999999991</v>
      </c>
      <c r="K98" s="8" t="str" cm="1">
        <f t="array" aca="1" ref="K98" ca="1">+IFERROR(IF(K99&lt;&gt;"na",K99-VALUE(VLOOKUP($B98&amp;"-"&amp;$B99,INDIRECT("V51:Y"&amp;COUNT((FIND("-",_xlfn.ANCHORARRAY($B$51))&gt;0)*1)+51),4,FALSE))/100,K120-VALUE(VLOOKUP($B98&amp;"-"&amp;$B99,INDIRECT("V51:Y"&amp;COUNT((FIND("-",_xlfn.ANCHORARRAY($B$51))&gt;0)*1)+51),4,FALSE))/100),"na")</f>
        <v>na</v>
      </c>
      <c r="L98" s="8" t="str" cm="1">
        <f t="array" aca="1" ref="L98" ca="1">+IFERROR(IF(L99&lt;&gt;"na",L99-VALUE(VLOOKUP($B98&amp;"-"&amp;$B99,INDIRECT("V51:Y"&amp;COUNT((FIND("-",_xlfn.ANCHORARRAY($B$51))&gt;0)*1)+51),4,FALSE))/100,L120-VALUE(VLOOKUP($B98&amp;"-"&amp;$B99,INDIRECT("V51:Y"&amp;COUNT((FIND("-",_xlfn.ANCHORARRAY($B$51))&gt;0)*1)+51),4,FALSE))/100),"na")</f>
        <v>na</v>
      </c>
      <c r="M98" s="8" t="str" cm="1">
        <f t="array" aca="1" ref="M98" ca="1">+IFERROR(IF(M99&lt;&gt;"na",M99-VALUE(VLOOKUP($B98&amp;"-"&amp;$B99,INDIRECT("V51:Y"&amp;COUNT((FIND("-",_xlfn.ANCHORARRAY($B$51))&gt;0)*1)+51),4,FALSE))/100,M120-VALUE(VLOOKUP($B98&amp;"-"&amp;$B99,INDIRECT("V51:Y"&amp;COUNT((FIND("-",_xlfn.ANCHORARRAY($B$51))&gt;0)*1)+51),4,FALSE))/100),"na")</f>
        <v>na</v>
      </c>
      <c r="N98" s="8" t="str" cm="1">
        <f t="array" aca="1" ref="N98" ca="1">+IFERROR(IF(N99&lt;&gt;"na",N99-VALUE(VLOOKUP($B98&amp;"-"&amp;$B99,INDIRECT("V51:Y"&amp;COUNT((FIND("-",_xlfn.ANCHORARRAY($B$51))&gt;0)*1)+51),4,FALSE))/100,N120-VALUE(VLOOKUP($B98&amp;"-"&amp;$B99,INDIRECT("V51:Y"&amp;COUNT((FIND("-",_xlfn.ANCHORARRAY($B$51))&gt;0)*1)+51),4,FALSE))/100),"na")</f>
        <v>na</v>
      </c>
      <c r="O98" s="8" t="str" cm="1">
        <f t="array" aca="1" ref="O98" ca="1">+IFERROR(IF(O99&lt;&gt;"na",O99-VALUE(VLOOKUP($B98&amp;"-"&amp;$B99,INDIRECT("V51:Y"&amp;COUNT((FIND("-",_xlfn.ANCHORARRAY($B$51))&gt;0)*1)+51),4,FALSE))/100,O120-VALUE(VLOOKUP($B98&amp;"-"&amp;$B99,INDIRECT("V51:Y"&amp;COUNT((FIND("-",_xlfn.ANCHORARRAY($B$51))&gt;0)*1)+51),4,FALSE))/100),"na")</f>
        <v>na</v>
      </c>
      <c r="P98" s="8" t="str" cm="1">
        <f t="array" aca="1" ref="P98" ca="1">+IFERROR(IF(P99&lt;&gt;"na",P99-VALUE(VLOOKUP($B98&amp;"-"&amp;$B99,INDIRECT("V51:Y"&amp;COUNT((FIND("-",_xlfn.ANCHORARRAY($B$51))&gt;0)*1)+51),4,FALSE))/100,P120-VALUE(VLOOKUP($B98&amp;"-"&amp;$B99,INDIRECT("V51:Y"&amp;COUNT((FIND("-",_xlfn.ANCHORARRAY($B$51))&gt;0)*1)+51),4,FALSE))/100),"na")</f>
        <v>na</v>
      </c>
      <c r="Q98" s="8" t="str" cm="1">
        <f t="array" aca="1" ref="Q98" ca="1">+IFERROR(IF(Q99&lt;&gt;"na",Q99-VALUE(VLOOKUP($B98&amp;"-"&amp;$B99,INDIRECT("V51:Y"&amp;COUNT((FIND("-",_xlfn.ANCHORARRAY($B$51))&gt;0)*1)+51),4,FALSE))/100,Q120-VALUE(VLOOKUP($B98&amp;"-"&amp;$B99,INDIRECT("V51:Y"&amp;COUNT((FIND("-",_xlfn.ANCHORARRAY($B$51))&gt;0)*1)+51),4,FALSE))/100),"na")</f>
        <v>na</v>
      </c>
      <c r="R98" s="8">
        <f t="shared" ca="1" si="91"/>
        <v>8.5399999999999991</v>
      </c>
      <c r="S98" s="155"/>
      <c r="T98" s="68"/>
      <c r="U98" s="143"/>
      <c r="V98" s="8"/>
      <c r="W98" s="8" t="s">
        <v>26</v>
      </c>
      <c r="X98" s="259"/>
      <c r="Y98" s="260"/>
      <c r="Z98" s="19"/>
      <c r="AA98" s="211"/>
      <c r="AB98" s="17"/>
      <c r="AC98" s="13"/>
      <c r="AD98" s="201"/>
      <c r="AE98" s="68"/>
      <c r="AF98" s="186"/>
      <c r="AG98" s="186"/>
      <c r="AH98" s="186"/>
      <c r="AI98" s="186"/>
      <c r="AJ98" s="186"/>
      <c r="AK98" s="186"/>
      <c r="AL98" s="186"/>
      <c r="AM98" s="186"/>
      <c r="AN98" s="186"/>
      <c r="AO98" s="186"/>
      <c r="AP98" s="186"/>
      <c r="AQ98" s="186"/>
      <c r="AR98" s="186"/>
      <c r="AS98" s="186"/>
      <c r="AT98" s="186"/>
      <c r="AU98" s="186"/>
      <c r="AV98" s="186"/>
      <c r="AW98" s="186"/>
      <c r="AX98" s="186"/>
      <c r="AY98" s="186"/>
      <c r="AZ98" s="186"/>
      <c r="BA98" s="186"/>
    </row>
    <row r="99" spans="2:53">
      <c r="B99" s="8">
        <f ca="1"/>
        <v>65</v>
      </c>
      <c r="C99" s="8" t="str" cm="1">
        <f t="array" aca="1" ref="C99" ca="1">+IFERROR(IF(C98&lt;&gt;"na",C98+VALUE(VLOOKUP($B98&amp;"-"&amp;$B99,INDIRECT("V51:Y"&amp;COUNT((FIND("-",_xlfn.ANCHORARRAY($B$51))&gt;0)*1)+51),3,FALSE))/100,C119+VALUE(VLOOKUP($B98&amp;"-"&amp;$B99,INDIRECT("V51:Y"&amp;COUNT((FIND("-",_xlfn.ANCHORARRAY($B$51))&gt;0)*1)+51),3,FALSE))/100),"na")</f>
        <v>na</v>
      </c>
      <c r="D99" s="8" t="str" cm="1">
        <f t="array" aca="1" ref="D99" ca="1">+IFERROR(IF(D98&lt;&gt;"na",D98+VALUE(VLOOKUP($B98&amp;"-"&amp;$B99,INDIRECT("V51:Y"&amp;COUNT((FIND("-",_xlfn.ANCHORARRAY($B$51))&gt;0)*1)+51),3,FALSE))/100,D119+VALUE(VLOOKUP($B98&amp;"-"&amp;$B99,INDIRECT("V51:Y"&amp;COUNT((FIND("-",_xlfn.ANCHORARRAY($B$51))&gt;0)*1)+51),3,FALSE))/100),"na")</f>
        <v>na</v>
      </c>
      <c r="E99" s="8" t="str" cm="1">
        <f t="array" aca="1" ref="E99" ca="1">+IFERROR(IF(E98&lt;&gt;"na",E98+VALUE(VLOOKUP($B98&amp;"-"&amp;$B99,INDIRECT("V51:Y"&amp;COUNT((FIND("-",_xlfn.ANCHORARRAY($B$51))&gt;0)*1)+51),3,FALSE))/100,E119+VALUE(VLOOKUP($B98&amp;"-"&amp;$B99,INDIRECT("V51:Y"&amp;COUNT((FIND("-",_xlfn.ANCHORARRAY($B$51))&gt;0)*1)+51),3,FALSE))/100),"na")</f>
        <v>na</v>
      </c>
      <c r="F99" s="8" t="str" cm="1">
        <f t="array" aca="1" ref="F99" ca="1">+IFERROR(IF(F98&lt;&gt;"na",F98+VALUE(VLOOKUP($B98&amp;"-"&amp;$B99,INDIRECT("V51:Y"&amp;COUNT((FIND("-",_xlfn.ANCHORARRAY($B$51))&gt;0)*1)+51),3,FALSE))/100,F119+VALUE(VLOOKUP($B98&amp;"-"&amp;$B99,INDIRECT("V51:Y"&amp;COUNT((FIND("-",_xlfn.ANCHORARRAY($B$51))&gt;0)*1)+51),3,FALSE))/100),"na")</f>
        <v>na</v>
      </c>
      <c r="G99" s="8" cm="1">
        <f t="array" aca="1" ref="G99" ca="1">+IFERROR(IF(G98&lt;&gt;"na",G98+VALUE(VLOOKUP($B98&amp;"-"&amp;$B99,INDIRECT("V51:Y"&amp;COUNT((FIND("-",_xlfn.ANCHORARRAY($B$51))&gt;0)*1)+51),3,FALSE))/100,G119+VALUE(VLOOKUP($B98&amp;"-"&amp;$B99,INDIRECT("V51:Y"&amp;COUNT((FIND("-",_xlfn.ANCHORARRAY($B$51))&gt;0)*1)+51),3,FALSE))/100),"na")</f>
        <v>8.2749999999999986</v>
      </c>
      <c r="H99" s="8" t="str" cm="1">
        <f t="array" aca="1" ref="H99" ca="1">+IFERROR(IF(H98&lt;&gt;"na",H98+VALUE(VLOOKUP($B98&amp;"-"&amp;$B99,INDIRECT("V51:Y"&amp;COUNT((FIND("-",_xlfn.ANCHORARRAY($B$51))&gt;0)*1)+51),3,FALSE))/100,H119+VALUE(VLOOKUP($B98&amp;"-"&amp;$B99,INDIRECT("V51:Y"&amp;COUNT((FIND("-",_xlfn.ANCHORARRAY($B$51))&gt;0)*1)+51),3,FALSE))/100),"na")</f>
        <v>na</v>
      </c>
      <c r="I99" s="8" t="str" cm="1">
        <f t="array" aca="1" ref="I99" ca="1">+IFERROR(I98+VALUE(VLOOKUP($B98&amp;"-"&amp;$B99,INDIRECT("V51:Y"&amp;COUNT((FIND("-",_xlfn.ANCHORARRAY($B$51))&gt;0)*1)+51),3,FALSE))/100,"na")</f>
        <v>na</v>
      </c>
      <c r="J99" s="8">
        <f ca="1">+IFERROR(VALUE(VLOOKUP(J$91,INDIRECT("V28:Y"&amp;COUNT(_xlfn.ANCHORARRAY($B$92))+28),3,FALSE)),"na")</f>
        <v>8.35</v>
      </c>
      <c r="K99" s="8" t="str" cm="1">
        <f t="array" aca="1" ref="K99" ca="1">+IFERROR(K100-VALUE(VLOOKUP($B99&amp;"-"&amp;$B100,INDIRECT("V51:Y"&amp;COUNT((FIND("-",_xlfn.ANCHORARRAY($B$51))&gt;0)*1)+51),4,FALSE))/100,"na")</f>
        <v>na</v>
      </c>
      <c r="L99" s="8" t="str" cm="1">
        <f t="array" aca="1" ref="L99" ca="1">+IFERROR(IF(L100&lt;&gt;"na",L100-VALUE(VLOOKUP($B99&amp;"-"&amp;$B100,INDIRECT("V51:Y"&amp;COUNT((FIND("-",_xlfn.ANCHORARRAY($B$51))&gt;0)*1)+51),4,FALSE))/100,L121-VALUE(VLOOKUP($B99&amp;"-"&amp;$B100,INDIRECT("V51:Y"&amp;COUNT((FIND("-",_xlfn.ANCHORARRAY($B$51))&gt;0)*1)+51),4,FALSE))/100),"na")</f>
        <v>na</v>
      </c>
      <c r="M99" s="8" t="str" cm="1">
        <f t="array" aca="1" ref="M99" ca="1">+IFERROR(IF(M100&lt;&gt;"na",M100-VALUE(VLOOKUP($B99&amp;"-"&amp;$B100,INDIRECT("V51:Y"&amp;COUNT((FIND("-",_xlfn.ANCHORARRAY($B$51))&gt;0)*1)+51),4,FALSE))/100,M121-VALUE(VLOOKUP($B99&amp;"-"&amp;$B100,INDIRECT("V51:Y"&amp;COUNT((FIND("-",_xlfn.ANCHORARRAY($B$51))&gt;0)*1)+51),4,FALSE))/100),"na")</f>
        <v>na</v>
      </c>
      <c r="N99" s="8" t="str" cm="1">
        <f t="array" aca="1" ref="N99" ca="1">+IFERROR(IF(N100&lt;&gt;"na",N100-VALUE(VLOOKUP($B99&amp;"-"&amp;$B100,INDIRECT("V51:Y"&amp;COUNT((FIND("-",_xlfn.ANCHORARRAY($B$51))&gt;0)*1)+51),4,FALSE))/100,N121-VALUE(VLOOKUP($B99&amp;"-"&amp;$B100,INDIRECT("V51:Y"&amp;COUNT((FIND("-",_xlfn.ANCHORARRAY($B$51))&gt;0)*1)+51),4,FALSE))/100),"na")</f>
        <v>na</v>
      </c>
      <c r="O99" s="8" t="str" cm="1">
        <f t="array" aca="1" ref="O99" ca="1">+IFERROR(IF(O100&lt;&gt;"na",O100-VALUE(VLOOKUP($B99&amp;"-"&amp;$B100,INDIRECT("V51:Y"&amp;COUNT((FIND("-",_xlfn.ANCHORARRAY($B$51))&gt;0)*1)+51),4,FALSE))/100,O121-VALUE(VLOOKUP($B99&amp;"-"&amp;$B100,INDIRECT("V51:Y"&amp;COUNT((FIND("-",_xlfn.ANCHORARRAY($B$51))&gt;0)*1)+51),4,FALSE))/100),"na")</f>
        <v>na</v>
      </c>
      <c r="P99" s="8" t="str" cm="1">
        <f t="array" aca="1" ref="P99" ca="1">+IFERROR(IF(P100&lt;&gt;"na",P100-VALUE(VLOOKUP($B99&amp;"-"&amp;$B100,INDIRECT("V51:Y"&amp;COUNT((FIND("-",_xlfn.ANCHORARRAY($B$51))&gt;0)*1)+51),4,FALSE))/100,P121-VALUE(VLOOKUP($B99&amp;"-"&amp;$B100,INDIRECT("V51:Y"&amp;COUNT((FIND("-",_xlfn.ANCHORARRAY($B$51))&gt;0)*1)+51),4,FALSE))/100),"na")</f>
        <v>na</v>
      </c>
      <c r="Q99" s="8" t="str" cm="1">
        <f t="array" aca="1" ref="Q99" ca="1">+IFERROR(IF(Q100&lt;&gt;"na",Q100-VALUE(VLOOKUP($B99&amp;"-"&amp;$B100,INDIRECT("V51:Y"&amp;COUNT((FIND("-",_xlfn.ANCHORARRAY($B$51))&gt;0)*1)+51),4,FALSE))/100,Q121-VALUE(VLOOKUP($B99&amp;"-"&amp;$B100,INDIRECT("V51:Y"&amp;COUNT((FIND("-",_xlfn.ANCHORARRAY($B$51))&gt;0)*1)+51),4,FALSE))/100),"na")</f>
        <v>na</v>
      </c>
      <c r="R99" s="8">
        <f t="shared" ca="1" si="91"/>
        <v>8.35</v>
      </c>
      <c r="S99" s="155"/>
      <c r="T99" s="68"/>
      <c r="U99" s="141" t="s">
        <v>13</v>
      </c>
      <c r="V99" s="8"/>
      <c r="W99" s="15"/>
      <c r="X99" s="15" t="s">
        <v>14</v>
      </c>
      <c r="Y99" s="15" t="s">
        <v>15</v>
      </c>
      <c r="Z99" s="221" t="s">
        <v>277</v>
      </c>
      <c r="AA99" s="219" t="s">
        <v>17</v>
      </c>
      <c r="AB99" s="15" t="s">
        <v>18</v>
      </c>
      <c r="AC99" s="15" t="s">
        <v>13</v>
      </c>
      <c r="AD99" s="201"/>
      <c r="AE99" s="68"/>
      <c r="AF99" s="186"/>
      <c r="AG99" s="186"/>
      <c r="AH99" s="186"/>
      <c r="AI99" s="186"/>
      <c r="AJ99" s="186"/>
      <c r="AK99" s="186"/>
      <c r="AL99" s="186"/>
      <c r="AM99" s="186"/>
      <c r="AN99" s="186"/>
      <c r="AO99" s="186"/>
      <c r="AP99" s="186"/>
      <c r="AQ99" s="186"/>
      <c r="AR99" s="186"/>
      <c r="AS99" s="186"/>
      <c r="AT99" s="186"/>
      <c r="AU99" s="186"/>
      <c r="AV99" s="186"/>
      <c r="AW99" s="186"/>
      <c r="AX99" s="186"/>
      <c r="AY99" s="186"/>
      <c r="AZ99" s="186"/>
      <c r="BA99" s="186"/>
    </row>
    <row r="100" spans="2:53">
      <c r="B100" s="8"/>
      <c r="C100" s="8" t="str" cm="1">
        <f t="array" aca="1" ref="C100" ca="1">+IFERROR(IF(C99&lt;&gt;"na",C99+VALUE(VLOOKUP($B99&amp;"-"&amp;$B100,INDIRECT("V51:Y"&amp;COUNT((FIND("-",_xlfn.ANCHORARRAY($B$51))&gt;0)*1)+51),3,FALSE))/100,C120+VALUE(VLOOKUP($B99&amp;"-"&amp;$B100,INDIRECT("V51:Y"&amp;COUNT((FIND("-",_xlfn.ANCHORARRAY($B$51))&gt;0)*1)+51),3,FALSE))/100),"na")</f>
        <v>na</v>
      </c>
      <c r="D100" s="8" t="str" cm="1">
        <f t="array" aca="1" ref="D100" ca="1">+IFERROR(IF(D99&lt;&gt;"na",D99+VALUE(VLOOKUP($B99&amp;"-"&amp;$B100,INDIRECT("V51:Y"&amp;COUNT((FIND("-",_xlfn.ANCHORARRAY($B$51))&gt;0)*1)+51),3,FALSE))/100,D120+VALUE(VLOOKUP($B99&amp;"-"&amp;$B100,INDIRECT("V51:Y"&amp;COUNT((FIND("-",_xlfn.ANCHORARRAY($B$51))&gt;0)*1)+51),3,FALSE))/100),"na")</f>
        <v>na</v>
      </c>
      <c r="E100" s="8" t="str" cm="1">
        <f t="array" aca="1" ref="E100" ca="1">+IFERROR(IF(E99&lt;&gt;"na",E99+VALUE(VLOOKUP($B99&amp;"-"&amp;$B100,INDIRECT("V51:Y"&amp;COUNT((FIND("-",_xlfn.ANCHORARRAY($B$51))&gt;0)*1)+51),3,FALSE))/100,E120+VALUE(VLOOKUP($B99&amp;"-"&amp;$B100,INDIRECT("V51:Y"&amp;COUNT((FIND("-",_xlfn.ANCHORARRAY($B$51))&gt;0)*1)+51),3,FALSE))/100),"na")</f>
        <v>na</v>
      </c>
      <c r="F100" s="8" t="str" cm="1">
        <f t="array" aca="1" ref="F100" ca="1">+IFERROR(IF(F99&lt;&gt;"na",F99+VALUE(VLOOKUP($B99&amp;"-"&amp;$B100,INDIRECT("V51:Y"&amp;COUNT((FIND("-",_xlfn.ANCHORARRAY($B$51))&gt;0)*1)+51),3,FALSE))/100,F120+VALUE(VLOOKUP($B99&amp;"-"&amp;$B100,INDIRECT("V51:Y"&amp;COUNT((FIND("-",_xlfn.ANCHORARRAY($B$51))&gt;0)*1)+51),3,FALSE))/100),"na")</f>
        <v>na</v>
      </c>
      <c r="G100" s="8" t="str" cm="1">
        <f t="array" aca="1" ref="G100" ca="1">+IFERROR(IF(G99&lt;&gt;"na",G99+VALUE(VLOOKUP($B99&amp;"-"&amp;$B100,INDIRECT("V51:Y"&amp;COUNT((FIND("-",_xlfn.ANCHORARRAY($B$51))&gt;0)*1)+51),3,FALSE))/100,G120+VALUE(VLOOKUP($B99&amp;"-"&amp;$B100,INDIRECT("V51:Y"&amp;COUNT((FIND("-",_xlfn.ANCHORARRAY($B$51))&gt;0)*1)+51),3,FALSE))/100),"na")</f>
        <v>na</v>
      </c>
      <c r="H100" s="8" t="str" cm="1">
        <f t="array" aca="1" ref="H100" ca="1">+IFERROR(IF(H99&lt;&gt;"na",H99+VALUE(VLOOKUP($B99&amp;"-"&amp;$B100,INDIRECT("V51:Y"&amp;COUNT((FIND("-",_xlfn.ANCHORARRAY($B$51))&gt;0)*1)+51),3,FALSE))/100,H120+VALUE(VLOOKUP($B99&amp;"-"&amp;$B100,INDIRECT("V51:Y"&amp;COUNT((FIND("-",_xlfn.ANCHORARRAY($B$51))&gt;0)*1)+51),3,FALSE))/100),"na")</f>
        <v>na</v>
      </c>
      <c r="I100" s="8" t="str" cm="1">
        <f t="array" aca="1" ref="I100" ca="1">+IFERROR(IF(I99&lt;&gt;"na",I99+VALUE(VLOOKUP($B99&amp;"-"&amp;$B100,INDIRECT("V51:Y"&amp;COUNT((FIND("-",_xlfn.ANCHORARRAY($B$51))&gt;0)*1)+51),3,FALSE))/100,I120+VALUE(VLOOKUP($B99&amp;"-"&amp;$B100,INDIRECT("V51:Y"&amp;COUNT((FIND("-",_xlfn.ANCHORARRAY($B$51))&gt;0)*1)+51),3,FALSE))/100),"na")</f>
        <v>na</v>
      </c>
      <c r="J100" s="8" t="str" cm="1">
        <f t="array" aca="1" ref="J100" ca="1">+IFERROR(J99+VALUE(VLOOKUP($B99&amp;"-"&amp;$B100,INDIRECT("V51:Y"&amp;COUNT((FIND("-",_xlfn.ANCHORARRAY($B$51))&gt;0)*1)+51),3,FALSE))/100,"na")</f>
        <v>na</v>
      </c>
      <c r="K100" s="8" t="str">
        <f ca="1">+IFERROR(VALUE(VLOOKUP(K$91,INDIRECT("V28:Y"&amp;COUNT(_xlfn.ANCHORARRAY($B$92))+28),3,FALSE)),"na")</f>
        <v>na</v>
      </c>
      <c r="L100" s="8" t="str" cm="1">
        <f t="array" aca="1" ref="L100" ca="1">+IFERROR(L101-VALUE(VLOOKUP($B100&amp;"-"&amp;$B101,INDIRECT("V51:Y"&amp;COUNT((FIND("-",_xlfn.ANCHORARRAY($B$51))&gt;0)*1)+51),4,FALSE))/100,"na")</f>
        <v>na</v>
      </c>
      <c r="M100" s="8" t="str" cm="1">
        <f t="array" aca="1" ref="M100" ca="1">+IFERROR(IF(M101&lt;&gt;"na",M101-VALUE(VLOOKUP($B100&amp;"-"&amp;$B101,INDIRECT("V51:Y"&amp;COUNT((FIND("-",_xlfn.ANCHORARRAY($B$51))&gt;0)*1)+51),4,FALSE))/100,M122-VALUE(VLOOKUP($B100&amp;"-"&amp;$B101,INDIRECT("V51:Y"&amp;COUNT((FIND("-",_xlfn.ANCHORARRAY($B$51))&gt;0)*1)+51),4,FALSE))/100),"na")</f>
        <v>na</v>
      </c>
      <c r="N100" s="8" t="str" cm="1">
        <f t="array" aca="1" ref="N100" ca="1">+IFERROR(IF(N101&lt;&gt;"na",N101-VALUE(VLOOKUP($B100&amp;"-"&amp;$B101,INDIRECT("V51:Y"&amp;COUNT((FIND("-",_xlfn.ANCHORARRAY($B$51))&gt;0)*1)+51),4,FALSE))/100,N122-VALUE(VLOOKUP($B100&amp;"-"&amp;$B101,INDIRECT("V51:Y"&amp;COUNT((FIND("-",_xlfn.ANCHORARRAY($B$51))&gt;0)*1)+51),4,FALSE))/100),"na")</f>
        <v>na</v>
      </c>
      <c r="O100" s="8" t="str" cm="1">
        <f t="array" aca="1" ref="O100" ca="1">+IFERROR(IF(O101&lt;&gt;"na",O101-VALUE(VLOOKUP($B100&amp;"-"&amp;$B101,INDIRECT("V51:Y"&amp;COUNT((FIND("-",_xlfn.ANCHORARRAY($B$51))&gt;0)*1)+51),4,FALSE))/100,O122-VALUE(VLOOKUP($B100&amp;"-"&amp;$B101,INDIRECT("V51:Y"&amp;COUNT((FIND("-",_xlfn.ANCHORARRAY($B$51))&gt;0)*1)+51),4,FALSE))/100),"na")</f>
        <v>na</v>
      </c>
      <c r="P100" s="8" t="str" cm="1">
        <f t="array" aca="1" ref="P100" ca="1">+IFERROR(IF(P101&lt;&gt;"na",P101-VALUE(VLOOKUP($B100&amp;"-"&amp;$B101,INDIRECT("V51:Y"&amp;COUNT((FIND("-",_xlfn.ANCHORARRAY($B$51))&gt;0)*1)+51),4,FALSE))/100,P122-VALUE(VLOOKUP($B100&amp;"-"&amp;$B101,INDIRECT("V51:Y"&amp;COUNT((FIND("-",_xlfn.ANCHORARRAY($B$51))&gt;0)*1)+51),4,FALSE))/100),"na")</f>
        <v>na</v>
      </c>
      <c r="Q100" s="8" t="str" cm="1">
        <f t="array" aca="1" ref="Q100" ca="1">+IFERROR(IF(Q101&lt;&gt;"na",Q101-VALUE(VLOOKUP($B100&amp;"-"&amp;$B101,INDIRECT("V51:Y"&amp;COUNT((FIND("-",_xlfn.ANCHORARRAY($B$51))&gt;0)*1)+51),4,FALSE))/100,Q122-VALUE(VLOOKUP($B100&amp;"-"&amp;$B101,INDIRECT("V51:Y"&amp;COUNT((FIND("-",_xlfn.ANCHORARRAY($B$51))&gt;0)*1)+51),4,FALSE))/100),"na")</f>
        <v>na</v>
      </c>
      <c r="R100" s="8" t="str">
        <f t="shared" ca="1" si="91"/>
        <v/>
      </c>
      <c r="S100" s="155"/>
      <c r="T100" s="68"/>
      <c r="U100" s="143" t="str">
        <f t="shared" ref="U100:U112" si="92">IF($X100="","",INDEX($C$75:$J$75,MATCH($X100,$C77:$J77,0)))</f>
        <v/>
      </c>
      <c r="V100" s="8">
        <v>23</v>
      </c>
      <c r="W100" s="169" t="str" cm="1">
        <f t="array" ref="W100:W109">_xlfn.ANCHORARRAY(B77)</f>
        <v>nv23</v>
      </c>
      <c r="X100" s="67" t="str">
        <f t="shared" ref="X100:X112" si="93">IF(MIN(C77:J77)=0,"",MIN(C77:J77))</f>
        <v/>
      </c>
      <c r="Y100" s="13" t="str">
        <f t="shared" ref="Y100:Y112" si="94">IF(MAX(K77:R77)=0,"",MAX(K77:R77))</f>
        <v/>
      </c>
      <c r="Z100" s="19" t="str">
        <f t="shared" ref="Z100:Z112" si="95">IFERROR((AB100-AA100)*100,"")</f>
        <v/>
      </c>
      <c r="AA100" s="281">
        <v>0</v>
      </c>
      <c r="AB100" s="6" t="str">
        <f t="shared" ref="AB100:AB112" si="96">IFERROR(((X100+Y100)/2),"")</f>
        <v/>
      </c>
      <c r="AC100" s="13" t="str">
        <f t="shared" ref="AC100:AC112" si="97">IF(Y100="","",INDEX($K$75:$R$75,MATCH($Y100,$K77:$R77,0)))</f>
        <v/>
      </c>
      <c r="AD100" s="201"/>
      <c r="AE100" s="68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</row>
    <row r="101" spans="2:53">
      <c r="B101" s="8"/>
      <c r="C101" s="8" t="str" cm="1">
        <f t="array" aca="1" ref="C101" ca="1">+IFERROR(IF(C100&lt;&gt;"na",C100+VALUE(VLOOKUP($B100&amp;"-"&amp;$B101,INDIRECT("V51:Y"&amp;COUNT((FIND("-",_xlfn.ANCHORARRAY($B$51))&gt;0)*1)+51),3,FALSE))/100,C121+VALUE(VLOOKUP($B100&amp;"-"&amp;$B101,INDIRECT("V51:Y"&amp;COUNT((FIND("-",_xlfn.ANCHORARRAY($B$51))&gt;0)*1)+51),3,FALSE))/100),"na")</f>
        <v>na</v>
      </c>
      <c r="D101" s="8" t="str" cm="1">
        <f t="array" aca="1" ref="D101" ca="1">+IFERROR(IF(D100&lt;&gt;"na",D100+VALUE(VLOOKUP($B100&amp;"-"&amp;$B101,INDIRECT("V51:Y"&amp;COUNT((FIND("-",_xlfn.ANCHORARRAY($B$51))&gt;0)*1)+51),3,FALSE))/100,D121+VALUE(VLOOKUP($B100&amp;"-"&amp;$B101,INDIRECT("V51:Y"&amp;COUNT((FIND("-",_xlfn.ANCHORARRAY($B$51))&gt;0)*1)+51),3,FALSE))/100),"na")</f>
        <v>na</v>
      </c>
      <c r="E101" s="8" t="str" cm="1">
        <f t="array" aca="1" ref="E101" ca="1">+IFERROR(IF(E100&lt;&gt;"na",E100+VALUE(VLOOKUP($B100&amp;"-"&amp;$B101,INDIRECT("V51:Y"&amp;COUNT((FIND("-",_xlfn.ANCHORARRAY($B$51))&gt;0)*1)+51),3,FALSE))/100,E121+VALUE(VLOOKUP($B100&amp;"-"&amp;$B101,INDIRECT("V51:Y"&amp;COUNT((FIND("-",_xlfn.ANCHORARRAY($B$51))&gt;0)*1)+51),3,FALSE))/100),"na")</f>
        <v>na</v>
      </c>
      <c r="F101" s="8" t="str" cm="1">
        <f t="array" aca="1" ref="F101" ca="1">+IFERROR(IF(F100&lt;&gt;"na",F100+VALUE(VLOOKUP($B100&amp;"-"&amp;$B101,INDIRECT("V51:Y"&amp;COUNT((FIND("-",_xlfn.ANCHORARRAY($B$51))&gt;0)*1)+51),3,FALSE))/100,F121+VALUE(VLOOKUP($B100&amp;"-"&amp;$B101,INDIRECT("V51:Y"&amp;COUNT((FIND("-",_xlfn.ANCHORARRAY($B$51))&gt;0)*1)+51),3,FALSE))/100),"na")</f>
        <v>na</v>
      </c>
      <c r="G101" s="8" t="str" cm="1">
        <f t="array" aca="1" ref="G101" ca="1">+IFERROR(IF(G100&lt;&gt;"na",G100+VALUE(VLOOKUP($B100&amp;"-"&amp;$B101,INDIRECT("V51:Y"&amp;COUNT((FIND("-",_xlfn.ANCHORARRAY($B$51))&gt;0)*1)+51),3,FALSE))/100,G121+VALUE(VLOOKUP($B100&amp;"-"&amp;$B101,INDIRECT("V51:Y"&amp;COUNT((FIND("-",_xlfn.ANCHORARRAY($B$51))&gt;0)*1)+51),3,FALSE))/100),"na")</f>
        <v>na</v>
      </c>
      <c r="H101" s="8" t="str" cm="1">
        <f t="array" aca="1" ref="H101" ca="1">+IFERROR(IF(H100&lt;&gt;"na",H100+VALUE(VLOOKUP($B100&amp;"-"&amp;$B101,INDIRECT("V51:Y"&amp;COUNT((FIND("-",_xlfn.ANCHORARRAY($B$51))&gt;0)*1)+51),3,FALSE))/100,H121+VALUE(VLOOKUP($B100&amp;"-"&amp;$B101,INDIRECT("V51:Y"&amp;COUNT((FIND("-",_xlfn.ANCHORARRAY($B$51))&gt;0)*1)+51),3,FALSE))/100),"na")</f>
        <v>na</v>
      </c>
      <c r="I101" s="8" t="str" cm="1">
        <f t="array" aca="1" ref="I101" ca="1">+IFERROR(IF(I100&lt;&gt;"na",I100+VALUE(VLOOKUP($B100&amp;"-"&amp;$B101,INDIRECT("V51:Y"&amp;COUNT((FIND("-",_xlfn.ANCHORARRAY($B$51))&gt;0)*1)+51),3,FALSE))/100,I121+VALUE(VLOOKUP($B100&amp;"-"&amp;$B101,INDIRECT("V51:Y"&amp;COUNT((FIND("-",_xlfn.ANCHORARRAY($B$51))&gt;0)*1)+51),3,FALSE))/100),"na")</f>
        <v>na</v>
      </c>
      <c r="J101" s="8" t="str" cm="1">
        <f t="array" aca="1" ref="J101" ca="1">+IFERROR(IF(J100&lt;&gt;"na",J100+VALUE(VLOOKUP($B100&amp;"-"&amp;$B101,INDIRECT("V51:Y"&amp;COUNT((FIND("-",_xlfn.ANCHORARRAY($B$51))&gt;0)*1)+51),3,FALSE))/100,J121+VALUE(VLOOKUP($B100&amp;"-"&amp;$B101,INDIRECT("V51:Y"&amp;COUNT((FIND("-",_xlfn.ANCHORARRAY($B$51))&gt;0)*1)+51),3,FALSE))/100),"na")</f>
        <v>na</v>
      </c>
      <c r="K101" s="8" t="str" cm="1">
        <f t="array" aca="1" ref="K101" ca="1">+IFERROR(K100+VALUE(VLOOKUP($B100&amp;"-"&amp;$B101,INDIRECT("V51:Y"&amp;COUNT((FIND("-",_xlfn.ANCHORARRAY($B$51))&gt;0)*1)+51),3,FALSE))/100,"na")</f>
        <v>na</v>
      </c>
      <c r="L101" s="8" t="str">
        <f ca="1">+IFERROR(VALUE(VLOOKUP(L$91,INDIRECT("V28:Y"&amp;COUNT(_xlfn.ANCHORARRAY($B$92))+28),3,FALSE)),"na")</f>
        <v>na</v>
      </c>
      <c r="M101" s="8" t="str" cm="1">
        <f t="array" aca="1" ref="M101" ca="1">+IFERROR(M102-VALUE(VLOOKUP($B101&amp;"-"&amp;$B102,INDIRECT("V51:Y"&amp;COUNT((FIND("-",_xlfn.ANCHORARRAY($B$51))&gt;0)*1)+51),4,FALSE))/100,"na")</f>
        <v>na</v>
      </c>
      <c r="N101" s="8" t="str" cm="1">
        <f t="array" aca="1" ref="N101" ca="1">+IFERROR(IF(N102&lt;&gt;"na",N102-VALUE(VLOOKUP($B101&amp;"-"&amp;$B102,INDIRECT("V51:Y"&amp;COUNT((FIND("-",_xlfn.ANCHORARRAY($B$51))&gt;0)*1)+51),4,FALSE))/100,N123-VALUE(VLOOKUP($B101&amp;"-"&amp;$B102,INDIRECT("V51:Y"&amp;COUNT((FIND("-",_xlfn.ANCHORARRAY($B$51))&gt;0)*1)+51),4,FALSE))/100),"na")</f>
        <v>na</v>
      </c>
      <c r="O101" s="8" t="str" cm="1">
        <f t="array" aca="1" ref="O101" ca="1">+IFERROR(IF(O102&lt;&gt;"na",O102-VALUE(VLOOKUP($B101&amp;"-"&amp;$B102,INDIRECT("V51:Y"&amp;COUNT((FIND("-",_xlfn.ANCHORARRAY($B$51))&gt;0)*1)+51),4,FALSE))/100,O123-VALUE(VLOOKUP($B101&amp;"-"&amp;$B102,INDIRECT("V51:Y"&amp;COUNT((FIND("-",_xlfn.ANCHORARRAY($B$51))&gt;0)*1)+51),4,FALSE))/100),"na")</f>
        <v>na</v>
      </c>
      <c r="P101" s="8" t="str" cm="1">
        <f t="array" aca="1" ref="P101" ca="1">+IFERROR(IF(P102&lt;&gt;"na",P102-VALUE(VLOOKUP($B101&amp;"-"&amp;$B102,INDIRECT("V51:Y"&amp;COUNT((FIND("-",_xlfn.ANCHORARRAY($B$51))&gt;0)*1)+51),4,FALSE))/100,P123-VALUE(VLOOKUP($B101&amp;"-"&amp;$B102,INDIRECT("V51:Y"&amp;COUNT((FIND("-",_xlfn.ANCHORARRAY($B$51))&gt;0)*1)+51),4,FALSE))/100),"na")</f>
        <v>na</v>
      </c>
      <c r="Q101" s="8" t="str" cm="1">
        <f t="array" aca="1" ref="Q101" ca="1">+IFERROR(IF(Q102&lt;&gt;"na",Q102-VALUE(VLOOKUP($B101&amp;"-"&amp;$B102,INDIRECT("V51:Y"&amp;COUNT((FIND("-",_xlfn.ANCHORARRAY($B$51))&gt;0)*1)+51),4,FALSE))/100,Q123-VALUE(VLOOKUP($B101&amp;"-"&amp;$B102,INDIRECT("V51:Y"&amp;COUNT((FIND("-",_xlfn.ANCHORARRAY($B$51))&gt;0)*1)+51),4,FALSE))/100),"na")</f>
        <v>na</v>
      </c>
      <c r="R101" s="8" t="str">
        <f t="shared" ca="1" si="91"/>
        <v/>
      </c>
      <c r="S101" s="155"/>
      <c r="T101" s="68"/>
      <c r="U101" s="143" t="str">
        <f t="shared" si="92"/>
        <v>RTMX</v>
      </c>
      <c r="V101" s="8">
        <v>25</v>
      </c>
      <c r="W101" s="169" t="str">
        <v>dc25</v>
      </c>
      <c r="X101" s="67">
        <f t="shared" si="93"/>
        <v>5.67</v>
      </c>
      <c r="Y101" s="13">
        <f t="shared" si="94"/>
        <v>5.47</v>
      </c>
      <c r="Z101" s="19">
        <f t="shared" si="95"/>
        <v>-25.999999999999979</v>
      </c>
      <c r="AA101" s="281">
        <v>5.83</v>
      </c>
      <c r="AB101" s="6">
        <f t="shared" si="96"/>
        <v>5.57</v>
      </c>
      <c r="AC101" s="13" t="str">
        <f t="shared" si="97"/>
        <v>RTMX</v>
      </c>
      <c r="AD101" s="201"/>
      <c r="AE101" s="68"/>
      <c r="AF101" s="186"/>
      <c r="AG101" s="186"/>
      <c r="AH101" s="186"/>
      <c r="AI101" s="186"/>
      <c r="AJ101" s="186"/>
      <c r="AK101" s="186"/>
      <c r="AL101" s="186"/>
      <c r="AM101" s="186"/>
      <c r="AN101" s="186"/>
      <c r="AO101" s="186"/>
      <c r="AP101" s="186"/>
      <c r="AQ101" s="186"/>
      <c r="AR101" s="186"/>
      <c r="AS101" s="186"/>
      <c r="AT101" s="186"/>
      <c r="AU101" s="186"/>
      <c r="AV101" s="186"/>
      <c r="AW101" s="186"/>
      <c r="AX101" s="186"/>
      <c r="AY101" s="186"/>
      <c r="AZ101" s="186"/>
      <c r="BA101" s="186"/>
    </row>
    <row r="102" spans="2:53">
      <c r="B102" s="8"/>
      <c r="C102" s="8" t="str" cm="1">
        <f t="array" aca="1" ref="C102" ca="1">+IFERROR(IF(C101&lt;&gt;"na",C101+VALUE(VLOOKUP($B101&amp;"-"&amp;$B102,INDIRECT("V51:Y"&amp;COUNT((FIND("-",_xlfn.ANCHORARRAY($B$51))&gt;0)*1)+51),3,FALSE))/100,C122+VALUE(VLOOKUP($B101&amp;"-"&amp;$B102,INDIRECT("V51:Y"&amp;COUNT((FIND("-",_xlfn.ANCHORARRAY($B$51))&gt;0)*1)+51),3,FALSE))/100),"na")</f>
        <v>na</v>
      </c>
      <c r="D102" s="8" t="str" cm="1">
        <f t="array" aca="1" ref="D102" ca="1">+IFERROR(IF(D101&lt;&gt;"na",D101+VALUE(VLOOKUP($B101&amp;"-"&amp;$B102,INDIRECT("V51:Y"&amp;COUNT((FIND("-",_xlfn.ANCHORARRAY($B$51))&gt;0)*1)+51),3,FALSE))/100,D122+VALUE(VLOOKUP($B101&amp;"-"&amp;$B102,INDIRECT("V51:Y"&amp;COUNT((FIND("-",_xlfn.ANCHORARRAY($B$51))&gt;0)*1)+51),3,FALSE))/100),"na")</f>
        <v>na</v>
      </c>
      <c r="E102" s="8" t="str" cm="1">
        <f t="array" aca="1" ref="E102" ca="1">+IFERROR(IF(E101&lt;&gt;"na",E101+VALUE(VLOOKUP($B101&amp;"-"&amp;$B102,INDIRECT("V51:Y"&amp;COUNT((FIND("-",_xlfn.ANCHORARRAY($B$51))&gt;0)*1)+51),3,FALSE))/100,E122+VALUE(VLOOKUP($B101&amp;"-"&amp;$B102,INDIRECT("V51:Y"&amp;COUNT((FIND("-",_xlfn.ANCHORARRAY($B$51))&gt;0)*1)+51),3,FALSE))/100),"na")</f>
        <v>na</v>
      </c>
      <c r="F102" s="8" t="str" cm="1">
        <f t="array" aca="1" ref="F102" ca="1">+IFERROR(IF(F101&lt;&gt;"na",F101+VALUE(VLOOKUP($B101&amp;"-"&amp;$B102,INDIRECT("V51:Y"&amp;COUNT((FIND("-",_xlfn.ANCHORARRAY($B$51))&gt;0)*1)+51),3,FALSE))/100,F122+VALUE(VLOOKUP($B101&amp;"-"&amp;$B102,INDIRECT("V51:Y"&amp;COUNT((FIND("-",_xlfn.ANCHORARRAY($B$51))&gt;0)*1)+51),3,FALSE))/100),"na")</f>
        <v>na</v>
      </c>
      <c r="G102" s="8" t="str" cm="1">
        <f t="array" aca="1" ref="G102" ca="1">+IFERROR(IF(G101&lt;&gt;"na",G101+VALUE(VLOOKUP($B101&amp;"-"&amp;$B102,INDIRECT("V51:Y"&amp;COUNT((FIND("-",_xlfn.ANCHORARRAY($B$51))&gt;0)*1)+51),3,FALSE))/100,G122+VALUE(VLOOKUP($B101&amp;"-"&amp;$B102,INDIRECT("V51:Y"&amp;COUNT((FIND("-",_xlfn.ANCHORARRAY($B$51))&gt;0)*1)+51),3,FALSE))/100),"na")</f>
        <v>na</v>
      </c>
      <c r="H102" s="8" t="str" cm="1">
        <f t="array" aca="1" ref="H102" ca="1">+IFERROR(IF(H101&lt;&gt;"na",H101+VALUE(VLOOKUP($B101&amp;"-"&amp;$B102,INDIRECT("V51:Y"&amp;COUNT((FIND("-",_xlfn.ANCHORARRAY($B$51))&gt;0)*1)+51),3,FALSE))/100,H122+VALUE(VLOOKUP($B101&amp;"-"&amp;$B102,INDIRECT("V51:Y"&amp;COUNT((FIND("-",_xlfn.ANCHORARRAY($B$51))&gt;0)*1)+51),3,FALSE))/100),"na")</f>
        <v>na</v>
      </c>
      <c r="I102" s="8" t="str" cm="1">
        <f t="array" aca="1" ref="I102" ca="1">+IFERROR(IF(I101&lt;&gt;"na",I101+VALUE(VLOOKUP($B101&amp;"-"&amp;$B102,INDIRECT("V51:Y"&amp;COUNT((FIND("-",_xlfn.ANCHORARRAY($B$51))&gt;0)*1)+51),3,FALSE))/100,I122+VALUE(VLOOKUP($B101&amp;"-"&amp;$B102,INDIRECT("V51:Y"&amp;COUNT((FIND("-",_xlfn.ANCHORARRAY($B$51))&gt;0)*1)+51),3,FALSE))/100),"na")</f>
        <v>na</v>
      </c>
      <c r="J102" s="8" t="str" cm="1">
        <f t="array" aca="1" ref="J102" ca="1">+IFERROR(IF(J101&lt;&gt;"na",J101+VALUE(VLOOKUP($B101&amp;"-"&amp;$B102,INDIRECT("V51:Y"&amp;COUNT((FIND("-",_xlfn.ANCHORARRAY($B$51))&gt;0)*1)+51),3,FALSE))/100,J122+VALUE(VLOOKUP($B101&amp;"-"&amp;$B102,INDIRECT("V51:Y"&amp;COUNT((FIND("-",_xlfn.ANCHORARRAY($B$51))&gt;0)*1)+51),3,FALSE))/100),"na")</f>
        <v>na</v>
      </c>
      <c r="K102" s="8" t="str" cm="1">
        <f t="array" aca="1" ref="K102" ca="1">+IFERROR(IF(K101&lt;&gt;"na",K101+VALUE(VLOOKUP($B101&amp;"-"&amp;$B102,INDIRECT("V51:Y"&amp;COUNT((FIND("-",_xlfn.ANCHORARRAY($B$51))&gt;0)*1)+51),3,FALSE))/100,K122+VALUE(VLOOKUP($B101&amp;"-"&amp;$B102,INDIRECT("V51:Y"&amp;COUNT((FIND("-",_xlfn.ANCHORARRAY($B$51))&gt;0)*1)+51),3,FALSE))/100),"na")</f>
        <v>na</v>
      </c>
      <c r="L102" s="8" t="str" cm="1">
        <f t="array" aca="1" ref="L102" ca="1">+IFERROR(L101+VALUE(VLOOKUP($B101&amp;"-"&amp;$B102,INDIRECT("V51:Y"&amp;COUNT((FIND("-",_xlfn.ANCHORARRAY($B$51))&gt;0)*1)+51),3,FALSE))/100,"na")</f>
        <v>na</v>
      </c>
      <c r="M102" s="8" t="str">
        <f ca="1">+IFERROR(VALUE(VLOOKUP(M$91,INDIRECT("V28:Y"&amp;COUNT(_xlfn.ANCHORARRAY($B$92))+28),3,FALSE)),"na")</f>
        <v>na</v>
      </c>
      <c r="N102" s="8" t="str" cm="1">
        <f t="array" aca="1" ref="N102" ca="1">+IFERROR(N103-VALUE(VLOOKUP($B102&amp;"-"&amp;$B103,INDIRECT("V51:Y"&amp;COUNT((FIND("-",_xlfn.ANCHORARRAY($B$51))&gt;0)*1)+51),4,FALSE))/100,"na")</f>
        <v>na</v>
      </c>
      <c r="O102" s="8" t="str" cm="1">
        <f t="array" aca="1" ref="O102" ca="1">+IFERROR(IF(O103&lt;&gt;"na",O103-VALUE(VLOOKUP($B102&amp;"-"&amp;$B103,INDIRECT("V51:Y"&amp;COUNT((FIND("-",_xlfn.ANCHORARRAY($B$51))&gt;0)*1)+51),4,FALSE))/100,O124-VALUE(VLOOKUP($B102&amp;"-"&amp;$B103,INDIRECT("V51:Y"&amp;COUNT((FIND("-",_xlfn.ANCHORARRAY($B$51))&gt;0)*1)+51),4,FALSE))/100),"na")</f>
        <v>na</v>
      </c>
      <c r="P102" s="8" t="str" cm="1">
        <f t="array" aca="1" ref="P102" ca="1">+IFERROR(IF(P103&lt;&gt;"na",P103-VALUE(VLOOKUP($B102&amp;"-"&amp;$B103,INDIRECT("V51:Y"&amp;COUNT((FIND("-",_xlfn.ANCHORARRAY($B$51))&gt;0)*1)+51),4,FALSE))/100,P124-VALUE(VLOOKUP($B102&amp;"-"&amp;$B103,INDIRECT("V51:Y"&amp;COUNT((FIND("-",_xlfn.ANCHORARRAY($B$51))&gt;0)*1)+51),4,FALSE))/100),"na")</f>
        <v>na</v>
      </c>
      <c r="Q102" s="8" t="str" cm="1">
        <f t="array" aca="1" ref="Q102" ca="1">+IFERROR(IF(Q103&lt;&gt;"na",Q103-VALUE(VLOOKUP($B102&amp;"-"&amp;$B103,INDIRECT("V51:Y"&amp;COUNT((FIND("-",_xlfn.ANCHORARRAY($B$51))&gt;0)*1)+51),4,FALSE))/100,Q124-VALUE(VLOOKUP($B102&amp;"-"&amp;$B103,INDIRECT("V51:Y"&amp;COUNT((FIND("-",_xlfn.ANCHORARRAY($B$51))&gt;0)*1)+51),4,FALSE))/100),"na")</f>
        <v>na</v>
      </c>
      <c r="R102" s="8" t="str">
        <f t="shared" ca="1" si="91"/>
        <v/>
      </c>
      <c r="S102" s="155"/>
      <c r="T102" s="68"/>
      <c r="U102" s="143" t="str">
        <f t="shared" si="92"/>
        <v>RTMX</v>
      </c>
      <c r="V102" s="8">
        <v>26</v>
      </c>
      <c r="W102" s="169" t="str">
        <v>dc26</v>
      </c>
      <c r="X102" s="67">
        <f t="shared" si="93"/>
        <v>5.47</v>
      </c>
      <c r="Y102" s="13">
        <f t="shared" si="94"/>
        <v>5.27</v>
      </c>
      <c r="Z102" s="19">
        <f t="shared" si="95"/>
        <v>3.9999999999999147</v>
      </c>
      <c r="AA102" s="281">
        <v>5.33</v>
      </c>
      <c r="AB102" s="6">
        <f t="shared" si="96"/>
        <v>5.3699999999999992</v>
      </c>
      <c r="AC102" s="13" t="str">
        <f t="shared" si="97"/>
        <v>RTMX</v>
      </c>
      <c r="AD102" s="201"/>
      <c r="AE102" s="68"/>
      <c r="AF102" s="186"/>
      <c r="AG102" s="186"/>
      <c r="AH102" s="186"/>
      <c r="AI102" s="186"/>
      <c r="AJ102" s="186"/>
      <c r="AK102" s="186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6"/>
    </row>
    <row r="103" spans="2:53">
      <c r="B103" s="8"/>
      <c r="C103" s="8" t="str" cm="1">
        <f t="array" aca="1" ref="C103" ca="1">+IFERROR(IF(C102&lt;&gt;"na",C102+VALUE(VLOOKUP($B102&amp;"-"&amp;$B103,INDIRECT("V51:Y"&amp;COUNT((FIND("-",_xlfn.ANCHORARRAY($B$51))&gt;0)*1)+51),3,FALSE))/100,C123+VALUE(VLOOKUP($B102&amp;"-"&amp;$B103,INDIRECT("V51:Y"&amp;COUNT((FIND("-",_xlfn.ANCHORARRAY($B$51))&gt;0)*1)+51),3,FALSE))/100),"na")</f>
        <v>na</v>
      </c>
      <c r="D103" s="8" t="str" cm="1">
        <f t="array" aca="1" ref="D103" ca="1">+IFERROR(IF(D102&lt;&gt;"na",D102+VALUE(VLOOKUP($B102&amp;"-"&amp;$B103,INDIRECT("V51:Y"&amp;COUNT((FIND("-",_xlfn.ANCHORARRAY($B$51))&gt;0)*1)+51),3,FALSE))/100,D123+VALUE(VLOOKUP($B102&amp;"-"&amp;$B103,INDIRECT("V51:Y"&amp;COUNT((FIND("-",_xlfn.ANCHORARRAY($B$51))&gt;0)*1)+51),3,FALSE))/100),"na")</f>
        <v>na</v>
      </c>
      <c r="E103" s="8" t="str" cm="1">
        <f t="array" aca="1" ref="E103" ca="1">+IFERROR(IF(E102&lt;&gt;"na",E102+VALUE(VLOOKUP($B102&amp;"-"&amp;$B103,INDIRECT("V51:Y"&amp;COUNT((FIND("-",_xlfn.ANCHORARRAY($B$51))&gt;0)*1)+51),3,FALSE))/100,E123+VALUE(VLOOKUP($B102&amp;"-"&amp;$B103,INDIRECT("V51:Y"&amp;COUNT((FIND("-",_xlfn.ANCHORARRAY($B$51))&gt;0)*1)+51),3,FALSE))/100),"na")</f>
        <v>na</v>
      </c>
      <c r="F103" s="8" t="str" cm="1">
        <f t="array" aca="1" ref="F103" ca="1">+IFERROR(IF(F102&lt;&gt;"na",F102+VALUE(VLOOKUP($B102&amp;"-"&amp;$B103,INDIRECT("V51:Y"&amp;COUNT((FIND("-",_xlfn.ANCHORARRAY($B$51))&gt;0)*1)+51),3,FALSE))/100,F123+VALUE(VLOOKUP($B102&amp;"-"&amp;$B103,INDIRECT("V51:Y"&amp;COUNT((FIND("-",_xlfn.ANCHORARRAY($B$51))&gt;0)*1)+51),3,FALSE))/100),"na")</f>
        <v>na</v>
      </c>
      <c r="G103" s="8" t="str" cm="1">
        <f t="array" aca="1" ref="G103" ca="1">+IFERROR(IF(G102&lt;&gt;"na",G102+VALUE(VLOOKUP($B102&amp;"-"&amp;$B103,INDIRECT("V51:Y"&amp;COUNT((FIND("-",_xlfn.ANCHORARRAY($B$51))&gt;0)*1)+51),3,FALSE))/100,G123+VALUE(VLOOKUP($B102&amp;"-"&amp;$B103,INDIRECT("V51:Y"&amp;COUNT((FIND("-",_xlfn.ANCHORARRAY($B$51))&gt;0)*1)+51),3,FALSE))/100),"na")</f>
        <v>na</v>
      </c>
      <c r="H103" s="8" t="str" cm="1">
        <f t="array" aca="1" ref="H103" ca="1">+IFERROR(IF(H102&lt;&gt;"na",H102+VALUE(VLOOKUP($B102&amp;"-"&amp;$B103,INDIRECT("V51:Y"&amp;COUNT((FIND("-",_xlfn.ANCHORARRAY($B$51))&gt;0)*1)+51),3,FALSE))/100,H123+VALUE(VLOOKUP($B102&amp;"-"&amp;$B103,INDIRECT("V51:Y"&amp;COUNT((FIND("-",_xlfn.ANCHORARRAY($B$51))&gt;0)*1)+51),3,FALSE))/100),"na")</f>
        <v>na</v>
      </c>
      <c r="I103" s="8" t="str" cm="1">
        <f t="array" aca="1" ref="I103" ca="1">+IFERROR(IF(I102&lt;&gt;"na",I102+VALUE(VLOOKUP($B102&amp;"-"&amp;$B103,INDIRECT("V51:Y"&amp;COUNT((FIND("-",_xlfn.ANCHORARRAY($B$51))&gt;0)*1)+51),3,FALSE))/100,I123+VALUE(VLOOKUP($B102&amp;"-"&amp;$B103,INDIRECT("V51:Y"&amp;COUNT((FIND("-",_xlfn.ANCHORARRAY($B$51))&gt;0)*1)+51),3,FALSE))/100),"na")</f>
        <v>na</v>
      </c>
      <c r="J103" s="8" t="str" cm="1">
        <f t="array" aca="1" ref="J103" ca="1">+IFERROR(IF(J102&lt;&gt;"na",J102+VALUE(VLOOKUP($B102&amp;"-"&amp;$B103,INDIRECT("V51:Y"&amp;COUNT((FIND("-",_xlfn.ANCHORARRAY($B$51))&gt;0)*1)+51),3,FALSE))/100,J123+VALUE(VLOOKUP($B102&amp;"-"&amp;$B103,INDIRECT("V51:Y"&amp;COUNT((FIND("-",_xlfn.ANCHORARRAY($B$51))&gt;0)*1)+51),3,FALSE))/100),"na")</f>
        <v>na</v>
      </c>
      <c r="K103" s="8" t="str" cm="1">
        <f t="array" aca="1" ref="K103" ca="1">+IFERROR(IF(K102&lt;&gt;"na",K102+VALUE(VLOOKUP($B102&amp;"-"&amp;$B103,INDIRECT("V51:Y"&amp;COUNT((FIND("-",_xlfn.ANCHORARRAY($B$51))&gt;0)*1)+51),3,FALSE))/100,K123+VALUE(VLOOKUP($B102&amp;"-"&amp;$B103,INDIRECT("V51:Y"&amp;COUNT((FIND("-",_xlfn.ANCHORARRAY($B$51))&gt;0)*1)+51),3,FALSE))/100),"na")</f>
        <v>na</v>
      </c>
      <c r="L103" s="8" t="str" cm="1">
        <f t="array" aca="1" ref="L103" ca="1">+IFERROR(IF(L102&lt;&gt;"na",L102+VALUE(VLOOKUP($B102&amp;"-"&amp;$B103,INDIRECT("V51:Y"&amp;COUNT((FIND("-",_xlfn.ANCHORARRAY($B$51))&gt;0)*1)+51),3,FALSE))/100,L123+VALUE(VLOOKUP($B102&amp;"-"&amp;$B103,INDIRECT("V51:Y"&amp;COUNT((FIND("-",_xlfn.ANCHORARRAY($B$51))&gt;0)*1)+51),3,FALSE))/100),"na")</f>
        <v>na</v>
      </c>
      <c r="M103" s="8" t="str" cm="1">
        <f t="array" aca="1" ref="M103" ca="1">+IFERROR(M102+VALUE(VLOOKUP($B102&amp;"-"&amp;$B103,INDIRECT("V51:Y"&amp;COUNT((FIND("-",_xlfn.ANCHORARRAY($B$51))&gt;0)*1)+51),3,FALSE))/100,"na")</f>
        <v>na</v>
      </c>
      <c r="N103" s="8" t="str">
        <f ca="1">+IFERROR(VALUE(VLOOKUP(N$91,INDIRECT("V28:Y"&amp;COUNT(_xlfn.ANCHORARRAY($B$92))+28),3,FALSE)),"na")</f>
        <v>na</v>
      </c>
      <c r="O103" s="8" t="str" cm="1">
        <f t="array" aca="1" ref="O103" ca="1">+IFERROR(O104-VALUE(VLOOKUP($B103&amp;"-"&amp;$B104,INDIRECT("V51:Y"&amp;COUNT((FIND("-",_xlfn.ANCHORARRAY($B$51))&gt;0)*1)+51),4,FALSE))/100,"na")</f>
        <v>na</v>
      </c>
      <c r="P103" s="8" t="str" cm="1">
        <f t="array" aca="1" ref="P103" ca="1">+IFERROR(IF(P104&lt;&gt;"na",P104-VALUE(VLOOKUP($B103&amp;"-"&amp;$B104,INDIRECT("V51:Y"&amp;COUNT((FIND("-",_xlfn.ANCHORARRAY($B$51))&gt;0)*1)+51),4,FALSE))/100,P125-VALUE(VLOOKUP($B103&amp;"-"&amp;$B104,INDIRECT("V51:Y"&amp;COUNT((FIND("-",_xlfn.ANCHORARRAY($B$51))&gt;0)*1)+51),4,FALSE))/100),"na")</f>
        <v>na</v>
      </c>
      <c r="Q103" s="8" t="str" cm="1">
        <f t="array" aca="1" ref="Q103" ca="1">+IFERROR(IF(Q104&lt;&gt;"na",Q104-VALUE(VLOOKUP($B103&amp;"-"&amp;$B104,INDIRECT("V51:Y"&amp;COUNT((FIND("-",_xlfn.ANCHORARRAY($B$51))&gt;0)*1)+51),4,FALSE))/100,Q125-VALUE(VLOOKUP($B103&amp;"-"&amp;$B104,INDIRECT("V51:Y"&amp;COUNT((FIND("-",_xlfn.ANCHORARRAY($B$51))&gt;0)*1)+51),4,FALSE))/100),"na")</f>
        <v>na</v>
      </c>
      <c r="R103" s="8" t="str">
        <f t="shared" ca="1" si="91"/>
        <v/>
      </c>
      <c r="S103" s="155"/>
      <c r="T103" s="68"/>
      <c r="U103" s="143" t="str">
        <f t="shared" si="92"/>
        <v>RTMX</v>
      </c>
      <c r="V103" s="8">
        <v>28</v>
      </c>
      <c r="W103" s="169" t="str">
        <v>nv28</v>
      </c>
      <c r="X103" s="67">
        <f t="shared" si="93"/>
        <v>4.68</v>
      </c>
      <c r="Y103" s="13">
        <f t="shared" si="94"/>
        <v>4.4800000000000004</v>
      </c>
      <c r="Z103" s="19">
        <f t="shared" si="95"/>
        <v>-5.9999999999999609</v>
      </c>
      <c r="AA103" s="281">
        <v>4.6399999999999997</v>
      </c>
      <c r="AB103" s="6">
        <f t="shared" si="96"/>
        <v>4.58</v>
      </c>
      <c r="AC103" s="13" t="str">
        <f t="shared" si="97"/>
        <v>RTMX</v>
      </c>
      <c r="AD103" s="201"/>
      <c r="AE103" s="68"/>
      <c r="AF103" s="186"/>
      <c r="AG103" s="186"/>
      <c r="AH103" s="186"/>
      <c r="AI103" s="186"/>
      <c r="AJ103" s="186"/>
      <c r="AK103" s="186"/>
      <c r="AL103" s="186"/>
      <c r="AM103" s="186"/>
      <c r="AN103" s="186"/>
      <c r="AO103" s="186"/>
      <c r="AP103" s="186"/>
      <c r="AQ103" s="186"/>
      <c r="AR103" s="186"/>
      <c r="AS103" s="186"/>
      <c r="AT103" s="186"/>
      <c r="AU103" s="186"/>
      <c r="AV103" s="186"/>
      <c r="AW103" s="186"/>
      <c r="AX103" s="186"/>
      <c r="AY103" s="186"/>
      <c r="AZ103" s="186"/>
      <c r="BA103" s="186"/>
    </row>
    <row r="104" spans="2:53">
      <c r="B104" s="8"/>
      <c r="C104" s="8" t="str" cm="1">
        <f t="array" aca="1" ref="C104" ca="1">+IFERROR(IF(C103&lt;&gt;"na",C103+VALUE(VLOOKUP($B103&amp;"-"&amp;$B104,INDIRECT("V51:Y"&amp;COUNT((FIND("-",_xlfn.ANCHORARRAY($B$51))&gt;0)*1)+51),3,FALSE))/100,C124+VALUE(VLOOKUP($B103&amp;"-"&amp;$B104,INDIRECT("V51:Y"&amp;COUNT((FIND("-",_xlfn.ANCHORARRAY($B$51))&gt;0)*1)+51),3,FALSE))/100),"na")</f>
        <v>na</v>
      </c>
      <c r="D104" s="8" t="str" cm="1">
        <f t="array" aca="1" ref="D104" ca="1">+IFERROR(IF(D103&lt;&gt;"na",D103+VALUE(VLOOKUP($B103&amp;"-"&amp;$B104,INDIRECT("V51:Y"&amp;COUNT((FIND("-",_xlfn.ANCHORARRAY($B$51))&gt;0)*1)+51),3,FALSE))/100,D124+VALUE(VLOOKUP($B103&amp;"-"&amp;$B104,INDIRECT("V51:Y"&amp;COUNT((FIND("-",_xlfn.ANCHORARRAY($B$51))&gt;0)*1)+51),3,FALSE))/100),"na")</f>
        <v>na</v>
      </c>
      <c r="E104" s="8" t="str" cm="1">
        <f t="array" aca="1" ref="E104" ca="1">+IFERROR(IF(E103&lt;&gt;"na",E103+VALUE(VLOOKUP($B103&amp;"-"&amp;$B104,INDIRECT("V51:Y"&amp;COUNT((FIND("-",_xlfn.ANCHORARRAY($B$51))&gt;0)*1)+51),3,FALSE))/100,E124+VALUE(VLOOKUP($B103&amp;"-"&amp;$B104,INDIRECT("V51:Y"&amp;COUNT((FIND("-",_xlfn.ANCHORARRAY($B$51))&gt;0)*1)+51),3,FALSE))/100),"na")</f>
        <v>na</v>
      </c>
      <c r="F104" s="8" t="str" cm="1">
        <f t="array" aca="1" ref="F104" ca="1">+IFERROR(IF(F103&lt;&gt;"na",F103+VALUE(VLOOKUP($B103&amp;"-"&amp;$B104,INDIRECT("V51:Y"&amp;COUNT((FIND("-",_xlfn.ANCHORARRAY($B$51))&gt;0)*1)+51),3,FALSE))/100,F124+VALUE(VLOOKUP($B103&amp;"-"&amp;$B104,INDIRECT("V51:Y"&amp;COUNT((FIND("-",_xlfn.ANCHORARRAY($B$51))&gt;0)*1)+51),3,FALSE))/100),"na")</f>
        <v>na</v>
      </c>
      <c r="G104" s="8" t="str" cm="1">
        <f t="array" aca="1" ref="G104" ca="1">+IFERROR(IF(G103&lt;&gt;"na",G103+VALUE(VLOOKUP($B103&amp;"-"&amp;$B104,INDIRECT("V51:Y"&amp;COUNT((FIND("-",_xlfn.ANCHORARRAY($B$51))&gt;0)*1)+51),3,FALSE))/100,G124+VALUE(VLOOKUP($B103&amp;"-"&amp;$B104,INDIRECT("V51:Y"&amp;COUNT((FIND("-",_xlfn.ANCHORARRAY($B$51))&gt;0)*1)+51),3,FALSE))/100),"na")</f>
        <v>na</v>
      </c>
      <c r="H104" s="8" t="str" cm="1">
        <f t="array" aca="1" ref="H104" ca="1">+IFERROR(IF(H103&lt;&gt;"na",H103+VALUE(VLOOKUP($B103&amp;"-"&amp;$B104,INDIRECT("V51:Y"&amp;COUNT((FIND("-",_xlfn.ANCHORARRAY($B$51))&gt;0)*1)+51),3,FALSE))/100,H124+VALUE(VLOOKUP($B103&amp;"-"&amp;$B104,INDIRECT("V51:Y"&amp;COUNT((FIND("-",_xlfn.ANCHORARRAY($B$51))&gt;0)*1)+51),3,FALSE))/100),"na")</f>
        <v>na</v>
      </c>
      <c r="I104" s="8" t="str" cm="1">
        <f t="array" aca="1" ref="I104" ca="1">+IFERROR(IF(I103&lt;&gt;"na",I103+VALUE(VLOOKUP($B103&amp;"-"&amp;$B104,INDIRECT("V51:Y"&amp;COUNT((FIND("-",_xlfn.ANCHORARRAY($B$51))&gt;0)*1)+51),3,FALSE))/100,I124+VALUE(VLOOKUP($B103&amp;"-"&amp;$B104,INDIRECT("V51:Y"&amp;COUNT((FIND("-",_xlfn.ANCHORARRAY($B$51))&gt;0)*1)+51),3,FALSE))/100),"na")</f>
        <v>na</v>
      </c>
      <c r="J104" s="8" t="str" cm="1">
        <f t="array" aca="1" ref="J104" ca="1">+IFERROR(IF(J103&lt;&gt;"na",J103+VALUE(VLOOKUP($B103&amp;"-"&amp;$B104,INDIRECT("V51:Y"&amp;COUNT((FIND("-",_xlfn.ANCHORARRAY($B$51))&gt;0)*1)+51),3,FALSE))/100,J124+VALUE(VLOOKUP($B103&amp;"-"&amp;$B104,INDIRECT("V51:Y"&amp;COUNT((FIND("-",_xlfn.ANCHORARRAY($B$51))&gt;0)*1)+51),3,FALSE))/100),"na")</f>
        <v>na</v>
      </c>
      <c r="K104" s="8" t="str" cm="1">
        <f t="array" aca="1" ref="K104" ca="1">+IFERROR(IF(K103&lt;&gt;"na",K103+VALUE(VLOOKUP($B103&amp;"-"&amp;$B104,INDIRECT("V51:Y"&amp;COUNT((FIND("-",_xlfn.ANCHORARRAY($B$51))&gt;0)*1)+51),3,FALSE))/100,K124+VALUE(VLOOKUP($B103&amp;"-"&amp;$B104,INDIRECT("V51:Y"&amp;COUNT((FIND("-",_xlfn.ANCHORARRAY($B$51))&gt;0)*1)+51),3,FALSE))/100),"na")</f>
        <v>na</v>
      </c>
      <c r="L104" s="8" t="str" cm="1">
        <f t="array" aca="1" ref="L104" ca="1">+IFERROR(IF(L103&lt;&gt;"na",L103+VALUE(VLOOKUP($B103&amp;"-"&amp;$B104,INDIRECT("V51:Y"&amp;COUNT((FIND("-",_xlfn.ANCHORARRAY($B$51))&gt;0)*1)+51),3,FALSE))/100,L124+VALUE(VLOOKUP($B103&amp;"-"&amp;$B104,INDIRECT("V51:Y"&amp;COUNT((FIND("-",_xlfn.ANCHORARRAY($B$51))&gt;0)*1)+51),3,FALSE))/100),"na")</f>
        <v>na</v>
      </c>
      <c r="M104" s="8" t="str" cm="1">
        <f t="array" aca="1" ref="M104" ca="1">+IFERROR(IF(M103&lt;&gt;"na",M103+VALUE(VLOOKUP($B103&amp;"-"&amp;$B104,INDIRECT("V51:Y"&amp;COUNT((FIND("-",_xlfn.ANCHORARRAY($B$51))&gt;0)*1)+51),3,FALSE))/100,M124+VALUE(VLOOKUP($B103&amp;"-"&amp;$B104,INDIRECT("V51:Y"&amp;COUNT((FIND("-",_xlfn.ANCHORARRAY($B$51))&gt;0)*1)+51),3,FALSE))/100),"na")</f>
        <v>na</v>
      </c>
      <c r="N104" s="8" t="str" cm="1">
        <f t="array" aca="1" ref="N104" ca="1">+IFERROR(N103+VALUE(VLOOKUP($B103&amp;"-"&amp;$B104,INDIRECT("V51:Y"&amp;COUNT((FIND("-",_xlfn.ANCHORARRAY($B$51))&gt;0)*1)+51),3,FALSE))/100,"na")</f>
        <v>na</v>
      </c>
      <c r="O104" s="8" t="str">
        <f ca="1">+IFERROR(VALUE(VLOOKUP(O$91,INDIRECT("V28:Y"&amp;COUNT(_xlfn.ANCHORARRAY($B$92))+28),3,FALSE)),"na")</f>
        <v>na</v>
      </c>
      <c r="P104" s="8" t="str" cm="1">
        <f t="array" aca="1" ref="P104" ca="1">+IFERROR(P105-VALUE(VLOOKUP($B104&amp;"-"&amp;$B105,INDIRECT("V51:Y"&amp;COUNT((FIND("-",_xlfn.ANCHORARRAY($B$51))&gt;0)*1)+51),4,FALSE))/100,"na")</f>
        <v>na</v>
      </c>
      <c r="Q104" s="8" t="str" cm="1">
        <f t="array" aca="1" ref="Q104" ca="1">+IFERROR(IF(Q105&lt;&gt;"na",Q105-VALUE(VLOOKUP($B104&amp;"-"&amp;$B105,INDIRECT("V51:Y"&amp;COUNT((FIND("-",_xlfn.ANCHORARRAY($B$51))&gt;0)*1)+51),4,FALSE))/100,Q126-VALUE(VLOOKUP($B104&amp;"-"&amp;$B105,INDIRECT("V51:Y"&amp;COUNT((FIND("-",_xlfn.ANCHORARRAY($B$51))&gt;0)*1)+51),4,FALSE))/100),"na")</f>
        <v>na</v>
      </c>
      <c r="R104" s="8" t="str">
        <f t="shared" ca="1" si="91"/>
        <v/>
      </c>
      <c r="S104" s="155"/>
      <c r="T104" s="68"/>
      <c r="U104" s="143" t="str">
        <f t="shared" si="92"/>
        <v>RTMX</v>
      </c>
      <c r="V104" s="8">
        <v>31</v>
      </c>
      <c r="W104" s="169" t="str">
        <v>nv31</v>
      </c>
      <c r="X104" s="67">
        <f t="shared" si="93"/>
        <v>4.55</v>
      </c>
      <c r="Y104" s="13">
        <f t="shared" si="94"/>
        <v>4.3499999999999996</v>
      </c>
      <c r="Z104" s="19">
        <f t="shared" si="95"/>
        <v>-36.000000000000028</v>
      </c>
      <c r="AA104" s="281">
        <v>4.8099999999999996</v>
      </c>
      <c r="AB104" s="6">
        <f t="shared" si="96"/>
        <v>4.4499999999999993</v>
      </c>
      <c r="AC104" s="13" t="str">
        <f t="shared" si="97"/>
        <v>RTMX</v>
      </c>
      <c r="AD104" s="201"/>
      <c r="AE104" s="68"/>
      <c r="AF104" s="186"/>
      <c r="AG104" s="186"/>
      <c r="AH104" s="186"/>
      <c r="AI104" s="186"/>
      <c r="AJ104" s="186"/>
      <c r="AK104" s="186"/>
      <c r="AL104" s="186"/>
      <c r="AM104" s="186"/>
      <c r="AN104" s="186"/>
      <c r="AO104" s="186"/>
      <c r="AP104" s="186"/>
      <c r="AQ104" s="186"/>
      <c r="AR104" s="186"/>
      <c r="AS104" s="186"/>
      <c r="AT104" s="186"/>
      <c r="AU104" s="186"/>
      <c r="AV104" s="186"/>
      <c r="AW104" s="186"/>
      <c r="AX104" s="186"/>
      <c r="AY104" s="186"/>
      <c r="AZ104" s="186"/>
      <c r="BA104" s="186"/>
    </row>
    <row r="105" spans="2:53">
      <c r="B105" s="8"/>
      <c r="C105" s="8" t="str" cm="1">
        <f t="array" aca="1" ref="C105" ca="1">+IFERROR(IF(C104&lt;&gt;"na",C104+VALUE(VLOOKUP($B104&amp;"-"&amp;$B105,INDIRECT("V51:Y"&amp;COUNT((FIND("-",_xlfn.ANCHORARRAY($B$51))&gt;0)*1)+51),3,FALSE))/100,C125+VALUE(VLOOKUP($B104&amp;"-"&amp;$B105,INDIRECT("V51:Y"&amp;COUNT((FIND("-",_xlfn.ANCHORARRAY($B$51))&gt;0)*1)+51),3,FALSE))/100),"na")</f>
        <v>na</v>
      </c>
      <c r="D105" s="8" t="str" cm="1">
        <f t="array" aca="1" ref="D105" ca="1">+IFERROR(IF(D104&lt;&gt;"na",D104+VALUE(VLOOKUP($B104&amp;"-"&amp;$B105,INDIRECT("V51:Y"&amp;COUNT((FIND("-",_xlfn.ANCHORARRAY($B$51))&gt;0)*1)+51),3,FALSE))/100,D125+VALUE(VLOOKUP($B104&amp;"-"&amp;$B105,INDIRECT("V51:Y"&amp;COUNT((FIND("-",_xlfn.ANCHORARRAY($B$51))&gt;0)*1)+51),3,FALSE))/100),"na")</f>
        <v>na</v>
      </c>
      <c r="E105" s="8" t="str" cm="1">
        <f t="array" aca="1" ref="E105" ca="1">+IFERROR(IF(E104&lt;&gt;"na",E104+VALUE(VLOOKUP($B104&amp;"-"&amp;$B105,INDIRECT("V51:Y"&amp;COUNT((FIND("-",_xlfn.ANCHORARRAY($B$51))&gt;0)*1)+51),3,FALSE))/100,E125+VALUE(VLOOKUP($B104&amp;"-"&amp;$B105,INDIRECT("V51:Y"&amp;COUNT((FIND("-",_xlfn.ANCHORARRAY($B$51))&gt;0)*1)+51),3,FALSE))/100),"na")</f>
        <v>na</v>
      </c>
      <c r="F105" s="8" t="str" cm="1">
        <f t="array" aca="1" ref="F105" ca="1">+IFERROR(IF(F104&lt;&gt;"na",F104+VALUE(VLOOKUP($B104&amp;"-"&amp;$B105,INDIRECT("V51:Y"&amp;COUNT((FIND("-",_xlfn.ANCHORARRAY($B$51))&gt;0)*1)+51),3,FALSE))/100,F125+VALUE(VLOOKUP($B104&amp;"-"&amp;$B105,INDIRECT("V51:Y"&amp;COUNT((FIND("-",_xlfn.ANCHORARRAY($B$51))&gt;0)*1)+51),3,FALSE))/100),"na")</f>
        <v>na</v>
      </c>
      <c r="G105" s="8" t="str" cm="1">
        <f t="array" aca="1" ref="G105" ca="1">+IFERROR(IF(G104&lt;&gt;"na",G104+VALUE(VLOOKUP($B104&amp;"-"&amp;$B105,INDIRECT("V51:Y"&amp;COUNT((FIND("-",_xlfn.ANCHORARRAY($B$51))&gt;0)*1)+51),3,FALSE))/100,G125+VALUE(VLOOKUP($B104&amp;"-"&amp;$B105,INDIRECT("V51:Y"&amp;COUNT((FIND("-",_xlfn.ANCHORARRAY($B$51))&gt;0)*1)+51),3,FALSE))/100),"na")</f>
        <v>na</v>
      </c>
      <c r="H105" s="8" t="str" cm="1">
        <f t="array" aca="1" ref="H105" ca="1">+IFERROR(IF(H104&lt;&gt;"na",H104+VALUE(VLOOKUP($B104&amp;"-"&amp;$B105,INDIRECT("V51:Y"&amp;COUNT((FIND("-",_xlfn.ANCHORARRAY($B$51))&gt;0)*1)+51),3,FALSE))/100,H125+VALUE(VLOOKUP($B104&amp;"-"&amp;$B105,INDIRECT("V51:Y"&amp;COUNT((FIND("-",_xlfn.ANCHORARRAY($B$51))&gt;0)*1)+51),3,FALSE))/100),"na")</f>
        <v>na</v>
      </c>
      <c r="I105" s="8" t="str" cm="1">
        <f t="array" aca="1" ref="I105" ca="1">+IFERROR(IF(I104&lt;&gt;"na",I104+VALUE(VLOOKUP($B104&amp;"-"&amp;$B105,INDIRECT("V51:Y"&amp;COUNT((FIND("-",_xlfn.ANCHORARRAY($B$51))&gt;0)*1)+51),3,FALSE))/100,I125+VALUE(VLOOKUP($B104&amp;"-"&amp;$B105,INDIRECT("V51:Y"&amp;COUNT((FIND("-",_xlfn.ANCHORARRAY($B$51))&gt;0)*1)+51),3,FALSE))/100),"na")</f>
        <v>na</v>
      </c>
      <c r="J105" s="8" t="str" cm="1">
        <f t="array" aca="1" ref="J105" ca="1">+IFERROR(IF(J104&lt;&gt;"na",J104+VALUE(VLOOKUP($B104&amp;"-"&amp;$B105,INDIRECT("V51:Y"&amp;COUNT((FIND("-",_xlfn.ANCHORARRAY($B$51))&gt;0)*1)+51),3,FALSE))/100,J125+VALUE(VLOOKUP($B104&amp;"-"&amp;$B105,INDIRECT("V51:Y"&amp;COUNT((FIND("-",_xlfn.ANCHORARRAY($B$51))&gt;0)*1)+51),3,FALSE))/100),"na")</f>
        <v>na</v>
      </c>
      <c r="K105" s="8" t="str" cm="1">
        <f t="array" aca="1" ref="K105" ca="1">+IFERROR(IF(K104&lt;&gt;"na",K104+VALUE(VLOOKUP($B104&amp;"-"&amp;$B105,INDIRECT("V51:Y"&amp;COUNT((FIND("-",_xlfn.ANCHORARRAY($B$51))&gt;0)*1)+51),3,FALSE))/100,K125+VALUE(VLOOKUP($B104&amp;"-"&amp;$B105,INDIRECT("V51:Y"&amp;COUNT((FIND("-",_xlfn.ANCHORARRAY($B$51))&gt;0)*1)+51),3,FALSE))/100),"na")</f>
        <v>na</v>
      </c>
      <c r="L105" s="8" t="str" cm="1">
        <f t="array" aca="1" ref="L105" ca="1">+IFERROR(IF(L104&lt;&gt;"na",L104+VALUE(VLOOKUP($B104&amp;"-"&amp;$B105,INDIRECT("V51:Y"&amp;COUNT((FIND("-",_xlfn.ANCHORARRAY($B$51))&gt;0)*1)+51),3,FALSE))/100,L125+VALUE(VLOOKUP($B104&amp;"-"&amp;$B105,INDIRECT("V51:Y"&amp;COUNT((FIND("-",_xlfn.ANCHORARRAY($B$51))&gt;0)*1)+51),3,FALSE))/100),"na")</f>
        <v>na</v>
      </c>
      <c r="M105" s="8" t="str" cm="1">
        <f t="array" aca="1" ref="M105" ca="1">+IFERROR(IF(M104&lt;&gt;"na",M104+VALUE(VLOOKUP($B104&amp;"-"&amp;$B105,INDIRECT("V51:Y"&amp;COUNT((FIND("-",_xlfn.ANCHORARRAY($B$51))&gt;0)*1)+51),3,FALSE))/100,M125+VALUE(VLOOKUP($B104&amp;"-"&amp;$B105,INDIRECT("V51:Y"&amp;COUNT((FIND("-",_xlfn.ANCHORARRAY($B$51))&gt;0)*1)+51),3,FALSE))/100),"na")</f>
        <v>na</v>
      </c>
      <c r="N105" s="8" t="str" cm="1">
        <f t="array" aca="1" ref="N105" ca="1">+IFERROR(IF(N104&lt;&gt;"na",N104+VALUE(VLOOKUP($B104&amp;"-"&amp;$B105,INDIRECT("V51:Y"&amp;COUNT((FIND("-",_xlfn.ANCHORARRAY($B$51))&gt;0)*1)+51),3,FALSE))/100,N125+VALUE(VLOOKUP($B104&amp;"-"&amp;$B105,INDIRECT("V51:Y"&amp;COUNT((FIND("-",_xlfn.ANCHORARRAY($B$51))&gt;0)*1)+51),3,FALSE))/100),"na")</f>
        <v>na</v>
      </c>
      <c r="O105" s="8" t="str" cm="1">
        <f t="array" aca="1" ref="O105" ca="1">+IFERROR(O104+VALUE(VLOOKUP($B104&amp;"-"&amp;$B105,INDIRECT("V51:Y"&amp;COUNT((FIND("-",_xlfn.ANCHORARRAY($B$51))&gt;0)*1)+51),3,FALSE))/100,"na")</f>
        <v>na</v>
      </c>
      <c r="P105" s="8" t="str">
        <f ca="1">+IFERROR(VALUE(VLOOKUP(P$91,INDIRECT("V28:Y"&amp;COUNT(_xlfn.ANCHORARRAY($B$92))+28),3,FALSE)),"na")</f>
        <v>na</v>
      </c>
      <c r="Q105" s="8" t="str" cm="1">
        <f t="array" aca="1" ref="Q105" ca="1">+IFERROR(Q106-VALUE(VLOOKUP($B105&amp;"-"&amp;$B106,INDIRECT("V51:Y"&amp;COUNT((FIND("-",_xlfn.ANCHORARRAY($B$51))&gt;0)*1)+51),4,FALSE))/100,"na")</f>
        <v>na</v>
      </c>
      <c r="R105" s="8" t="str">
        <f t="shared" ca="1" si="91"/>
        <v/>
      </c>
      <c r="S105" s="155"/>
      <c r="T105" s="68"/>
      <c r="U105" s="143" t="str">
        <f t="shared" si="92"/>
        <v>RTMX</v>
      </c>
      <c r="V105" s="8">
        <v>35</v>
      </c>
      <c r="W105" s="169" t="str">
        <v>nv35</v>
      </c>
      <c r="X105" s="67">
        <f t="shared" si="93"/>
        <v>4.37</v>
      </c>
      <c r="Y105" s="13">
        <f t="shared" si="94"/>
        <v>4.17</v>
      </c>
      <c r="Z105" s="19">
        <f t="shared" si="95"/>
        <v>-49.000000000000021</v>
      </c>
      <c r="AA105" s="281">
        <v>4.76</v>
      </c>
      <c r="AB105" s="6">
        <f t="shared" si="96"/>
        <v>4.2699999999999996</v>
      </c>
      <c r="AC105" s="13" t="str">
        <f t="shared" si="97"/>
        <v>RTMX</v>
      </c>
      <c r="AD105" s="201"/>
      <c r="AE105" s="68"/>
      <c r="AF105" s="186"/>
      <c r="AG105" s="186"/>
      <c r="AH105" s="186"/>
      <c r="AI105" s="186"/>
      <c r="AJ105" s="186"/>
      <c r="AK105" s="186"/>
      <c r="AL105" s="186"/>
      <c r="AM105" s="186"/>
      <c r="AN105" s="186"/>
      <c r="AO105" s="186"/>
      <c r="AP105" s="186"/>
      <c r="AQ105" s="186"/>
      <c r="AR105" s="186"/>
      <c r="AS105" s="186"/>
      <c r="AT105" s="186"/>
      <c r="AU105" s="186"/>
      <c r="AV105" s="186"/>
      <c r="AW105" s="186"/>
      <c r="AX105" s="186"/>
      <c r="AY105" s="186"/>
      <c r="AZ105" s="186"/>
      <c r="BA105" s="186"/>
    </row>
    <row r="106" spans="2:53">
      <c r="B106" s="8"/>
      <c r="C106" s="8" t="str" cm="1">
        <f t="array" aca="1" ref="C106" ca="1">+IFERROR(IF(C105&lt;&gt;"na",C105+VALUE(VLOOKUP($B105&amp;"-"&amp;$B106,INDIRECT("V51:Y"&amp;COUNT((FIND("-",_xlfn.ANCHORARRAY($B$51))&gt;0)*1)+51),3,FALSE))/100,C126+VALUE(VLOOKUP($B105&amp;"-"&amp;$B106,INDIRECT("V51:Y"&amp;COUNT((FIND("-",_xlfn.ANCHORARRAY($B$51))&gt;0)*1)+51),3,FALSE))/100),"na")</f>
        <v>na</v>
      </c>
      <c r="D106" s="8" t="str" cm="1">
        <f t="array" aca="1" ref="D106" ca="1">+IFERROR(IF(D105&lt;&gt;"na",D105+VALUE(VLOOKUP($B105&amp;"-"&amp;$B106,INDIRECT("V51:Y"&amp;COUNT((FIND("-",_xlfn.ANCHORARRAY($B$51))&gt;0)*1)+51),3,FALSE))/100,D126+VALUE(VLOOKUP($B105&amp;"-"&amp;$B106,INDIRECT("V51:Y"&amp;COUNT((FIND("-",_xlfn.ANCHORARRAY($B$51))&gt;0)*1)+51),3,FALSE))/100),"na")</f>
        <v>na</v>
      </c>
      <c r="E106" s="8" t="str" cm="1">
        <f t="array" aca="1" ref="E106" ca="1">+IFERROR(IF(E105&lt;&gt;"na",E105+VALUE(VLOOKUP($B105&amp;"-"&amp;$B106,INDIRECT("V51:Y"&amp;COUNT((FIND("-",_xlfn.ANCHORARRAY($B$51))&gt;0)*1)+51),3,FALSE))/100,E126+VALUE(VLOOKUP($B105&amp;"-"&amp;$B106,INDIRECT("V51:Y"&amp;COUNT((FIND("-",_xlfn.ANCHORARRAY($B$51))&gt;0)*1)+51),3,FALSE))/100),"na")</f>
        <v>na</v>
      </c>
      <c r="F106" s="8" t="str" cm="1">
        <f t="array" aca="1" ref="F106" ca="1">+IFERROR(IF(F105&lt;&gt;"na",F105+VALUE(VLOOKUP($B105&amp;"-"&amp;$B106,INDIRECT("V51:Y"&amp;COUNT((FIND("-",_xlfn.ANCHORARRAY($B$51))&gt;0)*1)+51),3,FALSE))/100,F126+VALUE(VLOOKUP($B105&amp;"-"&amp;$B106,INDIRECT("V51:Y"&amp;COUNT((FIND("-",_xlfn.ANCHORARRAY($B$51))&gt;0)*1)+51),3,FALSE))/100),"na")</f>
        <v>na</v>
      </c>
      <c r="G106" s="8" t="str" cm="1">
        <f t="array" aca="1" ref="G106" ca="1">+IFERROR(IF(G105&lt;&gt;"na",G105+VALUE(VLOOKUP($B105&amp;"-"&amp;$B106,INDIRECT("V51:Y"&amp;COUNT((FIND("-",_xlfn.ANCHORARRAY($B$51))&gt;0)*1)+51),3,FALSE))/100,G126+VALUE(VLOOKUP($B105&amp;"-"&amp;$B106,INDIRECT("V51:Y"&amp;COUNT((FIND("-",_xlfn.ANCHORARRAY($B$51))&gt;0)*1)+51),3,FALSE))/100),"na")</f>
        <v>na</v>
      </c>
      <c r="H106" s="8" t="str" cm="1">
        <f t="array" aca="1" ref="H106" ca="1">+IFERROR(IF(H105&lt;&gt;"na",H105+VALUE(VLOOKUP($B105&amp;"-"&amp;$B106,INDIRECT("V51:Y"&amp;COUNT((FIND("-",_xlfn.ANCHORARRAY($B$51))&gt;0)*1)+51),3,FALSE))/100,H126+VALUE(VLOOKUP($B105&amp;"-"&amp;$B106,INDIRECT("V51:Y"&amp;COUNT((FIND("-",_xlfn.ANCHORARRAY($B$51))&gt;0)*1)+51),3,FALSE))/100),"na")</f>
        <v>na</v>
      </c>
      <c r="I106" s="8" t="str" cm="1">
        <f t="array" aca="1" ref="I106" ca="1">+IFERROR(IF(I105&lt;&gt;"na",I105+VALUE(VLOOKUP($B105&amp;"-"&amp;$B106,INDIRECT("V51:Y"&amp;COUNT((FIND("-",_xlfn.ANCHORARRAY($B$51))&gt;0)*1)+51),3,FALSE))/100,I126+VALUE(VLOOKUP($B105&amp;"-"&amp;$B106,INDIRECT("V51:Y"&amp;COUNT((FIND("-",_xlfn.ANCHORARRAY($B$51))&gt;0)*1)+51),3,FALSE))/100),"na")</f>
        <v>na</v>
      </c>
      <c r="J106" s="8" t="str" cm="1">
        <f t="array" aca="1" ref="J106" ca="1">+IFERROR(IF(J105&lt;&gt;"na",J105+VALUE(VLOOKUP($B105&amp;"-"&amp;$B106,INDIRECT("V51:Y"&amp;COUNT((FIND("-",_xlfn.ANCHORARRAY($B$51))&gt;0)*1)+51),3,FALSE))/100,J126+VALUE(VLOOKUP($B105&amp;"-"&amp;$B106,INDIRECT("V51:Y"&amp;COUNT((FIND("-",_xlfn.ANCHORARRAY($B$51))&gt;0)*1)+51),3,FALSE))/100),"na")</f>
        <v>na</v>
      </c>
      <c r="K106" s="8" t="str" cm="1">
        <f t="array" aca="1" ref="K106" ca="1">+IFERROR(IF(K105&lt;&gt;"na",K105+VALUE(VLOOKUP($B105&amp;"-"&amp;$B106,INDIRECT("V51:Y"&amp;COUNT((FIND("-",_xlfn.ANCHORARRAY($B$51))&gt;0)*1)+51),3,FALSE))/100,K126+VALUE(VLOOKUP($B105&amp;"-"&amp;$B106,INDIRECT("V51:Y"&amp;COUNT((FIND("-",_xlfn.ANCHORARRAY($B$51))&gt;0)*1)+51),3,FALSE))/100),"na")</f>
        <v>na</v>
      </c>
      <c r="L106" s="8" t="str" cm="1">
        <f t="array" aca="1" ref="L106" ca="1">+IFERROR(IF(L105&lt;&gt;"na",L105+VALUE(VLOOKUP($B105&amp;"-"&amp;$B106,INDIRECT("V51:Y"&amp;COUNT((FIND("-",_xlfn.ANCHORARRAY($B$51))&gt;0)*1)+51),3,FALSE))/100,L126+VALUE(VLOOKUP($B105&amp;"-"&amp;$B106,INDIRECT("V51:Y"&amp;COUNT((FIND("-",_xlfn.ANCHORARRAY($B$51))&gt;0)*1)+51),3,FALSE))/100),"na")</f>
        <v>na</v>
      </c>
      <c r="M106" s="8" t="str" cm="1">
        <f t="array" aca="1" ref="M106" ca="1">+IFERROR(IF(M105&lt;&gt;"na",M105+VALUE(VLOOKUP($B105&amp;"-"&amp;$B106,INDIRECT("V51:Y"&amp;COUNT((FIND("-",_xlfn.ANCHORARRAY($B$51))&gt;0)*1)+51),3,FALSE))/100,M126+VALUE(VLOOKUP($B105&amp;"-"&amp;$B106,INDIRECT("V51:Y"&amp;COUNT((FIND("-",_xlfn.ANCHORARRAY($B$51))&gt;0)*1)+51),3,FALSE))/100),"na")</f>
        <v>na</v>
      </c>
      <c r="N106" s="8" t="str" cm="1">
        <f t="array" aca="1" ref="N106" ca="1">+IFERROR(IF(N105&lt;&gt;"na",N105+VALUE(VLOOKUP($B105&amp;"-"&amp;$B106,INDIRECT("V51:Y"&amp;COUNT((FIND("-",_xlfn.ANCHORARRAY($B$51))&gt;0)*1)+51),3,FALSE))/100,N126+VALUE(VLOOKUP($B105&amp;"-"&amp;$B106,INDIRECT("V51:Y"&amp;COUNT((FIND("-",_xlfn.ANCHORARRAY($B$51))&gt;0)*1)+51),3,FALSE))/100),"na")</f>
        <v>na</v>
      </c>
      <c r="O106" s="8" t="str" cm="1">
        <f t="array" aca="1" ref="O106" ca="1">+IFERROR(IF(O105&lt;&gt;"na",O105+VALUE(VLOOKUP($B105&amp;"-"&amp;$B106,INDIRECT("V51:Y"&amp;COUNT((FIND("-",_xlfn.ANCHORARRAY($B$51))&gt;0)*1)+51),3,FALSE))/100,O126+VALUE(VLOOKUP($B105&amp;"-"&amp;$B106,INDIRECT("V51:Y"&amp;COUNT((FIND("-",_xlfn.ANCHORARRAY($B$51))&gt;0)*1)+51),3,FALSE))/100),"na")</f>
        <v>na</v>
      </c>
      <c r="P106" s="8" t="str" cm="1">
        <f t="array" aca="1" ref="P106" ca="1">+IFERROR(P105+VALUE(VLOOKUP($B105&amp;"-"&amp;$B106,INDIRECT("V51:Y"&amp;COUNT((FIND("-",_xlfn.ANCHORARRAY($B$51))&gt;0)*1)+51),3,FALSE))/100,"na")</f>
        <v>na</v>
      </c>
      <c r="Q106" s="8" t="str">
        <f ca="1">+IFERROR(VALUE(VLOOKUP(Q$91,INDIRECT("V28:Y"&amp;COUNT(_xlfn.ANCHORARRAY($B$92))+28),3,FALSE)),"na")</f>
        <v>na</v>
      </c>
      <c r="R106" s="8" t="str">
        <f t="shared" ca="1" si="91"/>
        <v/>
      </c>
      <c r="S106" s="155"/>
      <c r="T106" s="68"/>
      <c r="U106" s="143" t="str">
        <f t="shared" si="92"/>
        <v>RTMX</v>
      </c>
      <c r="V106" s="8">
        <v>40</v>
      </c>
      <c r="W106" s="169" t="str">
        <v>nv40</v>
      </c>
      <c r="X106" s="67">
        <f t="shared" si="93"/>
        <v>4.4400000000000004</v>
      </c>
      <c r="Y106" s="13">
        <f t="shared" si="94"/>
        <v>4.24</v>
      </c>
      <c r="Z106" s="19">
        <f t="shared" si="95"/>
        <v>-41.999999999999993</v>
      </c>
      <c r="AA106" s="281">
        <v>4.76</v>
      </c>
      <c r="AB106" s="6">
        <f t="shared" si="96"/>
        <v>4.34</v>
      </c>
      <c r="AC106" s="13" t="str">
        <f t="shared" si="97"/>
        <v>RTMX</v>
      </c>
      <c r="AD106" s="201"/>
      <c r="AE106" s="68"/>
      <c r="AF106" s="186"/>
      <c r="AG106" s="186"/>
      <c r="AH106" s="186"/>
      <c r="AI106" s="186"/>
      <c r="AJ106" s="186"/>
      <c r="AK106" s="186"/>
      <c r="AL106" s="186"/>
      <c r="AM106" s="186"/>
      <c r="AN106" s="186"/>
      <c r="AO106" s="186"/>
      <c r="AP106" s="186"/>
      <c r="AQ106" s="186"/>
      <c r="AR106" s="186"/>
      <c r="AS106" s="186"/>
      <c r="AT106" s="186"/>
      <c r="AU106" s="186"/>
      <c r="AV106" s="186"/>
      <c r="AW106" s="186"/>
      <c r="AX106" s="186"/>
      <c r="AY106" s="186"/>
      <c r="AZ106" s="186"/>
      <c r="BA106" s="186"/>
    </row>
    <row r="107" spans="2:53">
      <c r="B107" s="8"/>
      <c r="C107" s="8" t="str" cm="1">
        <f t="array" aca="1" ref="C107" ca="1">+IFERROR(IF(C106&lt;&gt;"na",C106+VALUE(VLOOKUP($B106&amp;"-"&amp;$B107,INDIRECT("V51:Y"&amp;COUNT((FIND("-",_xlfn.ANCHORARRAY($B$51))&gt;0)*1)+51),3,FALSE))/100,C127+VALUE(VLOOKUP($B106&amp;"-"&amp;$B107,INDIRECT("V51:Y"&amp;COUNT((FIND("-",_xlfn.ANCHORARRAY($B$51))&gt;0)*1)+51),3,FALSE))/100),"na")</f>
        <v>na</v>
      </c>
      <c r="D107" s="8" t="str" cm="1">
        <f t="array" aca="1" ref="D107" ca="1">+IFERROR(IF(D106&lt;&gt;"na",D106+VALUE(VLOOKUP($B106&amp;"-"&amp;$B107,INDIRECT("V51:Y"&amp;COUNT((FIND("-",_xlfn.ANCHORARRAY($B$51))&gt;0)*1)+51),3,FALSE))/100,D127+VALUE(VLOOKUP($B106&amp;"-"&amp;$B107,INDIRECT("V51:Y"&amp;COUNT((FIND("-",_xlfn.ANCHORARRAY($B$51))&gt;0)*1)+51),3,FALSE))/100),"na")</f>
        <v>na</v>
      </c>
      <c r="E107" s="8" t="str" cm="1">
        <f t="array" aca="1" ref="E107" ca="1">+IFERROR(IF(E106&lt;&gt;"na",E106+VALUE(VLOOKUP($B106&amp;"-"&amp;$B107,INDIRECT("V51:Y"&amp;COUNT((FIND("-",_xlfn.ANCHORARRAY($B$51))&gt;0)*1)+51),3,FALSE))/100,E127+VALUE(VLOOKUP($B106&amp;"-"&amp;$B107,INDIRECT("V51:Y"&amp;COUNT((FIND("-",_xlfn.ANCHORARRAY($B$51))&gt;0)*1)+51),3,FALSE))/100),"na")</f>
        <v>na</v>
      </c>
      <c r="F107" s="8" t="str" cm="1">
        <f t="array" aca="1" ref="F107" ca="1">+IFERROR(IF(F106&lt;&gt;"na",F106+VALUE(VLOOKUP($B106&amp;"-"&amp;$B107,INDIRECT("V51:Y"&amp;COUNT((FIND("-",_xlfn.ANCHORARRAY($B$51))&gt;0)*1)+51),3,FALSE))/100,F127+VALUE(VLOOKUP($B106&amp;"-"&amp;$B107,INDIRECT("V51:Y"&amp;COUNT((FIND("-",_xlfn.ANCHORARRAY($B$51))&gt;0)*1)+51),3,FALSE))/100),"na")</f>
        <v>na</v>
      </c>
      <c r="G107" s="8" t="str" cm="1">
        <f t="array" aca="1" ref="G107" ca="1">+IFERROR(IF(G106&lt;&gt;"na",G106+VALUE(VLOOKUP($B106&amp;"-"&amp;$B107,INDIRECT("V51:Y"&amp;COUNT((FIND("-",_xlfn.ANCHORARRAY($B$51))&gt;0)*1)+51),3,FALSE))/100,G127+VALUE(VLOOKUP($B106&amp;"-"&amp;$B107,INDIRECT("V51:Y"&amp;COUNT((FIND("-",_xlfn.ANCHORARRAY($B$51))&gt;0)*1)+51),3,FALSE))/100),"na")</f>
        <v>na</v>
      </c>
      <c r="H107" s="8" t="str" cm="1">
        <f t="array" aca="1" ref="H107" ca="1">+IFERROR(IF(H106&lt;&gt;"na",H106+VALUE(VLOOKUP($B106&amp;"-"&amp;$B107,INDIRECT("V51:Y"&amp;COUNT((FIND("-",_xlfn.ANCHORARRAY($B$51))&gt;0)*1)+51),3,FALSE))/100,H127+VALUE(VLOOKUP($B106&amp;"-"&amp;$B107,INDIRECT("V51:Y"&amp;COUNT((FIND("-",_xlfn.ANCHORARRAY($B$51))&gt;0)*1)+51),3,FALSE))/100),"na")</f>
        <v>na</v>
      </c>
      <c r="I107" s="8" t="str" cm="1">
        <f t="array" aca="1" ref="I107" ca="1">+IFERROR(IF(I106&lt;&gt;"na",I106+VALUE(VLOOKUP($B106&amp;"-"&amp;$B107,INDIRECT("V51:Y"&amp;COUNT((FIND("-",_xlfn.ANCHORARRAY($B$51))&gt;0)*1)+51),3,FALSE))/100,I127+VALUE(VLOOKUP($B106&amp;"-"&amp;$B107,INDIRECT("V51:Y"&amp;COUNT((FIND("-",_xlfn.ANCHORARRAY($B$51))&gt;0)*1)+51),3,FALSE))/100),"na")</f>
        <v>na</v>
      </c>
      <c r="J107" s="8" t="str" cm="1">
        <f t="array" aca="1" ref="J107" ca="1">+IFERROR(IF(J106&lt;&gt;"na",J106+VALUE(VLOOKUP($B106&amp;"-"&amp;$B107,INDIRECT("V51:Y"&amp;COUNT((FIND("-",_xlfn.ANCHORARRAY($B$51))&gt;0)*1)+51),3,FALSE))/100,J127+VALUE(VLOOKUP($B106&amp;"-"&amp;$B107,INDIRECT("V51:Y"&amp;COUNT((FIND("-",_xlfn.ANCHORARRAY($B$51))&gt;0)*1)+51),3,FALSE))/100),"na")</f>
        <v>na</v>
      </c>
      <c r="K107" s="8" t="str" cm="1">
        <f t="array" aca="1" ref="K107" ca="1">+IFERROR(IF(K106&lt;&gt;"na",K106+VALUE(VLOOKUP($B106&amp;"-"&amp;$B107,INDIRECT("V51:Y"&amp;COUNT((FIND("-",_xlfn.ANCHORARRAY($B$51))&gt;0)*1)+51),3,FALSE))/100,K127+VALUE(VLOOKUP($B106&amp;"-"&amp;$B107,INDIRECT("V51:Y"&amp;COUNT((FIND("-",_xlfn.ANCHORARRAY($B$51))&gt;0)*1)+51),3,FALSE))/100),"na")</f>
        <v>na</v>
      </c>
      <c r="L107" s="8" t="str" cm="1">
        <f t="array" aca="1" ref="L107" ca="1">+IFERROR(IF(L106&lt;&gt;"na",L106+VALUE(VLOOKUP($B106&amp;"-"&amp;$B107,INDIRECT("V51:Y"&amp;COUNT((FIND("-",_xlfn.ANCHORARRAY($B$51))&gt;0)*1)+51),3,FALSE))/100,L127+VALUE(VLOOKUP($B106&amp;"-"&amp;$B107,INDIRECT("V51:Y"&amp;COUNT((FIND("-",_xlfn.ANCHORARRAY($B$51))&gt;0)*1)+51),3,FALSE))/100),"na")</f>
        <v>na</v>
      </c>
      <c r="M107" s="8" t="str" cm="1">
        <f t="array" aca="1" ref="M107" ca="1">+IFERROR(IF(M106&lt;&gt;"na",M106+VALUE(VLOOKUP($B106&amp;"-"&amp;$B107,INDIRECT("V51:Y"&amp;COUNT((FIND("-",_xlfn.ANCHORARRAY($B$51))&gt;0)*1)+51),3,FALSE))/100,M127+VALUE(VLOOKUP($B106&amp;"-"&amp;$B107,INDIRECT("V51:Y"&amp;COUNT((FIND("-",_xlfn.ANCHORARRAY($B$51))&gt;0)*1)+51),3,FALSE))/100),"na")</f>
        <v>na</v>
      </c>
      <c r="N107" s="8" t="str" cm="1">
        <f t="array" aca="1" ref="N107" ca="1">+IFERROR(IF(N106&lt;&gt;"na",N106+VALUE(VLOOKUP($B106&amp;"-"&amp;$B107,INDIRECT("V51:Y"&amp;COUNT((FIND("-",_xlfn.ANCHORARRAY($B$51))&gt;0)*1)+51),3,FALSE))/100,N127+VALUE(VLOOKUP($B106&amp;"-"&amp;$B107,INDIRECT("V51:Y"&amp;COUNT((FIND("-",_xlfn.ANCHORARRAY($B$51))&gt;0)*1)+51),3,FALSE))/100),"na")</f>
        <v>na</v>
      </c>
      <c r="O107" s="8" t="str" cm="1">
        <f t="array" aca="1" ref="O107" ca="1">+IFERROR(IF(O106&lt;&gt;"na",O106+VALUE(VLOOKUP($B106&amp;"-"&amp;$B107,INDIRECT("V51:Y"&amp;COUNT((FIND("-",_xlfn.ANCHORARRAY($B$51))&gt;0)*1)+51),3,FALSE))/100,O127+VALUE(VLOOKUP($B106&amp;"-"&amp;$B107,INDIRECT("V51:Y"&amp;COUNT((FIND("-",_xlfn.ANCHORARRAY($B$51))&gt;0)*1)+51),3,FALSE))/100),"na")</f>
        <v>na</v>
      </c>
      <c r="P107" s="8" t="str" cm="1">
        <f t="array" aca="1" ref="P107" ca="1">+IFERROR(IF(P106&lt;&gt;"na",P106+VALUE(VLOOKUP($B106&amp;"-"&amp;$B107,INDIRECT("V51:Y"&amp;COUNT((FIND("-",_xlfn.ANCHORARRAY($B$51))&gt;0)*1)+51),3,FALSE))/100,P127+VALUE(VLOOKUP($B106&amp;"-"&amp;$B107,INDIRECT("V51:Y"&amp;COUNT((FIND("-",_xlfn.ANCHORARRAY($B$51))&gt;0)*1)+51),3,FALSE))/100),"na")</f>
        <v>na</v>
      </c>
      <c r="Q107" s="8" t="str" cm="1">
        <f t="array" aca="1" ref="Q107" ca="1">+IFERROR(Q106+VALUE(VLOOKUP($B106&amp;"-"&amp;$B107,INDIRECT("V51:Y"&amp;COUNT((FIND("-",_xlfn.ANCHORARRAY($B$51))&gt;0)*1)+51),3,FALSE))/100,"na")</f>
        <v>na</v>
      </c>
      <c r="R107" s="8" t="str">
        <f t="shared" ca="1" si="91"/>
        <v/>
      </c>
      <c r="S107" s="155"/>
      <c r="T107" s="68"/>
      <c r="U107" s="143" t="str">
        <f t="shared" si="92"/>
        <v>RTMX</v>
      </c>
      <c r="V107" s="8">
        <v>43</v>
      </c>
      <c r="W107" s="169" t="str">
        <v>nv43</v>
      </c>
      <c r="X107" s="67">
        <f t="shared" si="93"/>
        <v>4.53</v>
      </c>
      <c r="Y107" s="13">
        <f t="shared" si="94"/>
        <v>4.33</v>
      </c>
      <c r="Z107" s="19">
        <f t="shared" si="95"/>
        <v>-33.000000000000007</v>
      </c>
      <c r="AA107" s="281">
        <v>4.76</v>
      </c>
      <c r="AB107" s="6">
        <f t="shared" si="96"/>
        <v>4.43</v>
      </c>
      <c r="AC107" s="13" t="str">
        <f t="shared" si="97"/>
        <v>RTMX</v>
      </c>
      <c r="AD107" s="201"/>
      <c r="AE107" s="68"/>
      <c r="AF107" s="186"/>
      <c r="AG107" s="186"/>
      <c r="AH107" s="186"/>
      <c r="AI107" s="186"/>
      <c r="AJ107" s="186"/>
      <c r="AK107" s="186"/>
      <c r="AL107" s="186"/>
      <c r="AM107" s="186"/>
      <c r="AN107" s="186"/>
      <c r="AO107" s="186"/>
      <c r="AP107" s="186"/>
      <c r="AQ107" s="186"/>
      <c r="AR107" s="186"/>
      <c r="AS107" s="186"/>
      <c r="AT107" s="186"/>
      <c r="AU107" s="186"/>
      <c r="AV107" s="186"/>
      <c r="AW107" s="186"/>
      <c r="AX107" s="186"/>
      <c r="AY107" s="186"/>
      <c r="AZ107" s="186"/>
      <c r="BA107" s="186"/>
    </row>
    <row r="108" spans="2:53">
      <c r="B108" s="8"/>
      <c r="C108" s="8" t="str" cm="1">
        <f t="array" aca="1" ref="C108" ca="1">+IFERROR(IF(C107&lt;&gt;"na",C107+VALUE(VLOOKUP($B107&amp;"-"&amp;$B108,INDIRECT("V51:Y"&amp;COUNT((FIND("-",_xlfn.ANCHORARRAY($B$51))&gt;0)*1)+51),3,FALSE))/100,C128+VALUE(VLOOKUP($B107&amp;"-"&amp;$B108,INDIRECT("V51:Y"&amp;COUNT((FIND("-",_xlfn.ANCHORARRAY($B$51))&gt;0)*1)+51),3,FALSE))/100),"na")</f>
        <v>na</v>
      </c>
      <c r="D108" s="8" t="str" cm="1">
        <f t="array" aca="1" ref="D108" ca="1">+IFERROR(IF(D107&lt;&gt;"na",D107+VALUE(VLOOKUP($B107&amp;"-"&amp;$B108,INDIRECT("V51:Y"&amp;COUNT((FIND("-",_xlfn.ANCHORARRAY($B$51))&gt;0)*1)+51),3,FALSE))/100,D128+VALUE(VLOOKUP($B107&amp;"-"&amp;$B108,INDIRECT("V51:Y"&amp;COUNT((FIND("-",_xlfn.ANCHORARRAY($B$51))&gt;0)*1)+51),3,FALSE))/100),"na")</f>
        <v>na</v>
      </c>
      <c r="E108" s="8" t="str" cm="1">
        <f t="array" aca="1" ref="E108" ca="1">+IFERROR(IF(E107&lt;&gt;"na",E107+VALUE(VLOOKUP($B107&amp;"-"&amp;$B108,INDIRECT("V51:Y"&amp;COUNT((FIND("-",_xlfn.ANCHORARRAY($B$51))&gt;0)*1)+51),3,FALSE))/100,E128+VALUE(VLOOKUP($B107&amp;"-"&amp;$B108,INDIRECT("V51:Y"&amp;COUNT((FIND("-",_xlfn.ANCHORARRAY($B$51))&gt;0)*1)+51),3,FALSE))/100),"na")</f>
        <v>na</v>
      </c>
      <c r="F108" s="8" t="str" cm="1">
        <f t="array" aca="1" ref="F108" ca="1">+IFERROR(IF(F107&lt;&gt;"na",F107+VALUE(VLOOKUP($B107&amp;"-"&amp;$B108,INDIRECT("V51:Y"&amp;COUNT((FIND("-",_xlfn.ANCHORARRAY($B$51))&gt;0)*1)+51),3,FALSE))/100,F128+VALUE(VLOOKUP($B107&amp;"-"&amp;$B108,INDIRECT("V51:Y"&amp;COUNT((FIND("-",_xlfn.ANCHORARRAY($B$51))&gt;0)*1)+51),3,FALSE))/100),"na")</f>
        <v>na</v>
      </c>
      <c r="G108" s="8" t="str" cm="1">
        <f t="array" aca="1" ref="G108" ca="1">+IFERROR(IF(G107&lt;&gt;"na",G107+VALUE(VLOOKUP($B107&amp;"-"&amp;$B108,INDIRECT("V51:Y"&amp;COUNT((FIND("-",_xlfn.ANCHORARRAY($B$51))&gt;0)*1)+51),3,FALSE))/100,G128+VALUE(VLOOKUP($B107&amp;"-"&amp;$B108,INDIRECT("V51:Y"&amp;COUNT((FIND("-",_xlfn.ANCHORARRAY($B$51))&gt;0)*1)+51),3,FALSE))/100),"na")</f>
        <v>na</v>
      </c>
      <c r="H108" s="8" t="str" cm="1">
        <f t="array" aca="1" ref="H108" ca="1">+IFERROR(IF(H107&lt;&gt;"na",H107+VALUE(VLOOKUP($B107&amp;"-"&amp;$B108,INDIRECT("V51:Y"&amp;COUNT((FIND("-",_xlfn.ANCHORARRAY($B$51))&gt;0)*1)+51),3,FALSE))/100,H128+VALUE(VLOOKUP($B107&amp;"-"&amp;$B108,INDIRECT("V51:Y"&amp;COUNT((FIND("-",_xlfn.ANCHORARRAY($B$51))&gt;0)*1)+51),3,FALSE))/100),"na")</f>
        <v>na</v>
      </c>
      <c r="I108" s="8" t="str" cm="1">
        <f t="array" aca="1" ref="I108" ca="1">+IFERROR(IF(I107&lt;&gt;"na",I107+VALUE(VLOOKUP($B107&amp;"-"&amp;$B108,INDIRECT("V51:Y"&amp;COUNT((FIND("-",_xlfn.ANCHORARRAY($B$51))&gt;0)*1)+51),3,FALSE))/100,I128+VALUE(VLOOKUP($B107&amp;"-"&amp;$B108,INDIRECT("V51:Y"&amp;COUNT((FIND("-",_xlfn.ANCHORARRAY($B$51))&gt;0)*1)+51),3,FALSE))/100),"na")</f>
        <v>na</v>
      </c>
      <c r="J108" s="8" t="str" cm="1">
        <f t="array" aca="1" ref="J108" ca="1">+IFERROR(IF(J107&lt;&gt;"na",J107+VALUE(VLOOKUP($B107&amp;"-"&amp;$B108,INDIRECT("V51:Y"&amp;COUNT((FIND("-",_xlfn.ANCHORARRAY($B$51))&gt;0)*1)+51),3,FALSE))/100,J128+VALUE(VLOOKUP($B107&amp;"-"&amp;$B108,INDIRECT("V51:Y"&amp;COUNT((FIND("-",_xlfn.ANCHORARRAY($B$51))&gt;0)*1)+51),3,FALSE))/100),"na")</f>
        <v>na</v>
      </c>
      <c r="K108" s="8" t="str" cm="1">
        <f t="array" aca="1" ref="K108" ca="1">+IFERROR(IF(K107&lt;&gt;"na",K107+VALUE(VLOOKUP($B107&amp;"-"&amp;$B108,INDIRECT("V51:Y"&amp;COUNT((FIND("-",_xlfn.ANCHORARRAY($B$51))&gt;0)*1)+51),3,FALSE))/100,K128+VALUE(VLOOKUP($B107&amp;"-"&amp;$B108,INDIRECT("V51:Y"&amp;COUNT((FIND("-",_xlfn.ANCHORARRAY($B$51))&gt;0)*1)+51),3,FALSE))/100),"na")</f>
        <v>na</v>
      </c>
      <c r="L108" s="8" t="str" cm="1">
        <f t="array" aca="1" ref="L108" ca="1">+IFERROR(IF(L107&lt;&gt;"na",L107+VALUE(VLOOKUP($B107&amp;"-"&amp;$B108,INDIRECT("V51:Y"&amp;COUNT((FIND("-",_xlfn.ANCHORARRAY($B$51))&gt;0)*1)+51),3,FALSE))/100,L128+VALUE(VLOOKUP($B107&amp;"-"&amp;$B108,INDIRECT("V51:Y"&amp;COUNT((FIND("-",_xlfn.ANCHORARRAY($B$51))&gt;0)*1)+51),3,FALSE))/100),"na")</f>
        <v>na</v>
      </c>
      <c r="M108" s="8" t="str" cm="1">
        <f t="array" aca="1" ref="M108" ca="1">+IFERROR(IF(M107&lt;&gt;"na",M107+VALUE(VLOOKUP($B107&amp;"-"&amp;$B108,INDIRECT("V51:Y"&amp;COUNT((FIND("-",_xlfn.ANCHORARRAY($B$51))&gt;0)*1)+51),3,FALSE))/100,M128+VALUE(VLOOKUP($B107&amp;"-"&amp;$B108,INDIRECT("V51:Y"&amp;COUNT((FIND("-",_xlfn.ANCHORARRAY($B$51))&gt;0)*1)+51),3,FALSE))/100),"na")</f>
        <v>na</v>
      </c>
      <c r="N108" s="8" t="str" cm="1">
        <f t="array" aca="1" ref="N108" ca="1">+IFERROR(IF(N107&lt;&gt;"na",N107+VALUE(VLOOKUP($B107&amp;"-"&amp;$B108,INDIRECT("V51:Y"&amp;COUNT((FIND("-",_xlfn.ANCHORARRAY($B$51))&gt;0)*1)+51),3,FALSE))/100,N128+VALUE(VLOOKUP($B107&amp;"-"&amp;$B108,INDIRECT("V51:Y"&amp;COUNT((FIND("-",_xlfn.ANCHORARRAY($B$51))&gt;0)*1)+51),3,FALSE))/100),"na")</f>
        <v>na</v>
      </c>
      <c r="O108" s="8" t="str" cm="1">
        <f t="array" aca="1" ref="O108" ca="1">+IFERROR(IF(O107&lt;&gt;"na",O107+VALUE(VLOOKUP($B107&amp;"-"&amp;$B108,INDIRECT("V51:Y"&amp;COUNT((FIND("-",_xlfn.ANCHORARRAY($B$51))&gt;0)*1)+51),3,FALSE))/100,O128+VALUE(VLOOKUP($B107&amp;"-"&amp;$B108,INDIRECT("V51:Y"&amp;COUNT((FIND("-",_xlfn.ANCHORARRAY($B$51))&gt;0)*1)+51),3,FALSE))/100),"na")</f>
        <v>na</v>
      </c>
      <c r="P108" s="8" t="str" cm="1">
        <f t="array" aca="1" ref="P108" ca="1">+IFERROR(IF(P107&lt;&gt;"na",P107+VALUE(VLOOKUP($B107&amp;"-"&amp;$B108,INDIRECT("V51:Y"&amp;COUNT((FIND("-",_xlfn.ANCHORARRAY($B$51))&gt;0)*1)+51),3,FALSE))/100,P128+VALUE(VLOOKUP($B107&amp;"-"&amp;$B108,INDIRECT("V51:Y"&amp;COUNT((FIND("-",_xlfn.ANCHORARRAY($B$51))&gt;0)*1)+51),3,FALSE))/100),"na")</f>
        <v>na</v>
      </c>
      <c r="Q108" s="8" t="str" cm="1">
        <f t="array" aca="1" ref="Q108" ca="1">+IFERROR(IF(Q107&lt;&gt;"na",Q107+VALUE(VLOOKUP($B107&amp;"-"&amp;$B108,INDIRECT("V51:Y"&amp;COUNT((FIND("-",_xlfn.ANCHORARRAY($B$51))&gt;0)*1)+51),3,FALSE))/100,Q128+VALUE(VLOOKUP($B107&amp;"-"&amp;$B108,INDIRECT("V51:Y"&amp;COUNT((FIND("-",_xlfn.ANCHORARRAY($B$51))&gt;0)*1)+51),3,FALSE))/100),"na")</f>
        <v>na</v>
      </c>
      <c r="R108" s="8" t="str">
        <f t="shared" ca="1" si="91"/>
        <v/>
      </c>
      <c r="S108" s="155"/>
      <c r="T108" s="68"/>
      <c r="U108" s="143" t="str">
        <f t="shared" si="92"/>
        <v>RTMX</v>
      </c>
      <c r="V108" s="8">
        <v>46</v>
      </c>
      <c r="W108" s="169" t="str">
        <v>nv46</v>
      </c>
      <c r="X108" s="67">
        <f t="shared" si="93"/>
        <v>4.5199999999999996</v>
      </c>
      <c r="Y108" s="13">
        <f t="shared" si="94"/>
        <v>4.32</v>
      </c>
      <c r="Z108" s="19">
        <f t="shared" si="95"/>
        <v>-25.999999999999979</v>
      </c>
      <c r="AA108" s="281">
        <v>4.68</v>
      </c>
      <c r="AB108" s="6">
        <f t="shared" si="96"/>
        <v>4.42</v>
      </c>
      <c r="AC108" s="13" t="str">
        <f t="shared" si="97"/>
        <v>RTMX</v>
      </c>
      <c r="AD108" s="201"/>
      <c r="AE108" s="68"/>
      <c r="AF108" s="186"/>
      <c r="AG108" s="186"/>
      <c r="AH108" s="186"/>
      <c r="AI108" s="186"/>
      <c r="AJ108" s="186"/>
      <c r="AK108" s="186"/>
      <c r="AL108" s="186"/>
      <c r="AM108" s="186"/>
      <c r="AN108" s="186"/>
      <c r="AO108" s="186"/>
      <c r="AP108" s="186"/>
      <c r="AQ108" s="186"/>
      <c r="AR108" s="186"/>
      <c r="AS108" s="186"/>
      <c r="AT108" s="186"/>
      <c r="AU108" s="186"/>
      <c r="AV108" s="186"/>
      <c r="AW108" s="186"/>
      <c r="AX108" s="186"/>
      <c r="AY108" s="186"/>
      <c r="AZ108" s="186"/>
      <c r="BA108" s="186"/>
    </row>
    <row r="109" spans="2:53">
      <c r="B109" s="8"/>
      <c r="C109" s="8" t="str" cm="1">
        <f t="array" aca="1" ref="C109" ca="1">+IFERROR(IF(C108&lt;&gt;"na",C108+VALUE(VLOOKUP($B108&amp;"-"&amp;$B109,INDIRECT("V51:Y"&amp;COUNT((FIND("-",_xlfn.ANCHORARRAY($B$51))&gt;0)*1)+51),3,FALSE))/100,C129+VALUE(VLOOKUP($B108&amp;"-"&amp;$B109,INDIRECT("V51:Y"&amp;COUNT((FIND("-",_xlfn.ANCHORARRAY($B$51))&gt;0)*1)+51),3,FALSE))/100),"na")</f>
        <v>na</v>
      </c>
      <c r="D109" s="8" t="str" cm="1">
        <f t="array" aca="1" ref="D109" ca="1">+IFERROR(IF(D108&lt;&gt;"na",D108+VALUE(VLOOKUP($B108&amp;"-"&amp;$B109,INDIRECT("V51:Y"&amp;COUNT((FIND("-",_xlfn.ANCHORARRAY($B$51))&gt;0)*1)+51),3,FALSE))/100,D129+VALUE(VLOOKUP($B108&amp;"-"&amp;$B109,INDIRECT("V51:Y"&amp;COUNT((FIND("-",_xlfn.ANCHORARRAY($B$51))&gt;0)*1)+51),3,FALSE))/100),"na")</f>
        <v>na</v>
      </c>
      <c r="E109" s="8" t="str" cm="1">
        <f t="array" aca="1" ref="E109" ca="1">+IFERROR(IF(E108&lt;&gt;"na",E108+VALUE(VLOOKUP($B108&amp;"-"&amp;$B109,INDIRECT("V51:Y"&amp;COUNT((FIND("-",_xlfn.ANCHORARRAY($B$51))&gt;0)*1)+51),3,FALSE))/100,E129+VALUE(VLOOKUP($B108&amp;"-"&amp;$B109,INDIRECT("V51:Y"&amp;COUNT((FIND("-",_xlfn.ANCHORARRAY($B$51))&gt;0)*1)+51),3,FALSE))/100),"na")</f>
        <v>na</v>
      </c>
      <c r="F109" s="8" t="str" cm="1">
        <f t="array" aca="1" ref="F109" ca="1">+IFERROR(IF(F108&lt;&gt;"na",F108+VALUE(VLOOKUP($B108&amp;"-"&amp;$B109,INDIRECT("V51:Y"&amp;COUNT((FIND("-",_xlfn.ANCHORARRAY($B$51))&gt;0)*1)+51),3,FALSE))/100,F129+VALUE(VLOOKUP($B108&amp;"-"&amp;$B109,INDIRECT("V51:Y"&amp;COUNT((FIND("-",_xlfn.ANCHORARRAY($B$51))&gt;0)*1)+51),3,FALSE))/100),"na")</f>
        <v>na</v>
      </c>
      <c r="G109" s="8" t="str" cm="1">
        <f t="array" aca="1" ref="G109" ca="1">+IFERROR(IF(G108&lt;&gt;"na",G108+VALUE(VLOOKUP($B108&amp;"-"&amp;$B109,INDIRECT("V51:Y"&amp;COUNT((FIND("-",_xlfn.ANCHORARRAY($B$51))&gt;0)*1)+51),3,FALSE))/100,G129+VALUE(VLOOKUP($B108&amp;"-"&amp;$B109,INDIRECT("V51:Y"&amp;COUNT((FIND("-",_xlfn.ANCHORARRAY($B$51))&gt;0)*1)+51),3,FALSE))/100),"na")</f>
        <v>na</v>
      </c>
      <c r="H109" s="8" t="str" cm="1">
        <f t="array" aca="1" ref="H109" ca="1">+IFERROR(IF(H108&lt;&gt;"na",H108+VALUE(VLOOKUP($B108&amp;"-"&amp;$B109,INDIRECT("V51:Y"&amp;COUNT((FIND("-",_xlfn.ANCHORARRAY($B$51))&gt;0)*1)+51),3,FALSE))/100,H129+VALUE(VLOOKUP($B108&amp;"-"&amp;$B109,INDIRECT("V51:Y"&amp;COUNT((FIND("-",_xlfn.ANCHORARRAY($B$51))&gt;0)*1)+51),3,FALSE))/100),"na")</f>
        <v>na</v>
      </c>
      <c r="I109" s="8" t="str" cm="1">
        <f t="array" aca="1" ref="I109" ca="1">+IFERROR(IF(I108&lt;&gt;"na",I108+VALUE(VLOOKUP($B108&amp;"-"&amp;$B109,INDIRECT("V51:Y"&amp;COUNT((FIND("-",_xlfn.ANCHORARRAY($B$51))&gt;0)*1)+51),3,FALSE))/100,I129+VALUE(VLOOKUP($B108&amp;"-"&amp;$B109,INDIRECT("V51:Y"&amp;COUNT((FIND("-",_xlfn.ANCHORARRAY($B$51))&gt;0)*1)+51),3,FALSE))/100),"na")</f>
        <v>na</v>
      </c>
      <c r="J109" s="8" t="str" cm="1">
        <f t="array" aca="1" ref="J109" ca="1">+IFERROR(IF(J108&lt;&gt;"na",J108+VALUE(VLOOKUP($B108&amp;"-"&amp;$B109,INDIRECT("V51:Y"&amp;COUNT((FIND("-",_xlfn.ANCHORARRAY($B$51))&gt;0)*1)+51),3,FALSE))/100,J129+VALUE(VLOOKUP($B108&amp;"-"&amp;$B109,INDIRECT("V51:Y"&amp;COUNT((FIND("-",_xlfn.ANCHORARRAY($B$51))&gt;0)*1)+51),3,FALSE))/100),"na")</f>
        <v>na</v>
      </c>
      <c r="K109" s="8" t="str" cm="1">
        <f t="array" aca="1" ref="K109" ca="1">+IFERROR(IF(K108&lt;&gt;"na",K108+VALUE(VLOOKUP($B108&amp;"-"&amp;$B109,INDIRECT("V51:Y"&amp;COUNT((FIND("-",_xlfn.ANCHORARRAY($B$51))&gt;0)*1)+51),3,FALSE))/100,K129+VALUE(VLOOKUP($B108&amp;"-"&amp;$B109,INDIRECT("V51:Y"&amp;COUNT((FIND("-",_xlfn.ANCHORARRAY($B$51))&gt;0)*1)+51),3,FALSE))/100),"na")</f>
        <v>na</v>
      </c>
      <c r="L109" s="8" t="str" cm="1">
        <f t="array" aca="1" ref="L109" ca="1">+IFERROR(IF(L108&lt;&gt;"na",L108+VALUE(VLOOKUP($B108&amp;"-"&amp;$B109,INDIRECT("V51:Y"&amp;COUNT((FIND("-",_xlfn.ANCHORARRAY($B$51))&gt;0)*1)+51),3,FALSE))/100,L129+VALUE(VLOOKUP($B108&amp;"-"&amp;$B109,INDIRECT("V51:Y"&amp;COUNT((FIND("-",_xlfn.ANCHORARRAY($B$51))&gt;0)*1)+51),3,FALSE))/100),"na")</f>
        <v>na</v>
      </c>
      <c r="M109" s="8" t="str" cm="1">
        <f t="array" aca="1" ref="M109" ca="1">+IFERROR(IF(M108&lt;&gt;"na",M108+VALUE(VLOOKUP($B108&amp;"-"&amp;$B109,INDIRECT("V51:Y"&amp;COUNT((FIND("-",_xlfn.ANCHORARRAY($B$51))&gt;0)*1)+51),3,FALSE))/100,M129+VALUE(VLOOKUP($B108&amp;"-"&amp;$B109,INDIRECT("V51:Y"&amp;COUNT((FIND("-",_xlfn.ANCHORARRAY($B$51))&gt;0)*1)+51),3,FALSE))/100),"na")</f>
        <v>na</v>
      </c>
      <c r="N109" s="8" t="str" cm="1">
        <f t="array" aca="1" ref="N109" ca="1">+IFERROR(IF(N108&lt;&gt;"na",N108+VALUE(VLOOKUP($B108&amp;"-"&amp;$B109,INDIRECT("V51:Y"&amp;COUNT((FIND("-",_xlfn.ANCHORARRAY($B$51))&gt;0)*1)+51),3,FALSE))/100,N129+VALUE(VLOOKUP($B108&amp;"-"&amp;$B109,INDIRECT("V51:Y"&amp;COUNT((FIND("-",_xlfn.ANCHORARRAY($B$51))&gt;0)*1)+51),3,FALSE))/100),"na")</f>
        <v>na</v>
      </c>
      <c r="O109" s="8" t="str" cm="1">
        <f t="array" aca="1" ref="O109" ca="1">+IFERROR(IF(O108&lt;&gt;"na",O108+VALUE(VLOOKUP($B108&amp;"-"&amp;$B109,INDIRECT("V51:Y"&amp;COUNT((FIND("-",_xlfn.ANCHORARRAY($B$51))&gt;0)*1)+51),3,FALSE))/100,O129+VALUE(VLOOKUP($B108&amp;"-"&amp;$B109,INDIRECT("V51:Y"&amp;COUNT((FIND("-",_xlfn.ANCHORARRAY($B$51))&gt;0)*1)+51),3,FALSE))/100),"na")</f>
        <v>na</v>
      </c>
      <c r="P109" s="8" t="str" cm="1">
        <f t="array" aca="1" ref="P109" ca="1">+IFERROR(IF(P108&lt;&gt;"na",P108+VALUE(VLOOKUP($B108&amp;"-"&amp;$B109,INDIRECT("V51:Y"&amp;COUNT((FIND("-",_xlfn.ANCHORARRAY($B$51))&gt;0)*1)+51),3,FALSE))/100,P129+VALUE(VLOOKUP($B108&amp;"-"&amp;$B109,INDIRECT("V51:Y"&amp;COUNT((FIND("-",_xlfn.ANCHORARRAY($B$51))&gt;0)*1)+51),3,FALSE))/100),"na")</f>
        <v>na</v>
      </c>
      <c r="Q109" s="8" t="str" cm="1">
        <f t="array" aca="1" ref="Q109" ca="1">+IFERROR(IF(Q108&lt;&gt;"na",Q108+VALUE(VLOOKUP($B108&amp;"-"&amp;$B109,INDIRECT("V51:Y"&amp;COUNT((FIND("-",_xlfn.ANCHORARRAY($B$51))&gt;0)*1)+51),3,FALSE))/100,Q129+VALUE(VLOOKUP($B108&amp;"-"&amp;$B109,INDIRECT("V51:Y"&amp;COUNT((FIND("-",_xlfn.ANCHORARRAY($B$51))&gt;0)*1)+51),3,FALSE))/100),"na")</f>
        <v>na</v>
      </c>
      <c r="R109" s="8" t="str">
        <f t="shared" ca="1" si="91"/>
        <v/>
      </c>
      <c r="S109" s="155"/>
      <c r="T109" s="68"/>
      <c r="U109" s="143" t="str">
        <f t="shared" si="92"/>
        <v>RTMX</v>
      </c>
      <c r="V109" s="8">
        <v>50</v>
      </c>
      <c r="W109" s="169" t="str">
        <v>nv50</v>
      </c>
      <c r="X109" s="67">
        <f t="shared" si="93"/>
        <v>4.55</v>
      </c>
      <c r="Y109" s="13">
        <f t="shared" si="94"/>
        <v>4.3499999999999996</v>
      </c>
      <c r="Z109" s="19">
        <f t="shared" si="95"/>
        <v>-27.000000000000046</v>
      </c>
      <c r="AA109" s="281">
        <v>4.72</v>
      </c>
      <c r="AB109" s="6">
        <f t="shared" si="96"/>
        <v>4.4499999999999993</v>
      </c>
      <c r="AC109" s="13" t="str">
        <f t="shared" si="97"/>
        <v>RTMX</v>
      </c>
      <c r="AD109" s="201"/>
      <c r="AE109" s="68"/>
      <c r="AF109" s="186"/>
      <c r="AG109" s="186"/>
      <c r="AH109" s="186"/>
      <c r="AI109" s="186"/>
      <c r="AJ109" s="186"/>
      <c r="AK109" s="186"/>
      <c r="AL109" s="186"/>
      <c r="AM109" s="186"/>
      <c r="AN109" s="186"/>
      <c r="AO109" s="186"/>
      <c r="AP109" s="186"/>
      <c r="AQ109" s="186"/>
      <c r="AR109" s="186"/>
      <c r="AS109" s="186"/>
      <c r="AT109" s="186"/>
      <c r="AU109" s="186"/>
      <c r="AV109" s="186"/>
      <c r="AW109" s="186"/>
      <c r="AX109" s="186"/>
      <c r="AY109" s="186"/>
      <c r="AZ109" s="186"/>
      <c r="BA109" s="186"/>
    </row>
    <row r="110" spans="2:53">
      <c r="B110" s="8"/>
      <c r="C110" s="8"/>
      <c r="D110" s="8"/>
      <c r="E110" s="168"/>
      <c r="F110" s="8"/>
      <c r="G110" s="8"/>
      <c r="H110" s="168"/>
      <c r="I110" s="8"/>
      <c r="J110" s="8"/>
      <c r="K110" s="168"/>
      <c r="L110" s="8"/>
      <c r="M110" s="8"/>
      <c r="N110" s="168"/>
      <c r="O110" s="8"/>
      <c r="P110" s="8"/>
      <c r="Q110" s="8"/>
      <c r="R110" s="8"/>
      <c r="S110" s="155"/>
      <c r="T110" s="68"/>
      <c r="U110" s="143" t="str">
        <f t="shared" si="92"/>
        <v/>
      </c>
      <c r="V110" s="8"/>
      <c r="W110" s="169"/>
      <c r="X110" s="67" t="str">
        <f t="shared" si="93"/>
        <v/>
      </c>
      <c r="Y110" s="13" t="str">
        <f t="shared" si="94"/>
        <v/>
      </c>
      <c r="Z110" s="19" t="str">
        <f t="shared" si="95"/>
        <v/>
      </c>
      <c r="AA110" s="281">
        <v>0</v>
      </c>
      <c r="AB110" s="6" t="str">
        <f t="shared" si="96"/>
        <v/>
      </c>
      <c r="AC110" s="13" t="str">
        <f t="shared" si="97"/>
        <v/>
      </c>
      <c r="AD110" s="201"/>
      <c r="AE110" s="68"/>
      <c r="AF110" s="186"/>
      <c r="AG110" s="186"/>
      <c r="AH110" s="186"/>
      <c r="AI110" s="186"/>
      <c r="AJ110" s="186"/>
      <c r="AK110" s="186"/>
      <c r="AL110" s="186"/>
      <c r="AM110" s="186"/>
      <c r="AN110" s="186"/>
      <c r="AO110" s="186"/>
      <c r="AP110" s="186"/>
      <c r="AQ110" s="186"/>
      <c r="AR110" s="186"/>
      <c r="AS110" s="186"/>
      <c r="AT110" s="186"/>
      <c r="AU110" s="186"/>
      <c r="AV110" s="186"/>
      <c r="AW110" s="186"/>
      <c r="AX110" s="186"/>
      <c r="AY110" s="186"/>
      <c r="AZ110" s="186"/>
      <c r="BA110" s="186"/>
    </row>
    <row r="111" spans="2:53" ht="15" customHeight="1"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T111" s="68"/>
      <c r="U111" s="143" t="str">
        <f t="shared" si="92"/>
        <v/>
      </c>
      <c r="V111" s="8"/>
      <c r="W111" s="169"/>
      <c r="X111" s="67" t="str">
        <f t="shared" si="93"/>
        <v/>
      </c>
      <c r="Y111" s="13" t="str">
        <f t="shared" si="94"/>
        <v/>
      </c>
      <c r="Z111" s="19" t="str">
        <f t="shared" si="95"/>
        <v/>
      </c>
      <c r="AA111" s="285"/>
      <c r="AB111" s="6" t="str">
        <f t="shared" si="96"/>
        <v/>
      </c>
      <c r="AC111" s="13" t="str">
        <f t="shared" si="97"/>
        <v/>
      </c>
      <c r="AD111" s="201"/>
      <c r="AE111" s="68"/>
      <c r="AF111" s="186"/>
      <c r="AG111" s="186"/>
      <c r="AH111" s="186"/>
      <c r="AI111" s="186"/>
      <c r="AJ111" s="186"/>
      <c r="AK111" s="186"/>
      <c r="AL111" s="186"/>
      <c r="AM111" s="186"/>
      <c r="AN111" s="186"/>
      <c r="AO111" s="186"/>
      <c r="AP111" s="186"/>
      <c r="AQ111" s="186"/>
      <c r="AR111" s="186"/>
      <c r="AS111" s="186"/>
      <c r="AT111" s="186"/>
      <c r="AU111" s="186"/>
      <c r="AV111" s="186"/>
      <c r="AW111" s="186"/>
      <c r="AX111" s="186"/>
      <c r="AY111" s="186"/>
      <c r="AZ111" s="186"/>
      <c r="BA111" s="186"/>
    </row>
    <row r="112" spans="2:53">
      <c r="B112" s="8" t="s">
        <v>1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43"/>
      <c r="T112" s="68"/>
      <c r="U112" s="144" t="str">
        <f t="shared" si="92"/>
        <v/>
      </c>
      <c r="V112" s="210"/>
      <c r="W112" s="146"/>
      <c r="X112" s="147" t="str">
        <f t="shared" si="93"/>
        <v/>
      </c>
      <c r="Y112" s="148" t="str">
        <f t="shared" si="94"/>
        <v/>
      </c>
      <c r="Z112" s="149" t="str">
        <f t="shared" si="95"/>
        <v/>
      </c>
      <c r="AA112" s="286"/>
      <c r="AB112" s="48" t="str">
        <f t="shared" si="96"/>
        <v/>
      </c>
      <c r="AC112" s="148" t="str">
        <f t="shared" si="97"/>
        <v/>
      </c>
      <c r="AD112" s="191"/>
      <c r="AE112" s="68"/>
      <c r="AF112" s="186"/>
      <c r="AG112" s="186"/>
      <c r="AH112" s="186"/>
      <c r="AI112" s="186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/>
      <c r="AT112" s="186"/>
      <c r="AU112" s="186"/>
      <c r="AV112" s="186"/>
      <c r="AW112" s="186"/>
      <c r="AX112" s="186"/>
      <c r="AY112" s="186"/>
      <c r="AZ112" s="186"/>
      <c r="BA112" s="186"/>
    </row>
    <row r="113" spans="2:54">
      <c r="B113" s="8" cm="1">
        <f t="array" aca="1" ref="B113:B120" ca="1">+_xlfn.ANCHORARRAY(B92)</f>
        <v>3</v>
      </c>
      <c r="C113" s="8">
        <f ca="1">+IFERROR(VALUE(VLOOKUP(C$91,INDIRECT("V28:Y"&amp;COUNT(_xlfn.ANCHORARRAY($B$92))+28),3,FALSE)),"na")</f>
        <v>11.48</v>
      </c>
      <c r="D113" s="8" t="str" cm="1">
        <f t="array" aca="1" ref="D113" ca="1">+IFERROR(D94-VLOOKUP($B113&amp;"-"&amp;$B115,INDIRECT("V51:Y"&amp;COUNT((FIND("-",_xlfn.ANCHORARRAY($B$51))&gt;0)*1)+51),4,FALSE)/100,"na")</f>
        <v>na</v>
      </c>
      <c r="E113" s="8" t="str" cm="1">
        <f t="array" aca="1" ref="E113" ca="1">+IFERROR(E94-VLOOKUP($B113&amp;"-"&amp;$B115,INDIRECT("V51:Y"&amp;COUNT((FIND("-",_xlfn.ANCHORARRAY($B$51))&gt;0)*1)+51),4,FALSE)/100,"na")</f>
        <v>na</v>
      </c>
      <c r="F113" s="8" t="str" cm="1">
        <f t="array" aca="1" ref="F113" ca="1">+IFERROR(F94-VLOOKUP($B113&amp;"-"&amp;$B115,INDIRECT("V51:Y"&amp;COUNT((FIND("-",_xlfn.ANCHORARRAY($B$51))&gt;0)*1)+51),4,FALSE)/100,"na")</f>
        <v>na</v>
      </c>
      <c r="G113" s="8" t="str" cm="1">
        <f t="array" aca="1" ref="G113" ca="1">+IFERROR(G94-VLOOKUP($B113&amp;"-"&amp;$B115,INDIRECT("V51:Y"&amp;COUNT((FIND("-",_xlfn.ANCHORARRAY($B$51))&gt;0)*1)+51),4,FALSE)/100,"na")</f>
        <v>na</v>
      </c>
      <c r="H113" s="8" t="str" cm="1">
        <f t="array" aca="1" ref="H113" ca="1">+IFERROR(IF(H94&lt;&gt;"na",H94-VLOOKUP($B113&amp;"-"&amp;$B115,INDIRECT("V51:Y"&amp;COUNT((FIND("-",_xlfn.ANCHORARRAY($B$51))&gt;0)*1)+51),4,FALSE)/100,H115-VLOOKUP($B113&amp;"-"&amp;$B115,INDIRECT("V51:Y"&amp;COUNT((FIND("-",_xlfn.ANCHORARRAY($B$51))&gt;0)*1)+51),4,FALSE)/100),"na")</f>
        <v>na</v>
      </c>
      <c r="I113" s="8" t="str" cm="1">
        <f t="array" aca="1" ref="I113" ca="1">+IFERROR(IF(I94&lt;&gt;"na",I94-VLOOKUP($B113&amp;"-"&amp;$B115,INDIRECT("V51:Y"&amp;COUNT((FIND("-",_xlfn.ANCHORARRAY($B$51))&gt;0)*1)+51),4,FALSE)/100,I115-VLOOKUP($B113&amp;"-"&amp;$B115,INDIRECT("V51:Y"&amp;COUNT((FIND("-",_xlfn.ANCHORARRAY($B$51))&gt;0)*1)+51),4,FALSE)/100),"na")</f>
        <v>na</v>
      </c>
      <c r="J113" s="8" t="str" cm="1">
        <f t="array" aca="1" ref="J113" ca="1">+IFERROR(IF(J94&lt;&gt;"na",J94-VLOOKUP($B113&amp;"-"&amp;$B115,INDIRECT("V51:Y"&amp;COUNT((FIND("-",_xlfn.ANCHORARRAY($B$51))&gt;0)*1)+51),4,FALSE)/100,J115-VLOOKUP($B113&amp;"-"&amp;$B115,INDIRECT("V51:Y"&amp;COUNT((FIND("-",_xlfn.ANCHORARRAY($B$51))&gt;0)*1)+51),4,FALSE)/100),"na")</f>
        <v>na</v>
      </c>
      <c r="K113" s="8" t="str" cm="1">
        <f t="array" aca="1" ref="K113" ca="1">+IFERROR(IF(K94&lt;&gt;"na",K94-VLOOKUP($B113&amp;"-"&amp;$B115,INDIRECT("V51:Y"&amp;COUNT((FIND("-",_xlfn.ANCHORARRAY($B$51))&gt;0)*1)+51),4,FALSE)/100,K115-VLOOKUP($B113&amp;"-"&amp;$B115,INDIRECT("V51:Y"&amp;COUNT((FIND("-",_xlfn.ANCHORARRAY($B$51))&gt;0)*1)+51),4,FALSE)/100),"na")</f>
        <v>na</v>
      </c>
      <c r="L113" s="8" t="str" cm="1">
        <f t="array" aca="1" ref="L113" ca="1">+IFERROR(IF(L94&lt;&gt;"na",L94-VLOOKUP($B113&amp;"-"&amp;$B115,INDIRECT("V51:Y"&amp;COUNT((FIND("-",_xlfn.ANCHORARRAY($B$51))&gt;0)*1)+51),4,FALSE)/100,L115-VLOOKUP($B113&amp;"-"&amp;$B115,INDIRECT("V51:Y"&amp;COUNT((FIND("-",_xlfn.ANCHORARRAY($B$51))&gt;0)*1)+51),4,FALSE)/100),"na")</f>
        <v>na</v>
      </c>
      <c r="M113" s="8" t="str" cm="1">
        <f t="array" aca="1" ref="M113" ca="1">+IFERROR(IF(M94&lt;&gt;"na",M94-VLOOKUP($B113&amp;"-"&amp;$B115,INDIRECT("V51:Y"&amp;COUNT((FIND("-",_xlfn.ANCHORARRAY($B$51))&gt;0)*1)+51),4,FALSE)/100,M115-VLOOKUP($B113&amp;"-"&amp;$B115,INDIRECT("V51:Y"&amp;COUNT((FIND("-",_xlfn.ANCHORARRAY($B$51))&gt;0)*1)+51),4,FALSE)/100),"na")</f>
        <v>na</v>
      </c>
      <c r="N113" s="8" t="str" cm="1">
        <f t="array" aca="1" ref="N113" ca="1">+IFERROR(IF(N94&lt;&gt;"na",N94-VLOOKUP($B113&amp;"-"&amp;$B115,INDIRECT("V51:Y"&amp;COUNT((FIND("-",_xlfn.ANCHORARRAY($B$51))&gt;0)*1)+51),4,FALSE)/100,N115-VLOOKUP($B113&amp;"-"&amp;$B115,INDIRECT("V51:Y"&amp;COUNT((FIND("-",_xlfn.ANCHORARRAY($B$51))&gt;0)*1)+51),4,FALSE)/100),"na")</f>
        <v>na</v>
      </c>
      <c r="O113" s="8" t="str" cm="1">
        <f t="array" aca="1" ref="O113" ca="1">+IFERROR(IF(O94&lt;&gt;"na",O94-VLOOKUP($B113&amp;"-"&amp;$B115,INDIRECT("V51:Y"&amp;COUNT((FIND("-",_xlfn.ANCHORARRAY($B$51))&gt;0)*1)+51),4,FALSE)/100,O115-VLOOKUP($B113&amp;"-"&amp;$B115,INDIRECT("V51:Y"&amp;COUNT((FIND("-",_xlfn.ANCHORARRAY($B$51))&gt;0)*1)+51),4,FALSE)/100),"na")</f>
        <v>na</v>
      </c>
      <c r="P113" s="8" t="str" cm="1">
        <f t="array" aca="1" ref="P113" ca="1">+IFERROR(IF(P94&lt;&gt;"na",P94-VLOOKUP($B113&amp;"-"&amp;$B115,INDIRECT("V51:Y"&amp;COUNT((FIND("-",_xlfn.ANCHORARRAY($B$51))&gt;0)*1)+51),4,FALSE)/100,P115-VLOOKUP($B113&amp;"-"&amp;$B115,INDIRECT("V51:Y"&amp;COUNT((FIND("-",_xlfn.ANCHORARRAY($B$51))&gt;0)*1)+51),4,FALSE)/100),"na")</f>
        <v>na</v>
      </c>
      <c r="Q113" s="8" t="str" cm="1">
        <f t="array" aca="1" ref="Q113" ca="1">+IFERROR(IF(Q94&lt;&gt;"na",Q94-VLOOKUP($B113&amp;"-"&amp;$B115,INDIRECT("V51:Y"&amp;COUNT((FIND("-",_xlfn.ANCHORARRAY($B$51))&gt;0)*1)+51),4,FALSE)/100,Q115-VLOOKUP($B113&amp;"-"&amp;$B115,INDIRECT("V51:Y"&amp;COUNT((FIND("-",_xlfn.ANCHORARRAY($B$51))&gt;0)*1)+51),4,FALSE)/100),"na")</f>
        <v>na</v>
      </c>
      <c r="R113" s="8">
        <f ca="1">+IF(MAX(C113:Q113)=0,"",MAX(C113:Q113))</f>
        <v>11.48</v>
      </c>
      <c r="S113" s="154"/>
      <c r="T113" s="186"/>
      <c r="U113" s="186"/>
      <c r="V113" s="186"/>
      <c r="W113" s="186"/>
      <c r="X113" s="186"/>
      <c r="Y113" s="186"/>
      <c r="Z113" s="186"/>
      <c r="AA113" s="186"/>
      <c r="AB113" s="186"/>
      <c r="AC113" s="186"/>
      <c r="AD113" s="186"/>
      <c r="AE113" s="186"/>
      <c r="AF113" s="186"/>
      <c r="AG113" s="186"/>
      <c r="AH113" s="186"/>
      <c r="AI113" s="186"/>
      <c r="AJ113" s="186"/>
      <c r="AK113" s="186"/>
      <c r="AL113" s="186"/>
      <c r="AM113" s="186"/>
      <c r="AN113" s="186"/>
      <c r="AO113" s="186"/>
      <c r="AP113" s="186"/>
      <c r="AQ113" s="186"/>
      <c r="AR113" s="186"/>
      <c r="AS113" s="186"/>
      <c r="AT113" s="186"/>
      <c r="AU113" s="186"/>
      <c r="AV113" s="186"/>
      <c r="AW113" s="186"/>
      <c r="AX113" s="186"/>
      <c r="AY113" s="186"/>
      <c r="AZ113" s="186"/>
      <c r="BA113" s="186"/>
      <c r="BB113" s="294"/>
    </row>
    <row r="114" spans="2:54">
      <c r="B114" s="8">
        <f ca="1"/>
        <v>6</v>
      </c>
      <c r="C114" s="8" t="str" cm="1">
        <f t="array" aca="1" ref="C114" ca="1">+IFERROR(#REF!+VLOOKUP($B112&amp;"-"&amp;$B114,INDIRECT("V51:Y"&amp;COUNT((FIND("-",_xlfn.ANCHORARRAY($B$51))&gt;0)*1)+51),3,FALSE)/100,"na")</f>
        <v>na</v>
      </c>
      <c r="D114" s="8">
        <f ca="1">+IFERROR(VALUE(VLOOKUP(D$91,INDIRECT("V28:Y"&amp;COUNT(_xlfn.ANCHORARRAY($B$92))+28),3,FALSE)),"na")</f>
        <v>11.38</v>
      </c>
      <c r="E114" s="8" t="str" cm="1">
        <f t="array" aca="1" ref="E114" ca="1">+IFERROR(E95-VLOOKUP($B114&amp;"-"&amp;$B116,INDIRECT("V51:Y"&amp;COUNT((FIND("-",_xlfn.ANCHORARRAY($B$51))&gt;0)*1)+51),4,FALSE)/100,"na")</f>
        <v>na</v>
      </c>
      <c r="F114" s="8" t="str" cm="1">
        <f t="array" aca="1" ref="F114" ca="1">+IFERROR(F95-VLOOKUP($B114&amp;"-"&amp;$B116,INDIRECT("V51:Y"&amp;COUNT((FIND("-",_xlfn.ANCHORARRAY($B$51))&gt;0)*1)+51),4,FALSE)/100,"na")</f>
        <v>na</v>
      </c>
      <c r="G114" s="8" t="str" cm="1">
        <f t="array" aca="1" ref="G114" ca="1">+IFERROR(G95-VLOOKUP($B114&amp;"-"&amp;$B116,INDIRECT("V51:Y"&amp;COUNT((FIND("-",_xlfn.ANCHORARRAY($B$51))&gt;0)*1)+51),4,FALSE)/100,"na")</f>
        <v>na</v>
      </c>
      <c r="H114" s="8" t="str" cm="1">
        <f t="array" aca="1" ref="H114" ca="1">+IFERROR(IF(H95&lt;&gt;"na",H95-VLOOKUP($B114&amp;"-"&amp;$B116,INDIRECT("V51:Y"&amp;COUNT((FIND("-",_xlfn.ANCHORARRAY($B$51))&gt;0)*1)+51),4,FALSE)/100,H116-VLOOKUP($B114&amp;"-"&amp;$B116,INDIRECT("V51:Y"&amp;COUNT((FIND("-",_xlfn.ANCHORARRAY($B$51))&gt;0)*1)+51),4,FALSE)/100),"na")</f>
        <v>na</v>
      </c>
      <c r="I114" s="8" t="str" cm="1">
        <f t="array" aca="1" ref="I114" ca="1">+IFERROR(IF(I95&lt;&gt;"na",I95-VLOOKUP($B114&amp;"-"&amp;$B116,INDIRECT("V51:Y"&amp;COUNT((FIND("-",_xlfn.ANCHORARRAY($B$51))&gt;0)*1)+51),4,FALSE)/100,I116-VLOOKUP($B114&amp;"-"&amp;$B116,INDIRECT("V51:Y"&amp;COUNT((FIND("-",_xlfn.ANCHORARRAY($B$51))&gt;0)*1)+51),4,FALSE)/100),"na")</f>
        <v>na</v>
      </c>
      <c r="J114" s="8" t="str" cm="1">
        <f t="array" aca="1" ref="J114" ca="1">+IFERROR(IF(J95&lt;&gt;"na",J95-VLOOKUP($B114&amp;"-"&amp;$B116,INDIRECT("V51:Y"&amp;COUNT((FIND("-",_xlfn.ANCHORARRAY($B$51))&gt;0)*1)+51),4,FALSE)/100,J116-VLOOKUP($B114&amp;"-"&amp;$B116,INDIRECT("V51:Y"&amp;COUNT((FIND("-",_xlfn.ANCHORARRAY($B$51))&gt;0)*1)+51),4,FALSE)/100),"na")</f>
        <v>na</v>
      </c>
      <c r="K114" s="8" t="str" cm="1">
        <f t="array" aca="1" ref="K114" ca="1">+IFERROR(IF(K95&lt;&gt;"na",K95-VLOOKUP($B114&amp;"-"&amp;$B116,INDIRECT("V51:Y"&amp;COUNT((FIND("-",_xlfn.ANCHORARRAY($B$51))&gt;0)*1)+51),4,FALSE)/100,K116-VLOOKUP($B114&amp;"-"&amp;$B116,INDIRECT("V51:Y"&amp;COUNT((FIND("-",_xlfn.ANCHORARRAY($B$51))&gt;0)*1)+51),4,FALSE)/100),"na")</f>
        <v>na</v>
      </c>
      <c r="L114" s="8" t="str" cm="1">
        <f t="array" aca="1" ref="L114" ca="1">+IFERROR(IF(L95&lt;&gt;"na",L95-VLOOKUP($B114&amp;"-"&amp;$B116,INDIRECT("V51:Y"&amp;COUNT((FIND("-",_xlfn.ANCHORARRAY($B$51))&gt;0)*1)+51),4,FALSE)/100,L116-VLOOKUP($B114&amp;"-"&amp;$B116,INDIRECT("V51:Y"&amp;COUNT((FIND("-",_xlfn.ANCHORARRAY($B$51))&gt;0)*1)+51),4,FALSE)/100),"na")</f>
        <v>na</v>
      </c>
      <c r="M114" s="8" t="str" cm="1">
        <f t="array" aca="1" ref="M114" ca="1">+IFERROR(IF(M95&lt;&gt;"na",M95-VLOOKUP($B114&amp;"-"&amp;$B116,INDIRECT("V51:Y"&amp;COUNT((FIND("-",_xlfn.ANCHORARRAY($B$51))&gt;0)*1)+51),4,FALSE)/100,M116-VLOOKUP($B114&amp;"-"&amp;$B116,INDIRECT("V51:Y"&amp;COUNT((FIND("-",_xlfn.ANCHORARRAY($B$51))&gt;0)*1)+51),4,FALSE)/100),"na")</f>
        <v>na</v>
      </c>
      <c r="N114" s="8" t="str" cm="1">
        <f t="array" aca="1" ref="N114" ca="1">+IFERROR(IF(N95&lt;&gt;"na",N95-VLOOKUP($B114&amp;"-"&amp;$B116,INDIRECT("V51:Y"&amp;COUNT((FIND("-",_xlfn.ANCHORARRAY($B$51))&gt;0)*1)+51),4,FALSE)/100,N116-VLOOKUP($B114&amp;"-"&amp;$B116,INDIRECT("V51:Y"&amp;COUNT((FIND("-",_xlfn.ANCHORARRAY($B$51))&gt;0)*1)+51),4,FALSE)/100),"na")</f>
        <v>na</v>
      </c>
      <c r="O114" s="8" t="str" cm="1">
        <f t="array" aca="1" ref="O114" ca="1">+IFERROR(IF(O95&lt;&gt;"na",O95-VLOOKUP($B114&amp;"-"&amp;$B116,INDIRECT("V51:Y"&amp;COUNT((FIND("-",_xlfn.ANCHORARRAY($B$51))&gt;0)*1)+51),4,FALSE)/100,O116-VLOOKUP($B114&amp;"-"&amp;$B116,INDIRECT("V51:Y"&amp;COUNT((FIND("-",_xlfn.ANCHORARRAY($B$51))&gt;0)*1)+51),4,FALSE)/100),"na")</f>
        <v>na</v>
      </c>
      <c r="P114" s="8" t="str" cm="1">
        <f t="array" aca="1" ref="P114" ca="1">+IFERROR(IF(P95&lt;&gt;"na",P95-VLOOKUP($B114&amp;"-"&amp;$B116,INDIRECT("V51:Y"&amp;COUNT((FIND("-",_xlfn.ANCHORARRAY($B$51))&gt;0)*1)+51),4,FALSE)/100,P116-VLOOKUP($B114&amp;"-"&amp;$B116,INDIRECT("V51:Y"&amp;COUNT((FIND("-",_xlfn.ANCHORARRAY($B$51))&gt;0)*1)+51),4,FALSE)/100),"na")</f>
        <v>na</v>
      </c>
      <c r="Q114" s="8" t="str" cm="1">
        <f t="array" aca="1" ref="Q114" ca="1">+IFERROR(IF(Q95&lt;&gt;"na",Q95-VLOOKUP($B114&amp;"-"&amp;$B116,INDIRECT("V51:Y"&amp;COUNT((FIND("-",_xlfn.ANCHORARRAY($B$51))&gt;0)*1)+51),4,FALSE)/100,Q116-VLOOKUP($B114&amp;"-"&amp;$B116,INDIRECT("V51:Y"&amp;COUNT((FIND("-",_xlfn.ANCHORARRAY($B$51))&gt;0)*1)+51),4,FALSE)/100),"na")</f>
        <v>na</v>
      </c>
      <c r="R114" s="8">
        <f t="shared" ref="R114:R130" ca="1" si="98">+IF(MAX(C114:Q114)=0,"",MAX(C114:Q114))</f>
        <v>11.38</v>
      </c>
      <c r="S114" s="154"/>
      <c r="T114" s="154"/>
      <c r="U114" s="154"/>
      <c r="V114" s="154"/>
      <c r="W114" s="154"/>
      <c r="X114" s="154"/>
      <c r="AE114" s="294"/>
      <c r="AF114" s="293"/>
      <c r="AG114" s="293"/>
      <c r="AH114" s="293"/>
      <c r="AI114" s="293"/>
      <c r="AJ114" s="293"/>
      <c r="AK114" s="293"/>
      <c r="AL114" s="293"/>
      <c r="AM114" s="293"/>
      <c r="AN114" s="293"/>
      <c r="AO114" s="293"/>
      <c r="AP114" s="293"/>
      <c r="AQ114" s="293"/>
      <c r="AR114" s="293"/>
      <c r="AS114" s="293"/>
      <c r="AT114" s="293"/>
      <c r="AU114" s="293"/>
      <c r="AV114" s="293"/>
      <c r="AW114" s="293"/>
      <c r="AX114" s="293"/>
      <c r="AY114" s="293"/>
      <c r="AZ114" s="293"/>
      <c r="BA114" s="293"/>
      <c r="BB114" s="294"/>
    </row>
    <row r="115" spans="2:54">
      <c r="B115" s="8">
        <f ca="1"/>
        <v>9</v>
      </c>
      <c r="C115" s="8" t="str" cm="1">
        <f t="array" aca="1" ref="C115" ca="1">+IFERROR(IF(C92&lt;&gt;"na",C92+VLOOKUP($B113&amp;"-"&amp;$B115,INDIRECT("V51:Y"&amp;COUNT((FIND("-",_xlfn.ANCHORARRAY($B$51))&gt;0)*1)+51),3,FALSE)/100,C113+VLOOKUP($B113&amp;"-"&amp;$B115,INDIRECT("V51:Y"&amp;COUNT((FIND("-",_xlfn.ANCHORARRAY($B$51))&gt;0)*1)+51),3,FALSE)/100),"na")</f>
        <v>na</v>
      </c>
      <c r="D115" s="8" t="str" cm="1">
        <f t="array" aca="1" ref="D115" ca="1">+IFERROR(D92+VLOOKUP($B113&amp;"-"&amp;$B115,INDIRECT("V51:Y"&amp;COUNT((FIND("-",_xlfn.ANCHORARRAY($B$51))&gt;0)*1)+51),3,FALSE)/100,"na")</f>
        <v>na</v>
      </c>
      <c r="E115" s="8">
        <f ca="1">+IFERROR(VALUE(VLOOKUP(E$91,INDIRECT("V28:Y"&amp;COUNT(_xlfn.ANCHORARRAY($B$92))+28),3,FALSE)),"na")</f>
        <v>11.21</v>
      </c>
      <c r="F115" s="8" t="str" cm="1">
        <f t="array" aca="1" ref="F115" ca="1">+IFERROR(F96-VLOOKUP($B115&amp;"-"&amp;$B117,INDIRECT("V51:Y"&amp;COUNT((FIND("-",_xlfn.ANCHORARRAY($B$51))&gt;0)*1)+51),4,FALSE)/100,"na")</f>
        <v>na</v>
      </c>
      <c r="G115" s="8" t="str" cm="1">
        <f t="array" aca="1" ref="G115" ca="1">+IFERROR(G96-VLOOKUP($B115&amp;"-"&amp;$B117,INDIRECT("V51:Y"&amp;COUNT((FIND("-",_xlfn.ANCHORARRAY($B$51))&gt;0)*1)+51),4,FALSE)/100,"na")</f>
        <v>na</v>
      </c>
      <c r="H115" s="8" t="str" cm="1">
        <f t="array" aca="1" ref="H115" ca="1">+IFERROR(IF(H96&lt;&gt;"na",H96-VLOOKUP($B115&amp;"-"&amp;$B117,INDIRECT("V51:Y"&amp;COUNT((FIND("-",_xlfn.ANCHORARRAY($B$51))&gt;0)*1)+51),4,FALSE)/100,H117-VLOOKUP($B115&amp;"-"&amp;$B117,INDIRECT("V51:Y"&amp;COUNT((FIND("-",_xlfn.ANCHORARRAY($B$51))&gt;0)*1)+51),4,FALSE)/100),"na")</f>
        <v>na</v>
      </c>
      <c r="I115" s="8" t="str" cm="1">
        <f t="array" aca="1" ref="I115" ca="1">+IFERROR(IF(I96&lt;&gt;"na",I96-VLOOKUP($B115&amp;"-"&amp;$B117,INDIRECT("V51:Y"&amp;COUNT((FIND("-",_xlfn.ANCHORARRAY($B$51))&gt;0)*1)+51),4,FALSE)/100,I117-VLOOKUP($B115&amp;"-"&amp;$B117,INDIRECT("V51:Y"&amp;COUNT((FIND("-",_xlfn.ANCHORARRAY($B$51))&gt;0)*1)+51),4,FALSE)/100),"na")</f>
        <v>na</v>
      </c>
      <c r="J115" s="8" t="str" cm="1">
        <f t="array" aca="1" ref="J115" ca="1">+IFERROR(IF(J96&lt;&gt;"na",J96-VLOOKUP($B115&amp;"-"&amp;$B117,INDIRECT("V51:Y"&amp;COUNT((FIND("-",_xlfn.ANCHORARRAY($B$51))&gt;0)*1)+51),4,FALSE)/100,J117-VLOOKUP($B115&amp;"-"&amp;$B117,INDIRECT("V51:Y"&amp;COUNT((FIND("-",_xlfn.ANCHORARRAY($B$51))&gt;0)*1)+51),4,FALSE)/100),"na")</f>
        <v>na</v>
      </c>
      <c r="K115" s="8" t="str" cm="1">
        <f t="array" aca="1" ref="K115" ca="1">+IFERROR(IF(K96&lt;&gt;"na",K96-VLOOKUP($B115&amp;"-"&amp;$B117,INDIRECT("V51:Y"&amp;COUNT((FIND("-",_xlfn.ANCHORARRAY($B$51))&gt;0)*1)+51),4,FALSE)/100,K117-VLOOKUP($B115&amp;"-"&amp;$B117,INDIRECT("V51:Y"&amp;COUNT((FIND("-",_xlfn.ANCHORARRAY($B$51))&gt;0)*1)+51),4,FALSE)/100),"na")</f>
        <v>na</v>
      </c>
      <c r="L115" s="8" t="str" cm="1">
        <f t="array" aca="1" ref="L115" ca="1">+IFERROR(IF(L96&lt;&gt;"na",L96-VLOOKUP($B115&amp;"-"&amp;$B117,INDIRECT("V51:Y"&amp;COUNT((FIND("-",_xlfn.ANCHORARRAY($B$51))&gt;0)*1)+51),4,FALSE)/100,L117-VLOOKUP($B115&amp;"-"&amp;$B117,INDIRECT("V51:Y"&amp;COUNT((FIND("-",_xlfn.ANCHORARRAY($B$51))&gt;0)*1)+51),4,FALSE)/100),"na")</f>
        <v>na</v>
      </c>
      <c r="M115" s="8" t="str" cm="1">
        <f t="array" aca="1" ref="M115" ca="1">+IFERROR(IF(M96&lt;&gt;"na",M96-VLOOKUP($B115&amp;"-"&amp;$B117,INDIRECT("V51:Y"&amp;COUNT((FIND("-",_xlfn.ANCHORARRAY($B$51))&gt;0)*1)+51),4,FALSE)/100,M117-VLOOKUP($B115&amp;"-"&amp;$B117,INDIRECT("V51:Y"&amp;COUNT((FIND("-",_xlfn.ANCHORARRAY($B$51))&gt;0)*1)+51),4,FALSE)/100),"na")</f>
        <v>na</v>
      </c>
      <c r="N115" s="8" t="str" cm="1">
        <f t="array" aca="1" ref="N115" ca="1">+IFERROR(IF(N96&lt;&gt;"na",N96-VLOOKUP($B115&amp;"-"&amp;$B117,INDIRECT("V51:Y"&amp;COUNT((FIND("-",_xlfn.ANCHORARRAY($B$51))&gt;0)*1)+51),4,FALSE)/100,N117-VLOOKUP($B115&amp;"-"&amp;$B117,INDIRECT("V51:Y"&amp;COUNT((FIND("-",_xlfn.ANCHORARRAY($B$51))&gt;0)*1)+51),4,FALSE)/100),"na")</f>
        <v>na</v>
      </c>
      <c r="O115" s="8" t="str" cm="1">
        <f t="array" aca="1" ref="O115" ca="1">+IFERROR(IF(O96&lt;&gt;"na",O96-VLOOKUP($B115&amp;"-"&amp;$B117,INDIRECT("V51:Y"&amp;COUNT((FIND("-",_xlfn.ANCHORARRAY($B$51))&gt;0)*1)+51),4,FALSE)/100,O117-VLOOKUP($B115&amp;"-"&amp;$B117,INDIRECT("V51:Y"&amp;COUNT((FIND("-",_xlfn.ANCHORARRAY($B$51))&gt;0)*1)+51),4,FALSE)/100),"na")</f>
        <v>na</v>
      </c>
      <c r="P115" s="8" t="str" cm="1">
        <f t="array" aca="1" ref="P115" ca="1">+IFERROR(IF(P96&lt;&gt;"na",P96-VLOOKUP($B115&amp;"-"&amp;$B117,INDIRECT("V51:Y"&amp;COUNT((FIND("-",_xlfn.ANCHORARRAY($B$51))&gt;0)*1)+51),4,FALSE)/100,P117-VLOOKUP($B115&amp;"-"&amp;$B117,INDIRECT("V51:Y"&amp;COUNT((FIND("-",_xlfn.ANCHORARRAY($B$51))&gt;0)*1)+51),4,FALSE)/100),"na")</f>
        <v>na</v>
      </c>
      <c r="Q115" s="8" t="str" cm="1">
        <f t="array" aca="1" ref="Q115" ca="1">+IFERROR(IF(Q96&lt;&gt;"na",Q96-VLOOKUP($B115&amp;"-"&amp;$B117,INDIRECT("V51:Y"&amp;COUNT((FIND("-",_xlfn.ANCHORARRAY($B$51))&gt;0)*1)+51),4,FALSE)/100,Q117-VLOOKUP($B115&amp;"-"&amp;$B117,INDIRECT("V51:Y"&amp;COUNT((FIND("-",_xlfn.ANCHORARRAY($B$51))&gt;0)*1)+51),4,FALSE)/100),"na")</f>
        <v>na</v>
      </c>
      <c r="R115" s="8">
        <f t="shared" ca="1" si="98"/>
        <v>11.21</v>
      </c>
      <c r="S115" s="154"/>
      <c r="T115" s="154"/>
      <c r="U115" s="154"/>
      <c r="V115" s="154"/>
      <c r="W115" s="154"/>
      <c r="X115" s="154"/>
      <c r="AE115" s="294"/>
      <c r="AF115" s="293"/>
      <c r="AG115" s="293"/>
      <c r="AH115" s="293"/>
      <c r="AI115" s="293"/>
      <c r="AJ115" s="293"/>
      <c r="AK115" s="293"/>
      <c r="AL115" s="293"/>
      <c r="AM115" s="293"/>
      <c r="AN115" s="293"/>
      <c r="AO115" s="293"/>
      <c r="AP115" s="293"/>
      <c r="AQ115" s="293"/>
      <c r="AR115" s="293"/>
      <c r="AS115" s="293"/>
      <c r="AT115" s="293"/>
      <c r="AU115" s="293"/>
      <c r="AV115" s="293"/>
      <c r="AW115" s="293"/>
      <c r="AX115" s="293"/>
      <c r="AY115" s="293"/>
      <c r="AZ115" s="293"/>
      <c r="BA115" s="293"/>
      <c r="BB115" s="294"/>
    </row>
    <row r="116" spans="2:54">
      <c r="B116" s="8">
        <f ca="1"/>
        <v>13</v>
      </c>
      <c r="C116" s="8" t="str" cm="1">
        <f t="array" aca="1" ref="C116" ca="1">+IFERROR(IF(C93&lt;&gt;"na",C93+VLOOKUP($B114&amp;"-"&amp;$B116,INDIRECT("V51:Y"&amp;COUNT((FIND("-",_xlfn.ANCHORARRAY($B$51))&gt;0)*1)+51),3,FALSE)/100,C114+VLOOKUP($B114&amp;"-"&amp;$B116,INDIRECT("V51:Y"&amp;COUNT((FIND("-",_xlfn.ANCHORARRAY($B$51))&gt;0)*1)+51),3,FALSE)/100),"na")</f>
        <v>na</v>
      </c>
      <c r="D116" s="8" t="str" cm="1">
        <f t="array" aca="1" ref="D116" ca="1">+IFERROR(IF(D93&lt;&gt;"na",D93+VLOOKUP($B114&amp;"-"&amp;$B116,INDIRECT("V51:Y"&amp;COUNT((FIND("-",_xlfn.ANCHORARRAY($B$51))&gt;0)*1)+51),3,FALSE)/100,D114+VLOOKUP($B114&amp;"-"&amp;$B116,INDIRECT("V51:Y"&amp;COUNT((FIND("-",_xlfn.ANCHORARRAY($B$51))&gt;0)*1)+51),3,FALSE)/100),"na")</f>
        <v>na</v>
      </c>
      <c r="E116" s="8" t="str" cm="1">
        <f t="array" aca="1" ref="E116" ca="1">+IFERROR(E93+VLOOKUP($B114&amp;"-"&amp;$B116,INDIRECT("V51:Y"&amp;COUNT((FIND("-",_xlfn.ANCHORARRAY($B$51))&gt;0)*1)+51),3,FALSE)/100,"na")</f>
        <v>na</v>
      </c>
      <c r="F116" s="8">
        <f ca="1">+IFERROR(VALUE(VLOOKUP(F$91,INDIRECT("V28:Y"&amp;COUNT(_xlfn.ANCHORARRAY($B$92))+28),3,FALSE)),"na")</f>
        <v>10.86</v>
      </c>
      <c r="G116" s="8" t="str" cm="1">
        <f t="array" aca="1" ref="G116" ca="1">+IFERROR(G97-VLOOKUP($B116&amp;"-"&amp;$B118,INDIRECT("V51:Y"&amp;COUNT((FIND("-",_xlfn.ANCHORARRAY($B$51))&gt;0)*1)+51),4,FALSE)/100,"na")</f>
        <v>na</v>
      </c>
      <c r="H116" s="8" t="str" cm="1">
        <f t="array" aca="1" ref="H116" ca="1">+IFERROR(IF(H97&lt;&gt;"na",H97-VLOOKUP($B116&amp;"-"&amp;$B118,INDIRECT("V51:Y"&amp;COUNT((FIND("-",_xlfn.ANCHORARRAY($B$51))&gt;0)*1)+51),4,FALSE)/100,H118-VLOOKUP($B116&amp;"-"&amp;$B118,INDIRECT("V51:Y"&amp;COUNT((FIND("-",_xlfn.ANCHORARRAY($B$51))&gt;0)*1)+51),4,FALSE)/100),"na")</f>
        <v>na</v>
      </c>
      <c r="I116" s="8" t="str" cm="1">
        <f t="array" aca="1" ref="I116" ca="1">+IFERROR(IF(I97&lt;&gt;"na",I97-VLOOKUP($B116&amp;"-"&amp;$B118,INDIRECT("V51:Y"&amp;COUNT((FIND("-",_xlfn.ANCHORARRAY($B$51))&gt;0)*1)+51),4,FALSE)/100,I118-VLOOKUP($B116&amp;"-"&amp;$B118,INDIRECT("V51:Y"&amp;COUNT((FIND("-",_xlfn.ANCHORARRAY($B$51))&gt;0)*1)+51),4,FALSE)/100),"na")</f>
        <v>na</v>
      </c>
      <c r="J116" s="8" t="str" cm="1">
        <f t="array" aca="1" ref="J116" ca="1">+IFERROR(IF(J97&lt;&gt;"na",J97-VLOOKUP($B116&amp;"-"&amp;$B118,INDIRECT("V51:Y"&amp;COUNT((FIND("-",_xlfn.ANCHORARRAY($B$51))&gt;0)*1)+51),4,FALSE)/100,J118-VLOOKUP($B116&amp;"-"&amp;$B118,INDIRECT("V51:Y"&amp;COUNT((FIND("-",_xlfn.ANCHORARRAY($B$51))&gt;0)*1)+51),4,FALSE)/100),"na")</f>
        <v>na</v>
      </c>
      <c r="K116" s="8" t="str" cm="1">
        <f t="array" aca="1" ref="K116" ca="1">+IFERROR(IF(K97&lt;&gt;"na",K97-VLOOKUP($B116&amp;"-"&amp;$B118,INDIRECT("V51:Y"&amp;COUNT((FIND("-",_xlfn.ANCHORARRAY($B$51))&gt;0)*1)+51),4,FALSE)/100,K118-VLOOKUP($B116&amp;"-"&amp;$B118,INDIRECT("V51:Y"&amp;COUNT((FIND("-",_xlfn.ANCHORARRAY($B$51))&gt;0)*1)+51),4,FALSE)/100),"na")</f>
        <v>na</v>
      </c>
      <c r="L116" s="8" t="str" cm="1">
        <f t="array" aca="1" ref="L116" ca="1">+IFERROR(IF(L97&lt;&gt;"na",L97-VLOOKUP($B116&amp;"-"&amp;$B118,INDIRECT("V51:Y"&amp;COUNT((FIND("-",_xlfn.ANCHORARRAY($B$51))&gt;0)*1)+51),4,FALSE)/100,L118-VLOOKUP($B116&amp;"-"&amp;$B118,INDIRECT("V51:Y"&amp;COUNT((FIND("-",_xlfn.ANCHORARRAY($B$51))&gt;0)*1)+51),4,FALSE)/100),"na")</f>
        <v>na</v>
      </c>
      <c r="M116" s="8" t="str" cm="1">
        <f t="array" aca="1" ref="M116" ca="1">+IFERROR(IF(M97&lt;&gt;"na",M97-VLOOKUP($B116&amp;"-"&amp;$B118,INDIRECT("V51:Y"&amp;COUNT((FIND("-",_xlfn.ANCHORARRAY($B$51))&gt;0)*1)+51),4,FALSE)/100,M118-VLOOKUP($B116&amp;"-"&amp;$B118,INDIRECT("V51:Y"&amp;COUNT((FIND("-",_xlfn.ANCHORARRAY($B$51))&gt;0)*1)+51),4,FALSE)/100),"na")</f>
        <v>na</v>
      </c>
      <c r="N116" s="8" t="str" cm="1">
        <f t="array" aca="1" ref="N116" ca="1">+IFERROR(IF(N97&lt;&gt;"na",N97-VLOOKUP($B116&amp;"-"&amp;$B118,INDIRECT("V51:Y"&amp;COUNT((FIND("-",_xlfn.ANCHORARRAY($B$51))&gt;0)*1)+51),4,FALSE)/100,N118-VLOOKUP($B116&amp;"-"&amp;$B118,INDIRECT("V51:Y"&amp;COUNT((FIND("-",_xlfn.ANCHORARRAY($B$51))&gt;0)*1)+51),4,FALSE)/100),"na")</f>
        <v>na</v>
      </c>
      <c r="O116" s="8" t="str" cm="1">
        <f t="array" aca="1" ref="O116" ca="1">+IFERROR(IF(O97&lt;&gt;"na",O97-VLOOKUP($B116&amp;"-"&amp;$B118,INDIRECT("V51:Y"&amp;COUNT((FIND("-",_xlfn.ANCHORARRAY($B$51))&gt;0)*1)+51),4,FALSE)/100,O118-VLOOKUP($B116&amp;"-"&amp;$B118,INDIRECT("V51:Y"&amp;COUNT((FIND("-",_xlfn.ANCHORARRAY($B$51))&gt;0)*1)+51),4,FALSE)/100),"na")</f>
        <v>na</v>
      </c>
      <c r="P116" s="8" t="str" cm="1">
        <f t="array" aca="1" ref="P116" ca="1">+IFERROR(IF(P97&lt;&gt;"na",P97-VLOOKUP($B116&amp;"-"&amp;$B118,INDIRECT("V51:Y"&amp;COUNT((FIND("-",_xlfn.ANCHORARRAY($B$51))&gt;0)*1)+51),4,FALSE)/100,P118-VLOOKUP($B116&amp;"-"&amp;$B118,INDIRECT("V51:Y"&amp;COUNT((FIND("-",_xlfn.ANCHORARRAY($B$51))&gt;0)*1)+51),4,FALSE)/100),"na")</f>
        <v>na</v>
      </c>
      <c r="Q116" s="8" t="str" cm="1">
        <f t="array" aca="1" ref="Q116" ca="1">+IFERROR(IF(Q97&lt;&gt;"na",Q97-VLOOKUP($B116&amp;"-"&amp;$B118,INDIRECT("V51:Y"&amp;COUNT((FIND("-",_xlfn.ANCHORARRAY($B$51))&gt;0)*1)+51),4,FALSE)/100,Q118-VLOOKUP($B116&amp;"-"&amp;$B118,INDIRECT("V51:Y"&amp;COUNT((FIND("-",_xlfn.ANCHORARRAY($B$51))&gt;0)*1)+51),4,FALSE)/100),"na")</f>
        <v>na</v>
      </c>
      <c r="R116" s="8">
        <f t="shared" ca="1" si="98"/>
        <v>10.86</v>
      </c>
      <c r="S116" s="154"/>
      <c r="T116" s="154"/>
      <c r="U116" s="154"/>
      <c r="V116" s="154"/>
      <c r="W116" s="154"/>
      <c r="X116" s="154"/>
      <c r="AE116" s="294"/>
      <c r="AF116" s="293"/>
      <c r="AG116" s="293"/>
      <c r="AH116" s="293"/>
      <c r="AI116" s="293"/>
      <c r="AJ116" s="293"/>
      <c r="AK116" s="293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4"/>
    </row>
    <row r="117" spans="2:54">
      <c r="B117" s="8">
        <f ca="1"/>
        <v>26</v>
      </c>
      <c r="C117" s="8" t="str" cm="1">
        <f t="array" aca="1" ref="C117" ca="1">+IFERROR(IF(C94&lt;&gt;"na",C94+VLOOKUP($B115&amp;"-"&amp;$B117,INDIRECT("V51:Y"&amp;COUNT((FIND("-",_xlfn.ANCHORARRAY($B$51))&gt;0)*1)+51),3,FALSE)/100,C115+VLOOKUP($B115&amp;"-"&amp;$B117,INDIRECT("V51:Y"&amp;COUNT((FIND("-",_xlfn.ANCHORARRAY($B$51))&gt;0)*1)+51),3,FALSE)/100),"na")</f>
        <v>na</v>
      </c>
      <c r="D117" s="8" t="str" cm="1">
        <f t="array" aca="1" ref="D117" ca="1">+IFERROR(IF(D94&lt;&gt;"na",D94+VLOOKUP($B115&amp;"-"&amp;$B117,INDIRECT("V51:Y"&amp;COUNT((FIND("-",_xlfn.ANCHORARRAY($B$51))&gt;0)*1)+51),3,FALSE)/100,D115+VLOOKUP($B115&amp;"-"&amp;$B117,INDIRECT("V51:Y"&amp;COUNT((FIND("-",_xlfn.ANCHORARRAY($B$51))&gt;0)*1)+51),3,FALSE)/100),"na")</f>
        <v>na</v>
      </c>
      <c r="E117" s="8" t="str" cm="1">
        <f t="array" aca="1" ref="E117" ca="1">+IFERROR(IF(E94&lt;&gt;"na",E94+VLOOKUP($B115&amp;"-"&amp;$B117,INDIRECT("V51:Y"&amp;COUNT((FIND("-",_xlfn.ANCHORARRAY($B$51))&gt;0)*1)+51),3,FALSE)/100,E115+VLOOKUP($B115&amp;"-"&amp;$B117,INDIRECT("V51:Y"&amp;COUNT((FIND("-",_xlfn.ANCHORARRAY($B$51))&gt;0)*1)+51),3,FALSE)/100),"na")</f>
        <v>na</v>
      </c>
      <c r="F117" s="8" t="str" cm="1">
        <f t="array" aca="1" ref="F117" ca="1">+IFERROR(F94+VLOOKUP($B115&amp;"-"&amp;$B117,INDIRECT("V51:Y"&amp;COUNT((FIND("-",_xlfn.ANCHORARRAY($B$51))&gt;0)*1)+51),3,FALSE)/100,"na")</f>
        <v>na</v>
      </c>
      <c r="G117" s="8">
        <f ca="1">+IFERROR(VALUE(VLOOKUP(G$91,INDIRECT("V28:Y"&amp;COUNT(_xlfn.ANCHORARRAY($B$92))+28),3,FALSE)),"na")</f>
        <v>9.6199999999999992</v>
      </c>
      <c r="H117" s="8" t="str" cm="1">
        <f t="array" aca="1" ref="H117" ca="1">+IFERROR(H98-VLOOKUP($B117&amp;"-"&amp;$B119,INDIRECT("V51:Y"&amp;COUNT((FIND("-",_xlfn.ANCHORARRAY($B$51))&gt;0)*1)+51),4,FALSE)/100,"na")</f>
        <v>na</v>
      </c>
      <c r="I117" s="8" t="str" cm="1">
        <f t="array" aca="1" ref="I117" ca="1">+IFERROR(IF(I98&lt;&gt;"na",I98-VLOOKUP($B117&amp;"-"&amp;$B119,INDIRECT("V51:Y"&amp;COUNT((FIND("-",_xlfn.ANCHORARRAY($B$51))&gt;0)*1)+51),4,FALSE)/100,I119-VLOOKUP($B117&amp;"-"&amp;$B119,INDIRECT("V51:Y"&amp;COUNT((FIND("-",_xlfn.ANCHORARRAY($B$51))&gt;0)*1)+51),4,FALSE)/100),"na")</f>
        <v>na</v>
      </c>
      <c r="J117" s="8" t="str" cm="1">
        <f t="array" aca="1" ref="J117" ca="1">+IFERROR(IF(J98&lt;&gt;"na",J98-VLOOKUP($B117&amp;"-"&amp;$B119,INDIRECT("V51:Y"&amp;COUNT((FIND("-",_xlfn.ANCHORARRAY($B$51))&gt;0)*1)+51),4,FALSE)/100,J119-VLOOKUP($B117&amp;"-"&amp;$B119,INDIRECT("V51:Y"&amp;COUNT((FIND("-",_xlfn.ANCHORARRAY($B$51))&gt;0)*1)+51),4,FALSE)/100),"na")</f>
        <v>na</v>
      </c>
      <c r="K117" s="8" t="str" cm="1">
        <f t="array" aca="1" ref="K117" ca="1">+IFERROR(IF(K98&lt;&gt;"na",K98-VLOOKUP($B117&amp;"-"&amp;$B119,INDIRECT("V51:Y"&amp;COUNT((FIND("-",_xlfn.ANCHORARRAY($B$51))&gt;0)*1)+51),4,FALSE)/100,K119-VLOOKUP($B117&amp;"-"&amp;$B119,INDIRECT("V51:Y"&amp;COUNT((FIND("-",_xlfn.ANCHORARRAY($B$51))&gt;0)*1)+51),4,FALSE)/100),"na")</f>
        <v>na</v>
      </c>
      <c r="L117" s="8" t="str" cm="1">
        <f t="array" aca="1" ref="L117" ca="1">+IFERROR(IF(L98&lt;&gt;"na",L98-VLOOKUP($B117&amp;"-"&amp;$B119,INDIRECT("V51:Y"&amp;COUNT((FIND("-",_xlfn.ANCHORARRAY($B$51))&gt;0)*1)+51),4,FALSE)/100,L119-VLOOKUP($B117&amp;"-"&amp;$B119,INDIRECT("V51:Y"&amp;COUNT((FIND("-",_xlfn.ANCHORARRAY($B$51))&gt;0)*1)+51),4,FALSE)/100),"na")</f>
        <v>na</v>
      </c>
      <c r="M117" s="8" t="str" cm="1">
        <f t="array" aca="1" ref="M117" ca="1">+IFERROR(IF(M98&lt;&gt;"na",M98-VLOOKUP($B117&amp;"-"&amp;$B119,INDIRECT("V51:Y"&amp;COUNT((FIND("-",_xlfn.ANCHORARRAY($B$51))&gt;0)*1)+51),4,FALSE)/100,M119-VLOOKUP($B117&amp;"-"&amp;$B119,INDIRECT("V51:Y"&amp;COUNT((FIND("-",_xlfn.ANCHORARRAY($B$51))&gt;0)*1)+51),4,FALSE)/100),"na")</f>
        <v>na</v>
      </c>
      <c r="N117" s="8" t="str" cm="1">
        <f t="array" aca="1" ref="N117" ca="1">+IFERROR(IF(N98&lt;&gt;"na",N98-VLOOKUP($B117&amp;"-"&amp;$B119,INDIRECT("V51:Y"&amp;COUNT((FIND("-",_xlfn.ANCHORARRAY($B$51))&gt;0)*1)+51),4,FALSE)/100,N119-VLOOKUP($B117&amp;"-"&amp;$B119,INDIRECT("V51:Y"&amp;COUNT((FIND("-",_xlfn.ANCHORARRAY($B$51))&gt;0)*1)+51),4,FALSE)/100),"na")</f>
        <v>na</v>
      </c>
      <c r="O117" s="8" t="str" cm="1">
        <f t="array" aca="1" ref="O117" ca="1">+IFERROR(IF(O98&lt;&gt;"na",O98-VLOOKUP($B117&amp;"-"&amp;$B119,INDIRECT("V51:Y"&amp;COUNT((FIND("-",_xlfn.ANCHORARRAY($B$51))&gt;0)*1)+51),4,FALSE)/100,O119-VLOOKUP($B117&amp;"-"&amp;$B119,INDIRECT("V51:Y"&amp;COUNT((FIND("-",_xlfn.ANCHORARRAY($B$51))&gt;0)*1)+51),4,FALSE)/100),"na")</f>
        <v>na</v>
      </c>
      <c r="P117" s="8" t="str" cm="1">
        <f t="array" aca="1" ref="P117" ca="1">+IFERROR(IF(P98&lt;&gt;"na",P98-VLOOKUP($B117&amp;"-"&amp;$B119,INDIRECT("V51:Y"&amp;COUNT((FIND("-",_xlfn.ANCHORARRAY($B$51))&gt;0)*1)+51),4,FALSE)/100,P119-VLOOKUP($B117&amp;"-"&amp;$B119,INDIRECT("V51:Y"&amp;COUNT((FIND("-",_xlfn.ANCHORARRAY($B$51))&gt;0)*1)+51),4,FALSE)/100),"na")</f>
        <v>na</v>
      </c>
      <c r="Q117" s="8" t="str" cm="1">
        <f t="array" aca="1" ref="Q117" ca="1">+IFERROR(IF(Q98&lt;&gt;"na",Q98-VLOOKUP($B117&amp;"-"&amp;$B119,INDIRECT("V51:Y"&amp;COUNT((FIND("-",_xlfn.ANCHORARRAY($B$51))&gt;0)*1)+51),4,FALSE)/100,Q119-VLOOKUP($B117&amp;"-"&amp;$B119,INDIRECT("V51:Y"&amp;COUNT((FIND("-",_xlfn.ANCHORARRAY($B$51))&gt;0)*1)+51),4,FALSE)/100),"na")</f>
        <v>na</v>
      </c>
      <c r="R117" s="8">
        <f t="shared" ca="1" si="98"/>
        <v>9.6199999999999992</v>
      </c>
      <c r="S117" s="154"/>
      <c r="T117" s="154"/>
      <c r="U117" s="154"/>
      <c r="V117" s="154"/>
      <c r="W117" s="154"/>
      <c r="X117" s="154"/>
      <c r="AE117" s="294"/>
      <c r="AF117" s="293"/>
      <c r="AG117" s="293"/>
      <c r="AH117" s="293"/>
      <c r="AI117" s="293"/>
      <c r="AJ117" s="293"/>
      <c r="AK117" s="293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4"/>
    </row>
    <row r="118" spans="2:54">
      <c r="B118" s="8">
        <f ca="1"/>
        <v>39</v>
      </c>
      <c r="C118" s="8" t="str" cm="1">
        <f t="array" aca="1" ref="C118" ca="1">+IFERROR(IF(C95&lt;&gt;"na",C95+VLOOKUP($B116&amp;"-"&amp;$B118,INDIRECT("V51:Y"&amp;COUNT((FIND("-",_xlfn.ANCHORARRAY($B$51))&gt;0)*1)+51),3,FALSE)/100,C116+VLOOKUP($B116&amp;"-"&amp;$B118,INDIRECT("V51:Y"&amp;COUNT((FIND("-",_xlfn.ANCHORARRAY($B$51))&gt;0)*1)+51),3,FALSE)/100),"na")</f>
        <v>na</v>
      </c>
      <c r="D118" s="8" t="str" cm="1">
        <f t="array" aca="1" ref="D118" ca="1">+IFERROR(IF(D95&lt;&gt;"na",D95+VLOOKUP($B116&amp;"-"&amp;$B118,INDIRECT("V51:Y"&amp;COUNT((FIND("-",_xlfn.ANCHORARRAY($B$51))&gt;0)*1)+51),3,FALSE)/100,D116+VLOOKUP($B116&amp;"-"&amp;$B118,INDIRECT("V51:Y"&amp;COUNT((FIND("-",_xlfn.ANCHORARRAY($B$51))&gt;0)*1)+51),3,FALSE)/100),"na")</f>
        <v>na</v>
      </c>
      <c r="E118" s="8" t="str" cm="1">
        <f t="array" aca="1" ref="E118" ca="1">+IFERROR(IF(E95&lt;&gt;"na",E95+VLOOKUP($B116&amp;"-"&amp;$B118,INDIRECT("V51:Y"&amp;COUNT((FIND("-",_xlfn.ANCHORARRAY($B$51))&gt;0)*1)+51),3,FALSE)/100,E116+VLOOKUP($B116&amp;"-"&amp;$B118,INDIRECT("V51:Y"&amp;COUNT((FIND("-",_xlfn.ANCHORARRAY($B$51))&gt;0)*1)+51),3,FALSE)/100),"na")</f>
        <v>na</v>
      </c>
      <c r="F118" s="8" t="str" cm="1">
        <f t="array" aca="1" ref="F118" ca="1">+IFERROR(IF(F95&lt;&gt;"na",F95+VLOOKUP($B116&amp;"-"&amp;$B118,INDIRECT("V51:Y"&amp;COUNT((FIND("-",_xlfn.ANCHORARRAY($B$51))&gt;0)*1)+51),3,FALSE)/100,F116+VLOOKUP($B116&amp;"-"&amp;$B118,INDIRECT("V51:Y"&amp;COUNT((FIND("-",_xlfn.ANCHORARRAY($B$51))&gt;0)*1)+51),3,FALSE)/100),"na")</f>
        <v>na</v>
      </c>
      <c r="G118" s="8" t="str" cm="1">
        <f t="array" aca="1" ref="G118" ca="1">+IFERROR(G95+VLOOKUP($B116&amp;"-"&amp;$B118,INDIRECT("V51:Y"&amp;COUNT((FIND("-",_xlfn.ANCHORARRAY($B$51))&gt;0)*1)+51),3,FALSE)/100,"na")</f>
        <v>na</v>
      </c>
      <c r="H118" s="8" t="str">
        <f ca="1">+IFERROR(VALUE(VLOOKUP(H$91,INDIRECT("V28:Y"&amp;COUNT(_xlfn.ANCHORARRAY($B$92))+28),3,FALSE)),"na")</f>
        <v>na</v>
      </c>
      <c r="I118" s="8" t="str" cm="1">
        <f t="array" aca="1" ref="I118" ca="1">+IFERROR(I99-VLOOKUP($B118&amp;"-"&amp;$B120,INDIRECT("V51:Y"&amp;COUNT((FIND("-",_xlfn.ANCHORARRAY($B$51))&gt;0)*1)+51),4,FALSE)/100,"na")</f>
        <v>na</v>
      </c>
      <c r="J118" s="8" t="str" cm="1">
        <f t="array" aca="1" ref="J118" ca="1">+IFERROR(IF(J99&lt;&gt;"na",J99-VLOOKUP($B118&amp;"-"&amp;$B120,INDIRECT("V51:Y"&amp;COUNT((FIND("-",_xlfn.ANCHORARRAY($B$51))&gt;0)*1)+51),4,FALSE)/100,J120-VLOOKUP($B118&amp;"-"&amp;$B120,INDIRECT("V51:Y"&amp;COUNT((FIND("-",_xlfn.ANCHORARRAY($B$51))&gt;0)*1)+51),4,FALSE)/100),"na")</f>
        <v>na</v>
      </c>
      <c r="K118" s="8" t="str" cm="1">
        <f t="array" aca="1" ref="K118" ca="1">+IFERROR(IF(K99&lt;&gt;"na",K99-VLOOKUP($B118&amp;"-"&amp;$B120,INDIRECT("V51:Y"&amp;COUNT((FIND("-",_xlfn.ANCHORARRAY($B$51))&gt;0)*1)+51),4,FALSE)/100,K120-VLOOKUP($B118&amp;"-"&amp;$B120,INDIRECT("V51:Y"&amp;COUNT((FIND("-",_xlfn.ANCHORARRAY($B$51))&gt;0)*1)+51),4,FALSE)/100),"na")</f>
        <v>na</v>
      </c>
      <c r="L118" s="8" t="str" cm="1">
        <f t="array" aca="1" ref="L118" ca="1">+IFERROR(IF(L99&lt;&gt;"na",L99-VLOOKUP($B118&amp;"-"&amp;$B120,INDIRECT("V51:Y"&amp;COUNT((FIND("-",_xlfn.ANCHORARRAY($B$51))&gt;0)*1)+51),4,FALSE)/100,L120-VLOOKUP($B118&amp;"-"&amp;$B120,INDIRECT("V51:Y"&amp;COUNT((FIND("-",_xlfn.ANCHORARRAY($B$51))&gt;0)*1)+51),4,FALSE)/100),"na")</f>
        <v>na</v>
      </c>
      <c r="M118" s="8" t="str" cm="1">
        <f t="array" aca="1" ref="M118" ca="1">+IFERROR(IF(M99&lt;&gt;"na",M99-VLOOKUP($B118&amp;"-"&amp;$B120,INDIRECT("V51:Y"&amp;COUNT((FIND("-",_xlfn.ANCHORARRAY($B$51))&gt;0)*1)+51),4,FALSE)/100,M120-VLOOKUP($B118&amp;"-"&amp;$B120,INDIRECT("V51:Y"&amp;COUNT((FIND("-",_xlfn.ANCHORARRAY($B$51))&gt;0)*1)+51),4,FALSE)/100),"na")</f>
        <v>na</v>
      </c>
      <c r="N118" s="8" t="str" cm="1">
        <f t="array" aca="1" ref="N118" ca="1">+IFERROR(IF(N99&lt;&gt;"na",N99-VLOOKUP($B118&amp;"-"&amp;$B120,INDIRECT("V51:Y"&amp;COUNT((FIND("-",_xlfn.ANCHORARRAY($B$51))&gt;0)*1)+51),4,FALSE)/100,N120-VLOOKUP($B118&amp;"-"&amp;$B120,INDIRECT("V51:Y"&amp;COUNT((FIND("-",_xlfn.ANCHORARRAY($B$51))&gt;0)*1)+51),4,FALSE)/100),"na")</f>
        <v>na</v>
      </c>
      <c r="O118" s="8" t="str" cm="1">
        <f t="array" aca="1" ref="O118" ca="1">+IFERROR(IF(O99&lt;&gt;"na",O99-VLOOKUP($B118&amp;"-"&amp;$B120,INDIRECT("V51:Y"&amp;COUNT((FIND("-",_xlfn.ANCHORARRAY($B$51))&gt;0)*1)+51),4,FALSE)/100,O120-VLOOKUP($B118&amp;"-"&amp;$B120,INDIRECT("V51:Y"&amp;COUNT((FIND("-",_xlfn.ANCHORARRAY($B$51))&gt;0)*1)+51),4,FALSE)/100),"na")</f>
        <v>na</v>
      </c>
      <c r="P118" s="8" t="str" cm="1">
        <f t="array" aca="1" ref="P118" ca="1">+IFERROR(IF(P99&lt;&gt;"na",P99-VLOOKUP($B118&amp;"-"&amp;$B120,INDIRECT("V51:Y"&amp;COUNT((FIND("-",_xlfn.ANCHORARRAY($B$51))&gt;0)*1)+51),4,FALSE)/100,P120-VLOOKUP($B118&amp;"-"&amp;$B120,INDIRECT("V51:Y"&amp;COUNT((FIND("-",_xlfn.ANCHORARRAY($B$51))&gt;0)*1)+51),4,FALSE)/100),"na")</f>
        <v>na</v>
      </c>
      <c r="Q118" s="8" t="str" cm="1">
        <f t="array" aca="1" ref="Q118" ca="1">+IFERROR(IF(Q99&lt;&gt;"na",Q99-VLOOKUP($B118&amp;"-"&amp;$B120,INDIRECT("V51:Y"&amp;COUNT((FIND("-",_xlfn.ANCHORARRAY($B$51))&gt;0)*1)+51),4,FALSE)/100,Q120-VLOOKUP($B118&amp;"-"&amp;$B120,INDIRECT("V51:Y"&amp;COUNT((FIND("-",_xlfn.ANCHORARRAY($B$51))&gt;0)*1)+51),4,FALSE)/100),"na")</f>
        <v>na</v>
      </c>
      <c r="R118" s="8" t="str">
        <f t="shared" ca="1" si="98"/>
        <v/>
      </c>
      <c r="S118" s="154"/>
      <c r="T118" s="154"/>
      <c r="U118" s="154"/>
      <c r="V118" s="154"/>
      <c r="W118" s="154"/>
      <c r="X118" s="154"/>
      <c r="AE118" s="294"/>
      <c r="AF118" s="294"/>
      <c r="AG118" s="294"/>
      <c r="AH118" s="294"/>
      <c r="AI118" s="294"/>
      <c r="AJ118" s="294"/>
      <c r="AK118" s="294"/>
      <c r="AL118" s="294"/>
      <c r="AM118" s="294"/>
      <c r="AN118" s="294"/>
      <c r="AO118" s="294"/>
      <c r="AP118" s="294"/>
      <c r="AQ118" s="294"/>
      <c r="AR118" s="294"/>
      <c r="AS118" s="294"/>
      <c r="AT118" s="294"/>
      <c r="AU118" s="294"/>
      <c r="AV118" s="294"/>
      <c r="AW118" s="294"/>
      <c r="AX118" s="294"/>
      <c r="AY118" s="294"/>
      <c r="AZ118" s="294"/>
      <c r="BA118" s="294"/>
      <c r="BB118" s="294"/>
    </row>
    <row r="119" spans="2:54">
      <c r="B119" s="8">
        <f ca="1"/>
        <v>52</v>
      </c>
      <c r="C119" s="8" t="str" cm="1">
        <f t="array" aca="1" ref="C119" ca="1">+IFERROR(IF(C96&lt;&gt;"na",C96+VLOOKUP($B117&amp;"-"&amp;$B119,INDIRECT("V51:Y"&amp;COUNT((FIND("-",_xlfn.ANCHORARRAY($B$51))&gt;0)*1)+51),3,FALSE)/100,C117+VLOOKUP($B117&amp;"-"&amp;$B119,INDIRECT("V51:Y"&amp;COUNT((FIND("-",_xlfn.ANCHORARRAY($B$51))&gt;0)*1)+51),3,FALSE)/100),"na")</f>
        <v>na</v>
      </c>
      <c r="D119" s="8" t="str" cm="1">
        <f t="array" aca="1" ref="D119" ca="1">+IFERROR(IF(D96&lt;&gt;"na",D96+VLOOKUP($B117&amp;"-"&amp;$B119,INDIRECT("V51:Y"&amp;COUNT((FIND("-",_xlfn.ANCHORARRAY($B$51))&gt;0)*1)+51),3,FALSE)/100,D117+VLOOKUP($B117&amp;"-"&amp;$B119,INDIRECT("V51:Y"&amp;COUNT((FIND("-",_xlfn.ANCHORARRAY($B$51))&gt;0)*1)+51),3,FALSE)/100),"na")</f>
        <v>na</v>
      </c>
      <c r="E119" s="8" t="str" cm="1">
        <f t="array" aca="1" ref="E119" ca="1">+IFERROR(IF(E96&lt;&gt;"na",E96+VLOOKUP($B117&amp;"-"&amp;$B119,INDIRECT("V51:Y"&amp;COUNT((FIND("-",_xlfn.ANCHORARRAY($B$51))&gt;0)*1)+51),3,FALSE)/100,E117+VLOOKUP($B117&amp;"-"&amp;$B119,INDIRECT("V51:Y"&amp;COUNT((FIND("-",_xlfn.ANCHORARRAY($B$51))&gt;0)*1)+51),3,FALSE)/100),"na")</f>
        <v>na</v>
      </c>
      <c r="F119" s="8" t="str" cm="1">
        <f t="array" aca="1" ref="F119" ca="1">+IFERROR(IF(F96&lt;&gt;"na",F96+VLOOKUP($B117&amp;"-"&amp;$B119,INDIRECT("V51:Y"&amp;COUNT((FIND("-",_xlfn.ANCHORARRAY($B$51))&gt;0)*1)+51),3,FALSE)/100,F117+VLOOKUP($B117&amp;"-"&amp;$B119,INDIRECT("V51:Y"&amp;COUNT((FIND("-",_xlfn.ANCHORARRAY($B$51))&gt;0)*1)+51),3,FALSE)/100),"na")</f>
        <v>na</v>
      </c>
      <c r="G119" s="8" t="str" cm="1">
        <f t="array" aca="1" ref="G119" ca="1">+IFERROR(IF(G96&lt;&gt;"na",G96+VLOOKUP($B117&amp;"-"&amp;$B119,INDIRECT("V51:Y"&amp;COUNT((FIND("-",_xlfn.ANCHORARRAY($B$51))&gt;0)*1)+51),3,FALSE)/100,G117+VLOOKUP($B117&amp;"-"&amp;$B119,INDIRECT("V51:Y"&amp;COUNT((FIND("-",_xlfn.ANCHORARRAY($B$51))&gt;0)*1)+51),3,FALSE)/100),"na")</f>
        <v>na</v>
      </c>
      <c r="H119" s="8" t="str" cm="1">
        <f t="array" aca="1" ref="H119" ca="1">+IFERROR(H96+VLOOKUP($B117&amp;"-"&amp;$B119,INDIRECT("V51:Y"&amp;COUNT((FIND("-",_xlfn.ANCHORARRAY($B$51))&gt;0)*1)+51),3,FALSE)/100,"na")</f>
        <v>na</v>
      </c>
      <c r="I119" s="8" t="str">
        <f ca="1">+IFERROR(VALUE(VLOOKUP(I$91,INDIRECT("V28:Y"&amp;COUNT(_xlfn.ANCHORARRAY($B$92))+28),3,FALSE)),"na")</f>
        <v>na</v>
      </c>
      <c r="J119" s="8" t="str" cm="1">
        <f t="array" aca="1" ref="J119" ca="1">+IFERROR(J100-VLOOKUP($B119&amp;"-"&amp;$B121,INDIRECT("V51:Y"&amp;COUNT((FIND("-",_xlfn.ANCHORARRAY($B$51))&gt;0)*1)+51),4,FALSE)/100,"na")</f>
        <v>na</v>
      </c>
      <c r="K119" s="8" t="str" cm="1">
        <f t="array" aca="1" ref="K119" ca="1">+IFERROR(IF(K100&lt;&gt;"na",K100-VLOOKUP($B119&amp;"-"&amp;$B121,INDIRECT("V51:Y"&amp;COUNT((FIND("-",_xlfn.ANCHORARRAY($B$51))&gt;0)*1)+51),4,FALSE)/100,K121-VLOOKUP($B119&amp;"-"&amp;$B121,INDIRECT("V51:Y"&amp;COUNT((FIND("-",_xlfn.ANCHORARRAY($B$51))&gt;0)*1)+51),4,FALSE)/100),"na")</f>
        <v>na</v>
      </c>
      <c r="L119" s="8" t="str" cm="1">
        <f t="array" aca="1" ref="L119" ca="1">+IFERROR(IF(L100&lt;&gt;"na",L100-VLOOKUP($B119&amp;"-"&amp;$B121,INDIRECT("V51:Y"&amp;COUNT((FIND("-",_xlfn.ANCHORARRAY($B$51))&gt;0)*1)+51),4,FALSE)/100,L121-VLOOKUP($B119&amp;"-"&amp;$B121,INDIRECT("V51:Y"&amp;COUNT((FIND("-",_xlfn.ANCHORARRAY($B$51))&gt;0)*1)+51),4,FALSE)/100),"na")</f>
        <v>na</v>
      </c>
      <c r="M119" s="8" t="str" cm="1">
        <f t="array" aca="1" ref="M119" ca="1">+IFERROR(IF(M100&lt;&gt;"na",M100-VLOOKUP($B119&amp;"-"&amp;$B121,INDIRECT("V51:Y"&amp;COUNT((FIND("-",_xlfn.ANCHORARRAY($B$51))&gt;0)*1)+51),4,FALSE)/100,M121-VLOOKUP($B119&amp;"-"&amp;$B121,INDIRECT("V51:Y"&amp;COUNT((FIND("-",_xlfn.ANCHORARRAY($B$51))&gt;0)*1)+51),4,FALSE)/100),"na")</f>
        <v>na</v>
      </c>
      <c r="N119" s="8" t="str" cm="1">
        <f t="array" aca="1" ref="N119" ca="1">+IFERROR(IF(N100&lt;&gt;"na",N100-VLOOKUP($B119&amp;"-"&amp;$B121,INDIRECT("V51:Y"&amp;COUNT((FIND("-",_xlfn.ANCHORARRAY($B$51))&gt;0)*1)+51),4,FALSE)/100,N121-VLOOKUP($B119&amp;"-"&amp;$B121,INDIRECT("V51:Y"&amp;COUNT((FIND("-",_xlfn.ANCHORARRAY($B$51))&gt;0)*1)+51),4,FALSE)/100),"na")</f>
        <v>na</v>
      </c>
      <c r="O119" s="8" t="str" cm="1">
        <f t="array" aca="1" ref="O119" ca="1">+IFERROR(IF(O100&lt;&gt;"na",O100-VLOOKUP($B119&amp;"-"&amp;$B121,INDIRECT("V51:Y"&amp;COUNT((FIND("-",_xlfn.ANCHORARRAY($B$51))&gt;0)*1)+51),4,FALSE)/100,O121-VLOOKUP($B119&amp;"-"&amp;$B121,INDIRECT("V51:Y"&amp;COUNT((FIND("-",_xlfn.ANCHORARRAY($B$51))&gt;0)*1)+51),4,FALSE)/100),"na")</f>
        <v>na</v>
      </c>
      <c r="P119" s="8" t="str" cm="1">
        <f t="array" aca="1" ref="P119" ca="1">+IFERROR(IF(P100&lt;&gt;"na",P100-VLOOKUP($B119&amp;"-"&amp;$B121,INDIRECT("V51:Y"&amp;COUNT((FIND("-",_xlfn.ANCHORARRAY($B$51))&gt;0)*1)+51),4,FALSE)/100,P121-VLOOKUP($B119&amp;"-"&amp;$B121,INDIRECT("V51:Y"&amp;COUNT((FIND("-",_xlfn.ANCHORARRAY($B$51))&gt;0)*1)+51),4,FALSE)/100),"na")</f>
        <v>na</v>
      </c>
      <c r="Q119" s="8" t="str" cm="1">
        <f t="array" aca="1" ref="Q119" ca="1">+IFERROR(IF(Q100&lt;&gt;"na",Q100-VLOOKUP($B119&amp;"-"&amp;$B121,INDIRECT("V51:Y"&amp;COUNT((FIND("-",_xlfn.ANCHORARRAY($B$51))&gt;0)*1)+51),4,FALSE)/100,Q121-VLOOKUP($B119&amp;"-"&amp;$B121,INDIRECT("V51:Y"&amp;COUNT((FIND("-",_xlfn.ANCHORARRAY($B$51))&gt;0)*1)+51),4,FALSE)/100),"na")</f>
        <v>na</v>
      </c>
      <c r="R119" s="8" t="str">
        <f t="shared" ca="1" si="98"/>
        <v/>
      </c>
      <c r="S119" s="154"/>
      <c r="T119" s="154"/>
      <c r="U119" s="154"/>
      <c r="V119" s="154"/>
      <c r="W119" s="154"/>
      <c r="X119" s="154"/>
      <c r="AE119" s="294"/>
      <c r="AF119" s="294"/>
      <c r="AG119" s="294"/>
      <c r="AH119" s="294"/>
      <c r="AI119" s="294"/>
      <c r="AJ119" s="294"/>
      <c r="AK119" s="294"/>
      <c r="AL119" s="294"/>
      <c r="AM119" s="294"/>
      <c r="AN119" s="294"/>
      <c r="AO119" s="294"/>
      <c r="AP119" s="294"/>
      <c r="AQ119" s="294"/>
      <c r="AR119" s="294"/>
      <c r="AS119" s="294"/>
      <c r="AT119" s="294"/>
      <c r="AU119" s="294"/>
      <c r="AV119" s="294"/>
      <c r="AW119" s="294"/>
      <c r="AX119" s="294"/>
      <c r="AY119" s="294"/>
      <c r="AZ119" s="294"/>
      <c r="BA119" s="294"/>
      <c r="BB119" s="294"/>
    </row>
    <row r="120" spans="2:54">
      <c r="B120" s="8">
        <f ca="1"/>
        <v>65</v>
      </c>
      <c r="C120" s="8" t="str" cm="1">
        <f t="array" aca="1" ref="C120" ca="1">+IFERROR(IF(C97&lt;&gt;"na",C97+VLOOKUP($B118&amp;"-"&amp;$B120,INDIRECT("V51:Y"&amp;COUNT((FIND("-",_xlfn.ANCHORARRAY($B$51))&gt;0)*1)+51),3,FALSE)/100,C118+VLOOKUP($B118&amp;"-"&amp;$B120,INDIRECT("V51:Y"&amp;COUNT((FIND("-",_xlfn.ANCHORARRAY($B$51))&gt;0)*1)+51),3,FALSE)/100),"na")</f>
        <v>na</v>
      </c>
      <c r="D120" s="8" t="str" cm="1">
        <f t="array" aca="1" ref="D120" ca="1">+IFERROR(IF(D97&lt;&gt;"na",D97+VLOOKUP($B118&amp;"-"&amp;$B120,INDIRECT("V51:Y"&amp;COUNT((FIND("-",_xlfn.ANCHORARRAY($B$51))&gt;0)*1)+51),3,FALSE)/100,D118+VLOOKUP($B118&amp;"-"&amp;$B120,INDIRECT("V51:Y"&amp;COUNT((FIND("-",_xlfn.ANCHORARRAY($B$51))&gt;0)*1)+51),3,FALSE)/100),"na")</f>
        <v>na</v>
      </c>
      <c r="E120" s="8" t="str" cm="1">
        <f t="array" aca="1" ref="E120" ca="1">+IFERROR(IF(E97&lt;&gt;"na",E97+VLOOKUP($B118&amp;"-"&amp;$B120,INDIRECT("V51:Y"&amp;COUNT((FIND("-",_xlfn.ANCHORARRAY($B$51))&gt;0)*1)+51),3,FALSE)/100,E118+VLOOKUP($B118&amp;"-"&amp;$B120,INDIRECT("V51:Y"&amp;COUNT((FIND("-",_xlfn.ANCHORARRAY($B$51))&gt;0)*1)+51),3,FALSE)/100),"na")</f>
        <v>na</v>
      </c>
      <c r="F120" s="8" t="str" cm="1">
        <f t="array" aca="1" ref="F120" ca="1">+IFERROR(IF(F97&lt;&gt;"na",F97+VLOOKUP($B118&amp;"-"&amp;$B120,INDIRECT("V51:Y"&amp;COUNT((FIND("-",_xlfn.ANCHORARRAY($B$51))&gt;0)*1)+51),3,FALSE)/100,F118+VLOOKUP($B118&amp;"-"&amp;$B120,INDIRECT("V51:Y"&amp;COUNT((FIND("-",_xlfn.ANCHORARRAY($B$51))&gt;0)*1)+51),3,FALSE)/100),"na")</f>
        <v>na</v>
      </c>
      <c r="G120" s="8" t="str" cm="1">
        <f t="array" aca="1" ref="G120" ca="1">+IFERROR(IF(G97&lt;&gt;"na",G97+VLOOKUP($B118&amp;"-"&amp;$B120,INDIRECT("V51:Y"&amp;COUNT((FIND("-",_xlfn.ANCHORARRAY($B$51))&gt;0)*1)+51),3,FALSE)/100,G118+VLOOKUP($B118&amp;"-"&amp;$B120,INDIRECT("V51:Y"&amp;COUNT((FIND("-",_xlfn.ANCHORARRAY($B$51))&gt;0)*1)+51),3,FALSE)/100),"na")</f>
        <v>na</v>
      </c>
      <c r="H120" s="8" t="str" cm="1">
        <f t="array" aca="1" ref="H120" ca="1">+IFERROR(IF(H97&lt;&gt;"na",H97+VLOOKUP($B118&amp;"-"&amp;$B120,INDIRECT("V51:Y"&amp;COUNT((FIND("-",_xlfn.ANCHORARRAY($B$51))&gt;0)*1)+51),3,FALSE)/100,H118+VLOOKUP($B118&amp;"-"&amp;$B120,INDIRECT("V51:Y"&amp;COUNT((FIND("-",_xlfn.ANCHORARRAY($B$51))&gt;0)*1)+51),3,FALSE)/100),"na")</f>
        <v>na</v>
      </c>
      <c r="I120" s="8" t="str" cm="1">
        <f t="array" aca="1" ref="I120" ca="1">+IFERROR(I97+VLOOKUP($B118&amp;"-"&amp;$B120,INDIRECT("V51:Y"&amp;COUNT((FIND("-",_xlfn.ANCHORARRAY($B$51))&gt;0)*1)+51),3,FALSE)/100,"na")</f>
        <v>na</v>
      </c>
      <c r="J120" s="8">
        <f ca="1">+IFERROR(VALUE(VLOOKUP(J$91,INDIRECT("V28:Y"&amp;COUNT(_xlfn.ANCHORARRAY($B$92))+28),3,FALSE)),"na")</f>
        <v>8.35</v>
      </c>
      <c r="K120" s="8" t="str" cm="1">
        <f t="array" aca="1" ref="K120" ca="1">+IFERROR(K101-VLOOKUP($B120&amp;"-"&amp;$B122,INDIRECT("V51:Y"&amp;COUNT((FIND("-",_xlfn.ANCHORARRAY($B$51))&gt;0)*1)+51),4,FALSE)/100,"na")</f>
        <v>na</v>
      </c>
      <c r="L120" s="8" t="str" cm="1">
        <f t="array" aca="1" ref="L120" ca="1">+IFERROR(IF(L101&lt;&gt;"na",L101-VLOOKUP($B120&amp;"-"&amp;$B122,INDIRECT("V51:Y"&amp;COUNT((FIND("-",_xlfn.ANCHORARRAY($B$51))&gt;0)*1)+51),4,FALSE)/100,L122-VLOOKUP($B120&amp;"-"&amp;$B122,INDIRECT("V51:Y"&amp;COUNT((FIND("-",_xlfn.ANCHORARRAY($B$51))&gt;0)*1)+51),4,FALSE)/100),"na")</f>
        <v>na</v>
      </c>
      <c r="M120" s="8" t="str" cm="1">
        <f t="array" aca="1" ref="M120" ca="1">+IFERROR(IF(M101&lt;&gt;"na",M101-VLOOKUP($B120&amp;"-"&amp;$B122,INDIRECT("V51:Y"&amp;COUNT((FIND("-",_xlfn.ANCHORARRAY($B$51))&gt;0)*1)+51),4,FALSE)/100,M122-VLOOKUP($B120&amp;"-"&amp;$B122,INDIRECT("V51:Y"&amp;COUNT((FIND("-",_xlfn.ANCHORARRAY($B$51))&gt;0)*1)+51),4,FALSE)/100),"na")</f>
        <v>na</v>
      </c>
      <c r="N120" s="8" t="str" cm="1">
        <f t="array" aca="1" ref="N120" ca="1">+IFERROR(IF(N101&lt;&gt;"na",N101-VLOOKUP($B120&amp;"-"&amp;$B122,INDIRECT("V51:Y"&amp;COUNT((FIND("-",_xlfn.ANCHORARRAY($B$51))&gt;0)*1)+51),4,FALSE)/100,N122-VLOOKUP($B120&amp;"-"&amp;$B122,INDIRECT("V51:Y"&amp;COUNT((FIND("-",_xlfn.ANCHORARRAY($B$51))&gt;0)*1)+51),4,FALSE)/100),"na")</f>
        <v>na</v>
      </c>
      <c r="O120" s="8" t="str" cm="1">
        <f t="array" aca="1" ref="O120" ca="1">+IFERROR(IF(O101&lt;&gt;"na",O101-VLOOKUP($B120&amp;"-"&amp;$B122,INDIRECT("V51:Y"&amp;COUNT((FIND("-",_xlfn.ANCHORARRAY($B$51))&gt;0)*1)+51),4,FALSE)/100,O122-VLOOKUP($B120&amp;"-"&amp;$B122,INDIRECT("V51:Y"&amp;COUNT((FIND("-",_xlfn.ANCHORARRAY($B$51))&gt;0)*1)+51),4,FALSE)/100),"na")</f>
        <v>na</v>
      </c>
      <c r="P120" s="8" t="str" cm="1">
        <f t="array" aca="1" ref="P120" ca="1">+IFERROR(IF(P101&lt;&gt;"na",P101-VLOOKUP($B120&amp;"-"&amp;$B122,INDIRECT("V51:Y"&amp;COUNT((FIND("-",_xlfn.ANCHORARRAY($B$51))&gt;0)*1)+51),4,FALSE)/100,P122-VLOOKUP($B120&amp;"-"&amp;$B122,INDIRECT("V51:Y"&amp;COUNT((FIND("-",_xlfn.ANCHORARRAY($B$51))&gt;0)*1)+51),4,FALSE)/100),"na")</f>
        <v>na</v>
      </c>
      <c r="Q120" s="8" t="str" cm="1">
        <f t="array" aca="1" ref="Q120" ca="1">+IFERROR(IF(Q101&lt;&gt;"na",Q101-VLOOKUP($B120&amp;"-"&amp;$B122,INDIRECT("V51:Y"&amp;COUNT((FIND("-",_xlfn.ANCHORARRAY($B$51))&gt;0)*1)+51),4,FALSE)/100,Q122-VLOOKUP($B120&amp;"-"&amp;$B122,INDIRECT("V51:Y"&amp;COUNT((FIND("-",_xlfn.ANCHORARRAY($B$51))&gt;0)*1)+51),4,FALSE)/100),"na")</f>
        <v>na</v>
      </c>
      <c r="R120" s="8">
        <f t="shared" ca="1" si="98"/>
        <v>8.35</v>
      </c>
      <c r="S120" s="154"/>
      <c r="T120" s="154"/>
      <c r="U120" s="154"/>
      <c r="V120" s="154"/>
      <c r="W120" s="154"/>
      <c r="X120" s="154"/>
    </row>
    <row r="121" spans="2:54">
      <c r="B121" s="8"/>
      <c r="C121" s="8" t="str" cm="1">
        <f t="array" aca="1" ref="C121" ca="1">+IFERROR(IF(C98&lt;&gt;"na",C98+VLOOKUP($B119&amp;"-"&amp;$B121,INDIRECT("V51:Y"&amp;COUNT((FIND("-",_xlfn.ANCHORARRAY($B$51))&gt;0)*1)+51),3,FALSE)/100,C119+VLOOKUP($B119&amp;"-"&amp;$B121,INDIRECT("V51:Y"&amp;COUNT((FIND("-",_xlfn.ANCHORARRAY($B$51))&gt;0)*1)+51),3,FALSE)/100),"na")</f>
        <v>na</v>
      </c>
      <c r="D121" s="8" t="str" cm="1">
        <f t="array" aca="1" ref="D121" ca="1">+IFERROR(IF(D98&lt;&gt;"na",D98+VLOOKUP($B119&amp;"-"&amp;$B121,INDIRECT("V51:Y"&amp;COUNT((FIND("-",_xlfn.ANCHORARRAY($B$51))&gt;0)*1)+51),3,FALSE)/100,D119+VLOOKUP($B119&amp;"-"&amp;$B121,INDIRECT("V51:Y"&amp;COUNT((FIND("-",_xlfn.ANCHORARRAY($B$51))&gt;0)*1)+51),3,FALSE)/100),"na")</f>
        <v>na</v>
      </c>
      <c r="E121" s="8" t="str" cm="1">
        <f t="array" aca="1" ref="E121" ca="1">+IFERROR(IF(E98&lt;&gt;"na",E98+VLOOKUP($B119&amp;"-"&amp;$B121,INDIRECT("V51:Y"&amp;COUNT((FIND("-",_xlfn.ANCHORARRAY($B$51))&gt;0)*1)+51),3,FALSE)/100,E119+VLOOKUP($B119&amp;"-"&amp;$B121,INDIRECT("V51:Y"&amp;COUNT((FIND("-",_xlfn.ANCHORARRAY($B$51))&gt;0)*1)+51),3,FALSE)/100),"na")</f>
        <v>na</v>
      </c>
      <c r="F121" s="8" t="str" cm="1">
        <f t="array" aca="1" ref="F121" ca="1">+IFERROR(IF(F98&lt;&gt;"na",F98+VLOOKUP($B119&amp;"-"&amp;$B121,INDIRECT("V51:Y"&amp;COUNT((FIND("-",_xlfn.ANCHORARRAY($B$51))&gt;0)*1)+51),3,FALSE)/100,F119+VLOOKUP($B119&amp;"-"&amp;$B121,INDIRECT("V51:Y"&amp;COUNT((FIND("-",_xlfn.ANCHORARRAY($B$51))&gt;0)*1)+51),3,FALSE)/100),"na")</f>
        <v>na</v>
      </c>
      <c r="G121" s="8" t="str" cm="1">
        <f t="array" aca="1" ref="G121" ca="1">+IFERROR(IF(G98&lt;&gt;"na",G98+VLOOKUP($B119&amp;"-"&amp;$B121,INDIRECT("V51:Y"&amp;COUNT((FIND("-",_xlfn.ANCHORARRAY($B$51))&gt;0)*1)+51),3,FALSE)/100,G119+VLOOKUP($B119&amp;"-"&amp;$B121,INDIRECT("V51:Y"&amp;COUNT((FIND("-",_xlfn.ANCHORARRAY($B$51))&gt;0)*1)+51),3,FALSE)/100),"na")</f>
        <v>na</v>
      </c>
      <c r="H121" s="8" t="str" cm="1">
        <f t="array" aca="1" ref="H121" ca="1">+IFERROR(IF(H98&lt;&gt;"na",H98+VLOOKUP($B119&amp;"-"&amp;$B121,INDIRECT("V51:Y"&amp;COUNT((FIND("-",_xlfn.ANCHORARRAY($B$51))&gt;0)*1)+51),3,FALSE)/100,H119+VLOOKUP($B119&amp;"-"&amp;$B121,INDIRECT("V51:Y"&amp;COUNT((FIND("-",_xlfn.ANCHORARRAY($B$51))&gt;0)*1)+51),3,FALSE)/100),"na")</f>
        <v>na</v>
      </c>
      <c r="I121" s="8" t="str" cm="1">
        <f t="array" aca="1" ref="I121" ca="1">+IFERROR(IF(I98&lt;&gt;"na",I98+VLOOKUP($B119&amp;"-"&amp;$B121,INDIRECT("V51:Y"&amp;COUNT((FIND("-",_xlfn.ANCHORARRAY($B$51))&gt;0)*1)+51),3,FALSE)/100,I119+VLOOKUP($B119&amp;"-"&amp;$B121,INDIRECT("V51:Y"&amp;COUNT((FIND("-",_xlfn.ANCHORARRAY($B$51))&gt;0)*1)+51),3,FALSE)/100),"na")</f>
        <v>na</v>
      </c>
      <c r="J121" s="8" t="str" cm="1">
        <f t="array" aca="1" ref="J121" ca="1">+IFERROR(J98+VLOOKUP($B119&amp;"-"&amp;$B121,INDIRECT("V51:Y"&amp;COUNT((FIND("-",_xlfn.ANCHORARRAY($B$51))&gt;0)*1)+51),3,FALSE)/100,"na")</f>
        <v>na</v>
      </c>
      <c r="K121" s="8" t="str">
        <f ca="1">+IFERROR(VALUE(VLOOKUP(K$91,INDIRECT("V28:Y"&amp;COUNT(_xlfn.ANCHORARRAY($B$92))+28),3,FALSE)),"na")</f>
        <v>na</v>
      </c>
      <c r="L121" s="8" t="str" cm="1">
        <f t="array" aca="1" ref="L121" ca="1">+IFERROR(L102-VLOOKUP($B121&amp;"-"&amp;$B123,INDIRECT("V51:Y"&amp;COUNT((FIND("-",_xlfn.ANCHORARRAY($B$51))&gt;0)*1)+51),4,FALSE)/100,"na")</f>
        <v>na</v>
      </c>
      <c r="M121" s="8" t="str" cm="1">
        <f t="array" aca="1" ref="M121" ca="1">+IFERROR(IF(M102&lt;&gt;"na",M102-VLOOKUP($B121&amp;"-"&amp;$B123,INDIRECT("V51:Y"&amp;COUNT((FIND("-",_xlfn.ANCHORARRAY($B$51))&gt;0)*1)+51),4,FALSE)/100,M123-VLOOKUP($B121&amp;"-"&amp;$B123,INDIRECT("V51:Y"&amp;COUNT((FIND("-",_xlfn.ANCHORARRAY($B$51))&gt;0)*1)+51),4,FALSE)/100),"na")</f>
        <v>na</v>
      </c>
      <c r="N121" s="8" t="str" cm="1">
        <f t="array" aca="1" ref="N121" ca="1">+IFERROR(IF(N102&lt;&gt;"na",N102-VLOOKUP($B121&amp;"-"&amp;$B123,INDIRECT("V51:Y"&amp;COUNT((FIND("-",_xlfn.ANCHORARRAY($B$51))&gt;0)*1)+51),4,FALSE)/100,N123-VLOOKUP($B121&amp;"-"&amp;$B123,INDIRECT("V51:Y"&amp;COUNT((FIND("-",_xlfn.ANCHORARRAY($B$51))&gt;0)*1)+51),4,FALSE)/100),"na")</f>
        <v>na</v>
      </c>
      <c r="O121" s="8" t="str" cm="1">
        <f t="array" aca="1" ref="O121" ca="1">+IFERROR(IF(O102&lt;&gt;"na",O102-VLOOKUP($B121&amp;"-"&amp;$B123,INDIRECT("V51:Y"&amp;COUNT((FIND("-",_xlfn.ANCHORARRAY($B$51))&gt;0)*1)+51),4,FALSE)/100,O123-VLOOKUP($B121&amp;"-"&amp;$B123,INDIRECT("V51:Y"&amp;COUNT((FIND("-",_xlfn.ANCHORARRAY($B$51))&gt;0)*1)+51),4,FALSE)/100),"na")</f>
        <v>na</v>
      </c>
      <c r="P121" s="8" t="str" cm="1">
        <f t="array" aca="1" ref="P121" ca="1">+IFERROR(IF(P102&lt;&gt;"na",P102-VLOOKUP($B121&amp;"-"&amp;$B123,INDIRECT("V51:Y"&amp;COUNT((FIND("-",_xlfn.ANCHORARRAY($B$51))&gt;0)*1)+51),4,FALSE)/100,P123-VLOOKUP($B121&amp;"-"&amp;$B123,INDIRECT("V51:Y"&amp;COUNT((FIND("-",_xlfn.ANCHORARRAY($B$51))&gt;0)*1)+51),4,FALSE)/100),"na")</f>
        <v>na</v>
      </c>
      <c r="Q121" s="8" t="str" cm="1">
        <f t="array" aca="1" ref="Q121" ca="1">+IFERROR(IF(Q102&lt;&gt;"na",Q102-VLOOKUP($B121&amp;"-"&amp;$B123,INDIRECT("V51:Y"&amp;COUNT((FIND("-",_xlfn.ANCHORARRAY($B$51))&gt;0)*1)+51),4,FALSE)/100,Q123-VLOOKUP($B121&amp;"-"&amp;$B123,INDIRECT("V51:Y"&amp;COUNT((FIND("-",_xlfn.ANCHORARRAY($B$51))&gt;0)*1)+51),4,FALSE)/100),"na")</f>
        <v>na</v>
      </c>
      <c r="R121" s="8" t="str">
        <f t="shared" ca="1" si="98"/>
        <v/>
      </c>
      <c r="S121" s="154"/>
      <c r="T121" s="154"/>
      <c r="U121" s="154"/>
      <c r="V121" s="154"/>
      <c r="W121" s="154"/>
      <c r="X121" s="154"/>
    </row>
    <row r="122" spans="2:54">
      <c r="B122" s="8"/>
      <c r="C122" s="8" t="str" cm="1">
        <f t="array" aca="1" ref="C122" ca="1">+IFERROR(IF(C99&lt;&gt;"na",C99+VLOOKUP($B120&amp;"-"&amp;$B122,INDIRECT("V51:Y"&amp;COUNT((FIND("-",_xlfn.ANCHORARRAY($B$51))&gt;0)*1)+51),3,FALSE)/100,C120+VLOOKUP($B120&amp;"-"&amp;$B122,INDIRECT("V51:Y"&amp;COUNT((FIND("-",_xlfn.ANCHORARRAY($B$51))&gt;0)*1)+51),3,FALSE)/100),"na")</f>
        <v>na</v>
      </c>
      <c r="D122" s="8" t="str" cm="1">
        <f t="array" aca="1" ref="D122" ca="1">+IFERROR(IF(D99&lt;&gt;"na",D99+VLOOKUP($B120&amp;"-"&amp;$B122,INDIRECT("V51:Y"&amp;COUNT((FIND("-",_xlfn.ANCHORARRAY($B$51))&gt;0)*1)+51),3,FALSE)/100,D120+VLOOKUP($B120&amp;"-"&amp;$B122,INDIRECT("V51:Y"&amp;COUNT((FIND("-",_xlfn.ANCHORARRAY($B$51))&gt;0)*1)+51),3,FALSE)/100),"na")</f>
        <v>na</v>
      </c>
      <c r="E122" s="8" t="str" cm="1">
        <f t="array" aca="1" ref="E122" ca="1">+IFERROR(IF(E99&lt;&gt;"na",E99+VLOOKUP($B120&amp;"-"&amp;$B122,INDIRECT("V51:Y"&amp;COUNT((FIND("-",_xlfn.ANCHORARRAY($B$51))&gt;0)*1)+51),3,FALSE)/100,E120+VLOOKUP($B120&amp;"-"&amp;$B122,INDIRECT("V51:Y"&amp;COUNT((FIND("-",_xlfn.ANCHORARRAY($B$51))&gt;0)*1)+51),3,FALSE)/100),"na")</f>
        <v>na</v>
      </c>
      <c r="F122" s="8" t="str" cm="1">
        <f t="array" aca="1" ref="F122" ca="1">+IFERROR(IF(F99&lt;&gt;"na",F99+VLOOKUP($B120&amp;"-"&amp;$B122,INDIRECT("V51:Y"&amp;COUNT((FIND("-",_xlfn.ANCHORARRAY($B$51))&gt;0)*1)+51),3,FALSE)/100,F120+VLOOKUP($B120&amp;"-"&amp;$B122,INDIRECT("V51:Y"&amp;COUNT((FIND("-",_xlfn.ANCHORARRAY($B$51))&gt;0)*1)+51),3,FALSE)/100),"na")</f>
        <v>na</v>
      </c>
      <c r="G122" s="8" t="str" cm="1">
        <f t="array" aca="1" ref="G122" ca="1">+IFERROR(IF(G99&lt;&gt;"na",G99+VLOOKUP($B120&amp;"-"&amp;$B122,INDIRECT("V51:Y"&amp;COUNT((FIND("-",_xlfn.ANCHORARRAY($B$51))&gt;0)*1)+51),3,FALSE)/100,G120+VLOOKUP($B120&amp;"-"&amp;$B122,INDIRECT("V51:Y"&amp;COUNT((FIND("-",_xlfn.ANCHORARRAY($B$51))&gt;0)*1)+51),3,FALSE)/100),"na")</f>
        <v>na</v>
      </c>
      <c r="H122" s="8" t="str" cm="1">
        <f t="array" aca="1" ref="H122" ca="1">+IFERROR(IF(H99&lt;&gt;"na",H99+VLOOKUP($B120&amp;"-"&amp;$B122,INDIRECT("V51:Y"&amp;COUNT((FIND("-",_xlfn.ANCHORARRAY($B$51))&gt;0)*1)+51),3,FALSE)/100,H120+VLOOKUP($B120&amp;"-"&amp;$B122,INDIRECT("V51:Y"&amp;COUNT((FIND("-",_xlfn.ANCHORARRAY($B$51))&gt;0)*1)+51),3,FALSE)/100),"na")</f>
        <v>na</v>
      </c>
      <c r="I122" s="8" t="str" cm="1">
        <f t="array" aca="1" ref="I122" ca="1">+IFERROR(IF(I99&lt;&gt;"na",I99+VLOOKUP($B120&amp;"-"&amp;$B122,INDIRECT("V51:Y"&amp;COUNT((FIND("-",_xlfn.ANCHORARRAY($B$51))&gt;0)*1)+51),3,FALSE)/100,I120+VLOOKUP($B120&amp;"-"&amp;$B122,INDIRECT("V51:Y"&amp;COUNT((FIND("-",_xlfn.ANCHORARRAY($B$51))&gt;0)*1)+51),3,FALSE)/100),"na")</f>
        <v>na</v>
      </c>
      <c r="J122" s="8" t="str" cm="1">
        <f t="array" aca="1" ref="J122" ca="1">+IFERROR(IF(J99&lt;&gt;"na",J99+VLOOKUP($B120&amp;"-"&amp;$B122,INDIRECT("V51:Y"&amp;COUNT((FIND("-",_xlfn.ANCHORARRAY($B$51))&gt;0)*1)+51),3,FALSE)/100,J120+VLOOKUP($B120&amp;"-"&amp;$B122,INDIRECT("V51:Y"&amp;COUNT((FIND("-",_xlfn.ANCHORARRAY($B$51))&gt;0)*1)+51),3,FALSE)/100),"na")</f>
        <v>na</v>
      </c>
      <c r="K122" s="8" t="str" cm="1">
        <f t="array" aca="1" ref="K122" ca="1">+IFERROR(K99+VLOOKUP($B120&amp;"-"&amp;$B122,INDIRECT("V51:Y"&amp;COUNT((FIND("-",_xlfn.ANCHORARRAY($B$51))&gt;0)*1)+51),3,FALSE)/100,"na")</f>
        <v>na</v>
      </c>
      <c r="L122" s="8" t="str">
        <f ca="1">+IFERROR(VALUE(VLOOKUP(L$91,INDIRECT("V28:Y"&amp;COUNT(_xlfn.ANCHORARRAY($B$92))+28),3,FALSE)),"na")</f>
        <v>na</v>
      </c>
      <c r="M122" s="8" t="str" cm="1">
        <f t="array" aca="1" ref="M122" ca="1">+IFERROR(M103-VLOOKUP($B122&amp;"-"&amp;$B124,INDIRECT("V51:Y"&amp;COUNT((FIND("-",_xlfn.ANCHORARRAY($B$51))&gt;0)*1)+51),4,FALSE)/100,"na")</f>
        <v>na</v>
      </c>
      <c r="N122" s="8" t="str" cm="1">
        <f t="array" aca="1" ref="N122" ca="1">+IFERROR(IF(N103&lt;&gt;"na",N103-VLOOKUP($B122&amp;"-"&amp;$B124,INDIRECT("V51:Y"&amp;COUNT((FIND("-",_xlfn.ANCHORARRAY($B$51))&gt;0)*1)+51),4,FALSE)/100,N124-VLOOKUP($B122&amp;"-"&amp;$B124,INDIRECT("V51:Y"&amp;COUNT((FIND("-",_xlfn.ANCHORARRAY($B$51))&gt;0)*1)+51),4,FALSE)/100),"na")</f>
        <v>na</v>
      </c>
      <c r="O122" s="8" t="str" cm="1">
        <f t="array" aca="1" ref="O122" ca="1">+IFERROR(IF(O103&lt;&gt;"na",O103-VLOOKUP($B122&amp;"-"&amp;$B124,INDIRECT("V51:Y"&amp;COUNT((FIND("-",_xlfn.ANCHORARRAY($B$51))&gt;0)*1)+51),4,FALSE)/100,O124-VLOOKUP($B122&amp;"-"&amp;$B124,INDIRECT("V51:Y"&amp;COUNT((FIND("-",_xlfn.ANCHORARRAY($B$51))&gt;0)*1)+51),4,FALSE)/100),"na")</f>
        <v>na</v>
      </c>
      <c r="P122" s="8" t="str" cm="1">
        <f t="array" aca="1" ref="P122" ca="1">+IFERROR(IF(P103&lt;&gt;"na",P103-VLOOKUP($B122&amp;"-"&amp;$B124,INDIRECT("V51:Y"&amp;COUNT((FIND("-",_xlfn.ANCHORARRAY($B$51))&gt;0)*1)+51),4,FALSE)/100,P124-VLOOKUP($B122&amp;"-"&amp;$B124,INDIRECT("V51:Y"&amp;COUNT((FIND("-",_xlfn.ANCHORARRAY($B$51))&gt;0)*1)+51),4,FALSE)/100),"na")</f>
        <v>na</v>
      </c>
      <c r="Q122" s="8" t="str" cm="1">
        <f t="array" aca="1" ref="Q122" ca="1">+IFERROR(IF(Q103&lt;&gt;"na",Q103-VLOOKUP($B122&amp;"-"&amp;$B124,INDIRECT("V51:Y"&amp;COUNT((FIND("-",_xlfn.ANCHORARRAY($B$51))&gt;0)*1)+51),4,FALSE)/100,Q124-VLOOKUP($B122&amp;"-"&amp;$B124,INDIRECT("V51:Y"&amp;COUNT((FIND("-",_xlfn.ANCHORARRAY($B$51))&gt;0)*1)+51),4,FALSE)/100),"na")</f>
        <v>na</v>
      </c>
      <c r="R122" s="8" t="str">
        <f t="shared" ca="1" si="98"/>
        <v/>
      </c>
      <c r="S122" s="154"/>
      <c r="T122" s="154"/>
      <c r="U122" s="154"/>
      <c r="V122" s="154"/>
      <c r="W122" s="154"/>
      <c r="X122" s="154"/>
    </row>
    <row r="123" spans="2:54">
      <c r="B123" s="8"/>
      <c r="C123" s="8" t="str" cm="1">
        <f t="array" aca="1" ref="C123" ca="1">+IFERROR(IF(C100&lt;&gt;"na",C100+VLOOKUP($B121&amp;"-"&amp;$B123,INDIRECT("V51:Y"&amp;COUNT((FIND("-",_xlfn.ANCHORARRAY($B$51))&gt;0)*1)+51),3,FALSE)/100,C121+VLOOKUP($B121&amp;"-"&amp;$B123,INDIRECT("V51:Y"&amp;COUNT((FIND("-",_xlfn.ANCHORARRAY($B$51))&gt;0)*1)+51),3,FALSE)/100),"na")</f>
        <v>na</v>
      </c>
      <c r="D123" s="8" t="str" cm="1">
        <f t="array" aca="1" ref="D123" ca="1">+IFERROR(IF(D100&lt;&gt;"na",D100+VLOOKUP($B121&amp;"-"&amp;$B123,INDIRECT("V51:Y"&amp;COUNT((FIND("-",_xlfn.ANCHORARRAY($B$51))&gt;0)*1)+51),3,FALSE)/100,D121+VLOOKUP($B121&amp;"-"&amp;$B123,INDIRECT("V51:Y"&amp;COUNT((FIND("-",_xlfn.ANCHORARRAY($B$51))&gt;0)*1)+51),3,FALSE)/100),"na")</f>
        <v>na</v>
      </c>
      <c r="E123" s="8" t="str" cm="1">
        <f t="array" aca="1" ref="E123" ca="1">+IFERROR(IF(E100&lt;&gt;"na",E100+VLOOKUP($B121&amp;"-"&amp;$B123,INDIRECT("V51:Y"&amp;COUNT((FIND("-",_xlfn.ANCHORARRAY($B$51))&gt;0)*1)+51),3,FALSE)/100,E121+VLOOKUP($B121&amp;"-"&amp;$B123,INDIRECT("V51:Y"&amp;COUNT((FIND("-",_xlfn.ANCHORARRAY($B$51))&gt;0)*1)+51),3,FALSE)/100),"na")</f>
        <v>na</v>
      </c>
      <c r="F123" s="8" t="str" cm="1">
        <f t="array" aca="1" ref="F123" ca="1">+IFERROR(IF(F100&lt;&gt;"na",F100+VLOOKUP($B121&amp;"-"&amp;$B123,INDIRECT("V51:Y"&amp;COUNT((FIND("-",_xlfn.ANCHORARRAY($B$51))&gt;0)*1)+51),3,FALSE)/100,F121+VLOOKUP($B121&amp;"-"&amp;$B123,INDIRECT("V51:Y"&amp;COUNT((FIND("-",_xlfn.ANCHORARRAY($B$51))&gt;0)*1)+51),3,FALSE)/100),"na")</f>
        <v>na</v>
      </c>
      <c r="G123" s="8" t="str" cm="1">
        <f t="array" aca="1" ref="G123" ca="1">+IFERROR(IF(G100&lt;&gt;"na",G100+VLOOKUP($B121&amp;"-"&amp;$B123,INDIRECT("V51:Y"&amp;COUNT((FIND("-",_xlfn.ANCHORARRAY($B$51))&gt;0)*1)+51),3,FALSE)/100,G121+VLOOKUP($B121&amp;"-"&amp;$B123,INDIRECT("V51:Y"&amp;COUNT((FIND("-",_xlfn.ANCHORARRAY($B$51))&gt;0)*1)+51),3,FALSE)/100),"na")</f>
        <v>na</v>
      </c>
      <c r="H123" s="8" t="str" cm="1">
        <f t="array" aca="1" ref="H123" ca="1">+IFERROR(IF(H100&lt;&gt;"na",H100+VLOOKUP($B121&amp;"-"&amp;$B123,INDIRECT("V51:Y"&amp;COUNT((FIND("-",_xlfn.ANCHORARRAY($B$51))&gt;0)*1)+51),3,FALSE)/100,H121+VLOOKUP($B121&amp;"-"&amp;$B123,INDIRECT("V51:Y"&amp;COUNT((FIND("-",_xlfn.ANCHORARRAY($B$51))&gt;0)*1)+51),3,FALSE)/100),"na")</f>
        <v>na</v>
      </c>
      <c r="I123" s="8" t="str" cm="1">
        <f t="array" aca="1" ref="I123" ca="1">+IFERROR(IF(I100&lt;&gt;"na",I100+VLOOKUP($B121&amp;"-"&amp;$B123,INDIRECT("V51:Y"&amp;COUNT((FIND("-",_xlfn.ANCHORARRAY($B$51))&gt;0)*1)+51),3,FALSE)/100,I121+VLOOKUP($B121&amp;"-"&amp;$B123,INDIRECT("V51:Y"&amp;COUNT((FIND("-",_xlfn.ANCHORARRAY($B$51))&gt;0)*1)+51),3,FALSE)/100),"na")</f>
        <v>na</v>
      </c>
      <c r="J123" s="8" t="str" cm="1">
        <f t="array" aca="1" ref="J123" ca="1">+IFERROR(IF(J100&lt;&gt;"na",J100+VLOOKUP($B121&amp;"-"&amp;$B123,INDIRECT("V51:Y"&amp;COUNT((FIND("-",_xlfn.ANCHORARRAY($B$51))&gt;0)*1)+51),3,FALSE)/100,J121+VLOOKUP($B121&amp;"-"&amp;$B123,INDIRECT("V51:Y"&amp;COUNT((FIND("-",_xlfn.ANCHORARRAY($B$51))&gt;0)*1)+51),3,FALSE)/100),"na")</f>
        <v>na</v>
      </c>
      <c r="K123" s="8" t="str" cm="1">
        <f t="array" aca="1" ref="K123" ca="1">+IFERROR(IF(K100&lt;&gt;"na",K100+VLOOKUP($B121&amp;"-"&amp;$B123,INDIRECT("V51:Y"&amp;COUNT((FIND("-",_xlfn.ANCHORARRAY($B$51))&gt;0)*1)+51),3,FALSE)/100,K121+VLOOKUP($B121&amp;"-"&amp;$B123,INDIRECT("V51:Y"&amp;COUNT((FIND("-",_xlfn.ANCHORARRAY($B$51))&gt;0)*1)+51),3,FALSE)/100),"na")</f>
        <v>na</v>
      </c>
      <c r="L123" s="8" t="str" cm="1">
        <f t="array" aca="1" ref="L123" ca="1">+IFERROR(L100+VLOOKUP($B121&amp;"-"&amp;$B123,INDIRECT("V51:Y"&amp;COUNT((FIND("-",_xlfn.ANCHORARRAY($B$51))&gt;0)*1)+51),3,FALSE)/100,"na")</f>
        <v>na</v>
      </c>
      <c r="M123" s="8" t="str">
        <f ca="1">+IFERROR(VALUE(VLOOKUP(M$91,INDIRECT("V28:Y"&amp;COUNT(_xlfn.ANCHORARRAY($B$92))+28),3,FALSE)),"na")</f>
        <v>na</v>
      </c>
      <c r="N123" s="8" t="str" cm="1">
        <f t="array" aca="1" ref="N123" ca="1">+IFERROR(N104-VLOOKUP($B123&amp;"-"&amp;$B125,INDIRECT("V51:Y"&amp;COUNT((FIND("-",_xlfn.ANCHORARRAY($B$51))&gt;0)*1)+51),4,FALSE)/100,"na")</f>
        <v>na</v>
      </c>
      <c r="O123" s="8" t="str" cm="1">
        <f t="array" aca="1" ref="O123" ca="1">+IFERROR(IF(O104&lt;&gt;"na",O104-VLOOKUP($B123&amp;"-"&amp;$B125,INDIRECT("V51:Y"&amp;COUNT((FIND("-",_xlfn.ANCHORARRAY($B$51))&gt;0)*1)+51),4,FALSE)/100,O125-VLOOKUP($B123&amp;"-"&amp;$B125,INDIRECT("V51:Y"&amp;COUNT((FIND("-",_xlfn.ANCHORARRAY($B$51))&gt;0)*1)+51),4,FALSE)/100),"na")</f>
        <v>na</v>
      </c>
      <c r="P123" s="8" t="str" cm="1">
        <f t="array" aca="1" ref="P123" ca="1">+IFERROR(IF(P104&lt;&gt;"na",P104-VLOOKUP($B123&amp;"-"&amp;$B125,INDIRECT("V51:Y"&amp;COUNT((FIND("-",_xlfn.ANCHORARRAY($B$51))&gt;0)*1)+51),4,FALSE)/100,P125-VLOOKUP($B123&amp;"-"&amp;$B125,INDIRECT("V51:Y"&amp;COUNT((FIND("-",_xlfn.ANCHORARRAY($B$51))&gt;0)*1)+51),4,FALSE)/100),"na")</f>
        <v>na</v>
      </c>
      <c r="Q123" s="8" t="str" cm="1">
        <f t="array" aca="1" ref="Q123" ca="1">+IFERROR(IF(Q104&lt;&gt;"na",Q104-VLOOKUP($B123&amp;"-"&amp;$B125,INDIRECT("V51:Y"&amp;COUNT((FIND("-",_xlfn.ANCHORARRAY($B$51))&gt;0)*1)+51),4,FALSE)/100,Q125-VLOOKUP($B123&amp;"-"&amp;$B125,INDIRECT("V51:Y"&amp;COUNT((FIND("-",_xlfn.ANCHORARRAY($B$51))&gt;0)*1)+51),4,FALSE)/100),"na")</f>
        <v>na</v>
      </c>
      <c r="R123" s="8" t="str">
        <f t="shared" ca="1" si="98"/>
        <v/>
      </c>
    </row>
    <row r="124" spans="2:54">
      <c r="B124" s="8"/>
      <c r="C124" s="8" t="str" cm="1">
        <f t="array" aca="1" ref="C124" ca="1">+IFERROR(IF(C101&lt;&gt;"na",C101+VLOOKUP($B122&amp;"-"&amp;$B124,INDIRECT("V51:Y"&amp;COUNT((FIND("-",_xlfn.ANCHORARRAY($B$51))&gt;0)*1)+51),3,FALSE)/100,C122+VLOOKUP($B122&amp;"-"&amp;$B124,INDIRECT("V51:Y"&amp;COUNT((FIND("-",_xlfn.ANCHORARRAY($B$51))&gt;0)*1)+51),3,FALSE)/100),"na")</f>
        <v>na</v>
      </c>
      <c r="D124" s="8" t="str" cm="1">
        <f t="array" aca="1" ref="D124" ca="1">+IFERROR(IF(D101&lt;&gt;"na",D101+VLOOKUP($B122&amp;"-"&amp;$B124,INDIRECT("V51:Y"&amp;COUNT((FIND("-",_xlfn.ANCHORARRAY($B$51))&gt;0)*1)+51),3,FALSE)/100,D122+VLOOKUP($B122&amp;"-"&amp;$B124,INDIRECT("V51:Y"&amp;COUNT((FIND("-",_xlfn.ANCHORARRAY($B$51))&gt;0)*1)+51),3,FALSE)/100),"na")</f>
        <v>na</v>
      </c>
      <c r="E124" s="8" t="str" cm="1">
        <f t="array" aca="1" ref="E124" ca="1">+IFERROR(IF(E101&lt;&gt;"na",E101+VLOOKUP($B122&amp;"-"&amp;$B124,INDIRECT("V51:Y"&amp;COUNT((FIND("-",_xlfn.ANCHORARRAY($B$51))&gt;0)*1)+51),3,FALSE)/100,E122+VLOOKUP($B122&amp;"-"&amp;$B124,INDIRECT("V51:Y"&amp;COUNT((FIND("-",_xlfn.ANCHORARRAY($B$51))&gt;0)*1)+51),3,FALSE)/100),"na")</f>
        <v>na</v>
      </c>
      <c r="F124" s="8" t="str" cm="1">
        <f t="array" aca="1" ref="F124" ca="1">+IFERROR(IF(F101&lt;&gt;"na",F101+VLOOKUP($B122&amp;"-"&amp;$B124,INDIRECT("V51:Y"&amp;COUNT((FIND("-",_xlfn.ANCHORARRAY($B$51))&gt;0)*1)+51),3,FALSE)/100,F122+VLOOKUP($B122&amp;"-"&amp;$B124,INDIRECT("V51:Y"&amp;COUNT((FIND("-",_xlfn.ANCHORARRAY($B$51))&gt;0)*1)+51),3,FALSE)/100),"na")</f>
        <v>na</v>
      </c>
      <c r="G124" s="8" t="str" cm="1">
        <f t="array" aca="1" ref="G124" ca="1">+IFERROR(IF(G101&lt;&gt;"na",G101+VLOOKUP($B122&amp;"-"&amp;$B124,INDIRECT("V51:Y"&amp;COUNT((FIND("-",_xlfn.ANCHORARRAY($B$51))&gt;0)*1)+51),3,FALSE)/100,G122+VLOOKUP($B122&amp;"-"&amp;$B124,INDIRECT("V51:Y"&amp;COUNT((FIND("-",_xlfn.ANCHORARRAY($B$51))&gt;0)*1)+51),3,FALSE)/100),"na")</f>
        <v>na</v>
      </c>
      <c r="H124" s="8" t="str" cm="1">
        <f t="array" aca="1" ref="H124" ca="1">+IFERROR(IF(H101&lt;&gt;"na",H101+VLOOKUP($B122&amp;"-"&amp;$B124,INDIRECT("V51:Y"&amp;COUNT((FIND("-",_xlfn.ANCHORARRAY($B$51))&gt;0)*1)+51),3,FALSE)/100,H122+VLOOKUP($B122&amp;"-"&amp;$B124,INDIRECT("V51:Y"&amp;COUNT((FIND("-",_xlfn.ANCHORARRAY($B$51))&gt;0)*1)+51),3,FALSE)/100),"na")</f>
        <v>na</v>
      </c>
      <c r="I124" s="8" t="str" cm="1">
        <f t="array" aca="1" ref="I124" ca="1">+IFERROR(IF(I101&lt;&gt;"na",I101+VLOOKUP($B122&amp;"-"&amp;$B124,INDIRECT("V51:Y"&amp;COUNT((FIND("-",_xlfn.ANCHORARRAY($B$51))&gt;0)*1)+51),3,FALSE)/100,I122+VLOOKUP($B122&amp;"-"&amp;$B124,INDIRECT("V51:Y"&amp;COUNT((FIND("-",_xlfn.ANCHORARRAY($B$51))&gt;0)*1)+51),3,FALSE)/100),"na")</f>
        <v>na</v>
      </c>
      <c r="J124" s="8" t="str" cm="1">
        <f t="array" aca="1" ref="J124" ca="1">+IFERROR(IF(J101&lt;&gt;"na",J101+VLOOKUP($B122&amp;"-"&amp;$B124,INDIRECT("V51:Y"&amp;COUNT((FIND("-",_xlfn.ANCHORARRAY($B$51))&gt;0)*1)+51),3,FALSE)/100,J122+VLOOKUP($B122&amp;"-"&amp;$B124,INDIRECT("V51:Y"&amp;COUNT((FIND("-",_xlfn.ANCHORARRAY($B$51))&gt;0)*1)+51),3,FALSE)/100),"na")</f>
        <v>na</v>
      </c>
      <c r="K124" s="8" t="str" cm="1">
        <f t="array" aca="1" ref="K124" ca="1">+IFERROR(IF(K101&lt;&gt;"na",K101+VLOOKUP($B122&amp;"-"&amp;$B124,INDIRECT("V51:Y"&amp;COUNT((FIND("-",_xlfn.ANCHORARRAY($B$51))&gt;0)*1)+51),3,FALSE)/100,K122+VLOOKUP($B122&amp;"-"&amp;$B124,INDIRECT("V51:Y"&amp;COUNT((FIND("-",_xlfn.ANCHORARRAY($B$51))&gt;0)*1)+51),3,FALSE)/100),"na")</f>
        <v>na</v>
      </c>
      <c r="L124" s="8" t="str" cm="1">
        <f t="array" aca="1" ref="L124" ca="1">+IFERROR(IF(L101&lt;&gt;"na",L101+VLOOKUP($B122&amp;"-"&amp;$B124,INDIRECT("V51:Y"&amp;COUNT((FIND("-",_xlfn.ANCHORARRAY($B$51))&gt;0)*1)+51),3,FALSE)/100,L122+VLOOKUP($B122&amp;"-"&amp;$B124,INDIRECT("V51:Y"&amp;COUNT((FIND("-",_xlfn.ANCHORARRAY($B$51))&gt;0)*1)+51),3,FALSE)/100),"na")</f>
        <v>na</v>
      </c>
      <c r="M124" s="8" t="str" cm="1">
        <f t="array" aca="1" ref="M124" ca="1">+IFERROR(M101+VLOOKUP($B122&amp;"-"&amp;$B124,INDIRECT("V51:Y"&amp;COUNT((FIND("-",_xlfn.ANCHORARRAY($B$51))&gt;0)*1)+51),3,FALSE)/100,"na")</f>
        <v>na</v>
      </c>
      <c r="N124" s="8" t="str">
        <f ca="1">+IFERROR(VALUE(VLOOKUP(N$91,INDIRECT("V28:Y"&amp;COUNT(_xlfn.ANCHORARRAY($B$92))+28),3,FALSE)),"na")</f>
        <v>na</v>
      </c>
      <c r="O124" s="8" t="str" cm="1">
        <f t="array" aca="1" ref="O124" ca="1">+IFERROR(O105-VLOOKUP($B124&amp;"-"&amp;$B126,INDIRECT("V51:Y"&amp;COUNT((FIND("-",_xlfn.ANCHORARRAY($B$51))&gt;0)*1)+51),4,FALSE)/100,"na")</f>
        <v>na</v>
      </c>
      <c r="P124" s="8" t="str" cm="1">
        <f t="array" aca="1" ref="P124" ca="1">+IFERROR(IF(P105&lt;&gt;"na",P105-VLOOKUP($B124&amp;"-"&amp;$B126,INDIRECT("V51:Y"&amp;COUNT((FIND("-",_xlfn.ANCHORARRAY($B$51))&gt;0)*1)+51),4,FALSE)/100,P126-VLOOKUP($B124&amp;"-"&amp;$B126,INDIRECT("V51:Y"&amp;COUNT((FIND("-",_xlfn.ANCHORARRAY($B$51))&gt;0)*1)+51),4,FALSE)/100),"na")</f>
        <v>na</v>
      </c>
      <c r="Q124" s="8" t="str" cm="1">
        <f t="array" aca="1" ref="Q124" ca="1">+IFERROR(IF(Q105&lt;&gt;"na",Q105-VLOOKUP($B124&amp;"-"&amp;$B126,INDIRECT("V51:Y"&amp;COUNT((FIND("-",_xlfn.ANCHORARRAY($B$51))&gt;0)*1)+51),4,FALSE)/100,Q126-VLOOKUP($B124&amp;"-"&amp;$B126,INDIRECT("V51:Y"&amp;COUNT((FIND("-",_xlfn.ANCHORARRAY($B$51))&gt;0)*1)+51),4,FALSE)/100),"na")</f>
        <v>na</v>
      </c>
      <c r="R124" s="8" t="str">
        <f t="shared" ca="1" si="98"/>
        <v/>
      </c>
    </row>
    <row r="125" spans="2:54">
      <c r="B125" s="8"/>
      <c r="C125" s="8" t="str" cm="1">
        <f t="array" aca="1" ref="C125" ca="1">+IFERROR(IF(C102&lt;&gt;"na",C102+VLOOKUP($B123&amp;"-"&amp;$B125,INDIRECT("V51:Y"&amp;COUNT((FIND("-",_xlfn.ANCHORARRAY($B$51))&gt;0)*1)+51),3,FALSE)/100,C123+VLOOKUP($B123&amp;"-"&amp;$B125,INDIRECT("V51:Y"&amp;COUNT((FIND("-",_xlfn.ANCHORARRAY($B$51))&gt;0)*1)+51),3,FALSE)/100),"na")</f>
        <v>na</v>
      </c>
      <c r="D125" s="8" t="str" cm="1">
        <f t="array" aca="1" ref="D125" ca="1">+IFERROR(IF(D102&lt;&gt;"na",D102+VLOOKUP($B123&amp;"-"&amp;$B125,INDIRECT("V51:Y"&amp;COUNT((FIND("-",_xlfn.ANCHORARRAY($B$51))&gt;0)*1)+51),3,FALSE)/100,D123+VLOOKUP($B123&amp;"-"&amp;$B125,INDIRECT("V51:Y"&amp;COUNT((FIND("-",_xlfn.ANCHORARRAY($B$51))&gt;0)*1)+51),3,FALSE)/100),"na")</f>
        <v>na</v>
      </c>
      <c r="E125" s="8" t="str" cm="1">
        <f t="array" aca="1" ref="E125" ca="1">+IFERROR(IF(E102&lt;&gt;"na",E102+VLOOKUP($B123&amp;"-"&amp;$B125,INDIRECT("V51:Y"&amp;COUNT((FIND("-",_xlfn.ANCHORARRAY($B$51))&gt;0)*1)+51),3,FALSE)/100,E123+VLOOKUP($B123&amp;"-"&amp;$B125,INDIRECT("V51:Y"&amp;COUNT((FIND("-",_xlfn.ANCHORARRAY($B$51))&gt;0)*1)+51),3,FALSE)/100),"na")</f>
        <v>na</v>
      </c>
      <c r="F125" s="8" t="str" cm="1">
        <f t="array" aca="1" ref="F125" ca="1">+IFERROR(IF(F102&lt;&gt;"na",F102+VLOOKUP($B123&amp;"-"&amp;$B125,INDIRECT("V51:Y"&amp;COUNT((FIND("-",_xlfn.ANCHORARRAY($B$51))&gt;0)*1)+51),3,FALSE)/100,F123+VLOOKUP($B123&amp;"-"&amp;$B125,INDIRECT("V51:Y"&amp;COUNT((FIND("-",_xlfn.ANCHORARRAY($B$51))&gt;0)*1)+51),3,FALSE)/100),"na")</f>
        <v>na</v>
      </c>
      <c r="G125" s="8" t="str" cm="1">
        <f t="array" aca="1" ref="G125" ca="1">+IFERROR(IF(G102&lt;&gt;"na",G102+VLOOKUP($B123&amp;"-"&amp;$B125,INDIRECT("V51:Y"&amp;COUNT((FIND("-",_xlfn.ANCHORARRAY($B$51))&gt;0)*1)+51),3,FALSE)/100,G123+VLOOKUP($B123&amp;"-"&amp;$B125,INDIRECT("V51:Y"&amp;COUNT((FIND("-",_xlfn.ANCHORARRAY($B$51))&gt;0)*1)+51),3,FALSE)/100),"na")</f>
        <v>na</v>
      </c>
      <c r="H125" s="8" t="str" cm="1">
        <f t="array" aca="1" ref="H125" ca="1">+IFERROR(IF(H102&lt;&gt;"na",H102+VLOOKUP($B123&amp;"-"&amp;$B125,INDIRECT("V51:Y"&amp;COUNT((FIND("-",_xlfn.ANCHORARRAY($B$51))&gt;0)*1)+51),3,FALSE)/100,H123+VLOOKUP($B123&amp;"-"&amp;$B125,INDIRECT("V51:Y"&amp;COUNT((FIND("-",_xlfn.ANCHORARRAY($B$51))&gt;0)*1)+51),3,FALSE)/100),"na")</f>
        <v>na</v>
      </c>
      <c r="I125" s="8" t="str" cm="1">
        <f t="array" aca="1" ref="I125" ca="1">+IFERROR(IF(I102&lt;&gt;"na",I102+VLOOKUP($B123&amp;"-"&amp;$B125,INDIRECT("V51:Y"&amp;COUNT((FIND("-",_xlfn.ANCHORARRAY($B$51))&gt;0)*1)+51),3,FALSE)/100,I123+VLOOKUP($B123&amp;"-"&amp;$B125,INDIRECT("V51:Y"&amp;COUNT((FIND("-",_xlfn.ANCHORARRAY($B$51))&gt;0)*1)+51),3,FALSE)/100),"na")</f>
        <v>na</v>
      </c>
      <c r="J125" s="8" t="str" cm="1">
        <f t="array" aca="1" ref="J125" ca="1">+IFERROR(IF(J102&lt;&gt;"na",J102+VLOOKUP($B123&amp;"-"&amp;$B125,INDIRECT("V51:Y"&amp;COUNT((FIND("-",_xlfn.ANCHORARRAY($B$51))&gt;0)*1)+51),3,FALSE)/100,J123+VLOOKUP($B123&amp;"-"&amp;$B125,INDIRECT("V51:Y"&amp;COUNT((FIND("-",_xlfn.ANCHORARRAY($B$51))&gt;0)*1)+51),3,FALSE)/100),"na")</f>
        <v>na</v>
      </c>
      <c r="K125" s="8" t="str" cm="1">
        <f t="array" aca="1" ref="K125" ca="1">+IFERROR(IF(K102&lt;&gt;"na",K102+VLOOKUP($B123&amp;"-"&amp;$B125,INDIRECT("V51:Y"&amp;COUNT((FIND("-",_xlfn.ANCHORARRAY($B$51))&gt;0)*1)+51),3,FALSE)/100,K123+VLOOKUP($B123&amp;"-"&amp;$B125,INDIRECT("V51:Y"&amp;COUNT((FIND("-",_xlfn.ANCHORARRAY($B$51))&gt;0)*1)+51),3,FALSE)/100),"na")</f>
        <v>na</v>
      </c>
      <c r="L125" s="8" t="str" cm="1">
        <f t="array" aca="1" ref="L125" ca="1">+IFERROR(IF(L102&lt;&gt;"na",L102+VLOOKUP($B123&amp;"-"&amp;$B125,INDIRECT("V51:Y"&amp;COUNT((FIND("-",_xlfn.ANCHORARRAY($B$51))&gt;0)*1)+51),3,FALSE)/100,L123+VLOOKUP($B123&amp;"-"&amp;$B125,INDIRECT("V51:Y"&amp;COUNT((FIND("-",_xlfn.ANCHORARRAY($B$51))&gt;0)*1)+51),3,FALSE)/100),"na")</f>
        <v>na</v>
      </c>
      <c r="M125" s="8" t="str" cm="1">
        <f t="array" aca="1" ref="M125" ca="1">+IFERROR(IF(M102&lt;&gt;"na",M102+VLOOKUP($B123&amp;"-"&amp;$B125,INDIRECT("V51:Y"&amp;COUNT((FIND("-",_xlfn.ANCHORARRAY($B$51))&gt;0)*1)+51),3,FALSE)/100,M123+VLOOKUP($B123&amp;"-"&amp;$B125,INDIRECT("V51:Y"&amp;COUNT((FIND("-",_xlfn.ANCHORARRAY($B$51))&gt;0)*1)+51),3,FALSE)/100),"na")</f>
        <v>na</v>
      </c>
      <c r="N125" s="8" t="str" cm="1">
        <f t="array" aca="1" ref="N125" ca="1">+IFERROR(N102+VLOOKUP($B123&amp;"-"&amp;$B125,INDIRECT("V51:Y"&amp;COUNT((FIND("-",_xlfn.ANCHORARRAY($B$51))&gt;0)*1)+51),3,FALSE)/100,"na")</f>
        <v>na</v>
      </c>
      <c r="O125" s="8" t="str">
        <f ca="1">+IFERROR(VALUE(VLOOKUP(O$91,INDIRECT("V28:Y"&amp;COUNT(_xlfn.ANCHORARRAY($B$92))+28),3,FALSE)),"na")</f>
        <v>na</v>
      </c>
      <c r="P125" s="8" t="str" cm="1">
        <f t="array" aca="1" ref="P125" ca="1">+IFERROR(P106-VLOOKUP($B125&amp;"-"&amp;$B127,INDIRECT("V51:Y"&amp;COUNT((FIND("-",_xlfn.ANCHORARRAY($B$51))&gt;0)*1)+51),4,FALSE)/100,"na")</f>
        <v>na</v>
      </c>
      <c r="Q125" s="8" t="str" cm="1">
        <f t="array" aca="1" ref="Q125" ca="1">+IFERROR(IF(Q106&lt;&gt;"na",Q106-VLOOKUP($B125&amp;"-"&amp;$B127,INDIRECT("V51:Y"&amp;COUNT((FIND("-",_xlfn.ANCHORARRAY($B$51))&gt;0)*1)+51),4,FALSE)/100,Q127-VLOOKUP($B125&amp;"-"&amp;$B127,INDIRECT("V51:Y"&amp;COUNT((FIND("-",_xlfn.ANCHORARRAY($B$51))&gt;0)*1)+51),4,FALSE)/100),"na")</f>
        <v>na</v>
      </c>
      <c r="R125" s="8" t="str">
        <f t="shared" ca="1" si="98"/>
        <v/>
      </c>
    </row>
    <row r="126" spans="2:54">
      <c r="B126" s="8"/>
      <c r="C126" s="8" t="str" cm="1">
        <f t="array" aca="1" ref="C126" ca="1">+IFERROR(IF(C103&lt;&gt;"na",C103+VLOOKUP($B124&amp;"-"&amp;$B126,INDIRECT("V51:Y"&amp;COUNT((FIND("-",_xlfn.ANCHORARRAY($B$51))&gt;0)*1)+51),3,FALSE)/100,C124+VLOOKUP($B124&amp;"-"&amp;$B126,INDIRECT("V51:Y"&amp;COUNT((FIND("-",_xlfn.ANCHORARRAY($B$51))&gt;0)*1)+51),3,FALSE)/100),"na")</f>
        <v>na</v>
      </c>
      <c r="D126" s="8" t="str" cm="1">
        <f t="array" aca="1" ref="D126" ca="1">+IFERROR(IF(D103&lt;&gt;"na",D103+VLOOKUP($B124&amp;"-"&amp;$B126,INDIRECT("V51:Y"&amp;COUNT((FIND("-",_xlfn.ANCHORARRAY($B$51))&gt;0)*1)+51),3,FALSE)/100,D124+VLOOKUP($B124&amp;"-"&amp;$B126,INDIRECT("V51:Y"&amp;COUNT((FIND("-",_xlfn.ANCHORARRAY($B$51))&gt;0)*1)+51),3,FALSE)/100),"na")</f>
        <v>na</v>
      </c>
      <c r="E126" s="8" t="str" cm="1">
        <f t="array" aca="1" ref="E126" ca="1">+IFERROR(IF(E103&lt;&gt;"na",E103+VLOOKUP($B124&amp;"-"&amp;$B126,INDIRECT("V51:Y"&amp;COUNT((FIND("-",_xlfn.ANCHORARRAY($B$51))&gt;0)*1)+51),3,FALSE)/100,E124+VLOOKUP($B124&amp;"-"&amp;$B126,INDIRECT("V51:Y"&amp;COUNT((FIND("-",_xlfn.ANCHORARRAY($B$51))&gt;0)*1)+51),3,FALSE)/100),"na")</f>
        <v>na</v>
      </c>
      <c r="F126" s="8" t="str" cm="1">
        <f t="array" aca="1" ref="F126" ca="1">+IFERROR(IF(F103&lt;&gt;"na",F103+VLOOKUP($B124&amp;"-"&amp;$B126,INDIRECT("V51:Y"&amp;COUNT((FIND("-",_xlfn.ANCHORARRAY($B$51))&gt;0)*1)+51),3,FALSE)/100,F124+VLOOKUP($B124&amp;"-"&amp;$B126,INDIRECT("V51:Y"&amp;COUNT((FIND("-",_xlfn.ANCHORARRAY($B$51))&gt;0)*1)+51),3,FALSE)/100),"na")</f>
        <v>na</v>
      </c>
      <c r="G126" s="8" t="str" cm="1">
        <f t="array" aca="1" ref="G126" ca="1">+IFERROR(IF(G103&lt;&gt;"na",G103+VLOOKUP($B124&amp;"-"&amp;$B126,INDIRECT("V51:Y"&amp;COUNT((FIND("-",_xlfn.ANCHORARRAY($B$51))&gt;0)*1)+51),3,FALSE)/100,G124+VLOOKUP($B124&amp;"-"&amp;$B126,INDIRECT("V51:Y"&amp;COUNT((FIND("-",_xlfn.ANCHORARRAY($B$51))&gt;0)*1)+51),3,FALSE)/100),"na")</f>
        <v>na</v>
      </c>
      <c r="H126" s="8" t="str" cm="1">
        <f t="array" aca="1" ref="H126" ca="1">+IFERROR(IF(H103&lt;&gt;"na",H103+VLOOKUP($B124&amp;"-"&amp;$B126,INDIRECT("V51:Y"&amp;COUNT((FIND("-",_xlfn.ANCHORARRAY($B$51))&gt;0)*1)+51),3,FALSE)/100,H124+VLOOKUP($B124&amp;"-"&amp;$B126,INDIRECT("V51:Y"&amp;COUNT((FIND("-",_xlfn.ANCHORARRAY($B$51))&gt;0)*1)+51),3,FALSE)/100),"na")</f>
        <v>na</v>
      </c>
      <c r="I126" s="8" t="str" cm="1">
        <f t="array" aca="1" ref="I126" ca="1">+IFERROR(IF(I103&lt;&gt;"na",I103+VLOOKUP($B124&amp;"-"&amp;$B126,INDIRECT("V51:Y"&amp;COUNT((FIND("-",_xlfn.ANCHORARRAY($B$51))&gt;0)*1)+51),3,FALSE)/100,I124+VLOOKUP($B124&amp;"-"&amp;$B126,INDIRECT("V51:Y"&amp;COUNT((FIND("-",_xlfn.ANCHORARRAY($B$51))&gt;0)*1)+51),3,FALSE)/100),"na")</f>
        <v>na</v>
      </c>
      <c r="J126" s="8" t="str" cm="1">
        <f t="array" aca="1" ref="J126" ca="1">+IFERROR(IF(J103&lt;&gt;"na",J103+VLOOKUP($B124&amp;"-"&amp;$B126,INDIRECT("V51:Y"&amp;COUNT((FIND("-",_xlfn.ANCHORARRAY($B$51))&gt;0)*1)+51),3,FALSE)/100,J124+VLOOKUP($B124&amp;"-"&amp;$B126,INDIRECT("V51:Y"&amp;COUNT((FIND("-",_xlfn.ANCHORARRAY($B$51))&gt;0)*1)+51),3,FALSE)/100),"na")</f>
        <v>na</v>
      </c>
      <c r="K126" s="8" t="str" cm="1">
        <f t="array" aca="1" ref="K126" ca="1">+IFERROR(IF(K103&lt;&gt;"na",K103+VLOOKUP($B124&amp;"-"&amp;$B126,INDIRECT("V51:Y"&amp;COUNT((FIND("-",_xlfn.ANCHORARRAY($B$51))&gt;0)*1)+51),3,FALSE)/100,K124+VLOOKUP($B124&amp;"-"&amp;$B126,INDIRECT("V51:Y"&amp;COUNT((FIND("-",_xlfn.ANCHORARRAY($B$51))&gt;0)*1)+51),3,FALSE)/100),"na")</f>
        <v>na</v>
      </c>
      <c r="L126" s="8" t="str" cm="1">
        <f t="array" aca="1" ref="L126" ca="1">+IFERROR(IF(L103&lt;&gt;"na",L103+VLOOKUP($B124&amp;"-"&amp;$B126,INDIRECT("V51:Y"&amp;COUNT((FIND("-",_xlfn.ANCHORARRAY($B$51))&gt;0)*1)+51),3,FALSE)/100,L124+VLOOKUP($B124&amp;"-"&amp;$B126,INDIRECT("V51:Y"&amp;COUNT((FIND("-",_xlfn.ANCHORARRAY($B$51))&gt;0)*1)+51),3,FALSE)/100),"na")</f>
        <v>na</v>
      </c>
      <c r="M126" s="8" t="str" cm="1">
        <f t="array" aca="1" ref="M126" ca="1">+IFERROR(IF(M103&lt;&gt;"na",M103+VLOOKUP($B124&amp;"-"&amp;$B126,INDIRECT("V51:Y"&amp;COUNT((FIND("-",_xlfn.ANCHORARRAY($B$51))&gt;0)*1)+51),3,FALSE)/100,M124+VLOOKUP($B124&amp;"-"&amp;$B126,INDIRECT("V51:Y"&amp;COUNT((FIND("-",_xlfn.ANCHORARRAY($B$51))&gt;0)*1)+51),3,FALSE)/100),"na")</f>
        <v>na</v>
      </c>
      <c r="N126" s="8" t="str" cm="1">
        <f t="array" aca="1" ref="N126" ca="1">+IFERROR(IF(N103&lt;&gt;"na",N103+VLOOKUP($B124&amp;"-"&amp;$B126,INDIRECT("V51:Y"&amp;COUNT((FIND("-",_xlfn.ANCHORARRAY($B$51))&gt;0)*1)+51),3,FALSE)/100,N124+VLOOKUP($B124&amp;"-"&amp;$B126,INDIRECT("V51:Y"&amp;COUNT((FIND("-",_xlfn.ANCHORARRAY($B$51))&gt;0)*1)+51),3,FALSE)/100),"na")</f>
        <v>na</v>
      </c>
      <c r="O126" s="8" t="str" cm="1">
        <f t="array" aca="1" ref="O126" ca="1">+IFERROR(O103+VLOOKUP($B124&amp;"-"&amp;$B126,INDIRECT("V51:Y"&amp;COUNT((FIND("-",_xlfn.ANCHORARRAY($B$51))&gt;0)*1)+51),3,FALSE)/100,"na")</f>
        <v>na</v>
      </c>
      <c r="P126" s="8" t="str">
        <f ca="1">+IFERROR(VALUE(VLOOKUP(P$91,INDIRECT("V28:Y"&amp;COUNT(_xlfn.ANCHORARRAY($B$92))+28),3,FALSE)),"na")</f>
        <v>na</v>
      </c>
      <c r="Q126" s="8" t="str" cm="1">
        <f t="array" aca="1" ref="Q126" ca="1">+IFERROR(Q107-VLOOKUP($B126&amp;"-"&amp;$B128,INDIRECT("V51:Y"&amp;COUNT((FIND("-",_xlfn.ANCHORARRAY($B$51))&gt;0)*1)+51),4,FALSE)/100,"na")</f>
        <v>na</v>
      </c>
      <c r="R126" s="8" t="str">
        <f t="shared" ca="1" si="98"/>
        <v/>
      </c>
    </row>
    <row r="127" spans="2:54">
      <c r="B127" s="8"/>
      <c r="C127" s="8" t="str" cm="1">
        <f t="array" aca="1" ref="C127" ca="1">+IFERROR(IF(C104&lt;&gt;"na",C104+VLOOKUP($B125&amp;"-"&amp;$B127,INDIRECT("V51:Y"&amp;COUNT((FIND("-",_xlfn.ANCHORARRAY($B$51))&gt;0)*1)+51),3,FALSE)/100,C125+VLOOKUP($B125&amp;"-"&amp;$B127,INDIRECT("V51:Y"&amp;COUNT((FIND("-",_xlfn.ANCHORARRAY($B$51))&gt;0)*1)+51),3,FALSE)/100),"na")</f>
        <v>na</v>
      </c>
      <c r="D127" s="8" t="str" cm="1">
        <f t="array" aca="1" ref="D127" ca="1">+IFERROR(IF(D104&lt;&gt;"na",D104+VLOOKUP($B125&amp;"-"&amp;$B127,INDIRECT("V51:Y"&amp;COUNT((FIND("-",_xlfn.ANCHORARRAY($B$51))&gt;0)*1)+51),3,FALSE)/100,D125+VLOOKUP($B125&amp;"-"&amp;$B127,INDIRECT("V51:Y"&amp;COUNT((FIND("-",_xlfn.ANCHORARRAY($B$51))&gt;0)*1)+51),3,FALSE)/100),"na")</f>
        <v>na</v>
      </c>
      <c r="E127" s="8" t="str" cm="1">
        <f t="array" aca="1" ref="E127" ca="1">+IFERROR(IF(E104&lt;&gt;"na",E104+VLOOKUP($B125&amp;"-"&amp;$B127,INDIRECT("V51:Y"&amp;COUNT((FIND("-",_xlfn.ANCHORARRAY($B$51))&gt;0)*1)+51),3,FALSE)/100,E125+VLOOKUP($B125&amp;"-"&amp;$B127,INDIRECT("V51:Y"&amp;COUNT((FIND("-",_xlfn.ANCHORARRAY($B$51))&gt;0)*1)+51),3,FALSE)/100),"na")</f>
        <v>na</v>
      </c>
      <c r="F127" s="8" t="str" cm="1">
        <f t="array" aca="1" ref="F127" ca="1">+IFERROR(IF(F104&lt;&gt;"na",F104+VLOOKUP($B125&amp;"-"&amp;$B127,INDIRECT("V51:Y"&amp;COUNT((FIND("-",_xlfn.ANCHORARRAY($B$51))&gt;0)*1)+51),3,FALSE)/100,F125+VLOOKUP($B125&amp;"-"&amp;$B127,INDIRECT("V51:Y"&amp;COUNT((FIND("-",_xlfn.ANCHORARRAY($B$51))&gt;0)*1)+51),3,FALSE)/100),"na")</f>
        <v>na</v>
      </c>
      <c r="G127" s="8" t="str" cm="1">
        <f t="array" aca="1" ref="G127" ca="1">+IFERROR(IF(G104&lt;&gt;"na",G104+VLOOKUP($B125&amp;"-"&amp;$B127,INDIRECT("V51:Y"&amp;COUNT((FIND("-",_xlfn.ANCHORARRAY($B$51))&gt;0)*1)+51),3,FALSE)/100,G125+VLOOKUP($B125&amp;"-"&amp;$B127,INDIRECT("V51:Y"&amp;COUNT((FIND("-",_xlfn.ANCHORARRAY($B$51))&gt;0)*1)+51),3,FALSE)/100),"na")</f>
        <v>na</v>
      </c>
      <c r="H127" s="8" t="str" cm="1">
        <f t="array" aca="1" ref="H127" ca="1">+IFERROR(IF(H104&lt;&gt;"na",H104+VLOOKUP($B125&amp;"-"&amp;$B127,INDIRECT("V51:Y"&amp;COUNT((FIND("-",_xlfn.ANCHORARRAY($B$51))&gt;0)*1)+51),3,FALSE)/100,H125+VLOOKUP($B125&amp;"-"&amp;$B127,INDIRECT("V51:Y"&amp;COUNT((FIND("-",_xlfn.ANCHORARRAY($B$51))&gt;0)*1)+51),3,FALSE)/100),"na")</f>
        <v>na</v>
      </c>
      <c r="I127" s="8" t="str" cm="1">
        <f t="array" aca="1" ref="I127" ca="1">+IFERROR(IF(I104&lt;&gt;"na",I104+VLOOKUP($B125&amp;"-"&amp;$B127,INDIRECT("V51:Y"&amp;COUNT((FIND("-",_xlfn.ANCHORARRAY($B$51))&gt;0)*1)+51),3,FALSE)/100,I125+VLOOKUP($B125&amp;"-"&amp;$B127,INDIRECT("V51:Y"&amp;COUNT((FIND("-",_xlfn.ANCHORARRAY($B$51))&gt;0)*1)+51),3,FALSE)/100),"na")</f>
        <v>na</v>
      </c>
      <c r="J127" s="8" t="str" cm="1">
        <f t="array" aca="1" ref="J127" ca="1">+IFERROR(IF(J104&lt;&gt;"na",J104+VLOOKUP($B125&amp;"-"&amp;$B127,INDIRECT("V51:Y"&amp;COUNT((FIND("-",_xlfn.ANCHORARRAY($B$51))&gt;0)*1)+51),3,FALSE)/100,J125+VLOOKUP($B125&amp;"-"&amp;$B127,INDIRECT("V51:Y"&amp;COUNT((FIND("-",_xlfn.ANCHORARRAY($B$51))&gt;0)*1)+51),3,FALSE)/100),"na")</f>
        <v>na</v>
      </c>
      <c r="K127" s="8" t="str" cm="1">
        <f t="array" aca="1" ref="K127" ca="1">+IFERROR(IF(K104&lt;&gt;"na",K104+VLOOKUP($B125&amp;"-"&amp;$B127,INDIRECT("V51:Y"&amp;COUNT((FIND("-",_xlfn.ANCHORARRAY($B$51))&gt;0)*1)+51),3,FALSE)/100,K125+VLOOKUP($B125&amp;"-"&amp;$B127,INDIRECT("V51:Y"&amp;COUNT((FIND("-",_xlfn.ANCHORARRAY($B$51))&gt;0)*1)+51),3,FALSE)/100),"na")</f>
        <v>na</v>
      </c>
      <c r="L127" s="8" t="str" cm="1">
        <f t="array" aca="1" ref="L127" ca="1">+IFERROR(IF(L104&lt;&gt;"na",L104+VLOOKUP($B125&amp;"-"&amp;$B127,INDIRECT("V51:Y"&amp;COUNT((FIND("-",_xlfn.ANCHORARRAY($B$51))&gt;0)*1)+51),3,FALSE)/100,L125+VLOOKUP($B125&amp;"-"&amp;$B127,INDIRECT("V51:Y"&amp;COUNT((FIND("-",_xlfn.ANCHORARRAY($B$51))&gt;0)*1)+51),3,FALSE)/100),"na")</f>
        <v>na</v>
      </c>
      <c r="M127" s="8" t="str" cm="1">
        <f t="array" aca="1" ref="M127" ca="1">+IFERROR(IF(M104&lt;&gt;"na",M104+VLOOKUP($B125&amp;"-"&amp;$B127,INDIRECT("V51:Y"&amp;COUNT((FIND("-",_xlfn.ANCHORARRAY($B$51))&gt;0)*1)+51),3,FALSE)/100,M125+VLOOKUP($B125&amp;"-"&amp;$B127,INDIRECT("V51:Y"&amp;COUNT((FIND("-",_xlfn.ANCHORARRAY($B$51))&gt;0)*1)+51),3,FALSE)/100),"na")</f>
        <v>na</v>
      </c>
      <c r="N127" s="8" t="str" cm="1">
        <f t="array" aca="1" ref="N127" ca="1">+IFERROR(IF(N104&lt;&gt;"na",N104+VLOOKUP($B125&amp;"-"&amp;$B127,INDIRECT("V51:Y"&amp;COUNT((FIND("-",_xlfn.ANCHORARRAY($B$51))&gt;0)*1)+51),3,FALSE)/100,N125+VLOOKUP($B125&amp;"-"&amp;$B127,INDIRECT("V51:Y"&amp;COUNT((FIND("-",_xlfn.ANCHORARRAY($B$51))&gt;0)*1)+51),3,FALSE)/100),"na")</f>
        <v>na</v>
      </c>
      <c r="O127" s="8" t="str" cm="1">
        <f t="array" aca="1" ref="O127" ca="1">+IFERROR(IF(O104&lt;&gt;"na",O104+VLOOKUP($B125&amp;"-"&amp;$B127,INDIRECT("V51:Y"&amp;COUNT((FIND("-",_xlfn.ANCHORARRAY($B$51))&gt;0)*1)+51),3,FALSE)/100,O125+VLOOKUP($B125&amp;"-"&amp;$B127,INDIRECT("V51:Y"&amp;COUNT((FIND("-",_xlfn.ANCHORARRAY($B$51))&gt;0)*1)+51),3,FALSE)/100),"na")</f>
        <v>na</v>
      </c>
      <c r="P127" s="8" t="str" cm="1">
        <f t="array" aca="1" ref="P127" ca="1">+IFERROR(P104+VLOOKUP($B125&amp;"-"&amp;$B127,INDIRECT("V51:Y"&amp;COUNT((FIND("-",_xlfn.ANCHORARRAY($B$51))&gt;0)*1)+51),3,FALSE)/100,"na")</f>
        <v>na</v>
      </c>
      <c r="Q127" s="8" t="str">
        <f ca="1">+IFERROR(VALUE(VLOOKUP(Q$91,INDIRECT("V28:Y"&amp;COUNT(_xlfn.ANCHORARRAY($B$92))+28),3,FALSE)),"na")</f>
        <v>na</v>
      </c>
      <c r="R127" s="8" t="str">
        <f t="shared" ca="1" si="98"/>
        <v/>
      </c>
    </row>
    <row r="128" spans="2:54">
      <c r="B128" s="8"/>
      <c r="C128" s="8" t="str" cm="1">
        <f t="array" aca="1" ref="C128" ca="1">+IFERROR(IF(C105&lt;&gt;"na",C105+VLOOKUP($B126&amp;"-"&amp;$B128,INDIRECT("V51:Y"&amp;COUNT((FIND("-",_xlfn.ANCHORARRAY($B$51))&gt;0)*1)+51),3,FALSE)/100,C126+VLOOKUP($B126&amp;"-"&amp;$B128,INDIRECT("V51:Y"&amp;COUNT((FIND("-",_xlfn.ANCHORARRAY($B$51))&gt;0)*1)+51),3,FALSE)/100),"na")</f>
        <v>na</v>
      </c>
      <c r="D128" s="8" t="str" cm="1">
        <f t="array" aca="1" ref="D128" ca="1">+IFERROR(IF(D105&lt;&gt;"na",D105+VLOOKUP($B126&amp;"-"&amp;$B128,INDIRECT("V51:Y"&amp;COUNT((FIND("-",_xlfn.ANCHORARRAY($B$51))&gt;0)*1)+51),3,FALSE)/100,D126+VLOOKUP($B126&amp;"-"&amp;$B128,INDIRECT("V51:Y"&amp;COUNT((FIND("-",_xlfn.ANCHORARRAY($B$51))&gt;0)*1)+51),3,FALSE)/100),"na")</f>
        <v>na</v>
      </c>
      <c r="E128" s="8" t="str" cm="1">
        <f t="array" aca="1" ref="E128" ca="1">+IFERROR(IF(E105&lt;&gt;"na",E105+VLOOKUP($B126&amp;"-"&amp;$B128,INDIRECT("V51:Y"&amp;COUNT((FIND("-",_xlfn.ANCHORARRAY($B$51))&gt;0)*1)+51),3,FALSE)/100,E126+VLOOKUP($B126&amp;"-"&amp;$B128,INDIRECT("V51:Y"&amp;COUNT((FIND("-",_xlfn.ANCHORARRAY($B$51))&gt;0)*1)+51),3,FALSE)/100),"na")</f>
        <v>na</v>
      </c>
      <c r="F128" s="8" t="str" cm="1">
        <f t="array" aca="1" ref="F128" ca="1">+IFERROR(IF(F105&lt;&gt;"na",F105+VLOOKUP($B126&amp;"-"&amp;$B128,INDIRECT("V51:Y"&amp;COUNT((FIND("-",_xlfn.ANCHORARRAY($B$51))&gt;0)*1)+51),3,FALSE)/100,F126+VLOOKUP($B126&amp;"-"&amp;$B128,INDIRECT("V51:Y"&amp;COUNT((FIND("-",_xlfn.ANCHORARRAY($B$51))&gt;0)*1)+51),3,FALSE)/100),"na")</f>
        <v>na</v>
      </c>
      <c r="G128" s="8" t="str" cm="1">
        <f t="array" aca="1" ref="G128" ca="1">+IFERROR(IF(G105&lt;&gt;"na",G105+VLOOKUP($B126&amp;"-"&amp;$B128,INDIRECT("V51:Y"&amp;COUNT((FIND("-",_xlfn.ANCHORARRAY($B$51))&gt;0)*1)+51),3,FALSE)/100,G126+VLOOKUP($B126&amp;"-"&amp;$B128,INDIRECT("V51:Y"&amp;COUNT((FIND("-",_xlfn.ANCHORARRAY($B$51))&gt;0)*1)+51),3,FALSE)/100),"na")</f>
        <v>na</v>
      </c>
      <c r="H128" s="8" t="str" cm="1">
        <f t="array" aca="1" ref="H128" ca="1">+IFERROR(IF(H105&lt;&gt;"na",H105+VLOOKUP($B126&amp;"-"&amp;$B128,INDIRECT("V51:Y"&amp;COUNT((FIND("-",_xlfn.ANCHORARRAY($B$51))&gt;0)*1)+51),3,FALSE)/100,H126+VLOOKUP($B126&amp;"-"&amp;$B128,INDIRECT("V51:Y"&amp;COUNT((FIND("-",_xlfn.ANCHORARRAY($B$51))&gt;0)*1)+51),3,FALSE)/100),"na")</f>
        <v>na</v>
      </c>
      <c r="I128" s="8" t="str" cm="1">
        <f t="array" aca="1" ref="I128" ca="1">+IFERROR(IF(I105&lt;&gt;"na",I105+VLOOKUP($B126&amp;"-"&amp;$B128,INDIRECT("V51:Y"&amp;COUNT((FIND("-",_xlfn.ANCHORARRAY($B$51))&gt;0)*1)+51),3,FALSE)/100,I126+VLOOKUP($B126&amp;"-"&amp;$B128,INDIRECT("V51:Y"&amp;COUNT((FIND("-",_xlfn.ANCHORARRAY($B$51))&gt;0)*1)+51),3,FALSE)/100),"na")</f>
        <v>na</v>
      </c>
      <c r="J128" s="8" t="str" cm="1">
        <f t="array" aca="1" ref="J128" ca="1">+IFERROR(IF(J105&lt;&gt;"na",J105+VLOOKUP($B126&amp;"-"&amp;$B128,INDIRECT("V51:Y"&amp;COUNT((FIND("-",_xlfn.ANCHORARRAY($B$51))&gt;0)*1)+51),3,FALSE)/100,J126+VLOOKUP($B126&amp;"-"&amp;$B128,INDIRECT("V51:Y"&amp;COUNT((FIND("-",_xlfn.ANCHORARRAY($B$51))&gt;0)*1)+51),3,FALSE)/100),"na")</f>
        <v>na</v>
      </c>
      <c r="K128" s="8" t="str" cm="1">
        <f t="array" aca="1" ref="K128" ca="1">+IFERROR(IF(K105&lt;&gt;"na",K105+VLOOKUP($B126&amp;"-"&amp;$B128,INDIRECT("V51:Y"&amp;COUNT((FIND("-",_xlfn.ANCHORARRAY($B$51))&gt;0)*1)+51),3,FALSE)/100,K126+VLOOKUP($B126&amp;"-"&amp;$B128,INDIRECT("V51:Y"&amp;COUNT((FIND("-",_xlfn.ANCHORARRAY($B$51))&gt;0)*1)+51),3,FALSE)/100),"na")</f>
        <v>na</v>
      </c>
      <c r="L128" s="8" t="str" cm="1">
        <f t="array" aca="1" ref="L128" ca="1">+IFERROR(IF(L105&lt;&gt;"na",L105+VLOOKUP($B126&amp;"-"&amp;$B128,INDIRECT("V51:Y"&amp;COUNT((FIND("-",_xlfn.ANCHORARRAY($B$51))&gt;0)*1)+51),3,FALSE)/100,L126+VLOOKUP($B126&amp;"-"&amp;$B128,INDIRECT("V51:Y"&amp;COUNT((FIND("-",_xlfn.ANCHORARRAY($B$51))&gt;0)*1)+51),3,FALSE)/100),"na")</f>
        <v>na</v>
      </c>
      <c r="M128" s="8" t="str" cm="1">
        <f t="array" aca="1" ref="M128" ca="1">+IFERROR(IF(M105&lt;&gt;"na",M105+VLOOKUP($B126&amp;"-"&amp;$B128,INDIRECT("V51:Y"&amp;COUNT((FIND("-",_xlfn.ANCHORARRAY($B$51))&gt;0)*1)+51),3,FALSE)/100,M126+VLOOKUP($B126&amp;"-"&amp;$B128,INDIRECT("V51:Y"&amp;COUNT((FIND("-",_xlfn.ANCHORARRAY($B$51))&gt;0)*1)+51),3,FALSE)/100),"na")</f>
        <v>na</v>
      </c>
      <c r="N128" s="8" t="str" cm="1">
        <f t="array" aca="1" ref="N128" ca="1">+IFERROR(IF(N105&lt;&gt;"na",N105+VLOOKUP($B126&amp;"-"&amp;$B128,INDIRECT("V51:Y"&amp;COUNT((FIND("-",_xlfn.ANCHORARRAY($B$51))&gt;0)*1)+51),3,FALSE)/100,N126+VLOOKUP($B126&amp;"-"&amp;$B128,INDIRECT("V51:Y"&amp;COUNT((FIND("-",_xlfn.ANCHORARRAY($B$51))&gt;0)*1)+51),3,FALSE)/100),"na")</f>
        <v>na</v>
      </c>
      <c r="O128" s="8" t="str" cm="1">
        <f t="array" aca="1" ref="O128" ca="1">+IFERROR(IF(O105&lt;&gt;"na",O105+VLOOKUP($B126&amp;"-"&amp;$B128,INDIRECT("V51:Y"&amp;COUNT((FIND("-",_xlfn.ANCHORARRAY($B$51))&gt;0)*1)+51),3,FALSE)/100,O126+VLOOKUP($B126&amp;"-"&amp;$B128,INDIRECT("V51:Y"&amp;COUNT((FIND("-",_xlfn.ANCHORARRAY($B$51))&gt;0)*1)+51),3,FALSE)/100),"na")</f>
        <v>na</v>
      </c>
      <c r="P128" s="8" t="str" cm="1">
        <f t="array" aca="1" ref="P128" ca="1">+IFERROR(IF(P105&lt;&gt;"na",P105+VLOOKUP($B126&amp;"-"&amp;$B128,INDIRECT("V51:Y"&amp;COUNT((FIND("-",_xlfn.ANCHORARRAY($B$51))&gt;0)*1)+51),3,FALSE)/100,P126+VLOOKUP($B126&amp;"-"&amp;$B128,INDIRECT("V51:Y"&amp;COUNT((FIND("-",_xlfn.ANCHORARRAY($B$51))&gt;0)*1)+51),3,FALSE)/100),"na")</f>
        <v>na</v>
      </c>
      <c r="Q128" s="8" t="str" cm="1">
        <f t="array" aca="1" ref="Q128" ca="1">+IFERROR(Q105+VLOOKUP($B126&amp;"-"&amp;$B128,INDIRECT("V51:Y"&amp;COUNT((FIND("-",_xlfn.ANCHORARRAY($B$51))&gt;0)*1)+51),3,FALSE)/100,"na")</f>
        <v>na</v>
      </c>
      <c r="R128" s="8" t="str">
        <f t="shared" ca="1" si="98"/>
        <v/>
      </c>
    </row>
    <row r="129" spans="2:18">
      <c r="B129" s="8"/>
      <c r="C129" s="8" t="str" cm="1">
        <f t="array" aca="1" ref="C129" ca="1">+IFERROR(IF(C106&lt;&gt;"na",C106+VLOOKUP($B127&amp;"-"&amp;$B129,INDIRECT("V51:Y"&amp;COUNT((FIND("-",_xlfn.ANCHORARRAY($B$51))&gt;0)*1)+51),3,FALSE)/100,C127+VLOOKUP($B127&amp;"-"&amp;$B129,INDIRECT("V51:Y"&amp;COUNT((FIND("-",_xlfn.ANCHORARRAY($B$51))&gt;0)*1)+51),3,FALSE)/100),"na")</f>
        <v>na</v>
      </c>
      <c r="D129" s="8" t="str" cm="1">
        <f t="array" aca="1" ref="D129" ca="1">+IFERROR(IF(D106&lt;&gt;"na",D106+VLOOKUP($B127&amp;"-"&amp;$B129,INDIRECT("V51:Y"&amp;COUNT((FIND("-",_xlfn.ANCHORARRAY($B$51))&gt;0)*1)+51),3,FALSE)/100,D127+VLOOKUP($B127&amp;"-"&amp;$B129,INDIRECT("V51:Y"&amp;COUNT((FIND("-",_xlfn.ANCHORARRAY($B$51))&gt;0)*1)+51),3,FALSE)/100),"na")</f>
        <v>na</v>
      </c>
      <c r="E129" s="8" t="str" cm="1">
        <f t="array" aca="1" ref="E129" ca="1">+IFERROR(IF(E106&lt;&gt;"na",E106+VLOOKUP($B127&amp;"-"&amp;$B129,INDIRECT("V51:Y"&amp;COUNT((FIND("-",_xlfn.ANCHORARRAY($B$51))&gt;0)*1)+51),3,FALSE)/100,E127+VLOOKUP($B127&amp;"-"&amp;$B129,INDIRECT("V51:Y"&amp;COUNT((FIND("-",_xlfn.ANCHORARRAY($B$51))&gt;0)*1)+51),3,FALSE)/100),"na")</f>
        <v>na</v>
      </c>
      <c r="F129" s="8" t="str" cm="1">
        <f t="array" aca="1" ref="F129" ca="1">+IFERROR(IF(F106&lt;&gt;"na",F106+VLOOKUP($B127&amp;"-"&amp;$B129,INDIRECT("V51:Y"&amp;COUNT((FIND("-",_xlfn.ANCHORARRAY($B$51))&gt;0)*1)+51),3,FALSE)/100,F127+VLOOKUP($B127&amp;"-"&amp;$B129,INDIRECT("V51:Y"&amp;COUNT((FIND("-",_xlfn.ANCHORARRAY($B$51))&gt;0)*1)+51),3,FALSE)/100),"na")</f>
        <v>na</v>
      </c>
      <c r="G129" s="8" t="str" cm="1">
        <f t="array" aca="1" ref="G129" ca="1">+IFERROR(IF(G106&lt;&gt;"na",G106+VLOOKUP($B127&amp;"-"&amp;$B129,INDIRECT("V51:Y"&amp;COUNT((FIND("-",_xlfn.ANCHORARRAY($B$51))&gt;0)*1)+51),3,FALSE)/100,G127+VLOOKUP($B127&amp;"-"&amp;$B129,INDIRECT("V51:Y"&amp;COUNT((FIND("-",_xlfn.ANCHORARRAY($B$51))&gt;0)*1)+51),3,FALSE)/100),"na")</f>
        <v>na</v>
      </c>
      <c r="H129" s="8" t="str" cm="1">
        <f t="array" aca="1" ref="H129" ca="1">+IFERROR(IF(H106&lt;&gt;"na",H106+VLOOKUP($B127&amp;"-"&amp;$B129,INDIRECT("V51:Y"&amp;COUNT((FIND("-",_xlfn.ANCHORARRAY($B$51))&gt;0)*1)+51),3,FALSE)/100,H127+VLOOKUP($B127&amp;"-"&amp;$B129,INDIRECT("V51:Y"&amp;COUNT((FIND("-",_xlfn.ANCHORARRAY($B$51))&gt;0)*1)+51),3,FALSE)/100),"na")</f>
        <v>na</v>
      </c>
      <c r="I129" s="8" t="str" cm="1">
        <f t="array" aca="1" ref="I129" ca="1">+IFERROR(IF(I106&lt;&gt;"na",I106+VLOOKUP($B127&amp;"-"&amp;$B129,INDIRECT("V51:Y"&amp;COUNT((FIND("-",_xlfn.ANCHORARRAY($B$51))&gt;0)*1)+51),3,FALSE)/100,I127+VLOOKUP($B127&amp;"-"&amp;$B129,INDIRECT("V51:Y"&amp;COUNT((FIND("-",_xlfn.ANCHORARRAY($B$51))&gt;0)*1)+51),3,FALSE)/100),"na")</f>
        <v>na</v>
      </c>
      <c r="J129" s="8" t="str" cm="1">
        <f t="array" aca="1" ref="J129" ca="1">+IFERROR(IF(J106&lt;&gt;"na",J106+VLOOKUP($B127&amp;"-"&amp;$B129,INDIRECT("V51:Y"&amp;COUNT((FIND("-",_xlfn.ANCHORARRAY($B$51))&gt;0)*1)+51),3,FALSE)/100,J127+VLOOKUP($B127&amp;"-"&amp;$B129,INDIRECT("V51:Y"&amp;COUNT((FIND("-",_xlfn.ANCHORARRAY($B$51))&gt;0)*1)+51),3,FALSE)/100),"na")</f>
        <v>na</v>
      </c>
      <c r="K129" s="8" t="str" cm="1">
        <f t="array" aca="1" ref="K129" ca="1">+IFERROR(IF(K106&lt;&gt;"na",K106+VLOOKUP($B127&amp;"-"&amp;$B129,INDIRECT("V51:Y"&amp;COUNT((FIND("-",_xlfn.ANCHORARRAY($B$51))&gt;0)*1)+51),3,FALSE)/100,K127+VLOOKUP($B127&amp;"-"&amp;$B129,INDIRECT("V51:Y"&amp;COUNT((FIND("-",_xlfn.ANCHORARRAY($B$51))&gt;0)*1)+51),3,FALSE)/100),"na")</f>
        <v>na</v>
      </c>
      <c r="L129" s="8" t="str" cm="1">
        <f t="array" aca="1" ref="L129" ca="1">+IFERROR(IF(L106&lt;&gt;"na",L106+VLOOKUP($B127&amp;"-"&amp;$B129,INDIRECT("V51:Y"&amp;COUNT((FIND("-",_xlfn.ANCHORARRAY($B$51))&gt;0)*1)+51),3,FALSE)/100,L127+VLOOKUP($B127&amp;"-"&amp;$B129,INDIRECT("V51:Y"&amp;COUNT((FIND("-",_xlfn.ANCHORARRAY($B$51))&gt;0)*1)+51),3,FALSE)/100),"na")</f>
        <v>na</v>
      </c>
      <c r="M129" s="8" t="str" cm="1">
        <f t="array" aca="1" ref="M129" ca="1">+IFERROR(IF(M106&lt;&gt;"na",M106+VLOOKUP($B127&amp;"-"&amp;$B129,INDIRECT("V51:Y"&amp;COUNT((FIND("-",_xlfn.ANCHORARRAY($B$51))&gt;0)*1)+51),3,FALSE)/100,M127+VLOOKUP($B127&amp;"-"&amp;$B129,INDIRECT("V51:Y"&amp;COUNT((FIND("-",_xlfn.ANCHORARRAY($B$51))&gt;0)*1)+51),3,FALSE)/100),"na")</f>
        <v>na</v>
      </c>
      <c r="N129" s="8" t="str" cm="1">
        <f t="array" aca="1" ref="N129" ca="1">+IFERROR(IF(N106&lt;&gt;"na",N106+VLOOKUP($B127&amp;"-"&amp;$B129,INDIRECT("V51:Y"&amp;COUNT((FIND("-",_xlfn.ANCHORARRAY($B$51))&gt;0)*1)+51),3,FALSE)/100,N127+VLOOKUP($B127&amp;"-"&amp;$B129,INDIRECT("V51:Y"&amp;COUNT((FIND("-",_xlfn.ANCHORARRAY($B$51))&gt;0)*1)+51),3,FALSE)/100),"na")</f>
        <v>na</v>
      </c>
      <c r="O129" s="8" t="str" cm="1">
        <f t="array" aca="1" ref="O129" ca="1">+IFERROR(IF(O106&lt;&gt;"na",O106+VLOOKUP($B127&amp;"-"&amp;$B129,INDIRECT("V51:Y"&amp;COUNT((FIND("-",_xlfn.ANCHORARRAY($B$51))&gt;0)*1)+51),3,FALSE)/100,O127+VLOOKUP($B127&amp;"-"&amp;$B129,INDIRECT("V51:Y"&amp;COUNT((FIND("-",_xlfn.ANCHORARRAY($B$51))&gt;0)*1)+51),3,FALSE)/100),"na")</f>
        <v>na</v>
      </c>
      <c r="P129" s="8" t="str" cm="1">
        <f t="array" aca="1" ref="P129" ca="1">+IFERROR(IF(P106&lt;&gt;"na",P106+VLOOKUP($B127&amp;"-"&amp;$B129,INDIRECT("V51:Y"&amp;COUNT((FIND("-",_xlfn.ANCHORARRAY($B$51))&gt;0)*1)+51),3,FALSE)/100,P127+VLOOKUP($B127&amp;"-"&amp;$B129,INDIRECT("V51:Y"&amp;COUNT((FIND("-",_xlfn.ANCHORARRAY($B$51))&gt;0)*1)+51),3,FALSE)/100),"na")</f>
        <v>na</v>
      </c>
      <c r="Q129" s="8" t="str" cm="1">
        <f t="array" aca="1" ref="Q129" ca="1">+IFERROR(IF(Q106&lt;&gt;"na",Q106+VLOOKUP($B127&amp;"-"&amp;$B129,INDIRECT("V51:Y"&amp;COUNT((FIND("-",_xlfn.ANCHORARRAY($B$51))&gt;0)*1)+51),3,FALSE)/100,Q127+VLOOKUP($B127&amp;"-"&amp;$B129,INDIRECT("V51:Y"&amp;COUNT((FIND("-",_xlfn.ANCHORARRAY($B$51))&gt;0)*1)+51),3,FALSE)/100),"na")</f>
        <v>na</v>
      </c>
      <c r="R129" s="8" t="str">
        <f t="shared" ca="1" si="98"/>
        <v/>
      </c>
    </row>
    <row r="130" spans="2:18">
      <c r="B130" s="8"/>
      <c r="C130" s="8" t="str" cm="1">
        <f t="array" aca="1" ref="C130" ca="1">+IFERROR(IF(C107&lt;&gt;"na",C107+VLOOKUP($B128&amp;"-"&amp;$B130,INDIRECT("V51:Y"&amp;COUNT((FIND("-",_xlfn.ANCHORARRAY($B$51))&gt;0)*1)+51),3,FALSE)/100,C128+VLOOKUP($B128&amp;"-"&amp;$B130,INDIRECT("V51:Y"&amp;COUNT((FIND("-",_xlfn.ANCHORARRAY($B$51))&gt;0)*1)+51),3,FALSE)/100),"na")</f>
        <v>na</v>
      </c>
      <c r="D130" s="8" t="str" cm="1">
        <f t="array" aca="1" ref="D130" ca="1">+IFERROR(IF(D107&lt;&gt;"na",D107+VLOOKUP($B128&amp;"-"&amp;$B130,INDIRECT("V51:Y"&amp;COUNT((FIND("-",_xlfn.ANCHORARRAY($B$51))&gt;0)*1)+51),3,FALSE)/100,D128+VLOOKUP($B128&amp;"-"&amp;$B130,INDIRECT("V51:Y"&amp;COUNT((FIND("-",_xlfn.ANCHORARRAY($B$51))&gt;0)*1)+51),3,FALSE)/100),"na")</f>
        <v>na</v>
      </c>
      <c r="E130" s="8" t="str" cm="1">
        <f t="array" aca="1" ref="E130" ca="1">+IFERROR(IF(E107&lt;&gt;"na",E107+VLOOKUP($B128&amp;"-"&amp;$B130,INDIRECT("V51:Y"&amp;COUNT((FIND("-",_xlfn.ANCHORARRAY($B$51))&gt;0)*1)+51),3,FALSE)/100,E128+VLOOKUP($B128&amp;"-"&amp;$B130,INDIRECT("V51:Y"&amp;COUNT((FIND("-",_xlfn.ANCHORARRAY($B$51))&gt;0)*1)+51),3,FALSE)/100),"na")</f>
        <v>na</v>
      </c>
      <c r="F130" s="8" t="str" cm="1">
        <f t="array" aca="1" ref="F130" ca="1">+IFERROR(IF(F107&lt;&gt;"na",F107+VLOOKUP($B128&amp;"-"&amp;$B130,INDIRECT("V51:Y"&amp;COUNT((FIND("-",_xlfn.ANCHORARRAY($B$51))&gt;0)*1)+51),3,FALSE)/100,F128+VLOOKUP($B128&amp;"-"&amp;$B130,INDIRECT("V51:Y"&amp;COUNT((FIND("-",_xlfn.ANCHORARRAY($B$51))&gt;0)*1)+51),3,FALSE)/100),"na")</f>
        <v>na</v>
      </c>
      <c r="G130" s="8" t="str" cm="1">
        <f t="array" aca="1" ref="G130" ca="1">+IFERROR(IF(G107&lt;&gt;"na",G107+VLOOKUP($B128&amp;"-"&amp;$B130,INDIRECT("V51:Y"&amp;COUNT((FIND("-",_xlfn.ANCHORARRAY($B$51))&gt;0)*1)+51),3,FALSE)/100,G128+VLOOKUP($B128&amp;"-"&amp;$B130,INDIRECT("V51:Y"&amp;COUNT((FIND("-",_xlfn.ANCHORARRAY($B$51))&gt;0)*1)+51),3,FALSE)/100),"na")</f>
        <v>na</v>
      </c>
      <c r="H130" s="8" t="str" cm="1">
        <f t="array" aca="1" ref="H130" ca="1">+IFERROR(IF(H107&lt;&gt;"na",H107+VLOOKUP($B128&amp;"-"&amp;$B130,INDIRECT("V51:Y"&amp;COUNT((FIND("-",_xlfn.ANCHORARRAY($B$51))&gt;0)*1)+51),3,FALSE)/100,H128+VLOOKUP($B128&amp;"-"&amp;$B130,INDIRECT("V51:Y"&amp;COUNT((FIND("-",_xlfn.ANCHORARRAY($B$51))&gt;0)*1)+51),3,FALSE)/100),"na")</f>
        <v>na</v>
      </c>
      <c r="I130" s="8" t="str" cm="1">
        <f t="array" aca="1" ref="I130" ca="1">+IFERROR(IF(I107&lt;&gt;"na",I107+VLOOKUP($B128&amp;"-"&amp;$B130,INDIRECT("V51:Y"&amp;COUNT((FIND("-",_xlfn.ANCHORARRAY($B$51))&gt;0)*1)+51),3,FALSE)/100,I128+VLOOKUP($B128&amp;"-"&amp;$B130,INDIRECT("V51:Y"&amp;COUNT((FIND("-",_xlfn.ANCHORARRAY($B$51))&gt;0)*1)+51),3,FALSE)/100),"na")</f>
        <v>na</v>
      </c>
      <c r="J130" s="8" t="str" cm="1">
        <f t="array" aca="1" ref="J130" ca="1">+IFERROR(IF(J107&lt;&gt;"na",J107+VLOOKUP($B128&amp;"-"&amp;$B130,INDIRECT("V51:Y"&amp;COUNT((FIND("-",_xlfn.ANCHORARRAY($B$51))&gt;0)*1)+51),3,FALSE)/100,J128+VLOOKUP($B128&amp;"-"&amp;$B130,INDIRECT("V51:Y"&amp;COUNT((FIND("-",_xlfn.ANCHORARRAY($B$51))&gt;0)*1)+51),3,FALSE)/100),"na")</f>
        <v>na</v>
      </c>
      <c r="K130" s="8" t="str" cm="1">
        <f t="array" aca="1" ref="K130" ca="1">+IFERROR(IF(K107&lt;&gt;"na",K107+VLOOKUP($B128&amp;"-"&amp;$B130,INDIRECT("V51:Y"&amp;COUNT((FIND("-",_xlfn.ANCHORARRAY($B$51))&gt;0)*1)+51),3,FALSE)/100,K128+VLOOKUP($B128&amp;"-"&amp;$B130,INDIRECT("V51:Y"&amp;COUNT((FIND("-",_xlfn.ANCHORARRAY($B$51))&gt;0)*1)+51),3,FALSE)/100),"na")</f>
        <v>na</v>
      </c>
      <c r="L130" s="8" t="str" cm="1">
        <f t="array" aca="1" ref="L130" ca="1">+IFERROR(IF(L107&lt;&gt;"na",L107+VLOOKUP($B128&amp;"-"&amp;$B130,INDIRECT("V51:Y"&amp;COUNT((FIND("-",_xlfn.ANCHORARRAY($B$51))&gt;0)*1)+51),3,FALSE)/100,L128+VLOOKUP($B128&amp;"-"&amp;$B130,INDIRECT("V51:Y"&amp;COUNT((FIND("-",_xlfn.ANCHORARRAY($B$51))&gt;0)*1)+51),3,FALSE)/100),"na")</f>
        <v>na</v>
      </c>
      <c r="M130" s="8" t="str" cm="1">
        <f t="array" aca="1" ref="M130" ca="1">+IFERROR(IF(M107&lt;&gt;"na",M107+VLOOKUP($B128&amp;"-"&amp;$B130,INDIRECT("V51:Y"&amp;COUNT((FIND("-",_xlfn.ANCHORARRAY($B$51))&gt;0)*1)+51),3,FALSE)/100,M128+VLOOKUP($B128&amp;"-"&amp;$B130,INDIRECT("V51:Y"&amp;COUNT((FIND("-",_xlfn.ANCHORARRAY($B$51))&gt;0)*1)+51),3,FALSE)/100),"na")</f>
        <v>na</v>
      </c>
      <c r="N130" s="8" t="str" cm="1">
        <f t="array" aca="1" ref="N130" ca="1">+IFERROR(IF(N107&lt;&gt;"na",N107+VLOOKUP($B128&amp;"-"&amp;$B130,INDIRECT("V51:Y"&amp;COUNT((FIND("-",_xlfn.ANCHORARRAY($B$51))&gt;0)*1)+51),3,FALSE)/100,N128+VLOOKUP($B128&amp;"-"&amp;$B130,INDIRECT("V51:Y"&amp;COUNT((FIND("-",_xlfn.ANCHORARRAY($B$51))&gt;0)*1)+51),3,FALSE)/100),"na")</f>
        <v>na</v>
      </c>
      <c r="O130" s="8" t="str" cm="1">
        <f t="array" aca="1" ref="O130" ca="1">+IFERROR(IF(O107&lt;&gt;"na",O107+VLOOKUP($B128&amp;"-"&amp;$B130,INDIRECT("V51:Y"&amp;COUNT((FIND("-",_xlfn.ANCHORARRAY($B$51))&gt;0)*1)+51),3,FALSE)/100,O128+VLOOKUP($B128&amp;"-"&amp;$B130,INDIRECT("V51:Y"&amp;COUNT((FIND("-",_xlfn.ANCHORARRAY($B$51))&gt;0)*1)+51),3,FALSE)/100),"na")</f>
        <v>na</v>
      </c>
      <c r="P130" s="8" t="str" cm="1">
        <f t="array" aca="1" ref="P130" ca="1">+IFERROR(IF(P107&lt;&gt;"na",P107+VLOOKUP($B128&amp;"-"&amp;$B130,INDIRECT("V51:Y"&amp;COUNT((FIND("-",_xlfn.ANCHORARRAY($B$51))&gt;0)*1)+51),3,FALSE)/100,P128+VLOOKUP($B128&amp;"-"&amp;$B130,INDIRECT("V51:Y"&amp;COUNT((FIND("-",_xlfn.ANCHORARRAY($B$51))&gt;0)*1)+51),3,FALSE)/100),"na")</f>
        <v>na</v>
      </c>
      <c r="Q130" s="8" t="str" cm="1">
        <f t="array" aca="1" ref="Q130" ca="1">+IFERROR(IF(Q107&lt;&gt;"na",Q107+VLOOKUP($B128&amp;"-"&amp;$B130,INDIRECT("V51:Y"&amp;COUNT((FIND("-",_xlfn.ANCHORARRAY($B$51))&gt;0)*1)+51),3,FALSE)/100,Q128+VLOOKUP($B128&amp;"-"&amp;$B130,INDIRECT("V51:Y"&amp;COUNT((FIND("-",_xlfn.ANCHORARRAY($B$51))&gt;0)*1)+51),3,FALSE)/100),"na")</f>
        <v>na</v>
      </c>
      <c r="R130" s="8" t="str">
        <f t="shared" ca="1" si="98"/>
        <v/>
      </c>
    </row>
    <row r="131" spans="2:18"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</row>
    <row r="132" spans="2:18"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</row>
    <row r="133" spans="2:18">
      <c r="B133" s="8" t="s">
        <v>2</v>
      </c>
      <c r="C133" s="168" cm="1">
        <f t="array" aca="1" ref="C133:J133" ca="1">+TRANSPOSE(_xlfn.ANCHORARRAY(B134))</f>
        <v>3</v>
      </c>
      <c r="D133" s="168">
        <f ca="1"/>
        <v>6</v>
      </c>
      <c r="E133" s="168">
        <f ca="1"/>
        <v>9</v>
      </c>
      <c r="F133" s="168">
        <f ca="1"/>
        <v>13</v>
      </c>
      <c r="G133" s="168">
        <f ca="1"/>
        <v>26</v>
      </c>
      <c r="H133" s="168">
        <f ca="1"/>
        <v>39</v>
      </c>
      <c r="I133" s="168">
        <f ca="1"/>
        <v>52</v>
      </c>
      <c r="J133" s="168">
        <f ca="1"/>
        <v>65</v>
      </c>
      <c r="K133" s="168"/>
      <c r="L133" s="168"/>
      <c r="M133" s="168"/>
      <c r="N133" s="168"/>
      <c r="O133" s="168"/>
      <c r="P133" s="168"/>
      <c r="Q133" s="168"/>
      <c r="R133" s="8" t="s">
        <v>274</v>
      </c>
    </row>
    <row r="134" spans="2:18">
      <c r="B134" s="8" cm="1">
        <f t="array" aca="1" ref="B134:B141" ca="1">+_xlfn.ANCHORARRAY(B113)</f>
        <v>3</v>
      </c>
      <c r="C134" s="8">
        <f ca="1">+IFERROR(VALUE(VLOOKUP(C$91,INDIRECT("V28:Y"&amp;COUNT(_xlfn.ANCHORARRAY($B$92))+28),4,FALSE)),"na")</f>
        <v>11.5</v>
      </c>
      <c r="D134" s="8" cm="1">
        <f t="array" aca="1" ref="D134" ca="1">+IFERROR(D135-VALUE(VLOOKUP($B134&amp;"-"&amp;$B135,INDIRECT("V51:Y"&amp;COUNT((FIND("-",_xlfn.ANCHORARRAY($B$51))&gt;0)*1)+51),3,FALSE))/100,"na")</f>
        <v>11.54</v>
      </c>
      <c r="E134" s="8" cm="1">
        <f t="array" aca="1" ref="E134" ca="1">+IFERROR(IF(E135&lt;&gt;"na",E135-VALUE(VLOOKUP($B134&amp;"-"&amp;$B135,INDIRECT("V51:Y"&amp;COUNT((FIND("-",_xlfn.ANCHORARRAY($B$51))&gt;0)*1)+51),3,FALSE))/100,E158-VALUE(VLOOKUP($B134&amp;"-"&amp;$B135,INDIRECT("V51:Y"&amp;COUNT((FIND("-",_xlfn.ANCHORARRAY($B$51))&gt;0)*1)+51),3,FALSE))/100),"na")</f>
        <v>11.579999999999998</v>
      </c>
      <c r="F134" s="8" cm="1">
        <f t="array" aca="1" ref="F134" ca="1">+IFERROR(IF(F135&lt;&gt;"na",F135-VALUE(VLOOKUP($B134&amp;"-"&amp;$B135,INDIRECT("V51:Y"&amp;COUNT((FIND("-",_xlfn.ANCHORARRAY($B$51))&gt;0)*1)+51),3,FALSE))/100,F158-VALUE(VLOOKUP($B134&amp;"-"&amp;$B135,INDIRECT("V51:Y"&amp;COUNT((FIND("-",_xlfn.ANCHORARRAY($B$51))&gt;0)*1)+51),3,FALSE))/100),"na")</f>
        <v>11.579999999999998</v>
      </c>
      <c r="G134" s="8" t="str" cm="1">
        <f t="array" aca="1" ref="G134" ca="1">+IFERROR(IF(G135&lt;&gt;"na",G135-VALUE(VLOOKUP($B134&amp;"-"&amp;$B135,INDIRECT("V51:Y"&amp;COUNT((FIND("-",_xlfn.ANCHORARRAY($B$51))&gt;0)*1)+51),3,FALSE))/100,G158-VALUE(VLOOKUP($B134&amp;"-"&amp;$B135,INDIRECT("V51:Y"&amp;COUNT((FIND("-",_xlfn.ANCHORARRAY($B$51))&gt;0)*1)+51),3,FALSE))/100),"na")</f>
        <v>na</v>
      </c>
      <c r="H134" s="8" t="str" cm="1">
        <f t="array" aca="1" ref="H134" ca="1">+IFERROR(IF(H135&lt;&gt;"na",H135-VALUE(VLOOKUP($B134&amp;"-"&amp;$B135,INDIRECT("V51:Y"&amp;COUNT((FIND("-",_xlfn.ANCHORARRAY($B$51))&gt;0)*1)+51),3,FALSE))/100,H158-VALUE(VLOOKUP($B134&amp;"-"&amp;$B135,INDIRECT("V51:Y"&amp;COUNT((FIND("-",_xlfn.ANCHORARRAY($B$51))&gt;0)*1)+51),3,FALSE))/100),"na")</f>
        <v>na</v>
      </c>
      <c r="I134" s="8" t="str" cm="1">
        <f t="array" aca="1" ref="I134" ca="1">+IFERROR(IF(I135&lt;&gt;"na",I135-VALUE(VLOOKUP($B134&amp;"-"&amp;$B135,INDIRECT("V51:Y"&amp;COUNT((FIND("-",_xlfn.ANCHORARRAY($B$51))&gt;0)*1)+51),3,FALSE))/100,I158-VALUE(VLOOKUP($B134&amp;"-"&amp;$B135,INDIRECT("V51:Y"&amp;COUNT((FIND("-",_xlfn.ANCHORARRAY($B$51))&gt;0)*1)+51),3,FALSE))/100),"na")</f>
        <v>na</v>
      </c>
      <c r="J134" s="8" t="str" cm="1">
        <f t="array" aca="1" ref="J134" ca="1">+IFERROR(IF(J135&lt;&gt;"na",J135-VALUE(VLOOKUP($B134&amp;"-"&amp;$B135,INDIRECT("V51:Y"&amp;COUNT((FIND("-",_xlfn.ANCHORARRAY($B$51))&gt;0)*1)+51),3,FALSE))/100,J158-VALUE(VLOOKUP($B134&amp;"-"&amp;$B135,INDIRECT("V51:Y"&amp;COUNT((FIND("-",_xlfn.ANCHORARRAY($B$51))&gt;0)*1)+51),3,FALSE))/100),"na")</f>
        <v>na</v>
      </c>
      <c r="K134" s="8" t="str" cm="1">
        <f t="array" aca="1" ref="K134" ca="1">+IFERROR(IF(K135&lt;&gt;"na",K135-VALUE(VLOOKUP($B134&amp;"-"&amp;$B135,INDIRECT("V51:Y"&amp;COUNT((FIND("-",_xlfn.ANCHORARRAY($B$51))&gt;0)*1)+51),3,FALSE))/100,K158-VALUE(VLOOKUP($B134&amp;"-"&amp;$B135,INDIRECT("V51:Y"&amp;COUNT((FIND("-",_xlfn.ANCHORARRAY($B$51))&gt;0)*1)+51),3,FALSE))/100),"na")</f>
        <v>na</v>
      </c>
      <c r="L134" s="8" t="str" cm="1">
        <f t="array" aca="1" ref="L134" ca="1">+IFERROR(IF(L135&lt;&gt;"na",L135-VALUE(VLOOKUP($B134&amp;"-"&amp;$B135,INDIRECT("V51:Y"&amp;COUNT((FIND("-",_xlfn.ANCHORARRAY($B$51))&gt;0)*1)+51),3,FALSE))/100,L158-VALUE(VLOOKUP($B134&amp;"-"&amp;$B135,INDIRECT("V51:Y"&amp;COUNT((FIND("-",_xlfn.ANCHORARRAY($B$51))&gt;0)*1)+51),3,FALSE))/100),"na")</f>
        <v>na</v>
      </c>
      <c r="M134" s="8" t="str" cm="1">
        <f t="array" aca="1" ref="M134" ca="1">+IFERROR(IF(M135&lt;&gt;"na",M135-VALUE(VLOOKUP($B134&amp;"-"&amp;$B135,INDIRECT("V51:Y"&amp;COUNT((FIND("-",_xlfn.ANCHORARRAY($B$51))&gt;0)*1)+51),3,FALSE))/100,M158-VALUE(VLOOKUP($B134&amp;"-"&amp;$B135,INDIRECT("V51:Y"&amp;COUNT((FIND("-",_xlfn.ANCHORARRAY($B$51))&gt;0)*1)+51),3,FALSE))/100),"na")</f>
        <v>na</v>
      </c>
      <c r="N134" s="8" t="str" cm="1">
        <f t="array" aca="1" ref="N134" ca="1">+IFERROR(IF(N135&lt;&gt;"na",N135-VALUE(VLOOKUP($B134&amp;"-"&amp;$B135,INDIRECT("V51:Y"&amp;COUNT((FIND("-",_xlfn.ANCHORARRAY($B$51))&gt;0)*1)+51),3,FALSE))/100,N158-VALUE(VLOOKUP($B134&amp;"-"&amp;$B135,INDIRECT("V51:Y"&amp;COUNT((FIND("-",_xlfn.ANCHORARRAY($B$51))&gt;0)*1)+51),3,FALSE))/100),"na")</f>
        <v>na</v>
      </c>
      <c r="O134" s="8" t="str" cm="1">
        <f t="array" aca="1" ref="O134" ca="1">+IFERROR(IF(O135&lt;&gt;"na",O135-VALUE(VLOOKUP($B134&amp;"-"&amp;$B135,INDIRECT("V51:Y"&amp;COUNT((FIND("-",_xlfn.ANCHORARRAY($B$51))&gt;0)*1)+51),3,FALSE))/100,O158-VALUE(VLOOKUP($B134&amp;"-"&amp;$B135,INDIRECT("V51:Y"&amp;COUNT((FIND("-",_xlfn.ANCHORARRAY($B$51))&gt;0)*1)+51),3,FALSE))/100),"na")</f>
        <v>na</v>
      </c>
      <c r="P134" s="8" t="str" cm="1">
        <f t="array" aca="1" ref="P134" ca="1">+IFERROR(IF(P135&lt;&gt;"na",P135-VALUE(VLOOKUP($B134&amp;"-"&amp;$B135,INDIRECT("V51:Y"&amp;COUNT((FIND("-",_xlfn.ANCHORARRAY($B$51))&gt;0)*1)+51),3,FALSE))/100,P158-VALUE(VLOOKUP($B134&amp;"-"&amp;$B135,INDIRECT("V51:Y"&amp;COUNT((FIND("-",_xlfn.ANCHORARRAY($B$51))&gt;0)*1)+51),3,FALSE))/100),"na")</f>
        <v>na</v>
      </c>
      <c r="Q134" s="8" t="str" cm="1">
        <f t="array" aca="1" ref="Q134" ca="1">+IFERROR(IF(Q135&lt;&gt;"na",Q135-VALUE(VLOOKUP($B134&amp;"-"&amp;$B135,INDIRECT("V51:Y"&amp;COUNT((FIND("-",_xlfn.ANCHORARRAY($B$51))&gt;0)*1)+51),3,FALSE))/100,Q158-VALUE(VLOOKUP($B134&amp;"-"&amp;$B135,INDIRECT("V51:Y"&amp;COUNT((FIND("-",_xlfn.ANCHORARRAY($B$51))&gt;0)*1)+51),3,FALSE))/100),"na")</f>
        <v>na</v>
      </c>
      <c r="R134" s="8">
        <f ca="1">+IF(MIN(C134:Q134)=0,"",MIN(C134:Q134))</f>
        <v>11.5</v>
      </c>
    </row>
    <row r="135" spans="2:18">
      <c r="B135" s="8">
        <f ca="1"/>
        <v>6</v>
      </c>
      <c r="C135" s="8" cm="1">
        <f t="array" aca="1" ref="C135" ca="1">+IFERROR(C134+VALUE(VLOOKUP($B134&amp;"-"&amp;$B135,INDIRECT("V51:Y"&amp;COUNT((FIND("-",_xlfn.ANCHORARRAY($B$51))&gt;0)*1)+51),4,FALSE))/100,"na")</f>
        <v>11.42</v>
      </c>
      <c r="D135" s="8">
        <f ca="1">+IFERROR(VALUE(VLOOKUP(D$91,INDIRECT("V28:Y"&amp;COUNT(_xlfn.ANCHORARRAY($B$92))+28),4,FALSE)),"na")</f>
        <v>11.43</v>
      </c>
      <c r="E135" s="8" cm="1">
        <f t="array" aca="1" ref="E135" ca="1">+IFERROR(E136-VALUE(VLOOKUP($B135&amp;"-"&amp;$B136,INDIRECT("V51:Y"&amp;COUNT((FIND("-",_xlfn.ANCHORARRAY($B$51))&gt;0)*1)+51),3,FALSE))/100,"na")</f>
        <v>11.469999999999999</v>
      </c>
      <c r="F135" s="8" cm="1">
        <f t="array" aca="1" ref="F135" ca="1">+IFERROR(IF(F136&lt;&gt;"na",F136-VALUE(VLOOKUP($B135&amp;"-"&amp;$B136,INDIRECT("V51:Y"&amp;COUNT((FIND("-",_xlfn.ANCHORARRAY($B$51))&gt;0)*1)+51),3,FALSE))/100,F159-VALUE(VLOOKUP($B135&amp;"-"&amp;$B136,INDIRECT("V51:Y"&amp;COUNT((FIND("-",_xlfn.ANCHORARRAY($B$51))&gt;0)*1)+51),3,FALSE))/100),"na")</f>
        <v>11.469999999999999</v>
      </c>
      <c r="G135" s="8" t="str" cm="1">
        <f t="array" aca="1" ref="G135" ca="1">+IFERROR(IF(G136&lt;&gt;"na",G136-VALUE(VLOOKUP($B135&amp;"-"&amp;$B136,INDIRECT("V51:Y"&amp;COUNT((FIND("-",_xlfn.ANCHORARRAY($B$51))&gt;0)*1)+51),3,FALSE))/100,G159-VALUE(VLOOKUP($B135&amp;"-"&amp;$B136,INDIRECT("V51:Y"&amp;COUNT((FIND("-",_xlfn.ANCHORARRAY($B$51))&gt;0)*1)+51),3,FALSE))/100),"na")</f>
        <v>na</v>
      </c>
      <c r="H135" s="8" t="str" cm="1">
        <f t="array" aca="1" ref="H135" ca="1">+IFERROR(IF(H136&lt;&gt;"na",H136-VALUE(VLOOKUP($B135&amp;"-"&amp;$B136,INDIRECT("V51:Y"&amp;COUNT((FIND("-",_xlfn.ANCHORARRAY($B$51))&gt;0)*1)+51),3,FALSE))/100,H159-VALUE(VLOOKUP($B135&amp;"-"&amp;$B136,INDIRECT("V51:Y"&amp;COUNT((FIND("-",_xlfn.ANCHORARRAY($B$51))&gt;0)*1)+51),3,FALSE))/100),"na")</f>
        <v>na</v>
      </c>
      <c r="I135" s="8" t="str" cm="1">
        <f t="array" aca="1" ref="I135" ca="1">+IFERROR(IF(I136&lt;&gt;"na",I136-VALUE(VLOOKUP($B135&amp;"-"&amp;$B136,INDIRECT("V51:Y"&amp;COUNT((FIND("-",_xlfn.ANCHORARRAY($B$51))&gt;0)*1)+51),3,FALSE))/100,I159-VALUE(VLOOKUP($B135&amp;"-"&amp;$B136,INDIRECT("V51:Y"&amp;COUNT((FIND("-",_xlfn.ANCHORARRAY($B$51))&gt;0)*1)+51),3,FALSE))/100),"na")</f>
        <v>na</v>
      </c>
      <c r="J135" s="8" t="str" cm="1">
        <f t="array" aca="1" ref="J135" ca="1">+IFERROR(IF(J136&lt;&gt;"na",J136-VALUE(VLOOKUP($B135&amp;"-"&amp;$B136,INDIRECT("V51:Y"&amp;COUNT((FIND("-",_xlfn.ANCHORARRAY($B$51))&gt;0)*1)+51),3,FALSE))/100,J159-VALUE(VLOOKUP($B135&amp;"-"&amp;$B136,INDIRECT("V51:Y"&amp;COUNT((FIND("-",_xlfn.ANCHORARRAY($B$51))&gt;0)*1)+51),3,FALSE))/100),"na")</f>
        <v>na</v>
      </c>
      <c r="K135" s="8" t="str" cm="1">
        <f t="array" aca="1" ref="K135" ca="1">+IFERROR(IF(K136&lt;&gt;"na",K136-VALUE(VLOOKUP($B135&amp;"-"&amp;$B136,INDIRECT("V51:Y"&amp;COUNT((FIND("-",_xlfn.ANCHORARRAY($B$51))&gt;0)*1)+51),3,FALSE))/100,K159-VALUE(VLOOKUP($B135&amp;"-"&amp;$B136,INDIRECT("V51:Y"&amp;COUNT((FIND("-",_xlfn.ANCHORARRAY($B$51))&gt;0)*1)+51),3,FALSE))/100),"na")</f>
        <v>na</v>
      </c>
      <c r="L135" s="8" t="str" cm="1">
        <f t="array" aca="1" ref="L135" ca="1">+IFERROR(IF(L136&lt;&gt;"na",L136-VALUE(VLOOKUP($B135&amp;"-"&amp;$B136,INDIRECT("V51:Y"&amp;COUNT((FIND("-",_xlfn.ANCHORARRAY($B$51))&gt;0)*1)+51),3,FALSE))/100,L159-VALUE(VLOOKUP($B135&amp;"-"&amp;$B136,INDIRECT("V51:Y"&amp;COUNT((FIND("-",_xlfn.ANCHORARRAY($B$51))&gt;0)*1)+51),3,FALSE))/100),"na")</f>
        <v>na</v>
      </c>
      <c r="M135" s="8" t="str" cm="1">
        <f t="array" aca="1" ref="M135" ca="1">+IFERROR(IF(M136&lt;&gt;"na",M136-VALUE(VLOOKUP($B135&amp;"-"&amp;$B136,INDIRECT("V51:Y"&amp;COUNT((FIND("-",_xlfn.ANCHORARRAY($B$51))&gt;0)*1)+51),3,FALSE))/100,M159-VALUE(VLOOKUP($B135&amp;"-"&amp;$B136,INDIRECT("V51:Y"&amp;COUNT((FIND("-",_xlfn.ANCHORARRAY($B$51))&gt;0)*1)+51),3,FALSE))/100),"na")</f>
        <v>na</v>
      </c>
      <c r="N135" s="8" t="str" cm="1">
        <f t="array" aca="1" ref="N135" ca="1">+IFERROR(IF(N136&lt;&gt;"na",N136-VALUE(VLOOKUP($B135&amp;"-"&amp;$B136,INDIRECT("V51:Y"&amp;COUNT((FIND("-",_xlfn.ANCHORARRAY($B$51))&gt;0)*1)+51),3,FALSE))/100,N159-VALUE(VLOOKUP($B135&amp;"-"&amp;$B136,INDIRECT("V51:Y"&amp;COUNT((FIND("-",_xlfn.ANCHORARRAY($B$51))&gt;0)*1)+51),3,FALSE))/100),"na")</f>
        <v>na</v>
      </c>
      <c r="O135" s="8" t="str" cm="1">
        <f t="array" aca="1" ref="O135" ca="1">+IFERROR(IF(O136&lt;&gt;"na",O136-VALUE(VLOOKUP($B135&amp;"-"&amp;$B136,INDIRECT("V51:Y"&amp;COUNT((FIND("-",_xlfn.ANCHORARRAY($B$51))&gt;0)*1)+51),3,FALSE))/100,O159-VALUE(VLOOKUP($B135&amp;"-"&amp;$B136,INDIRECT("V51:Y"&amp;COUNT((FIND("-",_xlfn.ANCHORARRAY($B$51))&gt;0)*1)+51),3,FALSE))/100),"na")</f>
        <v>na</v>
      </c>
      <c r="P135" s="8" t="str" cm="1">
        <f t="array" aca="1" ref="P135" ca="1">+IFERROR(IF(P136&lt;&gt;"na",P136-VALUE(VLOOKUP($B135&amp;"-"&amp;$B136,INDIRECT("V51:Y"&amp;COUNT((FIND("-",_xlfn.ANCHORARRAY($B$51))&gt;0)*1)+51),3,FALSE))/100,P159-VALUE(VLOOKUP($B135&amp;"-"&amp;$B136,INDIRECT("V51:Y"&amp;COUNT((FIND("-",_xlfn.ANCHORARRAY($B$51))&gt;0)*1)+51),3,FALSE))/100),"na")</f>
        <v>na</v>
      </c>
      <c r="Q135" s="8" t="str" cm="1">
        <f t="array" aca="1" ref="Q135" ca="1">+IFERROR(IF(Q136&lt;&gt;"na",Q136-VALUE(VLOOKUP($B135&amp;"-"&amp;$B136,INDIRECT("V51:Y"&amp;COUNT((FIND("-",_xlfn.ANCHORARRAY($B$51))&gt;0)*1)+51),3,FALSE))/100,Q159-VALUE(VLOOKUP($B135&amp;"-"&amp;$B136,INDIRECT("V51:Y"&amp;COUNT((FIND("-",_xlfn.ANCHORARRAY($B$51))&gt;0)*1)+51),3,FALSE))/100),"na")</f>
        <v>na</v>
      </c>
      <c r="R135" s="8">
        <f t="shared" ref="R135:R151" ca="1" si="99">+IF(MIN(C135:Q135)=0,"",MIN(C135:Q135))</f>
        <v>11.42</v>
      </c>
    </row>
    <row r="136" spans="2:18">
      <c r="B136" s="8">
        <f ca="1"/>
        <v>9</v>
      </c>
      <c r="C136" s="8" cm="1">
        <f t="array" aca="1" ref="C136" ca="1">+IFERROR(IF(C135&lt;&gt;"na",C135+VALUE(VLOOKUP($B135&amp;"-"&amp;$B136,INDIRECT("V51:Y"&amp;COUNT((FIND("-",_xlfn.ANCHORARRAY($B$51))&gt;0)*1)+51),4,FALSE))/100,C158+VALUE(VLOOKUP($B135&amp;"-"&amp;$B136,INDIRECT("V51:Y"&amp;COUNT((FIND("-",_xlfn.ANCHORARRAY($B$51))&gt;0)*1)+51),4,FALSE))/100),"na")</f>
        <v>11.275</v>
      </c>
      <c r="D136" s="8" cm="1">
        <f t="array" aca="1" ref="D136" ca="1">+IFERROR(D135+VALUE(VLOOKUP($B135&amp;"-"&amp;$B136,INDIRECT("V51:Y"&amp;COUNT((FIND("-",_xlfn.ANCHORARRAY($B$51))&gt;0)*1)+51),4,FALSE))/100,"na")</f>
        <v>11.285</v>
      </c>
      <c r="E136" s="8">
        <f ca="1">+IFERROR(VALUE(VLOOKUP(E$91,INDIRECT("V28:Y"&amp;COUNT(_xlfn.ANCHORARRAY($B$92))+28),4,FALSE)),"na")</f>
        <v>11.28</v>
      </c>
      <c r="F136" s="8" cm="1">
        <f t="array" aca="1" ref="F136" ca="1">+IFERROR(F137-VALUE(VLOOKUP($B136&amp;"-"&amp;$B137,INDIRECT("V51:Y"&amp;COUNT((FIND("-",_xlfn.ANCHORARRAY($B$51))&gt;0)*1)+51),3,FALSE))/100,"na")</f>
        <v>11.28</v>
      </c>
      <c r="G136" s="8" t="str" cm="1">
        <f t="array" aca="1" ref="G136" ca="1">+IFERROR(IF(G137&lt;&gt;"na",G137-VALUE(VLOOKUP($B136&amp;"-"&amp;$B137,INDIRECT("V51:Y"&amp;COUNT((FIND("-",_xlfn.ANCHORARRAY($B$51))&gt;0)*1)+51),3,FALSE))/100,G160-VALUE(VLOOKUP($B136&amp;"-"&amp;$B137,INDIRECT("V51:Y"&amp;COUNT((FIND("-",_xlfn.ANCHORARRAY($B$51))&gt;0)*1)+51),3,FALSE))/100),"na")</f>
        <v>na</v>
      </c>
      <c r="H136" s="8" t="str" cm="1">
        <f t="array" aca="1" ref="H136" ca="1">+IFERROR(IF(H137&lt;&gt;"na",H137-VALUE(VLOOKUP($B136&amp;"-"&amp;$B137,INDIRECT("V51:Y"&amp;COUNT((FIND("-",_xlfn.ANCHORARRAY($B$51))&gt;0)*1)+51),3,FALSE))/100,H160-VALUE(VLOOKUP($B136&amp;"-"&amp;$B137,INDIRECT("V51:Y"&amp;COUNT((FIND("-",_xlfn.ANCHORARRAY($B$51))&gt;0)*1)+51),3,FALSE))/100),"na")</f>
        <v>na</v>
      </c>
      <c r="I136" s="8" t="str" cm="1">
        <f t="array" aca="1" ref="I136" ca="1">+IFERROR(IF(I137&lt;&gt;"na",I137-VALUE(VLOOKUP($B136&amp;"-"&amp;$B137,INDIRECT("V51:Y"&amp;COUNT((FIND("-",_xlfn.ANCHORARRAY($B$51))&gt;0)*1)+51),3,FALSE))/100,I160-VALUE(VLOOKUP($B136&amp;"-"&amp;$B137,INDIRECT("V51:Y"&amp;COUNT((FIND("-",_xlfn.ANCHORARRAY($B$51))&gt;0)*1)+51),3,FALSE))/100),"na")</f>
        <v>na</v>
      </c>
      <c r="J136" s="8" t="str" cm="1">
        <f t="array" aca="1" ref="J136" ca="1">+IFERROR(IF(J137&lt;&gt;"na",J137-VALUE(VLOOKUP($B136&amp;"-"&amp;$B137,INDIRECT("V51:Y"&amp;COUNT((FIND("-",_xlfn.ANCHORARRAY($B$51))&gt;0)*1)+51),3,FALSE))/100,J160-VALUE(VLOOKUP($B136&amp;"-"&amp;$B137,INDIRECT("V51:Y"&amp;COUNT((FIND("-",_xlfn.ANCHORARRAY($B$51))&gt;0)*1)+51),3,FALSE))/100),"na")</f>
        <v>na</v>
      </c>
      <c r="K136" s="8" t="str" cm="1">
        <f t="array" aca="1" ref="K136" ca="1">+IFERROR(IF(K137&lt;&gt;"na",K137-VALUE(VLOOKUP($B136&amp;"-"&amp;$B137,INDIRECT("V51:Y"&amp;COUNT((FIND("-",_xlfn.ANCHORARRAY($B$51))&gt;0)*1)+51),3,FALSE))/100,K160-VALUE(VLOOKUP($B136&amp;"-"&amp;$B137,INDIRECT("V51:Y"&amp;COUNT((FIND("-",_xlfn.ANCHORARRAY($B$51))&gt;0)*1)+51),3,FALSE))/100),"na")</f>
        <v>na</v>
      </c>
      <c r="L136" s="8" t="str" cm="1">
        <f t="array" aca="1" ref="L136" ca="1">+IFERROR(IF(L137&lt;&gt;"na",L137-VALUE(VLOOKUP($B136&amp;"-"&amp;$B137,INDIRECT("V51:Y"&amp;COUNT((FIND("-",_xlfn.ANCHORARRAY($B$51))&gt;0)*1)+51),3,FALSE))/100,L160-VALUE(VLOOKUP($B136&amp;"-"&amp;$B137,INDIRECT("V51:Y"&amp;COUNT((FIND("-",_xlfn.ANCHORARRAY($B$51))&gt;0)*1)+51),3,FALSE))/100),"na")</f>
        <v>na</v>
      </c>
      <c r="M136" s="8" t="str" cm="1">
        <f t="array" aca="1" ref="M136" ca="1">+IFERROR(IF(M137&lt;&gt;"na",M137-VALUE(VLOOKUP($B136&amp;"-"&amp;$B137,INDIRECT("V51:Y"&amp;COUNT((FIND("-",_xlfn.ANCHORARRAY($B$51))&gt;0)*1)+51),3,FALSE))/100,M160-VALUE(VLOOKUP($B136&amp;"-"&amp;$B137,INDIRECT("V51:Y"&amp;COUNT((FIND("-",_xlfn.ANCHORARRAY($B$51))&gt;0)*1)+51),3,FALSE))/100),"na")</f>
        <v>na</v>
      </c>
      <c r="N136" s="8" t="str" cm="1">
        <f t="array" aca="1" ref="N136" ca="1">+IFERROR(IF(N137&lt;&gt;"na",N137-VALUE(VLOOKUP($B136&amp;"-"&amp;$B137,INDIRECT("V51:Y"&amp;COUNT((FIND("-",_xlfn.ANCHORARRAY($B$51))&gt;0)*1)+51),3,FALSE))/100,N160-VALUE(VLOOKUP($B136&amp;"-"&amp;$B137,INDIRECT("V51:Y"&amp;COUNT((FIND("-",_xlfn.ANCHORARRAY($B$51))&gt;0)*1)+51),3,FALSE))/100),"na")</f>
        <v>na</v>
      </c>
      <c r="O136" s="8" t="str" cm="1">
        <f t="array" aca="1" ref="O136" ca="1">+IFERROR(IF(O137&lt;&gt;"na",O137-VALUE(VLOOKUP($B136&amp;"-"&amp;$B137,INDIRECT("V51:Y"&amp;COUNT((FIND("-",_xlfn.ANCHORARRAY($B$51))&gt;0)*1)+51),3,FALSE))/100,O160-VALUE(VLOOKUP($B136&amp;"-"&amp;$B137,INDIRECT("V51:Y"&amp;COUNT((FIND("-",_xlfn.ANCHORARRAY($B$51))&gt;0)*1)+51),3,FALSE))/100),"na")</f>
        <v>na</v>
      </c>
      <c r="P136" s="8" t="str" cm="1">
        <f t="array" aca="1" ref="P136" ca="1">+IFERROR(IF(P137&lt;&gt;"na",P137-VALUE(VLOOKUP($B136&amp;"-"&amp;$B137,INDIRECT("V51:Y"&amp;COUNT((FIND("-",_xlfn.ANCHORARRAY($B$51))&gt;0)*1)+51),3,FALSE))/100,P160-VALUE(VLOOKUP($B136&amp;"-"&amp;$B137,INDIRECT("V51:Y"&amp;COUNT((FIND("-",_xlfn.ANCHORARRAY($B$51))&gt;0)*1)+51),3,FALSE))/100),"na")</f>
        <v>na</v>
      </c>
      <c r="Q136" s="8" t="str" cm="1">
        <f t="array" aca="1" ref="Q136" ca="1">+IFERROR(IF(Q137&lt;&gt;"na",Q137-VALUE(VLOOKUP($B136&amp;"-"&amp;$B137,INDIRECT("V51:Y"&amp;COUNT((FIND("-",_xlfn.ANCHORARRAY($B$51))&gt;0)*1)+51),3,FALSE))/100,Q160-VALUE(VLOOKUP($B136&amp;"-"&amp;$B137,INDIRECT("V51:Y"&amp;COUNT((FIND("-",_xlfn.ANCHORARRAY($B$51))&gt;0)*1)+51),3,FALSE))/100),"na")</f>
        <v>na</v>
      </c>
      <c r="R136" s="8">
        <f t="shared" ca="1" si="99"/>
        <v>11.275</v>
      </c>
    </row>
    <row r="137" spans="2:18">
      <c r="B137" s="8">
        <f ca="1"/>
        <v>13</v>
      </c>
      <c r="C137" s="8" cm="1">
        <f t="array" aca="1" ref="C137" ca="1">+IFERROR(IF(C136&lt;&gt;"na",C136+VALUE(VLOOKUP($B136&amp;"-"&amp;$B137,INDIRECT("V51:Y"&amp;COUNT((FIND("-",_xlfn.ANCHORARRAY($B$51))&gt;0)*1)+51),4,FALSE))/100,C159+VALUE(VLOOKUP($B136&amp;"-"&amp;$B137,INDIRECT("V51:Y"&amp;COUNT((FIND("-",_xlfn.ANCHORARRAY($B$51))&gt;0)*1)+51),4,FALSE))/100),"na")</f>
        <v>10.925000000000001</v>
      </c>
      <c r="D137" s="8" cm="1">
        <f t="array" aca="1" ref="D137" ca="1">+IFERROR(IF(D136&lt;&gt;"na",D136+VALUE(VLOOKUP($B136&amp;"-"&amp;$B137,INDIRECT("V51:Y"&amp;COUNT((FIND("-",_xlfn.ANCHORARRAY($B$51))&gt;0)*1)+51),4,FALSE))/100,D159+VALUE(VLOOKUP($B136&amp;"-"&amp;$B137,INDIRECT("V51:Y"&amp;COUNT((FIND("-",_xlfn.ANCHORARRAY($B$51))&gt;0)*1)+51),4,FALSE))/100),"na")</f>
        <v>10.935</v>
      </c>
      <c r="E137" s="8" cm="1">
        <f t="array" aca="1" ref="E137" ca="1">+IFERROR(E136+VALUE(VLOOKUP($B136&amp;"-"&amp;$B137,INDIRECT("V51:Y"&amp;COUNT((FIND("-",_xlfn.ANCHORARRAY($B$51))&gt;0)*1)+51),4,FALSE))/100,"na")</f>
        <v>10.93</v>
      </c>
      <c r="F137" s="8">
        <f ca="1">+IFERROR(VALUE(VLOOKUP(F$91,INDIRECT("V28:Y"&amp;COUNT(_xlfn.ANCHORARRAY($B$92))+28),4,FALSE)),"na")</f>
        <v>10.91</v>
      </c>
      <c r="G137" s="8" t="str" cm="1">
        <f t="array" aca="1" ref="G137" ca="1">+IFERROR(G138-VALUE(VLOOKUP($B137&amp;"-"&amp;$B138,INDIRECT("V51:Y"&amp;COUNT((FIND("-",_xlfn.ANCHORARRAY($B$51))&gt;0)*1)+51),3,FALSE))/100,"na")</f>
        <v>na</v>
      </c>
      <c r="H137" s="8" t="str" cm="1">
        <f t="array" aca="1" ref="H137" ca="1">+IFERROR(IF(H138&lt;&gt;"na",H138-VALUE(VLOOKUP($B137&amp;"-"&amp;$B138,INDIRECT("V51:Y"&amp;COUNT((FIND("-",_xlfn.ANCHORARRAY($B$51))&gt;0)*1)+51),3,FALSE))/100,H161-VALUE(VLOOKUP($B137&amp;"-"&amp;$B138,INDIRECT("V51:Y"&amp;COUNT((FIND("-",_xlfn.ANCHORARRAY($B$51))&gt;0)*1)+51),3,FALSE))/100),"na")</f>
        <v>na</v>
      </c>
      <c r="I137" s="8" t="str" cm="1">
        <f t="array" aca="1" ref="I137" ca="1">+IFERROR(IF(I138&lt;&gt;"na",I138-VALUE(VLOOKUP($B137&amp;"-"&amp;$B138,INDIRECT("V51:Y"&amp;COUNT((FIND("-",_xlfn.ANCHORARRAY($B$51))&gt;0)*1)+51),3,FALSE))/100,I161-VALUE(VLOOKUP($B137&amp;"-"&amp;$B138,INDIRECT("V51:Y"&amp;COUNT((FIND("-",_xlfn.ANCHORARRAY($B$51))&gt;0)*1)+51),3,FALSE))/100),"na")</f>
        <v>na</v>
      </c>
      <c r="J137" s="8" t="str" cm="1">
        <f t="array" aca="1" ref="J137" ca="1">+IFERROR(IF(J138&lt;&gt;"na",J138-VALUE(VLOOKUP($B137&amp;"-"&amp;$B138,INDIRECT("V51:Y"&amp;COUNT((FIND("-",_xlfn.ANCHORARRAY($B$51))&gt;0)*1)+51),3,FALSE))/100,J161-VALUE(VLOOKUP($B137&amp;"-"&amp;$B138,INDIRECT("V51:Y"&amp;COUNT((FIND("-",_xlfn.ANCHORARRAY($B$51))&gt;0)*1)+51),3,FALSE))/100),"na")</f>
        <v>na</v>
      </c>
      <c r="K137" s="8" t="str" cm="1">
        <f t="array" aca="1" ref="K137" ca="1">+IFERROR(IF(K138&lt;&gt;"na",K138-VALUE(VLOOKUP($B137&amp;"-"&amp;$B138,INDIRECT("V51:Y"&amp;COUNT((FIND("-",_xlfn.ANCHORARRAY($B$51))&gt;0)*1)+51),3,FALSE))/100,K161-VALUE(VLOOKUP($B137&amp;"-"&amp;$B138,INDIRECT("V51:Y"&amp;COUNT((FIND("-",_xlfn.ANCHORARRAY($B$51))&gt;0)*1)+51),3,FALSE))/100),"na")</f>
        <v>na</v>
      </c>
      <c r="L137" s="8" t="str" cm="1">
        <f t="array" aca="1" ref="L137" ca="1">+IFERROR(IF(L138&lt;&gt;"na",L138-VALUE(VLOOKUP($B137&amp;"-"&amp;$B138,INDIRECT("V51:Y"&amp;COUNT((FIND("-",_xlfn.ANCHORARRAY($B$51))&gt;0)*1)+51),3,FALSE))/100,L161-VALUE(VLOOKUP($B137&amp;"-"&amp;$B138,INDIRECT("V51:Y"&amp;COUNT((FIND("-",_xlfn.ANCHORARRAY($B$51))&gt;0)*1)+51),3,FALSE))/100),"na")</f>
        <v>na</v>
      </c>
      <c r="M137" s="8" t="str" cm="1">
        <f t="array" aca="1" ref="M137" ca="1">+IFERROR(IF(M138&lt;&gt;"na",M138-VALUE(VLOOKUP($B137&amp;"-"&amp;$B138,INDIRECT("V51:Y"&amp;COUNT((FIND("-",_xlfn.ANCHORARRAY($B$51))&gt;0)*1)+51),3,FALSE))/100,M161-VALUE(VLOOKUP($B137&amp;"-"&amp;$B138,INDIRECT("V51:Y"&amp;COUNT((FIND("-",_xlfn.ANCHORARRAY($B$51))&gt;0)*1)+51),3,FALSE))/100),"na")</f>
        <v>na</v>
      </c>
      <c r="N137" s="8" t="str" cm="1">
        <f t="array" aca="1" ref="N137" ca="1">+IFERROR(IF(N138&lt;&gt;"na",N138-VALUE(VLOOKUP($B137&amp;"-"&amp;$B138,INDIRECT("V51:Y"&amp;COUNT((FIND("-",_xlfn.ANCHORARRAY($B$51))&gt;0)*1)+51),3,FALSE))/100,N161-VALUE(VLOOKUP($B137&amp;"-"&amp;$B138,INDIRECT("V51:Y"&amp;COUNT((FIND("-",_xlfn.ANCHORARRAY($B$51))&gt;0)*1)+51),3,FALSE))/100),"na")</f>
        <v>na</v>
      </c>
      <c r="O137" s="8" t="str" cm="1">
        <f t="array" aca="1" ref="O137" ca="1">+IFERROR(IF(O138&lt;&gt;"na",O138-VALUE(VLOOKUP($B137&amp;"-"&amp;$B138,INDIRECT("V51:Y"&amp;COUNT((FIND("-",_xlfn.ANCHORARRAY($B$51))&gt;0)*1)+51),3,FALSE))/100,O161-VALUE(VLOOKUP($B137&amp;"-"&amp;$B138,INDIRECT("V51:Y"&amp;COUNT((FIND("-",_xlfn.ANCHORARRAY($B$51))&gt;0)*1)+51),3,FALSE))/100),"na")</f>
        <v>na</v>
      </c>
      <c r="P137" s="8" t="str" cm="1">
        <f t="array" aca="1" ref="P137" ca="1">+IFERROR(IF(P138&lt;&gt;"na",P138-VALUE(VLOOKUP($B137&amp;"-"&amp;$B138,INDIRECT("V51:Y"&amp;COUNT((FIND("-",_xlfn.ANCHORARRAY($B$51))&gt;0)*1)+51),3,FALSE))/100,P161-VALUE(VLOOKUP($B137&amp;"-"&amp;$B138,INDIRECT("V51:Y"&amp;COUNT((FIND("-",_xlfn.ANCHORARRAY($B$51))&gt;0)*1)+51),3,FALSE))/100),"na")</f>
        <v>na</v>
      </c>
      <c r="Q137" s="8" t="str" cm="1">
        <f t="array" aca="1" ref="Q137" ca="1">+IFERROR(IF(Q138&lt;&gt;"na",Q138-VALUE(VLOOKUP($B137&amp;"-"&amp;$B138,INDIRECT("V51:Y"&amp;COUNT((FIND("-",_xlfn.ANCHORARRAY($B$51))&gt;0)*1)+51),3,FALSE))/100,Q161-VALUE(VLOOKUP($B137&amp;"-"&amp;$B138,INDIRECT("V51:Y"&amp;COUNT((FIND("-",_xlfn.ANCHORARRAY($B$51))&gt;0)*1)+51),3,FALSE))/100),"na")</f>
        <v>na</v>
      </c>
      <c r="R137" s="8">
        <f t="shared" ca="1" si="99"/>
        <v>10.91</v>
      </c>
    </row>
    <row r="138" spans="2:18">
      <c r="B138" s="8">
        <f ca="1"/>
        <v>26</v>
      </c>
      <c r="C138" s="8" t="str" cm="1">
        <f t="array" aca="1" ref="C138" ca="1">+IFERROR(IF(C137&lt;&gt;"na",C137+VALUE(VLOOKUP($B137&amp;"-"&amp;$B138,INDIRECT("V51:Y"&amp;COUNT((FIND("-",_xlfn.ANCHORARRAY($B$51))&gt;0)*1)+51),4,FALSE))/100,C160+VALUE(VLOOKUP($B137&amp;"-"&amp;$B138,INDIRECT("V51:Y"&amp;COUNT((FIND("-",_xlfn.ANCHORARRAY($B$51))&gt;0)*1)+51),4,FALSE))/100),"na")</f>
        <v>na</v>
      </c>
      <c r="D138" s="8" t="str" cm="1">
        <f t="array" aca="1" ref="D138" ca="1">+IFERROR(IF(D137&lt;&gt;"na",D137+VALUE(VLOOKUP($B137&amp;"-"&amp;$B138,INDIRECT("V51:Y"&amp;COUNT((FIND("-",_xlfn.ANCHORARRAY($B$51))&gt;0)*1)+51),4,FALSE))/100,D160+VALUE(VLOOKUP($B137&amp;"-"&amp;$B138,INDIRECT("V51:Y"&amp;COUNT((FIND("-",_xlfn.ANCHORARRAY($B$51))&gt;0)*1)+51),4,FALSE))/100),"na")</f>
        <v>na</v>
      </c>
      <c r="E138" s="8" t="str" cm="1">
        <f t="array" aca="1" ref="E138" ca="1">+IFERROR(IF(E137&lt;&gt;"na",E137+VALUE(VLOOKUP($B137&amp;"-"&amp;$B138,INDIRECT("V51:Y"&amp;COUNT((FIND("-",_xlfn.ANCHORARRAY($B$51))&gt;0)*1)+51),4,FALSE))/100,E160+VALUE(VLOOKUP($B137&amp;"-"&amp;$B138,INDIRECT("V51:Y"&amp;COUNT((FIND("-",_xlfn.ANCHORARRAY($B$51))&gt;0)*1)+51),4,FALSE))/100),"na")</f>
        <v>na</v>
      </c>
      <c r="F138" s="8" t="str" cm="1">
        <f t="array" aca="1" ref="F138" ca="1">+IFERROR(F137+VALUE(VLOOKUP($B137&amp;"-"&amp;$B138,INDIRECT("V51:Y"&amp;COUNT((FIND("-",_xlfn.ANCHORARRAY($B$51))&gt;0)*1)+51),4,FALSE))/100,"na")</f>
        <v>na</v>
      </c>
      <c r="G138" s="8">
        <f ca="1">+IFERROR(VALUE(VLOOKUP(G$91,INDIRECT("V28:Y"&amp;COUNT(_xlfn.ANCHORARRAY($B$92))+28),4,FALSE)),"na")</f>
        <v>9.67</v>
      </c>
      <c r="H138" s="8" t="str" cm="1">
        <f t="array" aca="1" ref="H138" ca="1">+IFERROR(H139-VALUE(VLOOKUP($B138&amp;"-"&amp;$B139,INDIRECT("V51:Y"&amp;COUNT((FIND("-",_xlfn.ANCHORARRAY($B$51))&gt;0)*1)+51),3,FALSE))/100,"na")</f>
        <v>na</v>
      </c>
      <c r="I138" s="8" t="str" cm="1">
        <f t="array" aca="1" ref="I138" ca="1">+IFERROR(IF(I139&lt;&gt;"na",I139-VALUE(VLOOKUP($B138&amp;"-"&amp;$B139,INDIRECT("V51:Y"&amp;COUNT((FIND("-",_xlfn.ANCHORARRAY($B$51))&gt;0)*1)+51),3,FALSE))/100,I162-VALUE(VLOOKUP($B138&amp;"-"&amp;$B139,INDIRECT("V51:Y"&amp;COUNT((FIND("-",_xlfn.ANCHORARRAY($B$51))&gt;0)*1)+51),3,FALSE))/100),"na")</f>
        <v>na</v>
      </c>
      <c r="J138" s="8" cm="1">
        <f t="array" aca="1" ref="J138" ca="1">+IFERROR(IF(J139&lt;&gt;"na",J139-VALUE(VLOOKUP($B138&amp;"-"&amp;$B139,INDIRECT("V51:Y"&amp;COUNT((FIND("-",_xlfn.ANCHORARRAY($B$51))&gt;0)*1)+51),3,FALSE))/100,J162-VALUE(VLOOKUP($B138&amp;"-"&amp;$B139,INDIRECT("V51:Y"&amp;COUNT((FIND("-",_xlfn.ANCHORARRAY($B$51))&gt;0)*1)+51),3,FALSE))/100),"na")</f>
        <v>9.7350000000000012</v>
      </c>
      <c r="K138" s="8" t="str" cm="1">
        <f t="array" aca="1" ref="K138" ca="1">+IFERROR(IF(K139&lt;&gt;"na",K139-VALUE(VLOOKUP($B138&amp;"-"&amp;$B139,INDIRECT("V51:Y"&amp;COUNT((FIND("-",_xlfn.ANCHORARRAY($B$51))&gt;0)*1)+51),3,FALSE))/100,K162-VALUE(VLOOKUP($B138&amp;"-"&amp;$B139,INDIRECT("V51:Y"&amp;COUNT((FIND("-",_xlfn.ANCHORARRAY($B$51))&gt;0)*1)+51),3,FALSE))/100),"na")</f>
        <v>na</v>
      </c>
      <c r="L138" s="8" t="str" cm="1">
        <f t="array" aca="1" ref="L138" ca="1">+IFERROR(IF(L139&lt;&gt;"na",L139-VALUE(VLOOKUP($B138&amp;"-"&amp;$B139,INDIRECT("V51:Y"&amp;COUNT((FIND("-",_xlfn.ANCHORARRAY($B$51))&gt;0)*1)+51),3,FALSE))/100,L162-VALUE(VLOOKUP($B138&amp;"-"&amp;$B139,INDIRECT("V51:Y"&amp;COUNT((FIND("-",_xlfn.ANCHORARRAY($B$51))&gt;0)*1)+51),3,FALSE))/100),"na")</f>
        <v>na</v>
      </c>
      <c r="M138" s="8" t="str" cm="1">
        <f t="array" aca="1" ref="M138" ca="1">+IFERROR(IF(M139&lt;&gt;"na",M139-VALUE(VLOOKUP($B138&amp;"-"&amp;$B139,INDIRECT("V51:Y"&amp;COUNT((FIND("-",_xlfn.ANCHORARRAY($B$51))&gt;0)*1)+51),3,FALSE))/100,M162-VALUE(VLOOKUP($B138&amp;"-"&amp;$B139,INDIRECT("V51:Y"&amp;COUNT((FIND("-",_xlfn.ANCHORARRAY($B$51))&gt;0)*1)+51),3,FALSE))/100),"na")</f>
        <v>na</v>
      </c>
      <c r="N138" s="8" t="str" cm="1">
        <f t="array" aca="1" ref="N138" ca="1">+IFERROR(IF(N139&lt;&gt;"na",N139-VALUE(VLOOKUP($B138&amp;"-"&amp;$B139,INDIRECT("V51:Y"&amp;COUNT((FIND("-",_xlfn.ANCHORARRAY($B$51))&gt;0)*1)+51),3,FALSE))/100,N162-VALUE(VLOOKUP($B138&amp;"-"&amp;$B139,INDIRECT("V51:Y"&amp;COUNT((FIND("-",_xlfn.ANCHORARRAY($B$51))&gt;0)*1)+51),3,FALSE))/100),"na")</f>
        <v>na</v>
      </c>
      <c r="O138" s="8" t="str" cm="1">
        <f t="array" aca="1" ref="O138" ca="1">+IFERROR(IF(O139&lt;&gt;"na",O139-VALUE(VLOOKUP($B138&amp;"-"&amp;$B139,INDIRECT("V51:Y"&amp;COUNT((FIND("-",_xlfn.ANCHORARRAY($B$51))&gt;0)*1)+51),3,FALSE))/100,O162-VALUE(VLOOKUP($B138&amp;"-"&amp;$B139,INDIRECT("V51:Y"&amp;COUNT((FIND("-",_xlfn.ANCHORARRAY($B$51))&gt;0)*1)+51),3,FALSE))/100),"na")</f>
        <v>na</v>
      </c>
      <c r="P138" s="8" t="str" cm="1">
        <f t="array" aca="1" ref="P138" ca="1">+IFERROR(IF(P139&lt;&gt;"na",P139-VALUE(VLOOKUP($B138&amp;"-"&amp;$B139,INDIRECT("V51:Y"&amp;COUNT((FIND("-",_xlfn.ANCHORARRAY($B$51))&gt;0)*1)+51),3,FALSE))/100,P162-VALUE(VLOOKUP($B138&amp;"-"&amp;$B139,INDIRECT("V51:Y"&amp;COUNT((FIND("-",_xlfn.ANCHORARRAY($B$51))&gt;0)*1)+51),3,FALSE))/100),"na")</f>
        <v>na</v>
      </c>
      <c r="Q138" s="8" t="str" cm="1">
        <f t="array" aca="1" ref="Q138" ca="1">+IFERROR(IF(Q139&lt;&gt;"na",Q139-VALUE(VLOOKUP($B138&amp;"-"&amp;$B139,INDIRECT("V51:Y"&amp;COUNT((FIND("-",_xlfn.ANCHORARRAY($B$51))&gt;0)*1)+51),3,FALSE))/100,Q162-VALUE(VLOOKUP($B138&amp;"-"&amp;$B139,INDIRECT("V51:Y"&amp;COUNT((FIND("-",_xlfn.ANCHORARRAY($B$51))&gt;0)*1)+51),3,FALSE))/100),"na")</f>
        <v>na</v>
      </c>
      <c r="R138" s="8">
        <f t="shared" ca="1" si="99"/>
        <v>9.67</v>
      </c>
    </row>
    <row r="139" spans="2:18">
      <c r="B139" s="8">
        <f ca="1"/>
        <v>39</v>
      </c>
      <c r="C139" s="8" t="str" cm="1">
        <f t="array" aca="1" ref="C139" ca="1">+IFERROR(IF(C138&lt;&gt;"na",C138+VALUE(VLOOKUP($B138&amp;"-"&amp;$B139,INDIRECT("V51:Y"&amp;COUNT((FIND("-",_xlfn.ANCHORARRAY($B$51))&gt;0)*1)+51),4,FALSE))/100,C161+VALUE(VLOOKUP($B138&amp;"-"&amp;$B139,INDIRECT("V51:Y"&amp;COUNT((FIND("-",_xlfn.ANCHORARRAY($B$51))&gt;0)*1)+51),4,FALSE))/100),"na")</f>
        <v>na</v>
      </c>
      <c r="D139" s="8" t="str" cm="1">
        <f t="array" aca="1" ref="D139" ca="1">+IFERROR(IF(D138&lt;&gt;"na",D138+VALUE(VLOOKUP($B138&amp;"-"&amp;$B139,INDIRECT("V51:Y"&amp;COUNT((FIND("-",_xlfn.ANCHORARRAY($B$51))&gt;0)*1)+51),4,FALSE))/100,D161+VALUE(VLOOKUP($B138&amp;"-"&amp;$B139,INDIRECT("V51:Y"&amp;COUNT((FIND("-",_xlfn.ANCHORARRAY($B$51))&gt;0)*1)+51),4,FALSE))/100),"na")</f>
        <v>na</v>
      </c>
      <c r="E139" s="8" t="str" cm="1">
        <f t="array" aca="1" ref="E139" ca="1">+IFERROR(IF(E138&lt;&gt;"na",E138+VALUE(VLOOKUP($B138&amp;"-"&amp;$B139,INDIRECT("V51:Y"&amp;COUNT((FIND("-",_xlfn.ANCHORARRAY($B$51))&gt;0)*1)+51),4,FALSE))/100,E161+VALUE(VLOOKUP($B138&amp;"-"&amp;$B139,INDIRECT("V51:Y"&amp;COUNT((FIND("-",_xlfn.ANCHORARRAY($B$51))&gt;0)*1)+51),4,FALSE))/100),"na")</f>
        <v>na</v>
      </c>
      <c r="F139" s="8" t="str" cm="1">
        <f t="array" aca="1" ref="F139" ca="1">+IFERROR(IF(F138&lt;&gt;"na",F138+VALUE(VLOOKUP($B138&amp;"-"&amp;$B139,INDIRECT("V51:Y"&amp;COUNT((FIND("-",_xlfn.ANCHORARRAY($B$51))&gt;0)*1)+51),4,FALSE))/100,F161+VALUE(VLOOKUP($B138&amp;"-"&amp;$B139,INDIRECT("V51:Y"&amp;COUNT((FIND("-",_xlfn.ANCHORARRAY($B$51))&gt;0)*1)+51),4,FALSE))/100),"na")</f>
        <v>na</v>
      </c>
      <c r="G139" s="8" cm="1">
        <f t="array" aca="1" ref="G139" ca="1">+IFERROR(G138+VALUE(VLOOKUP($B138&amp;"-"&amp;$B139,INDIRECT("V51:Y"&amp;COUNT((FIND("-",_xlfn.ANCHORARRAY($B$51))&gt;0)*1)+51),4,FALSE))/100,"na")</f>
        <v>8.99</v>
      </c>
      <c r="H139" s="8" t="str">
        <f ca="1">+IFERROR(VALUE(VLOOKUP(H$91,INDIRECT("V28:Y"&amp;COUNT(_xlfn.ANCHORARRAY($B$92))+28),4,FALSE)),"na")</f>
        <v>na</v>
      </c>
      <c r="I139" s="8" t="str" cm="1">
        <f t="array" aca="1" ref="I139" ca="1">+IFERROR(I140-VALUE(VLOOKUP($B139&amp;"-"&amp;$B140,INDIRECT("V51:Y"&amp;COUNT((FIND("-",_xlfn.ANCHORARRAY($B$51))&gt;0)*1)+51),3,FALSE))/100,"na")</f>
        <v>na</v>
      </c>
      <c r="J139" s="8" cm="1">
        <f t="array" aca="1" ref="J139" ca="1">+IFERROR(IF(J140&lt;&gt;"na",J140-VALUE(VLOOKUP($B139&amp;"-"&amp;$B140,INDIRECT("V51:Y"&amp;COUNT((FIND("-",_xlfn.ANCHORARRAY($B$51))&gt;0)*1)+51),3,FALSE))/100,J163-VALUE(VLOOKUP($B139&amp;"-"&amp;$B140,INDIRECT("V51:Y"&amp;COUNT((FIND("-",_xlfn.ANCHORARRAY($B$51))&gt;0)*1)+51),3,FALSE))/100),"na")</f>
        <v>9.0150000000000006</v>
      </c>
      <c r="K139" s="8" t="str" cm="1">
        <f t="array" aca="1" ref="K139" ca="1">+IFERROR(IF(K140&lt;&gt;"na",K140-VALUE(VLOOKUP($B139&amp;"-"&amp;$B140,INDIRECT("V51:Y"&amp;COUNT((FIND("-",_xlfn.ANCHORARRAY($B$51))&gt;0)*1)+51),3,FALSE))/100,K163-VALUE(VLOOKUP($B139&amp;"-"&amp;$B140,INDIRECT("V51:Y"&amp;COUNT((FIND("-",_xlfn.ANCHORARRAY($B$51))&gt;0)*1)+51),3,FALSE))/100),"na")</f>
        <v>na</v>
      </c>
      <c r="L139" s="8" t="str" cm="1">
        <f t="array" aca="1" ref="L139" ca="1">+IFERROR(IF(L140&lt;&gt;"na",L140-VALUE(VLOOKUP($B139&amp;"-"&amp;$B140,INDIRECT("V51:Y"&amp;COUNT((FIND("-",_xlfn.ANCHORARRAY($B$51))&gt;0)*1)+51),3,FALSE))/100,L163-VALUE(VLOOKUP($B139&amp;"-"&amp;$B140,INDIRECT("V51:Y"&amp;COUNT((FIND("-",_xlfn.ANCHORARRAY($B$51))&gt;0)*1)+51),3,FALSE))/100),"na")</f>
        <v>na</v>
      </c>
      <c r="M139" s="8" t="str" cm="1">
        <f t="array" aca="1" ref="M139" ca="1">+IFERROR(IF(M140&lt;&gt;"na",M140-VALUE(VLOOKUP($B139&amp;"-"&amp;$B140,INDIRECT("V51:Y"&amp;COUNT((FIND("-",_xlfn.ANCHORARRAY($B$51))&gt;0)*1)+51),3,FALSE))/100,M163-VALUE(VLOOKUP($B139&amp;"-"&amp;$B140,INDIRECT("V51:Y"&amp;COUNT((FIND("-",_xlfn.ANCHORARRAY($B$51))&gt;0)*1)+51),3,FALSE))/100),"na")</f>
        <v>na</v>
      </c>
      <c r="N139" s="8" t="str" cm="1">
        <f t="array" aca="1" ref="N139" ca="1">+IFERROR(IF(N140&lt;&gt;"na",N140-VALUE(VLOOKUP($B139&amp;"-"&amp;$B140,INDIRECT("V51:Y"&amp;COUNT((FIND("-",_xlfn.ANCHORARRAY($B$51))&gt;0)*1)+51),3,FALSE))/100,N163-VALUE(VLOOKUP($B139&amp;"-"&amp;$B140,INDIRECT("V51:Y"&amp;COUNT((FIND("-",_xlfn.ANCHORARRAY($B$51))&gt;0)*1)+51),3,FALSE))/100),"na")</f>
        <v>na</v>
      </c>
      <c r="O139" s="8" t="str" cm="1">
        <f t="array" aca="1" ref="O139" ca="1">+IFERROR(IF(O140&lt;&gt;"na",O140-VALUE(VLOOKUP($B139&amp;"-"&amp;$B140,INDIRECT("V51:Y"&amp;COUNT((FIND("-",_xlfn.ANCHORARRAY($B$51))&gt;0)*1)+51),3,FALSE))/100,O163-VALUE(VLOOKUP($B139&amp;"-"&amp;$B140,INDIRECT("V51:Y"&amp;COUNT((FIND("-",_xlfn.ANCHORARRAY($B$51))&gt;0)*1)+51),3,FALSE))/100),"na")</f>
        <v>na</v>
      </c>
      <c r="P139" s="8" t="str" cm="1">
        <f t="array" aca="1" ref="P139" ca="1">+IFERROR(IF(P140&lt;&gt;"na",P140-VALUE(VLOOKUP($B139&amp;"-"&amp;$B140,INDIRECT("V51:Y"&amp;COUNT((FIND("-",_xlfn.ANCHORARRAY($B$51))&gt;0)*1)+51),3,FALSE))/100,P163-VALUE(VLOOKUP($B139&amp;"-"&amp;$B140,INDIRECT("V51:Y"&amp;COUNT((FIND("-",_xlfn.ANCHORARRAY($B$51))&gt;0)*1)+51),3,FALSE))/100),"na")</f>
        <v>na</v>
      </c>
      <c r="Q139" s="8" t="str" cm="1">
        <f t="array" aca="1" ref="Q139" ca="1">+IFERROR(IF(Q140&lt;&gt;"na",Q140-VALUE(VLOOKUP($B139&amp;"-"&amp;$B140,INDIRECT("V51:Y"&amp;COUNT((FIND("-",_xlfn.ANCHORARRAY($B$51))&gt;0)*1)+51),3,FALSE))/100,Q163-VALUE(VLOOKUP($B139&amp;"-"&amp;$B140,INDIRECT("V51:Y"&amp;COUNT((FIND("-",_xlfn.ANCHORARRAY($B$51))&gt;0)*1)+51),3,FALSE))/100),"na")</f>
        <v>na</v>
      </c>
      <c r="R139" s="8">
        <f t="shared" ca="1" si="99"/>
        <v>8.99</v>
      </c>
    </row>
    <row r="140" spans="2:18">
      <c r="B140" s="8">
        <f ca="1"/>
        <v>52</v>
      </c>
      <c r="C140" s="8" t="str" cm="1">
        <f t="array" aca="1" ref="C140" ca="1">+IFERROR(IF(C139&lt;&gt;"na",C139+VALUE(VLOOKUP($B139&amp;"-"&amp;$B140,INDIRECT("V51:Y"&amp;COUNT((FIND("-",_xlfn.ANCHORARRAY($B$51))&gt;0)*1)+51),4,FALSE))/100,C162+VALUE(VLOOKUP($B139&amp;"-"&amp;$B140,INDIRECT("V51:Y"&amp;COUNT((FIND("-",_xlfn.ANCHORARRAY($B$51))&gt;0)*1)+51),4,FALSE))/100),"na")</f>
        <v>na</v>
      </c>
      <c r="D140" s="8" t="str" cm="1">
        <f t="array" aca="1" ref="D140" ca="1">+IFERROR(IF(D139&lt;&gt;"na",D139+VALUE(VLOOKUP($B139&amp;"-"&amp;$B140,INDIRECT("V51:Y"&amp;COUNT((FIND("-",_xlfn.ANCHORARRAY($B$51))&gt;0)*1)+51),4,FALSE))/100,D162+VALUE(VLOOKUP($B139&amp;"-"&amp;$B140,INDIRECT("V51:Y"&amp;COUNT((FIND("-",_xlfn.ANCHORARRAY($B$51))&gt;0)*1)+51),4,FALSE))/100),"na")</f>
        <v>na</v>
      </c>
      <c r="E140" s="8" t="str" cm="1">
        <f t="array" aca="1" ref="E140" ca="1">+IFERROR(IF(E139&lt;&gt;"na",E139+VALUE(VLOOKUP($B139&amp;"-"&amp;$B140,INDIRECT("V51:Y"&amp;COUNT((FIND("-",_xlfn.ANCHORARRAY($B$51))&gt;0)*1)+51),4,FALSE))/100,E162+VALUE(VLOOKUP($B139&amp;"-"&amp;$B140,INDIRECT("V51:Y"&amp;COUNT((FIND("-",_xlfn.ANCHORARRAY($B$51))&gt;0)*1)+51),4,FALSE))/100),"na")</f>
        <v>na</v>
      </c>
      <c r="F140" s="8" t="str" cm="1">
        <f t="array" aca="1" ref="F140" ca="1">+IFERROR(IF(F139&lt;&gt;"na",F139+VALUE(VLOOKUP($B139&amp;"-"&amp;$B140,INDIRECT("V51:Y"&amp;COUNT((FIND("-",_xlfn.ANCHORARRAY($B$51))&gt;0)*1)+51),4,FALSE))/100,F162+VALUE(VLOOKUP($B139&amp;"-"&amp;$B140,INDIRECT("V51:Y"&amp;COUNT((FIND("-",_xlfn.ANCHORARRAY($B$51))&gt;0)*1)+51),4,FALSE))/100),"na")</f>
        <v>na</v>
      </c>
      <c r="G140" s="8" cm="1">
        <f t="array" aca="1" ref="G140" ca="1">+IFERROR(IF(G139&lt;&gt;"na",G139+VALUE(VLOOKUP($B139&amp;"-"&amp;$B140,INDIRECT("V51:Y"&amp;COUNT((FIND("-",_xlfn.ANCHORARRAY($B$51))&gt;0)*1)+51),4,FALSE))/100,G162+VALUE(VLOOKUP($B139&amp;"-"&amp;$B140,INDIRECT("V51:Y"&amp;COUNT((FIND("-",_xlfn.ANCHORARRAY($B$51))&gt;0)*1)+51),4,FALSE))/100),"na")</f>
        <v>8.6300000000000008</v>
      </c>
      <c r="H140" s="8" t="str" cm="1">
        <f t="array" aca="1" ref="H140" ca="1">+IFERROR(H139+VALUE(VLOOKUP($B139&amp;"-"&amp;$B140,INDIRECT("V51:Y"&amp;COUNT((FIND("-",_xlfn.ANCHORARRAY($B$51))&gt;0)*1)+51),4,FALSE))/100,"na")</f>
        <v>na</v>
      </c>
      <c r="I140" s="8" t="str">
        <f ca="1">+IFERROR(VALUE(VLOOKUP(I$91,INDIRECT("V28:Y"&amp;COUNT(_xlfn.ANCHORARRAY($B$92))+28),4,FALSE)),"na")</f>
        <v>na</v>
      </c>
      <c r="J140" s="8" cm="1">
        <f t="array" aca="1" ref="J140" ca="1">+IFERROR(J141-VALUE(VLOOKUP($B140&amp;"-"&amp;$B141,INDIRECT("V51:Y"&amp;COUNT((FIND("-",_xlfn.ANCHORARRAY($B$51))&gt;0)*1)+51),3,FALSE))/100,"na")</f>
        <v>8.6100000000000012</v>
      </c>
      <c r="K140" s="8" t="str" cm="1">
        <f t="array" aca="1" ref="K140" ca="1">+IFERROR(IF(K141&lt;&gt;"na",K141-VALUE(VLOOKUP($B140&amp;"-"&amp;$B141,INDIRECT("V51:Y"&amp;COUNT((FIND("-",_xlfn.ANCHORARRAY($B$51))&gt;0)*1)+51),3,FALSE))/100,K164-VALUE(VLOOKUP($B140&amp;"-"&amp;$B141,INDIRECT("V51:Y"&amp;COUNT((FIND("-",_xlfn.ANCHORARRAY($B$51))&gt;0)*1)+51),3,FALSE))/100),"na")</f>
        <v>na</v>
      </c>
      <c r="L140" s="8" t="str" cm="1">
        <f t="array" aca="1" ref="L140" ca="1">+IFERROR(IF(L141&lt;&gt;"na",L141-VALUE(VLOOKUP($B140&amp;"-"&amp;$B141,INDIRECT("V51:Y"&amp;COUNT((FIND("-",_xlfn.ANCHORARRAY($B$51))&gt;0)*1)+51),3,FALSE))/100,L164-VALUE(VLOOKUP($B140&amp;"-"&amp;$B141,INDIRECT("V51:Y"&amp;COUNT((FIND("-",_xlfn.ANCHORARRAY($B$51))&gt;0)*1)+51),3,FALSE))/100),"na")</f>
        <v>na</v>
      </c>
      <c r="M140" s="8" t="str" cm="1">
        <f t="array" aca="1" ref="M140" ca="1">+IFERROR(IF(M141&lt;&gt;"na",M141-VALUE(VLOOKUP($B140&amp;"-"&amp;$B141,INDIRECT("V51:Y"&amp;COUNT((FIND("-",_xlfn.ANCHORARRAY($B$51))&gt;0)*1)+51),3,FALSE))/100,M164-VALUE(VLOOKUP($B140&amp;"-"&amp;$B141,INDIRECT("V51:Y"&amp;COUNT((FIND("-",_xlfn.ANCHORARRAY($B$51))&gt;0)*1)+51),3,FALSE))/100),"na")</f>
        <v>na</v>
      </c>
      <c r="N140" s="8" t="str" cm="1">
        <f t="array" aca="1" ref="N140" ca="1">+IFERROR(IF(N141&lt;&gt;"na",N141-VALUE(VLOOKUP($B140&amp;"-"&amp;$B141,INDIRECT("V51:Y"&amp;COUNT((FIND("-",_xlfn.ANCHORARRAY($B$51))&gt;0)*1)+51),3,FALSE))/100,N164-VALUE(VLOOKUP($B140&amp;"-"&amp;$B141,INDIRECT("V51:Y"&amp;COUNT((FIND("-",_xlfn.ANCHORARRAY($B$51))&gt;0)*1)+51),3,FALSE))/100),"na")</f>
        <v>na</v>
      </c>
      <c r="O140" s="8" t="str" cm="1">
        <f t="array" aca="1" ref="O140" ca="1">+IFERROR(IF(O141&lt;&gt;"na",O141-VALUE(VLOOKUP($B140&amp;"-"&amp;$B141,INDIRECT("V51:Y"&amp;COUNT((FIND("-",_xlfn.ANCHORARRAY($B$51))&gt;0)*1)+51),3,FALSE))/100,O164-VALUE(VLOOKUP($B140&amp;"-"&amp;$B141,INDIRECT("V51:Y"&amp;COUNT((FIND("-",_xlfn.ANCHORARRAY($B$51))&gt;0)*1)+51),3,FALSE))/100),"na")</f>
        <v>na</v>
      </c>
      <c r="P140" s="8" t="str" cm="1">
        <f t="array" aca="1" ref="P140" ca="1">+IFERROR(IF(P141&lt;&gt;"na",P141-VALUE(VLOOKUP($B140&amp;"-"&amp;$B141,INDIRECT("V51:Y"&amp;COUNT((FIND("-",_xlfn.ANCHORARRAY($B$51))&gt;0)*1)+51),3,FALSE))/100,P164-VALUE(VLOOKUP($B140&amp;"-"&amp;$B141,INDIRECT("V51:Y"&amp;COUNT((FIND("-",_xlfn.ANCHORARRAY($B$51))&gt;0)*1)+51),3,FALSE))/100),"na")</f>
        <v>na</v>
      </c>
      <c r="Q140" s="8" t="str" cm="1">
        <f t="array" aca="1" ref="Q140" ca="1">+IFERROR(IF(Q141&lt;&gt;"na",Q141-VALUE(VLOOKUP($B140&amp;"-"&amp;$B141,INDIRECT("V51:Y"&amp;COUNT((FIND("-",_xlfn.ANCHORARRAY($B$51))&gt;0)*1)+51),3,FALSE))/100,Q164-VALUE(VLOOKUP($B140&amp;"-"&amp;$B141,INDIRECT("V51:Y"&amp;COUNT((FIND("-",_xlfn.ANCHORARRAY($B$51))&gt;0)*1)+51),3,FALSE))/100),"na")</f>
        <v>na</v>
      </c>
      <c r="R140" s="8">
        <f t="shared" ca="1" si="99"/>
        <v>8.6100000000000012</v>
      </c>
    </row>
    <row r="141" spans="2:18">
      <c r="B141" s="8">
        <f ca="1"/>
        <v>65</v>
      </c>
      <c r="C141" s="8" t="str" cm="1">
        <f t="array" aca="1" ref="C141" ca="1">+IFERROR(IF(C140&lt;&gt;"na",C140+VALUE(VLOOKUP($B140&amp;"-"&amp;$B141,INDIRECT("V51:Y"&amp;COUNT((FIND("-",_xlfn.ANCHORARRAY($B$51))&gt;0)*1)+51),4,FALSE))/100,C163+VALUE(VLOOKUP($B140&amp;"-"&amp;$B141,INDIRECT("V51:Y"&amp;COUNT((FIND("-",_xlfn.ANCHORARRAY($B$51))&gt;0)*1)+51),4,FALSE))/100),"na")</f>
        <v>na</v>
      </c>
      <c r="D141" s="8" t="str" cm="1">
        <f t="array" aca="1" ref="D141" ca="1">+IFERROR(IF(D140&lt;&gt;"na",D140+VALUE(VLOOKUP($B140&amp;"-"&amp;$B141,INDIRECT("V51:Y"&amp;COUNT((FIND("-",_xlfn.ANCHORARRAY($B$51))&gt;0)*1)+51),4,FALSE))/100,D163+VALUE(VLOOKUP($B140&amp;"-"&amp;$B141,INDIRECT("V51:Y"&amp;COUNT((FIND("-",_xlfn.ANCHORARRAY($B$51))&gt;0)*1)+51),4,FALSE))/100),"na")</f>
        <v>na</v>
      </c>
      <c r="E141" s="8" t="str" cm="1">
        <f t="array" aca="1" ref="E141" ca="1">+IFERROR(IF(E140&lt;&gt;"na",E140+VALUE(VLOOKUP($B140&amp;"-"&amp;$B141,INDIRECT("V51:Y"&amp;COUNT((FIND("-",_xlfn.ANCHORARRAY($B$51))&gt;0)*1)+51),4,FALSE))/100,E163+VALUE(VLOOKUP($B140&amp;"-"&amp;$B141,INDIRECT("V51:Y"&amp;COUNT((FIND("-",_xlfn.ANCHORARRAY($B$51))&gt;0)*1)+51),4,FALSE))/100),"na")</f>
        <v>na</v>
      </c>
      <c r="F141" s="8" t="str" cm="1">
        <f t="array" aca="1" ref="F141" ca="1">+IFERROR(IF(F140&lt;&gt;"na",F140+VALUE(VLOOKUP($B140&amp;"-"&amp;$B141,INDIRECT("V51:Y"&amp;COUNT((FIND("-",_xlfn.ANCHORARRAY($B$51))&gt;0)*1)+51),4,FALSE))/100,F163+VALUE(VLOOKUP($B140&amp;"-"&amp;$B141,INDIRECT("V51:Y"&amp;COUNT((FIND("-",_xlfn.ANCHORARRAY($B$51))&gt;0)*1)+51),4,FALSE))/100),"na")</f>
        <v>na</v>
      </c>
      <c r="G141" s="8" cm="1">
        <f t="array" aca="1" ref="G141" ca="1">+IFERROR(IF(G140&lt;&gt;"na",G140+VALUE(VLOOKUP($B140&amp;"-"&amp;$B141,INDIRECT("V51:Y"&amp;COUNT((FIND("-",_xlfn.ANCHORARRAY($B$51))&gt;0)*1)+51),4,FALSE))/100,G163+VALUE(VLOOKUP($B140&amp;"-"&amp;$B141,INDIRECT("V51:Y"&amp;COUNT((FIND("-",_xlfn.ANCHORARRAY($B$51))&gt;0)*1)+51),4,FALSE))/100),"na")</f>
        <v>8.4400000000000013</v>
      </c>
      <c r="H141" s="8" t="str" cm="1">
        <f t="array" aca="1" ref="H141" ca="1">+IFERROR(IF(H140&lt;&gt;"na",H140+VALUE(VLOOKUP($B140&amp;"-"&amp;$B141,INDIRECT("V51:Y"&amp;COUNT((FIND("-",_xlfn.ANCHORARRAY($B$51))&gt;0)*1)+51),4,FALSE))/100,H163+VALUE(VLOOKUP($B140&amp;"-"&amp;$B141,INDIRECT("V51:Y"&amp;COUNT((FIND("-",_xlfn.ANCHORARRAY($B$51))&gt;0)*1)+51),4,FALSE))/100),"na")</f>
        <v>na</v>
      </c>
      <c r="I141" s="8" t="str" cm="1">
        <f t="array" aca="1" ref="I141" ca="1">+IFERROR(I140+VALUE(VLOOKUP($B140&amp;"-"&amp;$B141,INDIRECT("V51:Y"&amp;COUNT((FIND("-",_xlfn.ANCHORARRAY($B$51))&gt;0)*1)+51),4,FALSE))/100,"na")</f>
        <v>na</v>
      </c>
      <c r="J141" s="8">
        <f ca="1">+IFERROR(VALUE(VLOOKUP(J$91,INDIRECT("V28:Y"&amp;COUNT(_xlfn.ANCHORARRAY($B$92))+28),4,FALSE)),"na")</f>
        <v>8.39</v>
      </c>
      <c r="K141" s="8" t="str" cm="1">
        <f t="array" aca="1" ref="K141" ca="1">+IFERROR(K142-VALUE(VLOOKUP($B141&amp;"-"&amp;$B142,INDIRECT("V51:Y"&amp;COUNT((FIND("-",_xlfn.ANCHORARRAY($B$51))&gt;0)*1)+51),3,FALSE))/100,"na")</f>
        <v>na</v>
      </c>
      <c r="L141" s="8" t="str" cm="1">
        <f t="array" aca="1" ref="L141" ca="1">+IFERROR(IF(L142&lt;&gt;"na",L142-VALUE(VLOOKUP($B141&amp;"-"&amp;$B142,INDIRECT("V51:Y"&amp;COUNT((FIND("-",_xlfn.ANCHORARRAY($B$51))&gt;0)*1)+51),3,FALSE))/100,L165-VALUE(VLOOKUP($B141&amp;"-"&amp;$B142,INDIRECT("V51:Y"&amp;COUNT((FIND("-",_xlfn.ANCHORARRAY($B$51))&gt;0)*1)+51),3,FALSE))/100),"na")</f>
        <v>na</v>
      </c>
      <c r="M141" s="8" t="str" cm="1">
        <f t="array" aca="1" ref="M141" ca="1">+IFERROR(IF(M142&lt;&gt;"na",M142-VALUE(VLOOKUP($B141&amp;"-"&amp;$B142,INDIRECT("V51:Y"&amp;COUNT((FIND("-",_xlfn.ANCHORARRAY($B$51))&gt;0)*1)+51),3,FALSE))/100,M165-VALUE(VLOOKUP($B141&amp;"-"&amp;$B142,INDIRECT("V51:Y"&amp;COUNT((FIND("-",_xlfn.ANCHORARRAY($B$51))&gt;0)*1)+51),3,FALSE))/100),"na")</f>
        <v>na</v>
      </c>
      <c r="N141" s="8" t="str" cm="1">
        <f t="array" aca="1" ref="N141" ca="1">+IFERROR(IF(N142&lt;&gt;"na",N142-VALUE(VLOOKUP($B141&amp;"-"&amp;$B142,INDIRECT("V51:Y"&amp;COUNT((FIND("-",_xlfn.ANCHORARRAY($B$51))&gt;0)*1)+51),3,FALSE))/100,N165-VALUE(VLOOKUP($B141&amp;"-"&amp;$B142,INDIRECT("V51:Y"&amp;COUNT((FIND("-",_xlfn.ANCHORARRAY($B$51))&gt;0)*1)+51),3,FALSE))/100),"na")</f>
        <v>na</v>
      </c>
      <c r="O141" s="8" t="str" cm="1">
        <f t="array" aca="1" ref="O141" ca="1">+IFERROR(IF(O142&lt;&gt;"na",O142-VALUE(VLOOKUP($B141&amp;"-"&amp;$B142,INDIRECT("V51:Y"&amp;COUNT((FIND("-",_xlfn.ANCHORARRAY($B$51))&gt;0)*1)+51),3,FALSE))/100,O165-VALUE(VLOOKUP($B141&amp;"-"&amp;$B142,INDIRECT("V51:Y"&amp;COUNT((FIND("-",_xlfn.ANCHORARRAY($B$51))&gt;0)*1)+51),3,FALSE))/100),"na")</f>
        <v>na</v>
      </c>
      <c r="P141" s="8" t="str" cm="1">
        <f t="array" aca="1" ref="P141" ca="1">+IFERROR(IF(P142&lt;&gt;"na",P142-VALUE(VLOOKUP($B141&amp;"-"&amp;$B142,INDIRECT("V51:Y"&amp;COUNT((FIND("-",_xlfn.ANCHORARRAY($B$51))&gt;0)*1)+51),3,FALSE))/100,P165-VALUE(VLOOKUP($B141&amp;"-"&amp;$B142,INDIRECT("V51:Y"&amp;COUNT((FIND("-",_xlfn.ANCHORARRAY($B$51))&gt;0)*1)+51),3,FALSE))/100),"na")</f>
        <v>na</v>
      </c>
      <c r="Q141" s="8" t="str" cm="1">
        <f t="array" aca="1" ref="Q141" ca="1">+IFERROR(IF(Q142&lt;&gt;"na",Q142-VALUE(VLOOKUP($B141&amp;"-"&amp;$B142,INDIRECT("V51:Y"&amp;COUNT((FIND("-",_xlfn.ANCHORARRAY($B$51))&gt;0)*1)+51),3,FALSE))/100,Q165-VALUE(VLOOKUP($B141&amp;"-"&amp;$B142,INDIRECT("V51:Y"&amp;COUNT((FIND("-",_xlfn.ANCHORARRAY($B$51))&gt;0)*1)+51),3,FALSE))/100),"na")</f>
        <v>na</v>
      </c>
      <c r="R141" s="8">
        <f t="shared" ca="1" si="99"/>
        <v>8.39</v>
      </c>
    </row>
    <row r="142" spans="2:18">
      <c r="B142" s="8"/>
      <c r="C142" s="8" t="str" cm="1">
        <f t="array" aca="1" ref="C142" ca="1">+IFERROR(IF(C141&lt;&gt;"na",C141+VALUE(VLOOKUP($B141&amp;"-"&amp;$B142,INDIRECT("V51:Y"&amp;COUNT((FIND("-",_xlfn.ANCHORARRAY($B$51))&gt;0)*1)+51),4,FALSE))/100,C164+VALUE(VLOOKUP($B141&amp;"-"&amp;$B142,INDIRECT("V51:Y"&amp;COUNT((FIND("-",_xlfn.ANCHORARRAY($B$51))&gt;0)*1)+51),4,FALSE))/100),"na")</f>
        <v>na</v>
      </c>
      <c r="D142" s="8" t="str" cm="1">
        <f t="array" aca="1" ref="D142" ca="1">+IFERROR(IF(D141&lt;&gt;"na",D141+VALUE(VLOOKUP($B141&amp;"-"&amp;$B142,INDIRECT("V51:Y"&amp;COUNT((FIND("-",_xlfn.ANCHORARRAY($B$51))&gt;0)*1)+51),4,FALSE))/100,D164+VALUE(VLOOKUP($B141&amp;"-"&amp;$B142,INDIRECT("V51:Y"&amp;COUNT((FIND("-",_xlfn.ANCHORARRAY($B$51))&gt;0)*1)+51),4,FALSE))/100),"na")</f>
        <v>na</v>
      </c>
      <c r="E142" s="8" t="str" cm="1">
        <f t="array" aca="1" ref="E142" ca="1">+IFERROR(IF(E141&lt;&gt;"na",E141+VALUE(VLOOKUP($B141&amp;"-"&amp;$B142,INDIRECT("V51:Y"&amp;COUNT((FIND("-",_xlfn.ANCHORARRAY($B$51))&gt;0)*1)+51),4,FALSE))/100,E164+VALUE(VLOOKUP($B141&amp;"-"&amp;$B142,INDIRECT("V51:Y"&amp;COUNT((FIND("-",_xlfn.ANCHORARRAY($B$51))&gt;0)*1)+51),4,FALSE))/100),"na")</f>
        <v>na</v>
      </c>
      <c r="F142" s="8" t="str" cm="1">
        <f t="array" aca="1" ref="F142" ca="1">+IFERROR(IF(F141&lt;&gt;"na",F141+VALUE(VLOOKUP($B141&amp;"-"&amp;$B142,INDIRECT("V51:Y"&amp;COUNT((FIND("-",_xlfn.ANCHORARRAY($B$51))&gt;0)*1)+51),4,FALSE))/100,F164+VALUE(VLOOKUP($B141&amp;"-"&amp;$B142,INDIRECT("V51:Y"&amp;COUNT((FIND("-",_xlfn.ANCHORARRAY($B$51))&gt;0)*1)+51),4,FALSE))/100),"na")</f>
        <v>na</v>
      </c>
      <c r="G142" s="8" t="str" cm="1">
        <f t="array" aca="1" ref="G142" ca="1">+IFERROR(IF(G141&lt;&gt;"na",G141+VALUE(VLOOKUP($B141&amp;"-"&amp;$B142,INDIRECT("V51:Y"&amp;COUNT((FIND("-",_xlfn.ANCHORARRAY($B$51))&gt;0)*1)+51),4,FALSE))/100,G164+VALUE(VLOOKUP($B141&amp;"-"&amp;$B142,INDIRECT("V51:Y"&amp;COUNT((FIND("-",_xlfn.ANCHORARRAY($B$51))&gt;0)*1)+51),4,FALSE))/100),"na")</f>
        <v>na</v>
      </c>
      <c r="H142" s="8" t="str" cm="1">
        <f t="array" aca="1" ref="H142" ca="1">+IFERROR(IF(H141&lt;&gt;"na",H141+VALUE(VLOOKUP($B141&amp;"-"&amp;$B142,INDIRECT("V51:Y"&amp;COUNT((FIND("-",_xlfn.ANCHORARRAY($B$51))&gt;0)*1)+51),4,FALSE))/100,H164+VALUE(VLOOKUP($B141&amp;"-"&amp;$B142,INDIRECT("V51:Y"&amp;COUNT((FIND("-",_xlfn.ANCHORARRAY($B$51))&gt;0)*1)+51),4,FALSE))/100),"na")</f>
        <v>na</v>
      </c>
      <c r="I142" s="8" t="str" cm="1">
        <f t="array" aca="1" ref="I142" ca="1">+IFERROR(IF(I141&lt;&gt;"na",I141+VALUE(VLOOKUP($B141&amp;"-"&amp;$B142,INDIRECT("V51:Y"&amp;COUNT((FIND("-",_xlfn.ANCHORARRAY($B$51))&gt;0)*1)+51),4,FALSE))/100,I164+VALUE(VLOOKUP($B141&amp;"-"&amp;$B142,INDIRECT("V51:Y"&amp;COUNT((FIND("-",_xlfn.ANCHORARRAY($B$51))&gt;0)*1)+51),4,FALSE))/100),"na")</f>
        <v>na</v>
      </c>
      <c r="J142" s="8" t="str" cm="1">
        <f t="array" aca="1" ref="J142" ca="1">+IFERROR(J141+VALUE(VLOOKUP($B141&amp;"-"&amp;$B142,INDIRECT("V51:Y"&amp;COUNT((FIND("-",_xlfn.ANCHORARRAY($B$51))&gt;0)*1)+51),4,FALSE))/100,"na")</f>
        <v>na</v>
      </c>
      <c r="K142" s="8" t="str">
        <f ca="1">+IFERROR(VALUE(VLOOKUP(K$91,INDIRECT("V28:Y"&amp;COUNT(_xlfn.ANCHORARRAY($B$92))+28),4,FALSE)),"na")</f>
        <v>na</v>
      </c>
      <c r="L142" s="8" t="str" cm="1">
        <f t="array" aca="1" ref="L142" ca="1">+IFERROR(L143-VALUE(VLOOKUP($B142&amp;"-"&amp;$B143,INDIRECT("V51:Y"&amp;COUNT((FIND("-",_xlfn.ANCHORARRAY($B$51))&gt;0)*1)+51),3,FALSE))/100,"na")</f>
        <v>na</v>
      </c>
      <c r="M142" s="8" t="str" cm="1">
        <f t="array" aca="1" ref="M142" ca="1">+IFERROR(IF(M143&lt;&gt;"na",M143-VALUE(VLOOKUP($B142&amp;"-"&amp;$B143,INDIRECT("V51:Y"&amp;COUNT((FIND("-",_xlfn.ANCHORARRAY($B$51))&gt;0)*1)+51),3,FALSE))/100,M166-VALUE(VLOOKUP($B142&amp;"-"&amp;$B143,INDIRECT("V51:Y"&amp;COUNT((FIND("-",_xlfn.ANCHORARRAY($B$51))&gt;0)*1)+51),3,FALSE))/100),"na")</f>
        <v>na</v>
      </c>
      <c r="N142" s="8" t="str" cm="1">
        <f t="array" aca="1" ref="N142" ca="1">+IFERROR(IF(N143&lt;&gt;"na",N143-VALUE(VLOOKUP($B142&amp;"-"&amp;$B143,INDIRECT("V51:Y"&amp;COUNT((FIND("-",_xlfn.ANCHORARRAY($B$51))&gt;0)*1)+51),3,FALSE))/100,N166-VALUE(VLOOKUP($B142&amp;"-"&amp;$B143,INDIRECT("V51:Y"&amp;COUNT((FIND("-",_xlfn.ANCHORARRAY($B$51))&gt;0)*1)+51),3,FALSE))/100),"na")</f>
        <v>na</v>
      </c>
      <c r="O142" s="8" t="str" cm="1">
        <f t="array" aca="1" ref="O142" ca="1">+IFERROR(IF(O143&lt;&gt;"na",O143-VALUE(VLOOKUP($B142&amp;"-"&amp;$B143,INDIRECT("V51:Y"&amp;COUNT((FIND("-",_xlfn.ANCHORARRAY($B$51))&gt;0)*1)+51),3,FALSE))/100,O166-VALUE(VLOOKUP($B142&amp;"-"&amp;$B143,INDIRECT("V51:Y"&amp;COUNT((FIND("-",_xlfn.ANCHORARRAY($B$51))&gt;0)*1)+51),3,FALSE))/100),"na")</f>
        <v>na</v>
      </c>
      <c r="P142" s="8" t="str" cm="1">
        <f t="array" aca="1" ref="P142" ca="1">+IFERROR(IF(P143&lt;&gt;"na",P143-VALUE(VLOOKUP($B142&amp;"-"&amp;$B143,INDIRECT("V51:Y"&amp;COUNT((FIND("-",_xlfn.ANCHORARRAY($B$51))&gt;0)*1)+51),3,FALSE))/100,P166-VALUE(VLOOKUP($B142&amp;"-"&amp;$B143,INDIRECT("V51:Y"&amp;COUNT((FIND("-",_xlfn.ANCHORARRAY($B$51))&gt;0)*1)+51),3,FALSE))/100),"na")</f>
        <v>na</v>
      </c>
      <c r="Q142" s="8" t="str" cm="1">
        <f t="array" aca="1" ref="Q142" ca="1">+IFERROR(IF(Q143&lt;&gt;"na",Q143-VALUE(VLOOKUP($B142&amp;"-"&amp;$B143,INDIRECT("V51:Y"&amp;COUNT((FIND("-",_xlfn.ANCHORARRAY($B$51))&gt;0)*1)+51),3,FALSE))/100,Q166-VALUE(VLOOKUP($B142&amp;"-"&amp;$B143,INDIRECT("V51:Y"&amp;COUNT((FIND("-",_xlfn.ANCHORARRAY($B$51))&gt;0)*1)+51),3,FALSE))/100),"na")</f>
        <v>na</v>
      </c>
      <c r="R142" s="8" t="str">
        <f t="shared" ca="1" si="99"/>
        <v/>
      </c>
    </row>
    <row r="143" spans="2:18">
      <c r="B143" s="8"/>
      <c r="C143" s="8" t="str" cm="1">
        <f t="array" aca="1" ref="C143" ca="1">+IFERROR(IF(C142&lt;&gt;"na",C142+VALUE(VLOOKUP($B142&amp;"-"&amp;$B143,INDIRECT("V51:Y"&amp;COUNT((FIND("-",_xlfn.ANCHORARRAY($B$51))&gt;0)*1)+51),4,FALSE))/100,C165+VALUE(VLOOKUP($B142&amp;"-"&amp;$B143,INDIRECT("V51:Y"&amp;COUNT((FIND("-",_xlfn.ANCHORARRAY($B$51))&gt;0)*1)+51),4,FALSE))/100),"na")</f>
        <v>na</v>
      </c>
      <c r="D143" s="8" t="str" cm="1">
        <f t="array" aca="1" ref="D143" ca="1">+IFERROR(IF(D142&lt;&gt;"na",D142+VALUE(VLOOKUP($B142&amp;"-"&amp;$B143,INDIRECT("V51:Y"&amp;COUNT((FIND("-",_xlfn.ANCHORARRAY($B$51))&gt;0)*1)+51),4,FALSE))/100,D165+VALUE(VLOOKUP($B142&amp;"-"&amp;$B143,INDIRECT("V51:Y"&amp;COUNT((FIND("-",_xlfn.ANCHORARRAY($B$51))&gt;0)*1)+51),4,FALSE))/100),"na")</f>
        <v>na</v>
      </c>
      <c r="E143" s="8" t="str" cm="1">
        <f t="array" aca="1" ref="E143" ca="1">+IFERROR(IF(E142&lt;&gt;"na",E142+VALUE(VLOOKUP($B142&amp;"-"&amp;$B143,INDIRECT("V51:Y"&amp;COUNT((FIND("-",_xlfn.ANCHORARRAY($B$51))&gt;0)*1)+51),4,FALSE))/100,E165+VALUE(VLOOKUP($B142&amp;"-"&amp;$B143,INDIRECT("V51:Y"&amp;COUNT((FIND("-",_xlfn.ANCHORARRAY($B$51))&gt;0)*1)+51),4,FALSE))/100),"na")</f>
        <v>na</v>
      </c>
      <c r="F143" s="8" t="str" cm="1">
        <f t="array" aca="1" ref="F143" ca="1">+IFERROR(IF(F142&lt;&gt;"na",F142+VALUE(VLOOKUP($B142&amp;"-"&amp;$B143,INDIRECT("V51:Y"&amp;COUNT((FIND("-",_xlfn.ANCHORARRAY($B$51))&gt;0)*1)+51),4,FALSE))/100,F165+VALUE(VLOOKUP($B142&amp;"-"&amp;$B143,INDIRECT("V51:Y"&amp;COUNT((FIND("-",_xlfn.ANCHORARRAY($B$51))&gt;0)*1)+51),4,FALSE))/100),"na")</f>
        <v>na</v>
      </c>
      <c r="G143" s="8" t="str" cm="1">
        <f t="array" aca="1" ref="G143" ca="1">+IFERROR(IF(G142&lt;&gt;"na",G142+VALUE(VLOOKUP($B142&amp;"-"&amp;$B143,INDIRECT("V51:Y"&amp;COUNT((FIND("-",_xlfn.ANCHORARRAY($B$51))&gt;0)*1)+51),4,FALSE))/100,G165+VALUE(VLOOKUP($B142&amp;"-"&amp;$B143,INDIRECT("V51:Y"&amp;COUNT((FIND("-",_xlfn.ANCHORARRAY($B$51))&gt;0)*1)+51),4,FALSE))/100),"na")</f>
        <v>na</v>
      </c>
      <c r="H143" s="8" t="str" cm="1">
        <f t="array" aca="1" ref="H143" ca="1">+IFERROR(IF(H142&lt;&gt;"na",H142+VALUE(VLOOKUP($B142&amp;"-"&amp;$B143,INDIRECT("V51:Y"&amp;COUNT((FIND("-",_xlfn.ANCHORARRAY($B$51))&gt;0)*1)+51),4,FALSE))/100,H165+VALUE(VLOOKUP($B142&amp;"-"&amp;$B143,INDIRECT("V51:Y"&amp;COUNT((FIND("-",_xlfn.ANCHORARRAY($B$51))&gt;0)*1)+51),4,FALSE))/100),"na")</f>
        <v>na</v>
      </c>
      <c r="I143" s="8" t="str" cm="1">
        <f t="array" aca="1" ref="I143" ca="1">+IFERROR(IF(I142&lt;&gt;"na",I142+VALUE(VLOOKUP($B142&amp;"-"&amp;$B143,INDIRECT("V51:Y"&amp;COUNT((FIND("-",_xlfn.ANCHORARRAY($B$51))&gt;0)*1)+51),4,FALSE))/100,I165+VALUE(VLOOKUP($B142&amp;"-"&amp;$B143,INDIRECT("V51:Y"&amp;COUNT((FIND("-",_xlfn.ANCHORARRAY($B$51))&gt;0)*1)+51),4,FALSE))/100),"na")</f>
        <v>na</v>
      </c>
      <c r="J143" s="8" t="str" cm="1">
        <f t="array" aca="1" ref="J143" ca="1">+IFERROR(IF(J142&lt;&gt;"na",J142+VALUE(VLOOKUP($B142&amp;"-"&amp;$B143,INDIRECT("V51:Y"&amp;COUNT((FIND("-",_xlfn.ANCHORARRAY($B$51))&gt;0)*1)+51),4,FALSE))/100,J165+VALUE(VLOOKUP($B142&amp;"-"&amp;$B143,INDIRECT("V51:Y"&amp;COUNT((FIND("-",_xlfn.ANCHORARRAY($B$51))&gt;0)*1)+51),4,FALSE))/100),"na")</f>
        <v>na</v>
      </c>
      <c r="K143" s="8" t="str" cm="1">
        <f t="array" aca="1" ref="K143" ca="1">+IFERROR(K142+VALUE(VLOOKUP($B142&amp;"-"&amp;$B143,INDIRECT("V51:Y"&amp;COUNT((FIND("-",_xlfn.ANCHORARRAY($B$51))&gt;0)*1)+51),4,FALSE))/100,"na")</f>
        <v>na</v>
      </c>
      <c r="L143" s="8" t="str">
        <f ca="1">+IFERROR(VALUE(VLOOKUP(L$91,INDIRECT("V28:Y"&amp;COUNT(_xlfn.ANCHORARRAY($B$92))+28),4,FALSE)),"na")</f>
        <v>na</v>
      </c>
      <c r="M143" s="8" t="str" cm="1">
        <f t="array" aca="1" ref="M143" ca="1">+IFERROR(M144-VALUE(VLOOKUP($B143&amp;"-"&amp;$B144,INDIRECT("V51:Y"&amp;COUNT((FIND("-",_xlfn.ANCHORARRAY($B$51))&gt;0)*1)+51),3,FALSE))/100,"na")</f>
        <v>na</v>
      </c>
      <c r="N143" s="8" t="str" cm="1">
        <f t="array" aca="1" ref="N143" ca="1">+IFERROR(IF(N144&lt;&gt;"na",N144-VALUE(VLOOKUP($B143&amp;"-"&amp;$B144,INDIRECT("V51:Y"&amp;COUNT((FIND("-",_xlfn.ANCHORARRAY($B$51))&gt;0)*1)+51),3,FALSE))/100,N167-VALUE(VLOOKUP($B143&amp;"-"&amp;$B144,INDIRECT("V51:Y"&amp;COUNT((FIND("-",_xlfn.ANCHORARRAY($B$51))&gt;0)*1)+51),3,FALSE))/100),"na")</f>
        <v>na</v>
      </c>
      <c r="O143" s="8" t="str" cm="1">
        <f t="array" aca="1" ref="O143" ca="1">+IFERROR(IF(O144&lt;&gt;"na",O144-VALUE(VLOOKUP($B143&amp;"-"&amp;$B144,INDIRECT("V51:Y"&amp;COUNT((FIND("-",_xlfn.ANCHORARRAY($B$51))&gt;0)*1)+51),3,FALSE))/100,O167-VALUE(VLOOKUP($B143&amp;"-"&amp;$B144,INDIRECT("V51:Y"&amp;COUNT((FIND("-",_xlfn.ANCHORARRAY($B$51))&gt;0)*1)+51),3,FALSE))/100),"na")</f>
        <v>na</v>
      </c>
      <c r="P143" s="8" t="str" cm="1">
        <f t="array" aca="1" ref="P143" ca="1">+IFERROR(IF(P144&lt;&gt;"na",P144-VALUE(VLOOKUP($B143&amp;"-"&amp;$B144,INDIRECT("V51:Y"&amp;COUNT((FIND("-",_xlfn.ANCHORARRAY($B$51))&gt;0)*1)+51),3,FALSE))/100,P167-VALUE(VLOOKUP($B143&amp;"-"&amp;$B144,INDIRECT("V51:Y"&amp;COUNT((FIND("-",_xlfn.ANCHORARRAY($B$51))&gt;0)*1)+51),3,FALSE))/100),"na")</f>
        <v>na</v>
      </c>
      <c r="Q143" s="8" t="str" cm="1">
        <f t="array" aca="1" ref="Q143" ca="1">+IFERROR(IF(Q144&lt;&gt;"na",Q144-VALUE(VLOOKUP($B143&amp;"-"&amp;$B144,INDIRECT("V51:Y"&amp;COUNT((FIND("-",_xlfn.ANCHORARRAY($B$51))&gt;0)*1)+51),3,FALSE))/100,Q167-VALUE(VLOOKUP($B143&amp;"-"&amp;$B144,INDIRECT("V51:Y"&amp;COUNT((FIND("-",_xlfn.ANCHORARRAY($B$51))&gt;0)*1)+51),3,FALSE))/100),"na")</f>
        <v>na</v>
      </c>
      <c r="R143" s="8" t="str">
        <f t="shared" ca="1" si="99"/>
        <v/>
      </c>
    </row>
    <row r="144" spans="2:18">
      <c r="B144" s="8"/>
      <c r="C144" s="8" t="str" cm="1">
        <f t="array" aca="1" ref="C144" ca="1">+IFERROR(IF(C143&lt;&gt;"na",C143+VALUE(VLOOKUP($B143&amp;"-"&amp;$B144,INDIRECT("V51:Y"&amp;COUNT((FIND("-",_xlfn.ANCHORARRAY($B$51))&gt;0)*1)+51),4,FALSE))/100,C166+VALUE(VLOOKUP($B143&amp;"-"&amp;$B144,INDIRECT("V51:Y"&amp;COUNT((FIND("-",_xlfn.ANCHORARRAY($B$51))&gt;0)*1)+51),4,FALSE))/100),"na")</f>
        <v>na</v>
      </c>
      <c r="D144" s="8" t="str" cm="1">
        <f t="array" aca="1" ref="D144" ca="1">+IFERROR(IF(D143&lt;&gt;"na",D143+VALUE(VLOOKUP($B143&amp;"-"&amp;$B144,INDIRECT("V51:Y"&amp;COUNT((FIND("-",_xlfn.ANCHORARRAY($B$51))&gt;0)*1)+51),4,FALSE))/100,D166+VALUE(VLOOKUP($B143&amp;"-"&amp;$B144,INDIRECT("V51:Y"&amp;COUNT((FIND("-",_xlfn.ANCHORARRAY($B$51))&gt;0)*1)+51),4,FALSE))/100),"na")</f>
        <v>na</v>
      </c>
      <c r="E144" s="8" t="str" cm="1">
        <f t="array" aca="1" ref="E144" ca="1">+IFERROR(IF(E143&lt;&gt;"na",E143+VALUE(VLOOKUP($B143&amp;"-"&amp;$B144,INDIRECT("V51:Y"&amp;COUNT((FIND("-",_xlfn.ANCHORARRAY($B$51))&gt;0)*1)+51),4,FALSE))/100,E166+VALUE(VLOOKUP($B143&amp;"-"&amp;$B144,INDIRECT("V51:Y"&amp;COUNT((FIND("-",_xlfn.ANCHORARRAY($B$51))&gt;0)*1)+51),4,FALSE))/100),"na")</f>
        <v>na</v>
      </c>
      <c r="F144" s="8" t="str" cm="1">
        <f t="array" aca="1" ref="F144" ca="1">+IFERROR(IF(F143&lt;&gt;"na",F143+VALUE(VLOOKUP($B143&amp;"-"&amp;$B144,INDIRECT("V51:Y"&amp;COUNT((FIND("-",_xlfn.ANCHORARRAY($B$51))&gt;0)*1)+51),4,FALSE))/100,F166+VALUE(VLOOKUP($B143&amp;"-"&amp;$B144,INDIRECT("V51:Y"&amp;COUNT((FIND("-",_xlfn.ANCHORARRAY($B$51))&gt;0)*1)+51),4,FALSE))/100),"na")</f>
        <v>na</v>
      </c>
      <c r="G144" s="8" t="str" cm="1">
        <f t="array" aca="1" ref="G144" ca="1">+IFERROR(IF(G143&lt;&gt;"na",G143+VALUE(VLOOKUP($B143&amp;"-"&amp;$B144,INDIRECT("V51:Y"&amp;COUNT((FIND("-",_xlfn.ANCHORARRAY($B$51))&gt;0)*1)+51),4,FALSE))/100,G166+VALUE(VLOOKUP($B143&amp;"-"&amp;$B144,INDIRECT("V51:Y"&amp;COUNT((FIND("-",_xlfn.ANCHORARRAY($B$51))&gt;0)*1)+51),4,FALSE))/100),"na")</f>
        <v>na</v>
      </c>
      <c r="H144" s="8" t="str" cm="1">
        <f t="array" aca="1" ref="H144" ca="1">+IFERROR(IF(H143&lt;&gt;"na",H143+VALUE(VLOOKUP($B143&amp;"-"&amp;$B144,INDIRECT("V51:Y"&amp;COUNT((FIND("-",_xlfn.ANCHORARRAY($B$51))&gt;0)*1)+51),4,FALSE))/100,H166+VALUE(VLOOKUP($B143&amp;"-"&amp;$B144,INDIRECT("V51:Y"&amp;COUNT((FIND("-",_xlfn.ANCHORARRAY($B$51))&gt;0)*1)+51),4,FALSE))/100),"na")</f>
        <v>na</v>
      </c>
      <c r="I144" s="8" t="str" cm="1">
        <f t="array" aca="1" ref="I144" ca="1">+IFERROR(IF(I143&lt;&gt;"na",I143+VALUE(VLOOKUP($B143&amp;"-"&amp;$B144,INDIRECT("V51:Y"&amp;COUNT((FIND("-",_xlfn.ANCHORARRAY($B$51))&gt;0)*1)+51),4,FALSE))/100,I166+VALUE(VLOOKUP($B143&amp;"-"&amp;$B144,INDIRECT("V51:Y"&amp;COUNT((FIND("-",_xlfn.ANCHORARRAY($B$51))&gt;0)*1)+51),4,FALSE))/100),"na")</f>
        <v>na</v>
      </c>
      <c r="J144" s="8" t="str" cm="1">
        <f t="array" aca="1" ref="J144" ca="1">+IFERROR(IF(J143&lt;&gt;"na",J143+VALUE(VLOOKUP($B143&amp;"-"&amp;$B144,INDIRECT("V51:Y"&amp;COUNT((FIND("-",_xlfn.ANCHORARRAY($B$51))&gt;0)*1)+51),4,FALSE))/100,J166+VALUE(VLOOKUP($B143&amp;"-"&amp;$B144,INDIRECT("V51:Y"&amp;COUNT((FIND("-",_xlfn.ANCHORARRAY($B$51))&gt;0)*1)+51),4,FALSE))/100),"na")</f>
        <v>na</v>
      </c>
      <c r="K144" s="8" t="str" cm="1">
        <f t="array" aca="1" ref="K144" ca="1">+IFERROR(IF(K143&lt;&gt;"na",K143+VALUE(VLOOKUP($B143&amp;"-"&amp;$B144,INDIRECT("V51:Y"&amp;COUNT((FIND("-",_xlfn.ANCHORARRAY($B$51))&gt;0)*1)+51),4,FALSE))/100,K166+VALUE(VLOOKUP($B143&amp;"-"&amp;$B144,INDIRECT("V51:Y"&amp;COUNT((FIND("-",_xlfn.ANCHORARRAY($B$51))&gt;0)*1)+51),4,FALSE))/100),"na")</f>
        <v>na</v>
      </c>
      <c r="L144" s="8" t="str" cm="1">
        <f t="array" aca="1" ref="L144" ca="1">+IFERROR(L143+VALUE(VLOOKUP($B143&amp;"-"&amp;$B144,INDIRECT("V51:Y"&amp;COUNT((FIND("-",_xlfn.ANCHORARRAY($B$51))&gt;0)*1)+51),4,FALSE))/100,"na")</f>
        <v>na</v>
      </c>
      <c r="M144" s="8" t="str">
        <f ca="1">+IFERROR(VALUE(VLOOKUP(M$91,INDIRECT("V28:Y"&amp;COUNT(_xlfn.ANCHORARRAY($B$92))+28),4,FALSE)),"na")</f>
        <v>na</v>
      </c>
      <c r="N144" s="8" t="str" cm="1">
        <f t="array" aca="1" ref="N144" ca="1">+IFERROR(N145-VALUE(VLOOKUP($B144&amp;"-"&amp;$B145,INDIRECT("V51:Y"&amp;COUNT((FIND("-",_xlfn.ANCHORARRAY($B$51))&gt;0)*1)+51),3,FALSE))/100,"na")</f>
        <v>na</v>
      </c>
      <c r="O144" s="8" t="str" cm="1">
        <f t="array" aca="1" ref="O144" ca="1">+IFERROR(IF(O145&lt;&gt;"na",O145-VALUE(VLOOKUP($B144&amp;"-"&amp;$B145,INDIRECT("V51:Y"&amp;COUNT((FIND("-",_xlfn.ANCHORARRAY($B$51))&gt;0)*1)+51),3,FALSE))/100,O168-VALUE(VLOOKUP($B144&amp;"-"&amp;$B145,INDIRECT("V51:Y"&amp;COUNT((FIND("-",_xlfn.ANCHORARRAY($B$51))&gt;0)*1)+51),3,FALSE))/100),"na")</f>
        <v>na</v>
      </c>
      <c r="P144" s="8" t="str" cm="1">
        <f t="array" aca="1" ref="P144" ca="1">+IFERROR(IF(P145&lt;&gt;"na",P145-VALUE(VLOOKUP($B144&amp;"-"&amp;$B145,INDIRECT("V51:Y"&amp;COUNT((FIND("-",_xlfn.ANCHORARRAY($B$51))&gt;0)*1)+51),3,FALSE))/100,P168-VALUE(VLOOKUP($B144&amp;"-"&amp;$B145,INDIRECT("V51:Y"&amp;COUNT((FIND("-",_xlfn.ANCHORARRAY($B$51))&gt;0)*1)+51),3,FALSE))/100),"na")</f>
        <v>na</v>
      </c>
      <c r="Q144" s="8" t="str" cm="1">
        <f t="array" aca="1" ref="Q144" ca="1">+IFERROR(IF(Q145&lt;&gt;"na",Q145-VALUE(VLOOKUP($B144&amp;"-"&amp;$B145,INDIRECT("V51:Y"&amp;COUNT((FIND("-",_xlfn.ANCHORARRAY($B$51))&gt;0)*1)+51),3,FALSE))/100,Q168-VALUE(VLOOKUP($B144&amp;"-"&amp;$B145,INDIRECT("V51:Y"&amp;COUNT((FIND("-",_xlfn.ANCHORARRAY($B$51))&gt;0)*1)+51),3,FALSE))/100),"na")</f>
        <v>na</v>
      </c>
      <c r="R144" s="8" t="str">
        <f t="shared" ca="1" si="99"/>
        <v/>
      </c>
    </row>
    <row r="145" spans="2:18">
      <c r="B145" s="8"/>
      <c r="C145" s="8" t="str" cm="1">
        <f t="array" aca="1" ref="C145" ca="1">+IFERROR(IF(C144&lt;&gt;"na",C144+VALUE(VLOOKUP($B144&amp;"-"&amp;$B145,INDIRECT("V51:Y"&amp;COUNT((FIND("-",_xlfn.ANCHORARRAY($B$51))&gt;0)*1)+51),4,FALSE))/100,C167+VALUE(VLOOKUP($B144&amp;"-"&amp;$B145,INDIRECT("V51:Y"&amp;COUNT((FIND("-",_xlfn.ANCHORARRAY($B$51))&gt;0)*1)+51),4,FALSE))/100),"na")</f>
        <v>na</v>
      </c>
      <c r="D145" s="8" t="str" cm="1">
        <f t="array" aca="1" ref="D145" ca="1">+IFERROR(IF(D144&lt;&gt;"na",D144+VALUE(VLOOKUP($B144&amp;"-"&amp;$B145,INDIRECT("V51:Y"&amp;COUNT((FIND("-",_xlfn.ANCHORARRAY($B$51))&gt;0)*1)+51),4,FALSE))/100,D167+VALUE(VLOOKUP($B144&amp;"-"&amp;$B145,INDIRECT("V51:Y"&amp;COUNT((FIND("-",_xlfn.ANCHORARRAY($B$51))&gt;0)*1)+51),4,FALSE))/100),"na")</f>
        <v>na</v>
      </c>
      <c r="E145" s="8" t="str" cm="1">
        <f t="array" aca="1" ref="E145" ca="1">+IFERROR(IF(E144&lt;&gt;"na",E144+VALUE(VLOOKUP($B144&amp;"-"&amp;$B145,INDIRECT("V51:Y"&amp;COUNT((FIND("-",_xlfn.ANCHORARRAY($B$51))&gt;0)*1)+51),4,FALSE))/100,E167+VALUE(VLOOKUP($B144&amp;"-"&amp;$B145,INDIRECT("V51:Y"&amp;COUNT((FIND("-",_xlfn.ANCHORARRAY($B$51))&gt;0)*1)+51),4,FALSE))/100),"na")</f>
        <v>na</v>
      </c>
      <c r="F145" s="8" t="str" cm="1">
        <f t="array" aca="1" ref="F145" ca="1">+IFERROR(IF(F144&lt;&gt;"na",F144+VALUE(VLOOKUP($B144&amp;"-"&amp;$B145,INDIRECT("V51:Y"&amp;COUNT((FIND("-",_xlfn.ANCHORARRAY($B$51))&gt;0)*1)+51),4,FALSE))/100,F167+VALUE(VLOOKUP($B144&amp;"-"&amp;$B145,INDIRECT("V51:Y"&amp;COUNT((FIND("-",_xlfn.ANCHORARRAY($B$51))&gt;0)*1)+51),4,FALSE))/100),"na")</f>
        <v>na</v>
      </c>
      <c r="G145" s="8" t="str" cm="1">
        <f t="array" aca="1" ref="G145" ca="1">+IFERROR(IF(G144&lt;&gt;"na",G144+VALUE(VLOOKUP($B144&amp;"-"&amp;$B145,INDIRECT("V51:Y"&amp;COUNT((FIND("-",_xlfn.ANCHORARRAY($B$51))&gt;0)*1)+51),4,FALSE))/100,G167+VALUE(VLOOKUP($B144&amp;"-"&amp;$B145,INDIRECT("V51:Y"&amp;COUNT((FIND("-",_xlfn.ANCHORARRAY($B$51))&gt;0)*1)+51),4,FALSE))/100),"na")</f>
        <v>na</v>
      </c>
      <c r="H145" s="8" t="str" cm="1">
        <f t="array" aca="1" ref="H145" ca="1">+IFERROR(IF(H144&lt;&gt;"na",H144+VALUE(VLOOKUP($B144&amp;"-"&amp;$B145,INDIRECT("V51:Y"&amp;COUNT((FIND("-",_xlfn.ANCHORARRAY($B$51))&gt;0)*1)+51),4,FALSE))/100,H167+VALUE(VLOOKUP($B144&amp;"-"&amp;$B145,INDIRECT("V51:Y"&amp;COUNT((FIND("-",_xlfn.ANCHORARRAY($B$51))&gt;0)*1)+51),4,FALSE))/100),"na")</f>
        <v>na</v>
      </c>
      <c r="I145" s="8" t="str" cm="1">
        <f t="array" aca="1" ref="I145" ca="1">+IFERROR(IF(I144&lt;&gt;"na",I144+VALUE(VLOOKUP($B144&amp;"-"&amp;$B145,INDIRECT("V51:Y"&amp;COUNT((FIND("-",_xlfn.ANCHORARRAY($B$51))&gt;0)*1)+51),4,FALSE))/100,I167+VALUE(VLOOKUP($B144&amp;"-"&amp;$B145,INDIRECT("V51:Y"&amp;COUNT((FIND("-",_xlfn.ANCHORARRAY($B$51))&gt;0)*1)+51),4,FALSE))/100),"na")</f>
        <v>na</v>
      </c>
      <c r="J145" s="8" t="str" cm="1">
        <f t="array" aca="1" ref="J145" ca="1">+IFERROR(IF(J144&lt;&gt;"na",J144+VALUE(VLOOKUP($B144&amp;"-"&amp;$B145,INDIRECT("V51:Y"&amp;COUNT((FIND("-",_xlfn.ANCHORARRAY($B$51))&gt;0)*1)+51),4,FALSE))/100,J167+VALUE(VLOOKUP($B144&amp;"-"&amp;$B145,INDIRECT("V51:Y"&amp;COUNT((FIND("-",_xlfn.ANCHORARRAY($B$51))&gt;0)*1)+51),4,FALSE))/100),"na")</f>
        <v>na</v>
      </c>
      <c r="K145" s="8" t="str" cm="1">
        <f t="array" aca="1" ref="K145" ca="1">+IFERROR(IF(K144&lt;&gt;"na",K144+VALUE(VLOOKUP($B144&amp;"-"&amp;$B145,INDIRECT("V51:Y"&amp;COUNT((FIND("-",_xlfn.ANCHORARRAY($B$51))&gt;0)*1)+51),4,FALSE))/100,K167+VALUE(VLOOKUP($B144&amp;"-"&amp;$B145,INDIRECT("V51:Y"&amp;COUNT((FIND("-",_xlfn.ANCHORARRAY($B$51))&gt;0)*1)+51),4,FALSE))/100),"na")</f>
        <v>na</v>
      </c>
      <c r="L145" s="8" t="str" cm="1">
        <f t="array" aca="1" ref="L145" ca="1">+IFERROR(IF(L144&lt;&gt;"na",L144+VALUE(VLOOKUP($B144&amp;"-"&amp;$B145,INDIRECT("V51:Y"&amp;COUNT((FIND("-",_xlfn.ANCHORARRAY($B$51))&gt;0)*1)+51),4,FALSE))/100,L167+VALUE(VLOOKUP($B144&amp;"-"&amp;$B145,INDIRECT("V51:Y"&amp;COUNT((FIND("-",_xlfn.ANCHORARRAY($B$51))&gt;0)*1)+51),4,FALSE))/100),"na")</f>
        <v>na</v>
      </c>
      <c r="M145" s="8" t="str" cm="1">
        <f t="array" aca="1" ref="M145" ca="1">+IFERROR(M144+VALUE(VLOOKUP($B144&amp;"-"&amp;$B145,INDIRECT("V51:Y"&amp;COUNT((FIND("-",_xlfn.ANCHORARRAY($B$51))&gt;0)*1)+51),4,FALSE))/100,"na")</f>
        <v>na</v>
      </c>
      <c r="N145" s="8" t="str">
        <f ca="1">+IFERROR(VALUE(VLOOKUP(N$91,INDIRECT("V28:Y"&amp;COUNT(_xlfn.ANCHORARRAY($B$92))+28),4,FALSE)),"na")</f>
        <v>na</v>
      </c>
      <c r="O145" s="8" t="str" cm="1">
        <f t="array" aca="1" ref="O145" ca="1">+IFERROR(O146-VALUE(VLOOKUP($B145&amp;"-"&amp;$B146,INDIRECT("V51:Y"&amp;COUNT((FIND("-",_xlfn.ANCHORARRAY($B$51))&gt;0)*1)+51),3,FALSE))/100,"na")</f>
        <v>na</v>
      </c>
      <c r="P145" s="8" t="str" cm="1">
        <f t="array" aca="1" ref="P145" ca="1">+IFERROR(IF(P146&lt;&gt;"na",P146-VALUE(VLOOKUP($B145&amp;"-"&amp;$B146,INDIRECT("V51:Y"&amp;COUNT((FIND("-",_xlfn.ANCHORARRAY($B$51))&gt;0)*1)+51),3,FALSE))/100,P169-VALUE(VLOOKUP($B145&amp;"-"&amp;$B146,INDIRECT("V51:Y"&amp;COUNT((FIND("-",_xlfn.ANCHORARRAY($B$51))&gt;0)*1)+51),3,FALSE))/100),"na")</f>
        <v>na</v>
      </c>
      <c r="Q145" s="8" t="str" cm="1">
        <f t="array" aca="1" ref="Q145" ca="1">+IFERROR(IF(Q146&lt;&gt;"na",Q146-VALUE(VLOOKUP($B145&amp;"-"&amp;$B146,INDIRECT("V51:Y"&amp;COUNT((FIND("-",_xlfn.ANCHORARRAY($B$51))&gt;0)*1)+51),3,FALSE))/100,Q169-VALUE(VLOOKUP($B145&amp;"-"&amp;$B146,INDIRECT("V51:Y"&amp;COUNT((FIND("-",_xlfn.ANCHORARRAY($B$51))&gt;0)*1)+51),3,FALSE))/100),"na")</f>
        <v>na</v>
      </c>
      <c r="R145" s="8" t="str">
        <f t="shared" ca="1" si="99"/>
        <v/>
      </c>
    </row>
    <row r="146" spans="2:18">
      <c r="B146" s="8"/>
      <c r="C146" s="8" t="str" cm="1">
        <f t="array" aca="1" ref="C146" ca="1">+IFERROR(IF(C145&lt;&gt;"na",C145+VALUE(VLOOKUP($B145&amp;"-"&amp;$B146,INDIRECT("V51:Y"&amp;COUNT((FIND("-",_xlfn.ANCHORARRAY($B$51))&gt;0)*1)+51),4,FALSE))/100,C168+VALUE(VLOOKUP($B145&amp;"-"&amp;$B146,INDIRECT("V51:Y"&amp;COUNT((FIND("-",_xlfn.ANCHORARRAY($B$51))&gt;0)*1)+51),4,FALSE))/100),"na")</f>
        <v>na</v>
      </c>
      <c r="D146" s="8" t="str" cm="1">
        <f t="array" aca="1" ref="D146" ca="1">+IFERROR(IF(D145&lt;&gt;"na",D145+VALUE(VLOOKUP($B145&amp;"-"&amp;$B146,INDIRECT("V51:Y"&amp;COUNT((FIND("-",_xlfn.ANCHORARRAY($B$51))&gt;0)*1)+51),4,FALSE))/100,D168+VALUE(VLOOKUP($B145&amp;"-"&amp;$B146,INDIRECT("V51:Y"&amp;COUNT((FIND("-",_xlfn.ANCHORARRAY($B$51))&gt;0)*1)+51),4,FALSE))/100),"na")</f>
        <v>na</v>
      </c>
      <c r="E146" s="8" t="str" cm="1">
        <f t="array" aca="1" ref="E146" ca="1">+IFERROR(IF(E145&lt;&gt;"na",E145+VALUE(VLOOKUP($B145&amp;"-"&amp;$B146,INDIRECT("V51:Y"&amp;COUNT((FIND("-",_xlfn.ANCHORARRAY($B$51))&gt;0)*1)+51),4,FALSE))/100,E168+VALUE(VLOOKUP($B145&amp;"-"&amp;$B146,INDIRECT("V51:Y"&amp;COUNT((FIND("-",_xlfn.ANCHORARRAY($B$51))&gt;0)*1)+51),4,FALSE))/100),"na")</f>
        <v>na</v>
      </c>
      <c r="F146" s="8" t="str" cm="1">
        <f t="array" aca="1" ref="F146" ca="1">+IFERROR(IF(F145&lt;&gt;"na",F145+VALUE(VLOOKUP($B145&amp;"-"&amp;$B146,INDIRECT("V51:Y"&amp;COUNT((FIND("-",_xlfn.ANCHORARRAY($B$51))&gt;0)*1)+51),4,FALSE))/100,F168+VALUE(VLOOKUP($B145&amp;"-"&amp;$B146,INDIRECT("V51:Y"&amp;COUNT((FIND("-",_xlfn.ANCHORARRAY($B$51))&gt;0)*1)+51),4,FALSE))/100),"na")</f>
        <v>na</v>
      </c>
      <c r="G146" s="8" t="str" cm="1">
        <f t="array" aca="1" ref="G146" ca="1">+IFERROR(IF(G145&lt;&gt;"na",G145+VALUE(VLOOKUP($B145&amp;"-"&amp;$B146,INDIRECT("V51:Y"&amp;COUNT((FIND("-",_xlfn.ANCHORARRAY($B$51))&gt;0)*1)+51),4,FALSE))/100,G168+VALUE(VLOOKUP($B145&amp;"-"&amp;$B146,INDIRECT("V51:Y"&amp;COUNT((FIND("-",_xlfn.ANCHORARRAY($B$51))&gt;0)*1)+51),4,FALSE))/100),"na")</f>
        <v>na</v>
      </c>
      <c r="H146" s="8" t="str" cm="1">
        <f t="array" aca="1" ref="H146" ca="1">+IFERROR(IF(H145&lt;&gt;"na",H145+VALUE(VLOOKUP($B145&amp;"-"&amp;$B146,INDIRECT("V51:Y"&amp;COUNT((FIND("-",_xlfn.ANCHORARRAY($B$51))&gt;0)*1)+51),4,FALSE))/100,H168+VALUE(VLOOKUP($B145&amp;"-"&amp;$B146,INDIRECT("V51:Y"&amp;COUNT((FIND("-",_xlfn.ANCHORARRAY($B$51))&gt;0)*1)+51),4,FALSE))/100),"na")</f>
        <v>na</v>
      </c>
      <c r="I146" s="8" t="str" cm="1">
        <f t="array" aca="1" ref="I146" ca="1">+IFERROR(IF(I145&lt;&gt;"na",I145+VALUE(VLOOKUP($B145&amp;"-"&amp;$B146,INDIRECT("V51:Y"&amp;COUNT((FIND("-",_xlfn.ANCHORARRAY($B$51))&gt;0)*1)+51),4,FALSE))/100,I168+VALUE(VLOOKUP($B145&amp;"-"&amp;$B146,INDIRECT("V51:Y"&amp;COUNT((FIND("-",_xlfn.ANCHORARRAY($B$51))&gt;0)*1)+51),4,FALSE))/100),"na")</f>
        <v>na</v>
      </c>
      <c r="J146" s="8" t="str" cm="1">
        <f t="array" aca="1" ref="J146" ca="1">+IFERROR(IF(J145&lt;&gt;"na",J145+VALUE(VLOOKUP($B145&amp;"-"&amp;$B146,INDIRECT("V51:Y"&amp;COUNT((FIND("-",_xlfn.ANCHORARRAY($B$51))&gt;0)*1)+51),4,FALSE))/100,J168+VALUE(VLOOKUP($B145&amp;"-"&amp;$B146,INDIRECT("V51:Y"&amp;COUNT((FIND("-",_xlfn.ANCHORARRAY($B$51))&gt;0)*1)+51),4,FALSE))/100),"na")</f>
        <v>na</v>
      </c>
      <c r="K146" s="8" t="str" cm="1">
        <f t="array" aca="1" ref="K146" ca="1">+IFERROR(IF(K145&lt;&gt;"na",K145+VALUE(VLOOKUP($B145&amp;"-"&amp;$B146,INDIRECT("V51:Y"&amp;COUNT((FIND("-",_xlfn.ANCHORARRAY($B$51))&gt;0)*1)+51),4,FALSE))/100,K168+VALUE(VLOOKUP($B145&amp;"-"&amp;$B146,INDIRECT("V51:Y"&amp;COUNT((FIND("-",_xlfn.ANCHORARRAY($B$51))&gt;0)*1)+51),4,FALSE))/100),"na")</f>
        <v>na</v>
      </c>
      <c r="L146" s="8" t="str" cm="1">
        <f t="array" aca="1" ref="L146" ca="1">+IFERROR(IF(L145&lt;&gt;"na",L145+VALUE(VLOOKUP($B145&amp;"-"&amp;$B146,INDIRECT("V51:Y"&amp;COUNT((FIND("-",_xlfn.ANCHORARRAY($B$51))&gt;0)*1)+51),4,FALSE))/100,L168+VALUE(VLOOKUP($B145&amp;"-"&amp;$B146,INDIRECT("V51:Y"&amp;COUNT((FIND("-",_xlfn.ANCHORARRAY($B$51))&gt;0)*1)+51),4,FALSE))/100),"na")</f>
        <v>na</v>
      </c>
      <c r="M146" s="8" t="str" cm="1">
        <f t="array" aca="1" ref="M146" ca="1">+IFERROR(IF(M145&lt;&gt;"na",M145+VALUE(VLOOKUP($B145&amp;"-"&amp;$B146,INDIRECT("V51:Y"&amp;COUNT((FIND("-",_xlfn.ANCHORARRAY($B$51))&gt;0)*1)+51),4,FALSE))/100,M168+VALUE(VLOOKUP($B145&amp;"-"&amp;$B146,INDIRECT("V51:Y"&amp;COUNT((FIND("-",_xlfn.ANCHORARRAY($B$51))&gt;0)*1)+51),4,FALSE))/100),"na")</f>
        <v>na</v>
      </c>
      <c r="N146" s="8" t="str" cm="1">
        <f t="array" aca="1" ref="N146" ca="1">+IFERROR(N145+VALUE(VLOOKUP($B145&amp;"-"&amp;$B146,INDIRECT("V51:Y"&amp;COUNT((FIND("-",_xlfn.ANCHORARRAY($B$51))&gt;0)*1)+51),4,FALSE))/100,"na")</f>
        <v>na</v>
      </c>
      <c r="O146" s="8" t="str">
        <f ca="1">+IFERROR(VALUE(VLOOKUP(O$91,INDIRECT("V28:Y"&amp;COUNT(_xlfn.ANCHORARRAY($B$92))+28),4,FALSE)),"na")</f>
        <v>na</v>
      </c>
      <c r="P146" s="8" t="str" cm="1">
        <f t="array" aca="1" ref="P146" ca="1">+IFERROR(P147-VALUE(VLOOKUP($B146&amp;"-"&amp;$B147,INDIRECT("V51:Y"&amp;COUNT((FIND("-",_xlfn.ANCHORARRAY($B$51))&gt;0)*1)+51),3,FALSE))/100,"na")</f>
        <v>na</v>
      </c>
      <c r="Q146" s="8" t="str" cm="1">
        <f t="array" aca="1" ref="Q146" ca="1">+IFERROR(IF(Q147&lt;&gt;"na",Q147-VALUE(VLOOKUP($B146&amp;"-"&amp;$B147,INDIRECT("V51:Y"&amp;COUNT((FIND("-",_xlfn.ANCHORARRAY($B$51))&gt;0)*1)+51),3,FALSE))/100,Q170-VALUE(VLOOKUP($B146&amp;"-"&amp;$B147,INDIRECT("V51:Y"&amp;COUNT((FIND("-",_xlfn.ANCHORARRAY($B$51))&gt;0)*1)+51),3,FALSE))/100),"na")</f>
        <v>na</v>
      </c>
      <c r="R146" s="8" t="str">
        <f t="shared" ca="1" si="99"/>
        <v/>
      </c>
    </row>
    <row r="147" spans="2:18">
      <c r="B147" s="8"/>
      <c r="C147" s="8" t="str" cm="1">
        <f t="array" aca="1" ref="C147" ca="1">+IFERROR(IF(C146&lt;&gt;"na",C146+VALUE(VLOOKUP($B146&amp;"-"&amp;$B147,INDIRECT("V51:Y"&amp;COUNT((FIND("-",_xlfn.ANCHORARRAY($B$51))&gt;0)*1)+51),4,FALSE))/100,C169+VALUE(VLOOKUP($B146&amp;"-"&amp;$B147,INDIRECT("V51:Y"&amp;COUNT((FIND("-",_xlfn.ANCHORARRAY($B$51))&gt;0)*1)+51),4,FALSE))/100),"na")</f>
        <v>na</v>
      </c>
      <c r="D147" s="8" t="str" cm="1">
        <f t="array" aca="1" ref="D147" ca="1">+IFERROR(IF(D146&lt;&gt;"na",D146+VALUE(VLOOKUP($B146&amp;"-"&amp;$B147,INDIRECT("V51:Y"&amp;COUNT((FIND("-",_xlfn.ANCHORARRAY($B$51))&gt;0)*1)+51),4,FALSE))/100,D169+VALUE(VLOOKUP($B146&amp;"-"&amp;$B147,INDIRECT("V51:Y"&amp;COUNT((FIND("-",_xlfn.ANCHORARRAY($B$51))&gt;0)*1)+51),4,FALSE))/100),"na")</f>
        <v>na</v>
      </c>
      <c r="E147" s="8" t="str" cm="1">
        <f t="array" aca="1" ref="E147" ca="1">+IFERROR(IF(E146&lt;&gt;"na",E146+VALUE(VLOOKUP($B146&amp;"-"&amp;$B147,INDIRECT("V51:Y"&amp;COUNT((FIND("-",_xlfn.ANCHORARRAY($B$51))&gt;0)*1)+51),4,FALSE))/100,E169+VALUE(VLOOKUP($B146&amp;"-"&amp;$B147,INDIRECT("V51:Y"&amp;COUNT((FIND("-",_xlfn.ANCHORARRAY($B$51))&gt;0)*1)+51),4,FALSE))/100),"na")</f>
        <v>na</v>
      </c>
      <c r="F147" s="8" t="str" cm="1">
        <f t="array" aca="1" ref="F147" ca="1">+IFERROR(IF(F146&lt;&gt;"na",F146+VALUE(VLOOKUP($B146&amp;"-"&amp;$B147,INDIRECT("V51:Y"&amp;COUNT((FIND("-",_xlfn.ANCHORARRAY($B$51))&gt;0)*1)+51),4,FALSE))/100,F169+VALUE(VLOOKUP($B146&amp;"-"&amp;$B147,INDIRECT("V51:Y"&amp;COUNT((FIND("-",_xlfn.ANCHORARRAY($B$51))&gt;0)*1)+51),4,FALSE))/100),"na")</f>
        <v>na</v>
      </c>
      <c r="G147" s="8" t="str" cm="1">
        <f t="array" aca="1" ref="G147" ca="1">+IFERROR(IF(G146&lt;&gt;"na",G146+VALUE(VLOOKUP($B146&amp;"-"&amp;$B147,INDIRECT("V51:Y"&amp;COUNT((FIND("-",_xlfn.ANCHORARRAY($B$51))&gt;0)*1)+51),4,FALSE))/100,G169+VALUE(VLOOKUP($B146&amp;"-"&amp;$B147,INDIRECT("V51:Y"&amp;COUNT((FIND("-",_xlfn.ANCHORARRAY($B$51))&gt;0)*1)+51),4,FALSE))/100),"na")</f>
        <v>na</v>
      </c>
      <c r="H147" s="8" t="str" cm="1">
        <f t="array" aca="1" ref="H147" ca="1">+IFERROR(IF(H146&lt;&gt;"na",H146+VALUE(VLOOKUP($B146&amp;"-"&amp;$B147,INDIRECT("V51:Y"&amp;COUNT((FIND("-",_xlfn.ANCHORARRAY($B$51))&gt;0)*1)+51),4,FALSE))/100,H169+VALUE(VLOOKUP($B146&amp;"-"&amp;$B147,INDIRECT("V51:Y"&amp;COUNT((FIND("-",_xlfn.ANCHORARRAY($B$51))&gt;0)*1)+51),4,FALSE))/100),"na")</f>
        <v>na</v>
      </c>
      <c r="I147" s="8" t="str" cm="1">
        <f t="array" aca="1" ref="I147" ca="1">+IFERROR(IF(I146&lt;&gt;"na",I146+VALUE(VLOOKUP($B146&amp;"-"&amp;$B147,INDIRECT("V51:Y"&amp;COUNT((FIND("-",_xlfn.ANCHORARRAY($B$51))&gt;0)*1)+51),4,FALSE))/100,I169+VALUE(VLOOKUP($B146&amp;"-"&amp;$B147,INDIRECT("V51:Y"&amp;COUNT((FIND("-",_xlfn.ANCHORARRAY($B$51))&gt;0)*1)+51),4,FALSE))/100),"na")</f>
        <v>na</v>
      </c>
      <c r="J147" s="8" t="str" cm="1">
        <f t="array" aca="1" ref="J147" ca="1">+IFERROR(IF(J146&lt;&gt;"na",J146+VALUE(VLOOKUP($B146&amp;"-"&amp;$B147,INDIRECT("V51:Y"&amp;COUNT((FIND("-",_xlfn.ANCHORARRAY($B$51))&gt;0)*1)+51),4,FALSE))/100,J169+VALUE(VLOOKUP($B146&amp;"-"&amp;$B147,INDIRECT("V51:Y"&amp;COUNT((FIND("-",_xlfn.ANCHORARRAY($B$51))&gt;0)*1)+51),4,FALSE))/100),"na")</f>
        <v>na</v>
      </c>
      <c r="K147" s="8" t="str" cm="1">
        <f t="array" aca="1" ref="K147" ca="1">+IFERROR(IF(K146&lt;&gt;"na",K146+VALUE(VLOOKUP($B146&amp;"-"&amp;$B147,INDIRECT("V51:Y"&amp;COUNT((FIND("-",_xlfn.ANCHORARRAY($B$51))&gt;0)*1)+51),4,FALSE))/100,K169+VALUE(VLOOKUP($B146&amp;"-"&amp;$B147,INDIRECT("V51:Y"&amp;COUNT((FIND("-",_xlfn.ANCHORARRAY($B$51))&gt;0)*1)+51),4,FALSE))/100),"na")</f>
        <v>na</v>
      </c>
      <c r="L147" s="8" t="str" cm="1">
        <f t="array" aca="1" ref="L147" ca="1">+IFERROR(IF(L146&lt;&gt;"na",L146+VALUE(VLOOKUP($B146&amp;"-"&amp;$B147,INDIRECT("V51:Y"&amp;COUNT((FIND("-",_xlfn.ANCHORARRAY($B$51))&gt;0)*1)+51),4,FALSE))/100,L169+VALUE(VLOOKUP($B146&amp;"-"&amp;$B147,INDIRECT("V51:Y"&amp;COUNT((FIND("-",_xlfn.ANCHORARRAY($B$51))&gt;0)*1)+51),4,FALSE))/100),"na")</f>
        <v>na</v>
      </c>
      <c r="M147" s="8" t="str" cm="1">
        <f t="array" aca="1" ref="M147" ca="1">+IFERROR(IF(M146&lt;&gt;"na",M146+VALUE(VLOOKUP($B146&amp;"-"&amp;$B147,INDIRECT("V51:Y"&amp;COUNT((FIND("-",_xlfn.ANCHORARRAY($B$51))&gt;0)*1)+51),4,FALSE))/100,M169+VALUE(VLOOKUP($B146&amp;"-"&amp;$B147,INDIRECT("V51:Y"&amp;COUNT((FIND("-",_xlfn.ANCHORARRAY($B$51))&gt;0)*1)+51),4,FALSE))/100),"na")</f>
        <v>na</v>
      </c>
      <c r="N147" s="8" t="str" cm="1">
        <f t="array" aca="1" ref="N147" ca="1">+IFERROR(IF(N146&lt;&gt;"na",N146+VALUE(VLOOKUP($B146&amp;"-"&amp;$B147,INDIRECT("V51:Y"&amp;COUNT((FIND("-",_xlfn.ANCHORARRAY($B$51))&gt;0)*1)+51),4,FALSE))/100,N169+VALUE(VLOOKUP($B146&amp;"-"&amp;$B147,INDIRECT("V51:Y"&amp;COUNT((FIND("-",_xlfn.ANCHORARRAY($B$51))&gt;0)*1)+51),4,FALSE))/100),"na")</f>
        <v>na</v>
      </c>
      <c r="O147" s="8" t="str" cm="1">
        <f t="array" aca="1" ref="O147" ca="1">+IFERROR(O146+VALUE(VLOOKUP($B146&amp;"-"&amp;$B147,INDIRECT("V51:Y"&amp;COUNT((FIND("-",_xlfn.ANCHORARRAY($B$51))&gt;0)*1)+51),4,FALSE))/100,"na")</f>
        <v>na</v>
      </c>
      <c r="P147" s="8" t="str">
        <f ca="1">+IFERROR(VALUE(VLOOKUP(P$91,INDIRECT("V28:Y"&amp;COUNT(_xlfn.ANCHORARRAY($B$92))+28),4,FALSE)),"na")</f>
        <v>na</v>
      </c>
      <c r="Q147" s="8" t="str" cm="1">
        <f t="array" aca="1" ref="Q147" ca="1">+IFERROR(Q148-VALUE(VLOOKUP($B147&amp;"-"&amp;$B148,INDIRECT("V51:Y"&amp;COUNT((FIND("-",_xlfn.ANCHORARRAY($B$51))&gt;0)*1)+51),3,FALSE))/100,"na")</f>
        <v>na</v>
      </c>
      <c r="R147" s="8" t="str">
        <f t="shared" ca="1" si="99"/>
        <v/>
      </c>
    </row>
    <row r="148" spans="2:18">
      <c r="B148" s="8"/>
      <c r="C148" s="8" t="str" cm="1">
        <f t="array" aca="1" ref="C148" ca="1">+IFERROR(IF(C147&lt;&gt;"na",C147+VALUE(VLOOKUP($B147&amp;"-"&amp;$B148,INDIRECT("V51:Y"&amp;COUNT((FIND("-",_xlfn.ANCHORARRAY($B$51))&gt;0)*1)+51),4,FALSE))/100,C170+VALUE(VLOOKUP($B147&amp;"-"&amp;$B148,INDIRECT("V51:Y"&amp;COUNT((FIND("-",_xlfn.ANCHORARRAY($B$51))&gt;0)*1)+51),4,FALSE))/100),"na")</f>
        <v>na</v>
      </c>
      <c r="D148" s="8" t="str" cm="1">
        <f t="array" aca="1" ref="D148" ca="1">+IFERROR(IF(D147&lt;&gt;"na",D147+VALUE(VLOOKUP($B147&amp;"-"&amp;$B148,INDIRECT("V51:Y"&amp;COUNT((FIND("-",_xlfn.ANCHORARRAY($B$51))&gt;0)*1)+51),4,FALSE))/100,D170+VALUE(VLOOKUP($B147&amp;"-"&amp;$B148,INDIRECT("V51:Y"&amp;COUNT((FIND("-",_xlfn.ANCHORARRAY($B$51))&gt;0)*1)+51),4,FALSE))/100),"na")</f>
        <v>na</v>
      </c>
      <c r="E148" s="8" t="str" cm="1">
        <f t="array" aca="1" ref="E148" ca="1">+IFERROR(IF(E147&lt;&gt;"na",E147+VALUE(VLOOKUP($B147&amp;"-"&amp;$B148,INDIRECT("V51:Y"&amp;COUNT((FIND("-",_xlfn.ANCHORARRAY($B$51))&gt;0)*1)+51),4,FALSE))/100,E170+VALUE(VLOOKUP($B147&amp;"-"&amp;$B148,INDIRECT("V51:Y"&amp;COUNT((FIND("-",_xlfn.ANCHORARRAY($B$51))&gt;0)*1)+51),4,FALSE))/100),"na")</f>
        <v>na</v>
      </c>
      <c r="F148" s="8" t="str" cm="1">
        <f t="array" aca="1" ref="F148" ca="1">+IFERROR(IF(F147&lt;&gt;"na",F147+VALUE(VLOOKUP($B147&amp;"-"&amp;$B148,INDIRECT("V51:Y"&amp;COUNT((FIND("-",_xlfn.ANCHORARRAY($B$51))&gt;0)*1)+51),4,FALSE))/100,F170+VALUE(VLOOKUP($B147&amp;"-"&amp;$B148,INDIRECT("V51:Y"&amp;COUNT((FIND("-",_xlfn.ANCHORARRAY($B$51))&gt;0)*1)+51),4,FALSE))/100),"na")</f>
        <v>na</v>
      </c>
      <c r="G148" s="8" t="str" cm="1">
        <f t="array" aca="1" ref="G148" ca="1">+IFERROR(IF(G147&lt;&gt;"na",G147+VALUE(VLOOKUP($B147&amp;"-"&amp;$B148,INDIRECT("V51:Y"&amp;COUNT((FIND("-",_xlfn.ANCHORARRAY($B$51))&gt;0)*1)+51),4,FALSE))/100,G170+VALUE(VLOOKUP($B147&amp;"-"&amp;$B148,INDIRECT("V51:Y"&amp;COUNT((FIND("-",_xlfn.ANCHORARRAY($B$51))&gt;0)*1)+51),4,FALSE))/100),"na")</f>
        <v>na</v>
      </c>
      <c r="H148" s="8" t="str" cm="1">
        <f t="array" aca="1" ref="H148" ca="1">+IFERROR(IF(H147&lt;&gt;"na",H147+VALUE(VLOOKUP($B147&amp;"-"&amp;$B148,INDIRECT("V51:Y"&amp;COUNT((FIND("-",_xlfn.ANCHORARRAY($B$51))&gt;0)*1)+51),4,FALSE))/100,H170+VALUE(VLOOKUP($B147&amp;"-"&amp;$B148,INDIRECT("V51:Y"&amp;COUNT((FIND("-",_xlfn.ANCHORARRAY($B$51))&gt;0)*1)+51),4,FALSE))/100),"na")</f>
        <v>na</v>
      </c>
      <c r="I148" s="8" t="str" cm="1">
        <f t="array" aca="1" ref="I148" ca="1">+IFERROR(IF(I147&lt;&gt;"na",I147+VALUE(VLOOKUP($B147&amp;"-"&amp;$B148,INDIRECT("V51:Y"&amp;COUNT((FIND("-",_xlfn.ANCHORARRAY($B$51))&gt;0)*1)+51),4,FALSE))/100,I170+VALUE(VLOOKUP($B147&amp;"-"&amp;$B148,INDIRECT("V51:Y"&amp;COUNT((FIND("-",_xlfn.ANCHORARRAY($B$51))&gt;0)*1)+51),4,FALSE))/100),"na")</f>
        <v>na</v>
      </c>
      <c r="J148" s="8" t="str" cm="1">
        <f t="array" aca="1" ref="J148" ca="1">+IFERROR(IF(J147&lt;&gt;"na",J147+VALUE(VLOOKUP($B147&amp;"-"&amp;$B148,INDIRECT("V51:Y"&amp;COUNT((FIND("-",_xlfn.ANCHORARRAY($B$51))&gt;0)*1)+51),4,FALSE))/100,J170+VALUE(VLOOKUP($B147&amp;"-"&amp;$B148,INDIRECT("V51:Y"&amp;COUNT((FIND("-",_xlfn.ANCHORARRAY($B$51))&gt;0)*1)+51),4,FALSE))/100),"na")</f>
        <v>na</v>
      </c>
      <c r="K148" s="8" t="str" cm="1">
        <f t="array" aca="1" ref="K148" ca="1">+IFERROR(IF(K147&lt;&gt;"na",K147+VALUE(VLOOKUP($B147&amp;"-"&amp;$B148,INDIRECT("V51:Y"&amp;COUNT((FIND("-",_xlfn.ANCHORARRAY($B$51))&gt;0)*1)+51),4,FALSE))/100,K170+VALUE(VLOOKUP($B147&amp;"-"&amp;$B148,INDIRECT("V51:Y"&amp;COUNT((FIND("-",_xlfn.ANCHORARRAY($B$51))&gt;0)*1)+51),4,FALSE))/100),"na")</f>
        <v>na</v>
      </c>
      <c r="L148" s="8" t="str" cm="1">
        <f t="array" aca="1" ref="L148" ca="1">+IFERROR(IF(L147&lt;&gt;"na",L147+VALUE(VLOOKUP($B147&amp;"-"&amp;$B148,INDIRECT("V51:Y"&amp;COUNT((FIND("-",_xlfn.ANCHORARRAY($B$51))&gt;0)*1)+51),4,FALSE))/100,L170+VALUE(VLOOKUP($B147&amp;"-"&amp;$B148,INDIRECT("V51:Y"&amp;COUNT((FIND("-",_xlfn.ANCHORARRAY($B$51))&gt;0)*1)+51),4,FALSE))/100),"na")</f>
        <v>na</v>
      </c>
      <c r="M148" s="8" t="str" cm="1">
        <f t="array" aca="1" ref="M148" ca="1">+IFERROR(IF(M147&lt;&gt;"na",M147+VALUE(VLOOKUP($B147&amp;"-"&amp;$B148,INDIRECT("V51:Y"&amp;COUNT((FIND("-",_xlfn.ANCHORARRAY($B$51))&gt;0)*1)+51),4,FALSE))/100,M170+VALUE(VLOOKUP($B147&amp;"-"&amp;$B148,INDIRECT("V51:Y"&amp;COUNT((FIND("-",_xlfn.ANCHORARRAY($B$51))&gt;0)*1)+51),4,FALSE))/100),"na")</f>
        <v>na</v>
      </c>
      <c r="N148" s="8" t="str" cm="1">
        <f t="array" aca="1" ref="N148" ca="1">+IFERROR(IF(N147&lt;&gt;"na",N147+VALUE(VLOOKUP($B147&amp;"-"&amp;$B148,INDIRECT("V51:Y"&amp;COUNT((FIND("-",_xlfn.ANCHORARRAY($B$51))&gt;0)*1)+51),4,FALSE))/100,N170+VALUE(VLOOKUP($B147&amp;"-"&amp;$B148,INDIRECT("V51:Y"&amp;COUNT((FIND("-",_xlfn.ANCHORARRAY($B$51))&gt;0)*1)+51),4,FALSE))/100),"na")</f>
        <v>na</v>
      </c>
      <c r="O148" s="8" t="str" cm="1">
        <f t="array" aca="1" ref="O148" ca="1">+IFERROR(IF(O147&lt;&gt;"na",O147+VALUE(VLOOKUP($B147&amp;"-"&amp;$B148,INDIRECT("V51:Y"&amp;COUNT((FIND("-",_xlfn.ANCHORARRAY($B$51))&gt;0)*1)+51),4,FALSE))/100,O170+VALUE(VLOOKUP($B147&amp;"-"&amp;$B148,INDIRECT("V51:Y"&amp;COUNT((FIND("-",_xlfn.ANCHORARRAY($B$51))&gt;0)*1)+51),4,FALSE))/100),"na")</f>
        <v>na</v>
      </c>
      <c r="P148" s="8" t="str" cm="1">
        <f t="array" aca="1" ref="P148" ca="1">+IFERROR(P147+VALUE(VLOOKUP($B147&amp;"-"&amp;$B148,INDIRECT("V51:Y"&amp;COUNT((FIND("-",_xlfn.ANCHORARRAY($B$51))&gt;0)*1)+51),4,FALSE))/100,"na")</f>
        <v>na</v>
      </c>
      <c r="Q148" s="8" t="str">
        <f ca="1">+IFERROR(VALUE(VLOOKUP(Q$91,INDIRECT("V28:Y"&amp;COUNT(_xlfn.ANCHORARRAY($B$92))+28),4,FALSE)),"na")</f>
        <v>na</v>
      </c>
      <c r="R148" s="8" t="str">
        <f t="shared" ca="1" si="99"/>
        <v/>
      </c>
    </row>
    <row r="149" spans="2:18">
      <c r="B149" s="168"/>
      <c r="C149" s="8" t="str" cm="1">
        <f t="array" aca="1" ref="C149" ca="1">+IFERROR(IF(C148&lt;&gt;"na",C148+VALUE(VLOOKUP($B148&amp;"-"&amp;$B149,INDIRECT("V51:Y"&amp;COUNT((FIND("-",_xlfn.ANCHORARRAY($B$51))&gt;0)*1)+51),4,FALSE))/100,C171+VALUE(VLOOKUP($B148&amp;"-"&amp;$B149,INDIRECT("V51:Y"&amp;COUNT((FIND("-",_xlfn.ANCHORARRAY($B$51))&gt;0)*1)+51),4,FALSE))/100),"na")</f>
        <v>na</v>
      </c>
      <c r="D149" s="8" t="str" cm="1">
        <f t="array" aca="1" ref="D149" ca="1">+IFERROR(IF(D148&lt;&gt;"na",D148+VALUE(VLOOKUP($B148&amp;"-"&amp;$B149,INDIRECT("V51:Y"&amp;COUNT((FIND("-",_xlfn.ANCHORARRAY($B$51))&gt;0)*1)+51),4,FALSE))/100,D171+VALUE(VLOOKUP($B148&amp;"-"&amp;$B149,INDIRECT("V51:Y"&amp;COUNT((FIND("-",_xlfn.ANCHORARRAY($B$51))&gt;0)*1)+51),4,FALSE))/100),"na")</f>
        <v>na</v>
      </c>
      <c r="E149" s="8" t="str" cm="1">
        <f t="array" aca="1" ref="E149" ca="1">+IFERROR(IF(E148&lt;&gt;"na",E148+VALUE(VLOOKUP($B148&amp;"-"&amp;$B149,INDIRECT("V51:Y"&amp;COUNT((FIND("-",_xlfn.ANCHORARRAY($B$51))&gt;0)*1)+51),4,FALSE))/100,E171+VALUE(VLOOKUP($B148&amp;"-"&amp;$B149,INDIRECT("V51:Y"&amp;COUNT((FIND("-",_xlfn.ANCHORARRAY($B$51))&gt;0)*1)+51),4,FALSE))/100),"na")</f>
        <v>na</v>
      </c>
      <c r="F149" s="8" t="str" cm="1">
        <f t="array" aca="1" ref="F149" ca="1">+IFERROR(IF(F148&lt;&gt;"na",F148+VALUE(VLOOKUP($B148&amp;"-"&amp;$B149,INDIRECT("V51:Y"&amp;COUNT((FIND("-",_xlfn.ANCHORARRAY($B$51))&gt;0)*1)+51),4,FALSE))/100,F171+VALUE(VLOOKUP($B148&amp;"-"&amp;$B149,INDIRECT("V51:Y"&amp;COUNT((FIND("-",_xlfn.ANCHORARRAY($B$51))&gt;0)*1)+51),4,FALSE))/100),"na")</f>
        <v>na</v>
      </c>
      <c r="G149" s="8" t="str" cm="1">
        <f t="array" aca="1" ref="G149" ca="1">+IFERROR(IF(G148&lt;&gt;"na",G148+VALUE(VLOOKUP($B148&amp;"-"&amp;$B149,INDIRECT("V51:Y"&amp;COUNT((FIND("-",_xlfn.ANCHORARRAY($B$51))&gt;0)*1)+51),4,FALSE))/100,G171+VALUE(VLOOKUP($B148&amp;"-"&amp;$B149,INDIRECT("V51:Y"&amp;COUNT((FIND("-",_xlfn.ANCHORARRAY($B$51))&gt;0)*1)+51),4,FALSE))/100),"na")</f>
        <v>na</v>
      </c>
      <c r="H149" s="8" t="str" cm="1">
        <f t="array" aca="1" ref="H149" ca="1">+IFERROR(IF(H148&lt;&gt;"na",H148+VALUE(VLOOKUP($B148&amp;"-"&amp;$B149,INDIRECT("V51:Y"&amp;COUNT((FIND("-",_xlfn.ANCHORARRAY($B$51))&gt;0)*1)+51),4,FALSE))/100,H171+VALUE(VLOOKUP($B148&amp;"-"&amp;$B149,INDIRECT("V51:Y"&amp;COUNT((FIND("-",_xlfn.ANCHORARRAY($B$51))&gt;0)*1)+51),4,FALSE))/100),"na")</f>
        <v>na</v>
      </c>
      <c r="I149" s="8" t="str" cm="1">
        <f t="array" aca="1" ref="I149" ca="1">+IFERROR(IF(I148&lt;&gt;"na",I148+VALUE(VLOOKUP($B148&amp;"-"&amp;$B149,INDIRECT("V51:Y"&amp;COUNT((FIND("-",_xlfn.ANCHORARRAY($B$51))&gt;0)*1)+51),4,FALSE))/100,I171+VALUE(VLOOKUP($B148&amp;"-"&amp;$B149,INDIRECT("V51:Y"&amp;COUNT((FIND("-",_xlfn.ANCHORARRAY($B$51))&gt;0)*1)+51),4,FALSE))/100),"na")</f>
        <v>na</v>
      </c>
      <c r="J149" s="8" t="str" cm="1">
        <f t="array" aca="1" ref="J149" ca="1">+IFERROR(IF(J148&lt;&gt;"na",J148+VALUE(VLOOKUP($B148&amp;"-"&amp;$B149,INDIRECT("V51:Y"&amp;COUNT((FIND("-",_xlfn.ANCHORARRAY($B$51))&gt;0)*1)+51),4,FALSE))/100,J171+VALUE(VLOOKUP($B148&amp;"-"&amp;$B149,INDIRECT("V51:Y"&amp;COUNT((FIND("-",_xlfn.ANCHORARRAY($B$51))&gt;0)*1)+51),4,FALSE))/100),"na")</f>
        <v>na</v>
      </c>
      <c r="K149" s="8" t="str" cm="1">
        <f t="array" aca="1" ref="K149" ca="1">+IFERROR(IF(K148&lt;&gt;"na",K148+VALUE(VLOOKUP($B148&amp;"-"&amp;$B149,INDIRECT("V51:Y"&amp;COUNT((FIND("-",_xlfn.ANCHORARRAY($B$51))&gt;0)*1)+51),4,FALSE))/100,K171+VALUE(VLOOKUP($B148&amp;"-"&amp;$B149,INDIRECT("V51:Y"&amp;COUNT((FIND("-",_xlfn.ANCHORARRAY($B$51))&gt;0)*1)+51),4,FALSE))/100),"na")</f>
        <v>na</v>
      </c>
      <c r="L149" s="8" t="str" cm="1">
        <f t="array" aca="1" ref="L149" ca="1">+IFERROR(IF(L148&lt;&gt;"na",L148+VALUE(VLOOKUP($B148&amp;"-"&amp;$B149,INDIRECT("V51:Y"&amp;COUNT((FIND("-",_xlfn.ANCHORARRAY($B$51))&gt;0)*1)+51),4,FALSE))/100,L171+VALUE(VLOOKUP($B148&amp;"-"&amp;$B149,INDIRECT("V51:Y"&amp;COUNT((FIND("-",_xlfn.ANCHORARRAY($B$51))&gt;0)*1)+51),4,FALSE))/100),"na")</f>
        <v>na</v>
      </c>
      <c r="M149" s="8" t="str" cm="1">
        <f t="array" aca="1" ref="M149" ca="1">+IFERROR(IF(M148&lt;&gt;"na",M148+VALUE(VLOOKUP($B148&amp;"-"&amp;$B149,INDIRECT("V51:Y"&amp;COUNT((FIND("-",_xlfn.ANCHORARRAY($B$51))&gt;0)*1)+51),4,FALSE))/100,M171+VALUE(VLOOKUP($B148&amp;"-"&amp;$B149,INDIRECT("V51:Y"&amp;COUNT((FIND("-",_xlfn.ANCHORARRAY($B$51))&gt;0)*1)+51),4,FALSE))/100),"na")</f>
        <v>na</v>
      </c>
      <c r="N149" s="8" t="str" cm="1">
        <f t="array" aca="1" ref="N149" ca="1">+IFERROR(IF(N148&lt;&gt;"na",N148+VALUE(VLOOKUP($B148&amp;"-"&amp;$B149,INDIRECT("V51:Y"&amp;COUNT((FIND("-",_xlfn.ANCHORARRAY($B$51))&gt;0)*1)+51),4,FALSE))/100,N171+VALUE(VLOOKUP($B148&amp;"-"&amp;$B149,INDIRECT("V51:Y"&amp;COUNT((FIND("-",_xlfn.ANCHORARRAY($B$51))&gt;0)*1)+51),4,FALSE))/100),"na")</f>
        <v>na</v>
      </c>
      <c r="O149" s="8" t="str" cm="1">
        <f t="array" aca="1" ref="O149" ca="1">+IFERROR(IF(O148&lt;&gt;"na",O148+VALUE(VLOOKUP($B148&amp;"-"&amp;$B149,INDIRECT("V51:Y"&amp;COUNT((FIND("-",_xlfn.ANCHORARRAY($B$51))&gt;0)*1)+51),4,FALSE))/100,O171+VALUE(VLOOKUP($B148&amp;"-"&amp;$B149,INDIRECT("V51:Y"&amp;COUNT((FIND("-",_xlfn.ANCHORARRAY($B$51))&gt;0)*1)+51),4,FALSE))/100),"na")</f>
        <v>na</v>
      </c>
      <c r="P149" s="8" t="str" cm="1">
        <f t="array" aca="1" ref="P149" ca="1">+IFERROR(IF(P148&lt;&gt;"na",P148+VALUE(VLOOKUP($B148&amp;"-"&amp;$B149,INDIRECT("V51:Y"&amp;COUNT((FIND("-",_xlfn.ANCHORARRAY($B$51))&gt;0)*1)+51),4,FALSE))/100,P171+VALUE(VLOOKUP($B148&amp;"-"&amp;$B149,INDIRECT("V51:Y"&amp;COUNT((FIND("-",_xlfn.ANCHORARRAY($B$51))&gt;0)*1)+51),4,FALSE))/100),"na")</f>
        <v>na</v>
      </c>
      <c r="Q149" s="8" t="str" cm="1">
        <f t="array" aca="1" ref="Q149" ca="1">+IFERROR(Q148+VALUE(VLOOKUP($B148&amp;"-"&amp;$B149,INDIRECT("V51:Y"&amp;COUNT((FIND("-",_xlfn.ANCHORARRAY($B$51))&gt;0)*1)+51),4,FALSE))/100,"na")</f>
        <v>na</v>
      </c>
      <c r="R149" s="8" t="str">
        <f t="shared" ca="1" si="99"/>
        <v/>
      </c>
    </row>
    <row r="150" spans="2:18">
      <c r="B150" s="8"/>
      <c r="C150" s="8" t="str" cm="1">
        <f t="array" aca="1" ref="C150" ca="1">+IFERROR(IF(C149&lt;&gt;"na",C149+VALUE(VLOOKUP($B149&amp;"-"&amp;$B150,INDIRECT("V51:Y"&amp;COUNT((FIND("-",_xlfn.ANCHORARRAY($B$51))&gt;0)*1)+51),4,FALSE))/100,C172+VALUE(VLOOKUP($B149&amp;"-"&amp;$B150,INDIRECT("V51:Y"&amp;COUNT((FIND("-",_xlfn.ANCHORARRAY($B$51))&gt;0)*1)+51),4,FALSE))/100),"na")</f>
        <v>na</v>
      </c>
      <c r="D150" s="8" t="str" cm="1">
        <f t="array" aca="1" ref="D150" ca="1">+IFERROR(IF(D149&lt;&gt;"na",D149+VALUE(VLOOKUP($B149&amp;"-"&amp;$B150,INDIRECT("V51:Y"&amp;COUNT((FIND("-",_xlfn.ANCHORARRAY($B$51))&gt;0)*1)+51),4,FALSE))/100,D172+VALUE(VLOOKUP($B149&amp;"-"&amp;$B150,INDIRECT("V51:Y"&amp;COUNT((FIND("-",_xlfn.ANCHORARRAY($B$51))&gt;0)*1)+51),4,FALSE))/100),"na")</f>
        <v>na</v>
      </c>
      <c r="E150" s="8" t="str" cm="1">
        <f t="array" aca="1" ref="E150" ca="1">+IFERROR(IF(E149&lt;&gt;"na",E149+VALUE(VLOOKUP($B149&amp;"-"&amp;$B150,INDIRECT("V51:Y"&amp;COUNT((FIND("-",_xlfn.ANCHORARRAY($B$51))&gt;0)*1)+51),4,FALSE))/100,E172+VALUE(VLOOKUP($B149&amp;"-"&amp;$B150,INDIRECT("V51:Y"&amp;COUNT((FIND("-",_xlfn.ANCHORARRAY($B$51))&gt;0)*1)+51),4,FALSE))/100),"na")</f>
        <v>na</v>
      </c>
      <c r="F150" s="8" t="str" cm="1">
        <f t="array" aca="1" ref="F150" ca="1">+IFERROR(IF(F149&lt;&gt;"na",F149+VALUE(VLOOKUP($B149&amp;"-"&amp;$B150,INDIRECT("V51:Y"&amp;COUNT((FIND("-",_xlfn.ANCHORARRAY($B$51))&gt;0)*1)+51),4,FALSE))/100,F172+VALUE(VLOOKUP($B149&amp;"-"&amp;$B150,INDIRECT("V51:Y"&amp;COUNT((FIND("-",_xlfn.ANCHORARRAY($B$51))&gt;0)*1)+51),4,FALSE))/100),"na")</f>
        <v>na</v>
      </c>
      <c r="G150" s="8" t="str" cm="1">
        <f t="array" aca="1" ref="G150" ca="1">+IFERROR(IF(G149&lt;&gt;"na",G149+VALUE(VLOOKUP($B149&amp;"-"&amp;$B150,INDIRECT("V51:Y"&amp;COUNT((FIND("-",_xlfn.ANCHORARRAY($B$51))&gt;0)*1)+51),4,FALSE))/100,G172+VALUE(VLOOKUP($B149&amp;"-"&amp;$B150,INDIRECT("V51:Y"&amp;COUNT((FIND("-",_xlfn.ANCHORARRAY($B$51))&gt;0)*1)+51),4,FALSE))/100),"na")</f>
        <v>na</v>
      </c>
      <c r="H150" s="8" t="str" cm="1">
        <f t="array" aca="1" ref="H150" ca="1">+IFERROR(IF(H149&lt;&gt;"na",H149+VALUE(VLOOKUP($B149&amp;"-"&amp;$B150,INDIRECT("V51:Y"&amp;COUNT((FIND("-",_xlfn.ANCHORARRAY($B$51))&gt;0)*1)+51),4,FALSE))/100,H172+VALUE(VLOOKUP($B149&amp;"-"&amp;$B150,INDIRECT("V51:Y"&amp;COUNT((FIND("-",_xlfn.ANCHORARRAY($B$51))&gt;0)*1)+51),4,FALSE))/100),"na")</f>
        <v>na</v>
      </c>
      <c r="I150" s="8" t="str" cm="1">
        <f t="array" aca="1" ref="I150" ca="1">+IFERROR(IF(I149&lt;&gt;"na",I149+VALUE(VLOOKUP($B149&amp;"-"&amp;$B150,INDIRECT("V51:Y"&amp;COUNT((FIND("-",_xlfn.ANCHORARRAY($B$51))&gt;0)*1)+51),4,FALSE))/100,I172+VALUE(VLOOKUP($B149&amp;"-"&amp;$B150,INDIRECT("V51:Y"&amp;COUNT((FIND("-",_xlfn.ANCHORARRAY($B$51))&gt;0)*1)+51),4,FALSE))/100),"na")</f>
        <v>na</v>
      </c>
      <c r="J150" s="8" t="str" cm="1">
        <f t="array" aca="1" ref="J150" ca="1">+IFERROR(IF(J149&lt;&gt;"na",J149+VALUE(VLOOKUP($B149&amp;"-"&amp;$B150,INDIRECT("V51:Y"&amp;COUNT((FIND("-",_xlfn.ANCHORARRAY($B$51))&gt;0)*1)+51),4,FALSE))/100,J172+VALUE(VLOOKUP($B149&amp;"-"&amp;$B150,INDIRECT("V51:Y"&amp;COUNT((FIND("-",_xlfn.ANCHORARRAY($B$51))&gt;0)*1)+51),4,FALSE))/100),"na")</f>
        <v>na</v>
      </c>
      <c r="K150" s="8" t="str" cm="1">
        <f t="array" aca="1" ref="K150" ca="1">+IFERROR(IF(K149&lt;&gt;"na",K149+VALUE(VLOOKUP($B149&amp;"-"&amp;$B150,INDIRECT("V51:Y"&amp;COUNT((FIND("-",_xlfn.ANCHORARRAY($B$51))&gt;0)*1)+51),4,FALSE))/100,K172+VALUE(VLOOKUP($B149&amp;"-"&amp;$B150,INDIRECT("V51:Y"&amp;COUNT((FIND("-",_xlfn.ANCHORARRAY($B$51))&gt;0)*1)+51),4,FALSE))/100),"na")</f>
        <v>na</v>
      </c>
      <c r="L150" s="8" t="str" cm="1">
        <f t="array" aca="1" ref="L150" ca="1">+IFERROR(IF(L149&lt;&gt;"na",L149+VALUE(VLOOKUP($B149&amp;"-"&amp;$B150,INDIRECT("V51:Y"&amp;COUNT((FIND("-",_xlfn.ANCHORARRAY($B$51))&gt;0)*1)+51),4,FALSE))/100,L172+VALUE(VLOOKUP($B149&amp;"-"&amp;$B150,INDIRECT("V51:Y"&amp;COUNT((FIND("-",_xlfn.ANCHORARRAY($B$51))&gt;0)*1)+51),4,FALSE))/100),"na")</f>
        <v>na</v>
      </c>
      <c r="M150" s="8" t="str" cm="1">
        <f t="array" aca="1" ref="M150" ca="1">+IFERROR(IF(M149&lt;&gt;"na",M149+VALUE(VLOOKUP($B149&amp;"-"&amp;$B150,INDIRECT("V51:Y"&amp;COUNT((FIND("-",_xlfn.ANCHORARRAY($B$51))&gt;0)*1)+51),4,FALSE))/100,M172+VALUE(VLOOKUP($B149&amp;"-"&amp;$B150,INDIRECT("V51:Y"&amp;COUNT((FIND("-",_xlfn.ANCHORARRAY($B$51))&gt;0)*1)+51),4,FALSE))/100),"na")</f>
        <v>na</v>
      </c>
      <c r="N150" s="8" t="str" cm="1">
        <f t="array" aca="1" ref="N150" ca="1">+IFERROR(IF(N149&lt;&gt;"na",N149+VALUE(VLOOKUP($B149&amp;"-"&amp;$B150,INDIRECT("V51:Y"&amp;COUNT((FIND("-",_xlfn.ANCHORARRAY($B$51))&gt;0)*1)+51),4,FALSE))/100,N172+VALUE(VLOOKUP($B149&amp;"-"&amp;$B150,INDIRECT("V51:Y"&amp;COUNT((FIND("-",_xlfn.ANCHORARRAY($B$51))&gt;0)*1)+51),4,FALSE))/100),"na")</f>
        <v>na</v>
      </c>
      <c r="O150" s="8" t="str" cm="1">
        <f t="array" aca="1" ref="O150" ca="1">+IFERROR(IF(O149&lt;&gt;"na",O149+VALUE(VLOOKUP($B149&amp;"-"&amp;$B150,INDIRECT("V51:Y"&amp;COUNT((FIND("-",_xlfn.ANCHORARRAY($B$51))&gt;0)*1)+51),4,FALSE))/100,O172+VALUE(VLOOKUP($B149&amp;"-"&amp;$B150,INDIRECT("V51:Y"&amp;COUNT((FIND("-",_xlfn.ANCHORARRAY($B$51))&gt;0)*1)+51),4,FALSE))/100),"na")</f>
        <v>na</v>
      </c>
      <c r="P150" s="8" t="str" cm="1">
        <f t="array" aca="1" ref="P150" ca="1">+IFERROR(IF(P149&lt;&gt;"na",P149+VALUE(VLOOKUP($B149&amp;"-"&amp;$B150,INDIRECT("V51:Y"&amp;COUNT((FIND("-",_xlfn.ANCHORARRAY($B$51))&gt;0)*1)+51),4,FALSE))/100,P172+VALUE(VLOOKUP($B149&amp;"-"&amp;$B150,INDIRECT("V51:Y"&amp;COUNT((FIND("-",_xlfn.ANCHORARRAY($B$51))&gt;0)*1)+51),4,FALSE))/100),"na")</f>
        <v>na</v>
      </c>
      <c r="Q150" s="8" t="str" cm="1">
        <f t="array" aca="1" ref="Q150" ca="1">+IFERROR(IF(Q149&lt;&gt;"na",Q149+VALUE(VLOOKUP($B149&amp;"-"&amp;$B150,INDIRECT("V51:Y"&amp;COUNT((FIND("-",_xlfn.ANCHORARRAY($B$51))&gt;0)*1)+51),4,FALSE))/100,Q172+VALUE(VLOOKUP($B149&amp;"-"&amp;$B150,INDIRECT("V51:Y"&amp;COUNT((FIND("-",_xlfn.ANCHORARRAY($B$51))&gt;0)*1)+51),4,FALSE))/100),"na")</f>
        <v>na</v>
      </c>
      <c r="R150" s="8" t="str">
        <f t="shared" ca="1" si="99"/>
        <v/>
      </c>
    </row>
    <row r="151" spans="2:18">
      <c r="B151" s="8"/>
      <c r="C151" s="8" t="str" cm="1">
        <f t="array" aca="1" ref="C151" ca="1">+IFERROR(IF(C150&lt;&gt;"na",C150+VALUE(VLOOKUP($B150&amp;"-"&amp;$B151,INDIRECT("V51:Y"&amp;COUNT((FIND("-",_xlfn.ANCHORARRAY($B$51))&gt;0)*1)+51),4,FALSE))/100,C173+VALUE(VLOOKUP($B150&amp;"-"&amp;$B151,INDIRECT("V51:Y"&amp;COUNT((FIND("-",_xlfn.ANCHORARRAY($B$51))&gt;0)*1)+51),4,FALSE))/100),"na")</f>
        <v>na</v>
      </c>
      <c r="D151" s="8" t="str" cm="1">
        <f t="array" aca="1" ref="D151" ca="1">+IFERROR(IF(D150&lt;&gt;"na",D150+VALUE(VLOOKUP($B150&amp;"-"&amp;$B151,INDIRECT("V51:Y"&amp;COUNT((FIND("-",_xlfn.ANCHORARRAY($B$51))&gt;0)*1)+51),4,FALSE))/100,D173+VALUE(VLOOKUP($B150&amp;"-"&amp;$B151,INDIRECT("V51:Y"&amp;COUNT((FIND("-",_xlfn.ANCHORARRAY($B$51))&gt;0)*1)+51),4,FALSE))/100),"na")</f>
        <v>na</v>
      </c>
      <c r="E151" s="8" t="str" cm="1">
        <f t="array" aca="1" ref="E151" ca="1">+IFERROR(IF(E150&lt;&gt;"na",E150+VALUE(VLOOKUP($B150&amp;"-"&amp;$B151,INDIRECT("V51:Y"&amp;COUNT((FIND("-",_xlfn.ANCHORARRAY($B$51))&gt;0)*1)+51),4,FALSE))/100,E173+VALUE(VLOOKUP($B150&amp;"-"&amp;$B151,INDIRECT("V51:Y"&amp;COUNT((FIND("-",_xlfn.ANCHORARRAY($B$51))&gt;0)*1)+51),4,FALSE))/100),"na")</f>
        <v>na</v>
      </c>
      <c r="F151" s="8" t="str" cm="1">
        <f t="array" aca="1" ref="F151" ca="1">+IFERROR(IF(F150&lt;&gt;"na",F150+VALUE(VLOOKUP($B150&amp;"-"&amp;$B151,INDIRECT("V51:Y"&amp;COUNT((FIND("-",_xlfn.ANCHORARRAY($B$51))&gt;0)*1)+51),4,FALSE))/100,F173+VALUE(VLOOKUP($B150&amp;"-"&amp;$B151,INDIRECT("V51:Y"&amp;COUNT((FIND("-",_xlfn.ANCHORARRAY($B$51))&gt;0)*1)+51),4,FALSE))/100),"na")</f>
        <v>na</v>
      </c>
      <c r="G151" s="8" t="str" cm="1">
        <f t="array" aca="1" ref="G151" ca="1">+IFERROR(IF(G150&lt;&gt;"na",G150+VALUE(VLOOKUP($B150&amp;"-"&amp;$B151,INDIRECT("V51:Y"&amp;COUNT((FIND("-",_xlfn.ANCHORARRAY($B$51))&gt;0)*1)+51),4,FALSE))/100,G173+VALUE(VLOOKUP($B150&amp;"-"&amp;$B151,INDIRECT("V51:Y"&amp;COUNT((FIND("-",_xlfn.ANCHORARRAY($B$51))&gt;0)*1)+51),4,FALSE))/100),"na")</f>
        <v>na</v>
      </c>
      <c r="H151" s="8" t="str" cm="1">
        <f t="array" aca="1" ref="H151" ca="1">+IFERROR(IF(H150&lt;&gt;"na",H150+VALUE(VLOOKUP($B150&amp;"-"&amp;$B151,INDIRECT("V51:Y"&amp;COUNT((FIND("-",_xlfn.ANCHORARRAY($B$51))&gt;0)*1)+51),4,FALSE))/100,H173+VALUE(VLOOKUP($B150&amp;"-"&amp;$B151,INDIRECT("V51:Y"&amp;COUNT((FIND("-",_xlfn.ANCHORARRAY($B$51))&gt;0)*1)+51),4,FALSE))/100),"na")</f>
        <v>na</v>
      </c>
      <c r="I151" s="8" t="str" cm="1">
        <f t="array" aca="1" ref="I151" ca="1">+IFERROR(IF(I150&lt;&gt;"na",I150+VALUE(VLOOKUP($B150&amp;"-"&amp;$B151,INDIRECT("V51:Y"&amp;COUNT((FIND("-",_xlfn.ANCHORARRAY($B$51))&gt;0)*1)+51),4,FALSE))/100,I173+VALUE(VLOOKUP($B150&amp;"-"&amp;$B151,INDIRECT("V51:Y"&amp;COUNT((FIND("-",_xlfn.ANCHORARRAY($B$51))&gt;0)*1)+51),4,FALSE))/100),"na")</f>
        <v>na</v>
      </c>
      <c r="J151" s="8" t="str" cm="1">
        <f t="array" aca="1" ref="J151" ca="1">+IFERROR(IF(J150&lt;&gt;"na",J150+VALUE(VLOOKUP($B150&amp;"-"&amp;$B151,INDIRECT("V51:Y"&amp;COUNT((FIND("-",_xlfn.ANCHORARRAY($B$51))&gt;0)*1)+51),4,FALSE))/100,J173+VALUE(VLOOKUP($B150&amp;"-"&amp;$B151,INDIRECT("V51:Y"&amp;COUNT((FIND("-",_xlfn.ANCHORARRAY($B$51))&gt;0)*1)+51),4,FALSE))/100),"na")</f>
        <v>na</v>
      </c>
      <c r="K151" s="8" t="str" cm="1">
        <f t="array" aca="1" ref="K151" ca="1">+IFERROR(IF(K150&lt;&gt;"na",K150+VALUE(VLOOKUP($B150&amp;"-"&amp;$B151,INDIRECT("V51:Y"&amp;COUNT((FIND("-",_xlfn.ANCHORARRAY($B$51))&gt;0)*1)+51),4,FALSE))/100,K173+VALUE(VLOOKUP($B150&amp;"-"&amp;$B151,INDIRECT("V51:Y"&amp;COUNT((FIND("-",_xlfn.ANCHORARRAY($B$51))&gt;0)*1)+51),4,FALSE))/100),"na")</f>
        <v>na</v>
      </c>
      <c r="L151" s="8" t="str" cm="1">
        <f t="array" aca="1" ref="L151" ca="1">+IFERROR(IF(L150&lt;&gt;"na",L150+VALUE(VLOOKUP($B150&amp;"-"&amp;$B151,INDIRECT("V51:Y"&amp;COUNT((FIND("-",_xlfn.ANCHORARRAY($B$51))&gt;0)*1)+51),4,FALSE))/100,L173+VALUE(VLOOKUP($B150&amp;"-"&amp;$B151,INDIRECT("V51:Y"&amp;COUNT((FIND("-",_xlfn.ANCHORARRAY($B$51))&gt;0)*1)+51),4,FALSE))/100),"na")</f>
        <v>na</v>
      </c>
      <c r="M151" s="8" t="str" cm="1">
        <f t="array" aca="1" ref="M151" ca="1">+IFERROR(IF(M150&lt;&gt;"na",M150+VALUE(VLOOKUP($B150&amp;"-"&amp;$B151,INDIRECT("V51:Y"&amp;COUNT((FIND("-",_xlfn.ANCHORARRAY($B$51))&gt;0)*1)+51),4,FALSE))/100,M173+VALUE(VLOOKUP($B150&amp;"-"&amp;$B151,INDIRECT("V51:Y"&amp;COUNT((FIND("-",_xlfn.ANCHORARRAY($B$51))&gt;0)*1)+51),4,FALSE))/100),"na")</f>
        <v>na</v>
      </c>
      <c r="N151" s="8" t="str" cm="1">
        <f t="array" aca="1" ref="N151" ca="1">+IFERROR(IF(N150&lt;&gt;"na",N150+VALUE(VLOOKUP($B150&amp;"-"&amp;$B151,INDIRECT("V51:Y"&amp;COUNT((FIND("-",_xlfn.ANCHORARRAY($B$51))&gt;0)*1)+51),4,FALSE))/100,N173+VALUE(VLOOKUP($B150&amp;"-"&amp;$B151,INDIRECT("V51:Y"&amp;COUNT((FIND("-",_xlfn.ANCHORARRAY($B$51))&gt;0)*1)+51),4,FALSE))/100),"na")</f>
        <v>na</v>
      </c>
      <c r="O151" s="8" t="str" cm="1">
        <f t="array" aca="1" ref="O151" ca="1">+IFERROR(IF(O150&lt;&gt;"na",O150+VALUE(VLOOKUP($B150&amp;"-"&amp;$B151,INDIRECT("V51:Y"&amp;COUNT((FIND("-",_xlfn.ANCHORARRAY($B$51))&gt;0)*1)+51),4,FALSE))/100,O173+VALUE(VLOOKUP($B150&amp;"-"&amp;$B151,INDIRECT("V51:Y"&amp;COUNT((FIND("-",_xlfn.ANCHORARRAY($B$51))&gt;0)*1)+51),4,FALSE))/100),"na")</f>
        <v>na</v>
      </c>
      <c r="P151" s="8" t="str" cm="1">
        <f t="array" aca="1" ref="P151" ca="1">+IFERROR(IF(P150&lt;&gt;"na",P150+VALUE(VLOOKUP($B150&amp;"-"&amp;$B151,INDIRECT("V51:Y"&amp;COUNT((FIND("-",_xlfn.ANCHORARRAY($B$51))&gt;0)*1)+51),4,FALSE))/100,P173+VALUE(VLOOKUP($B150&amp;"-"&amp;$B151,INDIRECT("V51:Y"&amp;COUNT((FIND("-",_xlfn.ANCHORARRAY($B$51))&gt;0)*1)+51),4,FALSE))/100),"na")</f>
        <v>na</v>
      </c>
      <c r="Q151" s="8" t="str" cm="1">
        <f t="array" aca="1" ref="Q151" ca="1">+IFERROR(IF(Q150&lt;&gt;"na",Q150+VALUE(VLOOKUP($B150&amp;"-"&amp;$B151,INDIRECT("V51:Y"&amp;COUNT((FIND("-",_xlfn.ANCHORARRAY($B$51))&gt;0)*1)+51),4,FALSE))/100,Q173+VALUE(VLOOKUP($B150&amp;"-"&amp;$B151,INDIRECT("V51:Y"&amp;COUNT((FIND("-",_xlfn.ANCHORARRAY($B$51))&gt;0)*1)+51),4,FALSE))/100),"na")</f>
        <v>na</v>
      </c>
      <c r="R151" s="8" t="str">
        <f t="shared" ca="1" si="99"/>
        <v/>
      </c>
    </row>
    <row r="152" spans="2:18"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</row>
    <row r="153" spans="2:18"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</row>
    <row r="154" spans="2:18"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</row>
    <row r="155" spans="2:18"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</row>
    <row r="156" spans="2:18">
      <c r="B156" s="8" t="s">
        <v>2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</row>
    <row r="157" spans="2:18">
      <c r="B157" s="8" cm="1">
        <f t="array" aca="1" ref="B157:B164" ca="1">+_xlfn.ANCHORARRAY(B134)</f>
        <v>3</v>
      </c>
      <c r="C157" s="8">
        <f ca="1">+IFERROR(VALUE(VLOOKUP(C$91,INDIRECT("V28:Y"&amp;COUNT(_xlfn.ANCHORARRAY($B$92))+28),4,FALSE)),"na")</f>
        <v>11.5</v>
      </c>
      <c r="D157" s="8" t="str" cm="1">
        <f t="array" aca="1" ref="D157" ca="1">+IFERROR(D136-VLOOKUP($B157&amp;"-"&amp;$B159,INDIRECT("V51:Y"&amp;COUNT((FIND("-",_xlfn.ANCHORARRAY($B$51))&gt;0)*1)+51),3,FALSE)/100,"na")</f>
        <v>na</v>
      </c>
      <c r="E157" s="8" t="str" cm="1">
        <f t="array" aca="1" ref="E157" ca="1">+IFERROR(IF(E136&lt;&gt;"na",E136-VLOOKUP($B157&amp;"-"&amp;$B159,INDIRECT("V51:Y"&amp;COUNT((FIND("-",_xlfn.ANCHORARRAY($B$51))&gt;0)*1)+51),3,FALSE)/100,E159-VLOOKUP($B157&amp;"-"&amp;$B159,INDIRECT("V51:Y"&amp;COUNT((FIND("-",_xlfn.ANCHORARRAY($B$51))&gt;0)*1)+51),3,FALSE)/100),"na")</f>
        <v>na</v>
      </c>
      <c r="F157" s="8" t="str" cm="1">
        <f t="array" aca="1" ref="F157" ca="1">+IFERROR(IF(F136&lt;&gt;"na",F136-VLOOKUP($B157&amp;"-"&amp;$B159,INDIRECT("V51:Y"&amp;COUNT((FIND("-",_xlfn.ANCHORARRAY($B$51))&gt;0)*1)+51),3,FALSE)/100,F159-VLOOKUP($B157&amp;"-"&amp;$B159,INDIRECT("V51:Y"&amp;COUNT((FIND("-",_xlfn.ANCHORARRAY($B$51))&gt;0)*1)+51),3,FALSE)/100),"na")</f>
        <v>na</v>
      </c>
      <c r="G157" s="8" t="str" cm="1">
        <f t="array" aca="1" ref="G157" ca="1">+IFERROR(IF(G136&lt;&gt;"na",G136-VLOOKUP($B157&amp;"-"&amp;$B159,INDIRECT("V51:Y"&amp;COUNT((FIND("-",_xlfn.ANCHORARRAY($B$51))&gt;0)*1)+51),3,FALSE)/100,G159-VLOOKUP($B157&amp;"-"&amp;$B159,INDIRECT("V51:Y"&amp;COUNT((FIND("-",_xlfn.ANCHORARRAY($B$51))&gt;0)*1)+51),3,FALSE)/100),"na")</f>
        <v>na</v>
      </c>
      <c r="H157" s="8" t="str" cm="1">
        <f t="array" aca="1" ref="H157" ca="1">+IFERROR(IF(H136&lt;&gt;"na",H136-VLOOKUP($B157&amp;"-"&amp;$B159,INDIRECT("V51:Y"&amp;COUNT((FIND("-",_xlfn.ANCHORARRAY($B$51))&gt;0)*1)+51),3,FALSE)/100,H159-VLOOKUP($B157&amp;"-"&amp;$B159,INDIRECT("V51:Y"&amp;COUNT((FIND("-",_xlfn.ANCHORARRAY($B$51))&gt;0)*1)+51),3,FALSE)/100),"na")</f>
        <v>na</v>
      </c>
      <c r="I157" s="8" t="str" cm="1">
        <f t="array" aca="1" ref="I157" ca="1">+IFERROR(IF(I136&lt;&gt;"na",I136-VLOOKUP($B157&amp;"-"&amp;$B159,INDIRECT("V51:Y"&amp;COUNT((FIND("-",_xlfn.ANCHORARRAY($B$51))&gt;0)*1)+51),3,FALSE)/100,I159-VLOOKUP($B157&amp;"-"&amp;$B159,INDIRECT("V51:Y"&amp;COUNT((FIND("-",_xlfn.ANCHORARRAY($B$51))&gt;0)*1)+51),3,FALSE)/100),"na")</f>
        <v>na</v>
      </c>
      <c r="J157" s="8" t="str" cm="1">
        <f t="array" aca="1" ref="J157" ca="1">+IFERROR(IF(J136&lt;&gt;"na",J136-VLOOKUP($B157&amp;"-"&amp;$B159,INDIRECT("V51:Y"&amp;COUNT((FIND("-",_xlfn.ANCHORARRAY($B$51))&gt;0)*1)+51),3,FALSE)/100,J159-VLOOKUP($B157&amp;"-"&amp;$B159,INDIRECT("V51:Y"&amp;COUNT((FIND("-",_xlfn.ANCHORARRAY($B$51))&gt;0)*1)+51),3,FALSE)/100),"na")</f>
        <v>na</v>
      </c>
      <c r="K157" s="8" t="str" cm="1">
        <f t="array" aca="1" ref="K157" ca="1">+IFERROR(IF(K136&lt;&gt;"na",K136-VLOOKUP($B157&amp;"-"&amp;$B159,INDIRECT("V51:Y"&amp;COUNT((FIND("-",_xlfn.ANCHORARRAY($B$51))&gt;0)*1)+51),3,FALSE)/100,K159-VLOOKUP($B157&amp;"-"&amp;$B159,INDIRECT("V51:Y"&amp;COUNT((FIND("-",_xlfn.ANCHORARRAY($B$51))&gt;0)*1)+51),3,FALSE)/100),"na")</f>
        <v>na</v>
      </c>
      <c r="L157" s="8" t="str" cm="1">
        <f t="array" aca="1" ref="L157" ca="1">+IFERROR(IF(L136&lt;&gt;"na",L136-VLOOKUP($B157&amp;"-"&amp;$B159,INDIRECT("V51:Y"&amp;COUNT((FIND("-",_xlfn.ANCHORARRAY($B$51))&gt;0)*1)+51),3,FALSE)/100,L159-VLOOKUP($B157&amp;"-"&amp;$B159,INDIRECT("V51:Y"&amp;COUNT((FIND("-",_xlfn.ANCHORARRAY($B$51))&gt;0)*1)+51),3,FALSE)/100),"na")</f>
        <v>na</v>
      </c>
      <c r="M157" s="8" t="str" cm="1">
        <f t="array" aca="1" ref="M157" ca="1">+IFERROR(IF(M136&lt;&gt;"na",M136-VLOOKUP($B157&amp;"-"&amp;$B159,INDIRECT("V51:Y"&amp;COUNT((FIND("-",_xlfn.ANCHORARRAY($B$51))&gt;0)*1)+51),3,FALSE)/100,M159-VLOOKUP($B157&amp;"-"&amp;$B159,INDIRECT("V51:Y"&amp;COUNT((FIND("-",_xlfn.ANCHORARRAY($B$51))&gt;0)*1)+51),3,FALSE)/100),"na")</f>
        <v>na</v>
      </c>
      <c r="N157" s="8" t="str" cm="1">
        <f t="array" aca="1" ref="N157" ca="1">+IFERROR(IF(N136&lt;&gt;"na",N136-VLOOKUP($B157&amp;"-"&amp;$B159,INDIRECT("V51:Y"&amp;COUNT((FIND("-",_xlfn.ANCHORARRAY($B$51))&gt;0)*1)+51),3,FALSE)/100,N159-VLOOKUP($B157&amp;"-"&amp;$B159,INDIRECT("V51:Y"&amp;COUNT((FIND("-",_xlfn.ANCHORARRAY($B$51))&gt;0)*1)+51),3,FALSE)/100),"na")</f>
        <v>na</v>
      </c>
      <c r="O157" s="8" t="str" cm="1">
        <f t="array" aca="1" ref="O157" ca="1">+IFERROR(IF(O136&lt;&gt;"na",O136-VLOOKUP($B157&amp;"-"&amp;$B159,INDIRECT("V51:Y"&amp;COUNT((FIND("-",_xlfn.ANCHORARRAY($B$51))&gt;0)*1)+51),3,FALSE)/100,O159-VLOOKUP($B157&amp;"-"&amp;$B159,INDIRECT("V51:Y"&amp;COUNT((FIND("-",_xlfn.ANCHORARRAY($B$51))&gt;0)*1)+51),3,FALSE)/100),"na")</f>
        <v>na</v>
      </c>
      <c r="P157" s="8" t="str" cm="1">
        <f t="array" aca="1" ref="P157" ca="1">+IFERROR(IF(P136&lt;&gt;"na",P136-VLOOKUP($B157&amp;"-"&amp;$B159,INDIRECT("V51:Y"&amp;COUNT((FIND("-",_xlfn.ANCHORARRAY($B$51))&gt;0)*1)+51),3,FALSE)/100,P159-VLOOKUP($B157&amp;"-"&amp;$B159,INDIRECT("V51:Y"&amp;COUNT((FIND("-",_xlfn.ANCHORARRAY($B$51))&gt;0)*1)+51),3,FALSE)/100),"na")</f>
        <v>na</v>
      </c>
      <c r="Q157" s="8" t="str" cm="1">
        <f t="array" aca="1" ref="Q157" ca="1">+IFERROR(IF(Q136&lt;&gt;"na",Q136-VLOOKUP($B157&amp;"-"&amp;$B159,INDIRECT("V51:Y"&amp;COUNT((FIND("-",_xlfn.ANCHORARRAY($B$51))&gt;0)*1)+51),3,FALSE)/100,Q159-VLOOKUP($B157&amp;"-"&amp;$B159,INDIRECT("V51:Y"&amp;COUNT((FIND("-",_xlfn.ANCHORARRAY($B$51))&gt;0)*1)+51),3,FALSE)/100),"na")</f>
        <v>na</v>
      </c>
      <c r="R157" s="8">
        <f ca="1">+IF(MIN(C157:Q157)=0,"",MIN(C157:Q157))</f>
        <v>11.5</v>
      </c>
    </row>
    <row r="158" spans="2:18">
      <c r="B158" s="8">
        <f ca="1"/>
        <v>6</v>
      </c>
      <c r="C158" s="8" t="str" cm="1">
        <f t="array" aca="1" ref="C158" ca="1">+IFERROR(C133+VLOOKUP($B156&amp;"-"&amp;$B158,INDIRECT("V51:Y"&amp;COUNT((FIND("-",_xlfn.ANCHORARRAY($B$51))&gt;0)*1)+51),4,FALSE)/100,"na")</f>
        <v>na</v>
      </c>
      <c r="D158" s="8">
        <f ca="1">+IFERROR(VALUE(VLOOKUP(D$91,INDIRECT("V28:Y"&amp;COUNT(_xlfn.ANCHORARRAY($B$92))+28),4,FALSE)),"na")</f>
        <v>11.43</v>
      </c>
      <c r="E158" s="8" t="str" cm="1">
        <f t="array" aca="1" ref="E158" ca="1">+IFERROR(E137-VLOOKUP($B158&amp;"-"&amp;$B160,INDIRECT("V51:Y"&amp;COUNT((FIND("-",_xlfn.ANCHORARRAY($B$51))&gt;0)*1)+51),3,FALSE)/100,"na")</f>
        <v>na</v>
      </c>
      <c r="F158" s="8" t="str" cm="1">
        <f t="array" aca="1" ref="F158" ca="1">+IFERROR(IF(F137&lt;&gt;"na",F137-VLOOKUP($B158&amp;"-"&amp;$B160,INDIRECT("V51:Y"&amp;COUNT((FIND("-",_xlfn.ANCHORARRAY($B$51))&gt;0)*1)+51),3,FALSE)/100,F160-VLOOKUP($B158&amp;"-"&amp;$B160,INDIRECT("V51:Y"&amp;COUNT((FIND("-",_xlfn.ANCHORARRAY($B$51))&gt;0)*1)+51),3,FALSE)/100),"na")</f>
        <v>na</v>
      </c>
      <c r="G158" s="8" t="str" cm="1">
        <f t="array" aca="1" ref="G158" ca="1">+IFERROR(IF(G137&lt;&gt;"na",G137-VLOOKUP($B158&amp;"-"&amp;$B160,INDIRECT("V51:Y"&amp;COUNT((FIND("-",_xlfn.ANCHORARRAY($B$51))&gt;0)*1)+51),3,FALSE)/100,G160-VLOOKUP($B158&amp;"-"&amp;$B160,INDIRECT("V51:Y"&amp;COUNT((FIND("-",_xlfn.ANCHORARRAY($B$51))&gt;0)*1)+51),3,FALSE)/100),"na")</f>
        <v>na</v>
      </c>
      <c r="H158" s="8" t="str" cm="1">
        <f t="array" aca="1" ref="H158" ca="1">+IFERROR(IF(H137&lt;&gt;"na",H137-VLOOKUP($B158&amp;"-"&amp;$B160,INDIRECT("V51:Y"&amp;COUNT((FIND("-",_xlfn.ANCHORARRAY($B$51))&gt;0)*1)+51),3,FALSE)/100,H160-VLOOKUP($B158&amp;"-"&amp;$B160,INDIRECT("V51:Y"&amp;COUNT((FIND("-",_xlfn.ANCHORARRAY($B$51))&gt;0)*1)+51),3,FALSE)/100),"na")</f>
        <v>na</v>
      </c>
      <c r="I158" s="8" t="str" cm="1">
        <f t="array" aca="1" ref="I158" ca="1">+IFERROR(IF(I137&lt;&gt;"na",I137-VLOOKUP($B158&amp;"-"&amp;$B160,INDIRECT("V51:Y"&amp;COUNT((FIND("-",_xlfn.ANCHORARRAY($B$51))&gt;0)*1)+51),3,FALSE)/100,I160-VLOOKUP($B158&amp;"-"&amp;$B160,INDIRECT("V51:Y"&amp;COUNT((FIND("-",_xlfn.ANCHORARRAY($B$51))&gt;0)*1)+51),3,FALSE)/100),"na")</f>
        <v>na</v>
      </c>
      <c r="J158" s="8" t="str" cm="1">
        <f t="array" aca="1" ref="J158" ca="1">+IFERROR(IF(J137&lt;&gt;"na",J137-VLOOKUP($B158&amp;"-"&amp;$B160,INDIRECT("V51:Y"&amp;COUNT((FIND("-",_xlfn.ANCHORARRAY($B$51))&gt;0)*1)+51),3,FALSE)/100,J160-VLOOKUP($B158&amp;"-"&amp;$B160,INDIRECT("V51:Y"&amp;COUNT((FIND("-",_xlfn.ANCHORARRAY($B$51))&gt;0)*1)+51),3,FALSE)/100),"na")</f>
        <v>na</v>
      </c>
      <c r="K158" s="8" t="str" cm="1">
        <f t="array" aca="1" ref="K158" ca="1">+IFERROR(IF(K137&lt;&gt;"na",K137-VLOOKUP($B158&amp;"-"&amp;$B160,INDIRECT("V51:Y"&amp;COUNT((FIND("-",_xlfn.ANCHORARRAY($B$51))&gt;0)*1)+51),3,FALSE)/100,K160-VLOOKUP($B158&amp;"-"&amp;$B160,INDIRECT("V51:Y"&amp;COUNT((FIND("-",_xlfn.ANCHORARRAY($B$51))&gt;0)*1)+51),3,FALSE)/100),"na")</f>
        <v>na</v>
      </c>
      <c r="L158" s="8" t="str" cm="1">
        <f t="array" aca="1" ref="L158" ca="1">+IFERROR(IF(L137&lt;&gt;"na",L137-VLOOKUP($B158&amp;"-"&amp;$B160,INDIRECT("V51:Y"&amp;COUNT((FIND("-",_xlfn.ANCHORARRAY($B$51))&gt;0)*1)+51),3,FALSE)/100,L160-VLOOKUP($B158&amp;"-"&amp;$B160,INDIRECT("V51:Y"&amp;COUNT((FIND("-",_xlfn.ANCHORARRAY($B$51))&gt;0)*1)+51),3,FALSE)/100),"na")</f>
        <v>na</v>
      </c>
      <c r="M158" s="8" t="str" cm="1">
        <f t="array" aca="1" ref="M158" ca="1">+IFERROR(IF(M137&lt;&gt;"na",M137-VLOOKUP($B158&amp;"-"&amp;$B160,INDIRECT("V51:Y"&amp;COUNT((FIND("-",_xlfn.ANCHORARRAY($B$51))&gt;0)*1)+51),3,FALSE)/100,M160-VLOOKUP($B158&amp;"-"&amp;$B160,INDIRECT("V51:Y"&amp;COUNT((FIND("-",_xlfn.ANCHORARRAY($B$51))&gt;0)*1)+51),3,FALSE)/100),"na")</f>
        <v>na</v>
      </c>
      <c r="N158" s="8" t="str" cm="1">
        <f t="array" aca="1" ref="N158" ca="1">+IFERROR(IF(N137&lt;&gt;"na",N137-VLOOKUP($B158&amp;"-"&amp;$B160,INDIRECT("V51:Y"&amp;COUNT((FIND("-",_xlfn.ANCHORARRAY($B$51))&gt;0)*1)+51),3,FALSE)/100,N160-VLOOKUP($B158&amp;"-"&amp;$B160,INDIRECT("V51:Y"&amp;COUNT((FIND("-",_xlfn.ANCHORARRAY($B$51))&gt;0)*1)+51),3,FALSE)/100),"na")</f>
        <v>na</v>
      </c>
      <c r="O158" s="8" t="str" cm="1">
        <f t="array" aca="1" ref="O158" ca="1">+IFERROR(IF(O137&lt;&gt;"na",O137-VLOOKUP($B158&amp;"-"&amp;$B160,INDIRECT("V51:Y"&amp;COUNT((FIND("-",_xlfn.ANCHORARRAY($B$51))&gt;0)*1)+51),3,FALSE)/100,O160-VLOOKUP($B158&amp;"-"&amp;$B160,INDIRECT("V51:Y"&amp;COUNT((FIND("-",_xlfn.ANCHORARRAY($B$51))&gt;0)*1)+51),3,FALSE)/100),"na")</f>
        <v>na</v>
      </c>
      <c r="P158" s="8" t="str" cm="1">
        <f t="array" aca="1" ref="P158" ca="1">+IFERROR(IF(P137&lt;&gt;"na",P137-VLOOKUP($B158&amp;"-"&amp;$B160,INDIRECT("V51:Y"&amp;COUNT((FIND("-",_xlfn.ANCHORARRAY($B$51))&gt;0)*1)+51),3,FALSE)/100,P160-VLOOKUP($B158&amp;"-"&amp;$B160,INDIRECT("V51:Y"&amp;COUNT((FIND("-",_xlfn.ANCHORARRAY($B$51))&gt;0)*1)+51),3,FALSE)/100),"na")</f>
        <v>na</v>
      </c>
      <c r="Q158" s="8" t="str" cm="1">
        <f t="array" aca="1" ref="Q158" ca="1">+IFERROR(IF(Q137&lt;&gt;"na",Q137-VLOOKUP($B158&amp;"-"&amp;$B160,INDIRECT("V51:Y"&amp;COUNT((FIND("-",_xlfn.ANCHORARRAY($B$51))&gt;0)*1)+51),3,FALSE)/100,Q160-VLOOKUP($B158&amp;"-"&amp;$B160,INDIRECT("V51:Y"&amp;COUNT((FIND("-",_xlfn.ANCHORARRAY($B$51))&gt;0)*1)+51),3,FALSE)/100),"na")</f>
        <v>na</v>
      </c>
      <c r="R158" s="8">
        <f t="shared" ref="R158:R174" ca="1" si="100">+IF(MIN(C158:Q158)=0,"",MIN(C158:Q158))</f>
        <v>11.43</v>
      </c>
    </row>
    <row r="159" spans="2:18">
      <c r="B159" s="8">
        <f ca="1"/>
        <v>9</v>
      </c>
      <c r="C159" s="8" t="str" cm="1">
        <f t="array" aca="1" ref="C159" ca="1">+IFERROR(IF(C134&lt;&gt;"na",C134+VLOOKUP($B157&amp;"-"&amp;$B159,INDIRECT("V51:Y"&amp;COUNT((FIND("-",_xlfn.ANCHORARRAY($B$51))&gt;0)*1)+51),4,FALSE)/100,C157+VLOOKUP($B157&amp;"-"&amp;$B159,INDIRECT("V51:Y"&amp;COUNT((FIND("-",_xlfn.ANCHORARRAY($B$51))&gt;0)*1)+51),4,FALSE)/100),"na")</f>
        <v>na</v>
      </c>
      <c r="D159" s="8" t="str" cm="1">
        <f t="array" aca="1" ref="D159" ca="1">+IFERROR(D134+VLOOKUP($B157&amp;"-"&amp;$B159,INDIRECT("V51:Y"&amp;COUNT((FIND("-",_xlfn.ANCHORARRAY($B$51))&gt;0)*1)+51),4,FALSE)/100,"na")</f>
        <v>na</v>
      </c>
      <c r="E159" s="8">
        <f ca="1">+IFERROR(VALUE(VLOOKUP(E$91,INDIRECT("V28:Y"&amp;COUNT(_xlfn.ANCHORARRAY($B$92))+28),4,FALSE)),"na")</f>
        <v>11.28</v>
      </c>
      <c r="F159" s="8" t="str" cm="1">
        <f t="array" aca="1" ref="F159" ca="1">+IFERROR(F138-VLOOKUP($B159&amp;"-"&amp;$B161,INDIRECT("V51:Y"&amp;COUNT((FIND("-",_xlfn.ANCHORARRAY($B$51))&gt;0)*1)+51),3,FALSE)/100,"na")</f>
        <v>na</v>
      </c>
      <c r="G159" s="8" t="str" cm="1">
        <f t="array" aca="1" ref="G159" ca="1">+IFERROR(IF(G138&lt;&gt;"na",G138-VLOOKUP($B159&amp;"-"&amp;$B161,INDIRECT("V51:Y"&amp;COUNT((FIND("-",_xlfn.ANCHORARRAY($B$51))&gt;0)*1)+51),3,FALSE)/100,G161-VLOOKUP($B159&amp;"-"&amp;$B161,INDIRECT("V51:Y"&amp;COUNT((FIND("-",_xlfn.ANCHORARRAY($B$51))&gt;0)*1)+51),3,FALSE)/100),"na")</f>
        <v>na</v>
      </c>
      <c r="H159" s="8" t="str" cm="1">
        <f t="array" aca="1" ref="H159" ca="1">+IFERROR(IF(H138&lt;&gt;"na",H138-VLOOKUP($B159&amp;"-"&amp;$B161,INDIRECT("V51:Y"&amp;COUNT((FIND("-",_xlfn.ANCHORARRAY($B$51))&gt;0)*1)+51),3,FALSE)/100,H161-VLOOKUP($B159&amp;"-"&amp;$B161,INDIRECT("V51:Y"&amp;COUNT((FIND("-",_xlfn.ANCHORARRAY($B$51))&gt;0)*1)+51),3,FALSE)/100),"na")</f>
        <v>na</v>
      </c>
      <c r="I159" s="8" t="str" cm="1">
        <f t="array" aca="1" ref="I159" ca="1">+IFERROR(IF(I138&lt;&gt;"na",I138-VLOOKUP($B159&amp;"-"&amp;$B161,INDIRECT("V51:Y"&amp;COUNT((FIND("-",_xlfn.ANCHORARRAY($B$51))&gt;0)*1)+51),3,FALSE)/100,I161-VLOOKUP($B159&amp;"-"&amp;$B161,INDIRECT("V51:Y"&amp;COUNT((FIND("-",_xlfn.ANCHORARRAY($B$51))&gt;0)*1)+51),3,FALSE)/100),"na")</f>
        <v>na</v>
      </c>
      <c r="J159" s="8" t="str" cm="1">
        <f t="array" aca="1" ref="J159" ca="1">+IFERROR(IF(J138&lt;&gt;"na",J138-VLOOKUP($B159&amp;"-"&amp;$B161,INDIRECT("V51:Y"&amp;COUNT((FIND("-",_xlfn.ANCHORARRAY($B$51))&gt;0)*1)+51),3,FALSE)/100,J161-VLOOKUP($B159&amp;"-"&amp;$B161,INDIRECT("V51:Y"&amp;COUNT((FIND("-",_xlfn.ANCHORARRAY($B$51))&gt;0)*1)+51),3,FALSE)/100),"na")</f>
        <v>na</v>
      </c>
      <c r="K159" s="8" t="str" cm="1">
        <f t="array" aca="1" ref="K159" ca="1">+IFERROR(IF(K138&lt;&gt;"na",K138-VLOOKUP($B159&amp;"-"&amp;$B161,INDIRECT("V51:Y"&amp;COUNT((FIND("-",_xlfn.ANCHORARRAY($B$51))&gt;0)*1)+51),3,FALSE)/100,K161-VLOOKUP($B159&amp;"-"&amp;$B161,INDIRECT("V51:Y"&amp;COUNT((FIND("-",_xlfn.ANCHORARRAY($B$51))&gt;0)*1)+51),3,FALSE)/100),"na")</f>
        <v>na</v>
      </c>
      <c r="L159" s="8" t="str" cm="1">
        <f t="array" aca="1" ref="L159" ca="1">+IFERROR(IF(L138&lt;&gt;"na",L138-VLOOKUP($B159&amp;"-"&amp;$B161,INDIRECT("V51:Y"&amp;COUNT((FIND("-",_xlfn.ANCHORARRAY($B$51))&gt;0)*1)+51),3,FALSE)/100,L161-VLOOKUP($B159&amp;"-"&amp;$B161,INDIRECT("V51:Y"&amp;COUNT((FIND("-",_xlfn.ANCHORARRAY($B$51))&gt;0)*1)+51),3,FALSE)/100),"na")</f>
        <v>na</v>
      </c>
      <c r="M159" s="8" t="str" cm="1">
        <f t="array" aca="1" ref="M159" ca="1">+IFERROR(IF(M138&lt;&gt;"na",M138-VLOOKUP($B159&amp;"-"&amp;$B161,INDIRECT("V51:Y"&amp;COUNT((FIND("-",_xlfn.ANCHORARRAY($B$51))&gt;0)*1)+51),3,FALSE)/100,M161-VLOOKUP($B159&amp;"-"&amp;$B161,INDIRECT("V51:Y"&amp;COUNT((FIND("-",_xlfn.ANCHORARRAY($B$51))&gt;0)*1)+51),3,FALSE)/100),"na")</f>
        <v>na</v>
      </c>
      <c r="N159" s="8" t="str" cm="1">
        <f t="array" aca="1" ref="N159" ca="1">+IFERROR(IF(N138&lt;&gt;"na",N138-VLOOKUP($B159&amp;"-"&amp;$B161,INDIRECT("V51:Y"&amp;COUNT((FIND("-",_xlfn.ANCHORARRAY($B$51))&gt;0)*1)+51),3,FALSE)/100,N161-VLOOKUP($B159&amp;"-"&amp;$B161,INDIRECT("V51:Y"&amp;COUNT((FIND("-",_xlfn.ANCHORARRAY($B$51))&gt;0)*1)+51),3,FALSE)/100),"na")</f>
        <v>na</v>
      </c>
      <c r="O159" s="8" t="str" cm="1">
        <f t="array" aca="1" ref="O159" ca="1">+IFERROR(IF(O138&lt;&gt;"na",O138-VLOOKUP($B159&amp;"-"&amp;$B161,INDIRECT("V51:Y"&amp;COUNT((FIND("-",_xlfn.ANCHORARRAY($B$51))&gt;0)*1)+51),3,FALSE)/100,O161-VLOOKUP($B159&amp;"-"&amp;$B161,INDIRECT("V51:Y"&amp;COUNT((FIND("-",_xlfn.ANCHORARRAY($B$51))&gt;0)*1)+51),3,FALSE)/100),"na")</f>
        <v>na</v>
      </c>
      <c r="P159" s="8" t="str" cm="1">
        <f t="array" aca="1" ref="P159" ca="1">+IFERROR(IF(P138&lt;&gt;"na",P138-VLOOKUP($B159&amp;"-"&amp;$B161,INDIRECT("V51:Y"&amp;COUNT((FIND("-",_xlfn.ANCHORARRAY($B$51))&gt;0)*1)+51),3,FALSE)/100,P161-VLOOKUP($B159&amp;"-"&amp;$B161,INDIRECT("V51:Y"&amp;COUNT((FIND("-",_xlfn.ANCHORARRAY($B$51))&gt;0)*1)+51),3,FALSE)/100),"na")</f>
        <v>na</v>
      </c>
      <c r="Q159" s="8" t="str" cm="1">
        <f t="array" aca="1" ref="Q159" ca="1">+IFERROR(IF(Q138&lt;&gt;"na",Q138-VLOOKUP($B159&amp;"-"&amp;$B161,INDIRECT("V51:Y"&amp;COUNT((FIND("-",_xlfn.ANCHORARRAY($B$51))&gt;0)*1)+51),3,FALSE)/100,Q161-VLOOKUP($B159&amp;"-"&amp;$B161,INDIRECT("V51:Y"&amp;COUNT((FIND("-",_xlfn.ANCHORARRAY($B$51))&gt;0)*1)+51),3,FALSE)/100),"na")</f>
        <v>na</v>
      </c>
      <c r="R159" s="8">
        <f t="shared" ca="1" si="100"/>
        <v>11.28</v>
      </c>
    </row>
    <row r="160" spans="2:18">
      <c r="B160" s="8">
        <f ca="1"/>
        <v>13</v>
      </c>
      <c r="C160" s="8" t="str" cm="1">
        <f t="array" aca="1" ref="C160" ca="1">+IFERROR(IF(C135&lt;&gt;"na",C135+VLOOKUP($B158&amp;"-"&amp;$B160,INDIRECT("V51:Y"&amp;COUNT((FIND("-",_xlfn.ANCHORARRAY($B$51))&gt;0)*1)+51),4,FALSE)/100,C158+VLOOKUP($B158&amp;"-"&amp;$B160,INDIRECT("V51:Y"&amp;COUNT((FIND("-",_xlfn.ANCHORARRAY($B$51))&gt;0)*1)+51),4,FALSE)/100),"na")</f>
        <v>na</v>
      </c>
      <c r="D160" s="8" t="str" cm="1">
        <f t="array" aca="1" ref="D160" ca="1">+IFERROR(IF(D135&lt;&gt;"na",D135+VLOOKUP($B158&amp;"-"&amp;$B160,INDIRECT("V51:Y"&amp;COUNT((FIND("-",_xlfn.ANCHORARRAY($B$51))&gt;0)*1)+51),4,FALSE)/100,D158+VLOOKUP($B158&amp;"-"&amp;$B160,INDIRECT("V51:Y"&amp;COUNT((FIND("-",_xlfn.ANCHORARRAY($B$51))&gt;0)*1)+51),4,FALSE)/100),"na")</f>
        <v>na</v>
      </c>
      <c r="E160" s="8" t="str" cm="1">
        <f t="array" aca="1" ref="E160" ca="1">+IFERROR(E135+VLOOKUP($B158&amp;"-"&amp;$B160,INDIRECT("V51:Y"&amp;COUNT((FIND("-",_xlfn.ANCHORARRAY($B$51))&gt;0)*1)+51),4,FALSE)/100,"na")</f>
        <v>na</v>
      </c>
      <c r="F160" s="8">
        <f ca="1">+IFERROR(VALUE(VLOOKUP(F$91,INDIRECT("V28:Y"&amp;COUNT(_xlfn.ANCHORARRAY($B$92))+28),4,FALSE)),"na")</f>
        <v>10.91</v>
      </c>
      <c r="G160" s="8" t="str" cm="1">
        <f t="array" aca="1" ref="G160" ca="1">+IFERROR(G139-VLOOKUP($B160&amp;"-"&amp;$B162,INDIRECT("V51:Y"&amp;COUNT((FIND("-",_xlfn.ANCHORARRAY($B$51))&gt;0)*1)+51),3,FALSE)/100,"na")</f>
        <v>na</v>
      </c>
      <c r="H160" s="8" t="str" cm="1">
        <f t="array" aca="1" ref="H160" ca="1">+IFERROR(IF(H139&lt;&gt;"na",H139-VLOOKUP($B160&amp;"-"&amp;$B162,INDIRECT("V51:Y"&amp;COUNT((FIND("-",_xlfn.ANCHORARRAY($B$51))&gt;0)*1)+51),3,FALSE)/100,H162-VLOOKUP($B160&amp;"-"&amp;$B162,INDIRECT("V51:Y"&amp;COUNT((FIND("-",_xlfn.ANCHORARRAY($B$51))&gt;0)*1)+51),3,FALSE)/100),"na")</f>
        <v>na</v>
      </c>
      <c r="I160" s="8" t="str" cm="1">
        <f t="array" aca="1" ref="I160" ca="1">+IFERROR(IF(I139&lt;&gt;"na",I139-VLOOKUP($B160&amp;"-"&amp;$B162,INDIRECT("V51:Y"&amp;COUNT((FIND("-",_xlfn.ANCHORARRAY($B$51))&gt;0)*1)+51),3,FALSE)/100,I162-VLOOKUP($B160&amp;"-"&amp;$B162,INDIRECT("V51:Y"&amp;COUNT((FIND("-",_xlfn.ANCHORARRAY($B$51))&gt;0)*1)+51),3,FALSE)/100),"na")</f>
        <v>na</v>
      </c>
      <c r="J160" s="8" t="str" cm="1">
        <f t="array" aca="1" ref="J160" ca="1">+IFERROR(IF(J139&lt;&gt;"na",J139-VLOOKUP($B160&amp;"-"&amp;$B162,INDIRECT("V51:Y"&amp;COUNT((FIND("-",_xlfn.ANCHORARRAY($B$51))&gt;0)*1)+51),3,FALSE)/100,J162-VLOOKUP($B160&amp;"-"&amp;$B162,INDIRECT("V51:Y"&amp;COUNT((FIND("-",_xlfn.ANCHORARRAY($B$51))&gt;0)*1)+51),3,FALSE)/100),"na")</f>
        <v>na</v>
      </c>
      <c r="K160" s="8" t="str" cm="1">
        <f t="array" aca="1" ref="K160" ca="1">+IFERROR(IF(K139&lt;&gt;"na",K139-VLOOKUP($B160&amp;"-"&amp;$B162,INDIRECT("V51:Y"&amp;COUNT((FIND("-",_xlfn.ANCHORARRAY($B$51))&gt;0)*1)+51),3,FALSE)/100,K162-VLOOKUP($B160&amp;"-"&amp;$B162,INDIRECT("V51:Y"&amp;COUNT((FIND("-",_xlfn.ANCHORARRAY($B$51))&gt;0)*1)+51),3,FALSE)/100),"na")</f>
        <v>na</v>
      </c>
      <c r="L160" s="8" t="str" cm="1">
        <f t="array" aca="1" ref="L160" ca="1">+IFERROR(IF(L139&lt;&gt;"na",L139-VLOOKUP($B160&amp;"-"&amp;$B162,INDIRECT("V51:Y"&amp;COUNT((FIND("-",_xlfn.ANCHORARRAY($B$51))&gt;0)*1)+51),3,FALSE)/100,L162-VLOOKUP($B160&amp;"-"&amp;$B162,INDIRECT("V51:Y"&amp;COUNT((FIND("-",_xlfn.ANCHORARRAY($B$51))&gt;0)*1)+51),3,FALSE)/100),"na")</f>
        <v>na</v>
      </c>
      <c r="M160" s="8" t="str" cm="1">
        <f t="array" aca="1" ref="M160" ca="1">+IFERROR(IF(M139&lt;&gt;"na",M139-VLOOKUP($B160&amp;"-"&amp;$B162,INDIRECT("V51:Y"&amp;COUNT((FIND("-",_xlfn.ANCHORARRAY($B$51))&gt;0)*1)+51),3,FALSE)/100,M162-VLOOKUP($B160&amp;"-"&amp;$B162,INDIRECT("V51:Y"&amp;COUNT((FIND("-",_xlfn.ANCHORARRAY($B$51))&gt;0)*1)+51),3,FALSE)/100),"na")</f>
        <v>na</v>
      </c>
      <c r="N160" s="8" t="str" cm="1">
        <f t="array" aca="1" ref="N160" ca="1">+IFERROR(IF(N139&lt;&gt;"na",N139-VLOOKUP($B160&amp;"-"&amp;$B162,INDIRECT("V51:Y"&amp;COUNT((FIND("-",_xlfn.ANCHORARRAY($B$51))&gt;0)*1)+51),3,FALSE)/100,N162-VLOOKUP($B160&amp;"-"&amp;$B162,INDIRECT("V51:Y"&amp;COUNT((FIND("-",_xlfn.ANCHORARRAY($B$51))&gt;0)*1)+51),3,FALSE)/100),"na")</f>
        <v>na</v>
      </c>
      <c r="O160" s="8" t="str" cm="1">
        <f t="array" aca="1" ref="O160" ca="1">+IFERROR(IF(O139&lt;&gt;"na",O139-VLOOKUP($B160&amp;"-"&amp;$B162,INDIRECT("V51:Y"&amp;COUNT((FIND("-",_xlfn.ANCHORARRAY($B$51))&gt;0)*1)+51),3,FALSE)/100,O162-VLOOKUP($B160&amp;"-"&amp;$B162,INDIRECT("V51:Y"&amp;COUNT((FIND("-",_xlfn.ANCHORARRAY($B$51))&gt;0)*1)+51),3,FALSE)/100),"na")</f>
        <v>na</v>
      </c>
      <c r="P160" s="8" t="str" cm="1">
        <f t="array" aca="1" ref="P160" ca="1">+IFERROR(IF(P139&lt;&gt;"na",P139-VLOOKUP($B160&amp;"-"&amp;$B162,INDIRECT("V51:Y"&amp;COUNT((FIND("-",_xlfn.ANCHORARRAY($B$51))&gt;0)*1)+51),3,FALSE)/100,P162-VLOOKUP($B160&amp;"-"&amp;$B162,INDIRECT("V51:Y"&amp;COUNT((FIND("-",_xlfn.ANCHORARRAY($B$51))&gt;0)*1)+51),3,FALSE)/100),"na")</f>
        <v>na</v>
      </c>
      <c r="Q160" s="8" t="str" cm="1">
        <f t="array" aca="1" ref="Q160" ca="1">+IFERROR(IF(Q139&lt;&gt;"na",Q139-VLOOKUP($B160&amp;"-"&amp;$B162,INDIRECT("V51:Y"&amp;COUNT((FIND("-",_xlfn.ANCHORARRAY($B$51))&gt;0)*1)+51),3,FALSE)/100,Q162-VLOOKUP($B160&amp;"-"&amp;$B162,INDIRECT("V51:Y"&amp;COUNT((FIND("-",_xlfn.ANCHORARRAY($B$51))&gt;0)*1)+51),3,FALSE)/100),"na")</f>
        <v>na</v>
      </c>
      <c r="R160" s="8">
        <f t="shared" ca="1" si="100"/>
        <v>10.91</v>
      </c>
    </row>
    <row r="161" spans="2:18">
      <c r="B161" s="8">
        <f ca="1"/>
        <v>26</v>
      </c>
      <c r="C161" s="8" t="str" cm="1">
        <f t="array" aca="1" ref="C161" ca="1">+IFERROR(IF(C136&lt;&gt;"na",C136+VLOOKUP($B159&amp;"-"&amp;$B161,INDIRECT("V51:Y"&amp;COUNT((FIND("-",_xlfn.ANCHORARRAY($B$51))&gt;0)*1)+51),4,FALSE)/100,C159+VLOOKUP($B159&amp;"-"&amp;$B161,INDIRECT("V51:Y"&amp;COUNT((FIND("-",_xlfn.ANCHORARRAY($B$51))&gt;0)*1)+51),4,FALSE)/100),"na")</f>
        <v>na</v>
      </c>
      <c r="D161" s="8" t="str" cm="1">
        <f t="array" aca="1" ref="D161" ca="1">+IFERROR(IF(D136&lt;&gt;"na",D136+VLOOKUP($B159&amp;"-"&amp;$B161,INDIRECT("V51:Y"&amp;COUNT((FIND("-",_xlfn.ANCHORARRAY($B$51))&gt;0)*1)+51),4,FALSE)/100,D159+VLOOKUP($B159&amp;"-"&amp;$B161,INDIRECT("V51:Y"&amp;COUNT((FIND("-",_xlfn.ANCHORARRAY($B$51))&gt;0)*1)+51),4,FALSE)/100),"na")</f>
        <v>na</v>
      </c>
      <c r="E161" s="8" t="str" cm="1">
        <f t="array" aca="1" ref="E161" ca="1">+IFERROR(IF(E136&lt;&gt;"na",E136+VLOOKUP($B159&amp;"-"&amp;$B161,INDIRECT("V51:Y"&amp;COUNT((FIND("-",_xlfn.ANCHORARRAY($B$51))&gt;0)*1)+51),4,FALSE)/100,E159+VLOOKUP($B159&amp;"-"&amp;$B161,INDIRECT("V51:Y"&amp;COUNT((FIND("-",_xlfn.ANCHORARRAY($B$51))&gt;0)*1)+51),4,FALSE)/100),"na")</f>
        <v>na</v>
      </c>
      <c r="F161" s="8" t="str" cm="1">
        <f t="array" aca="1" ref="F161" ca="1">+IFERROR(F136+VLOOKUP($B159&amp;"-"&amp;$B161,INDIRECT("V51:Y"&amp;COUNT((FIND("-",_xlfn.ANCHORARRAY($B$51))&gt;0)*1)+51),4,FALSE)/100,"na")</f>
        <v>na</v>
      </c>
      <c r="G161" s="8">
        <f ca="1">+IFERROR(VALUE(VLOOKUP(G$91,INDIRECT("V28:Y"&amp;COUNT(_xlfn.ANCHORARRAY($B$92))+28),4,FALSE)),"na")</f>
        <v>9.67</v>
      </c>
      <c r="H161" s="8" t="str" cm="1">
        <f t="array" aca="1" ref="H161" ca="1">+IFERROR(H140-VLOOKUP($B161&amp;"-"&amp;$B163,INDIRECT("V51:Y"&amp;COUNT((FIND("-",_xlfn.ANCHORARRAY($B$51))&gt;0)*1)+51),3,FALSE)/100,"na")</f>
        <v>na</v>
      </c>
      <c r="I161" s="8" t="str" cm="1">
        <f t="array" aca="1" ref="I161" ca="1">+IFERROR(IF(I140&lt;&gt;"na",I140-VLOOKUP($B161&amp;"-"&amp;$B163,INDIRECT("V51:Y"&amp;COUNT((FIND("-",_xlfn.ANCHORARRAY($B$51))&gt;0)*1)+51),3,FALSE)/100,I163-VLOOKUP($B161&amp;"-"&amp;$B163,INDIRECT("V51:Y"&amp;COUNT((FIND("-",_xlfn.ANCHORARRAY($B$51))&gt;0)*1)+51),3,FALSE)/100),"na")</f>
        <v>na</v>
      </c>
      <c r="J161" s="8" t="str" cm="1">
        <f t="array" aca="1" ref="J161" ca="1">+IFERROR(IF(J140&lt;&gt;"na",J140-VLOOKUP($B161&amp;"-"&amp;$B163,INDIRECT("V51:Y"&amp;COUNT((FIND("-",_xlfn.ANCHORARRAY($B$51))&gt;0)*1)+51),3,FALSE)/100,J163-VLOOKUP($B161&amp;"-"&amp;$B163,INDIRECT("V51:Y"&amp;COUNT((FIND("-",_xlfn.ANCHORARRAY($B$51))&gt;0)*1)+51),3,FALSE)/100),"na")</f>
        <v>na</v>
      </c>
      <c r="K161" s="8" t="str" cm="1">
        <f t="array" aca="1" ref="K161" ca="1">+IFERROR(IF(K140&lt;&gt;"na",K140-VLOOKUP($B161&amp;"-"&amp;$B163,INDIRECT("V51:Y"&amp;COUNT((FIND("-",_xlfn.ANCHORARRAY($B$51))&gt;0)*1)+51),3,FALSE)/100,K163-VLOOKUP($B161&amp;"-"&amp;$B163,INDIRECT("V51:Y"&amp;COUNT((FIND("-",_xlfn.ANCHORARRAY($B$51))&gt;0)*1)+51),3,FALSE)/100),"na")</f>
        <v>na</v>
      </c>
      <c r="L161" s="8" t="str" cm="1">
        <f t="array" aca="1" ref="L161" ca="1">+IFERROR(IF(L140&lt;&gt;"na",L140-VLOOKUP($B161&amp;"-"&amp;$B163,INDIRECT("V51:Y"&amp;COUNT((FIND("-",_xlfn.ANCHORARRAY($B$51))&gt;0)*1)+51),3,FALSE)/100,L163-VLOOKUP($B161&amp;"-"&amp;$B163,INDIRECT("V51:Y"&amp;COUNT((FIND("-",_xlfn.ANCHORARRAY($B$51))&gt;0)*1)+51),3,FALSE)/100),"na")</f>
        <v>na</v>
      </c>
      <c r="M161" s="8" t="str" cm="1">
        <f t="array" aca="1" ref="M161" ca="1">+IFERROR(IF(M140&lt;&gt;"na",M140-VLOOKUP($B161&amp;"-"&amp;$B163,INDIRECT("V51:Y"&amp;COUNT((FIND("-",_xlfn.ANCHORARRAY($B$51))&gt;0)*1)+51),3,FALSE)/100,M163-VLOOKUP($B161&amp;"-"&amp;$B163,INDIRECT("V51:Y"&amp;COUNT((FIND("-",_xlfn.ANCHORARRAY($B$51))&gt;0)*1)+51),3,FALSE)/100),"na")</f>
        <v>na</v>
      </c>
      <c r="N161" s="8" t="str" cm="1">
        <f t="array" aca="1" ref="N161" ca="1">+IFERROR(IF(N140&lt;&gt;"na",N140-VLOOKUP($B161&amp;"-"&amp;$B163,INDIRECT("V51:Y"&amp;COUNT((FIND("-",_xlfn.ANCHORARRAY($B$51))&gt;0)*1)+51),3,FALSE)/100,N163-VLOOKUP($B161&amp;"-"&amp;$B163,INDIRECT("V51:Y"&amp;COUNT((FIND("-",_xlfn.ANCHORARRAY($B$51))&gt;0)*1)+51),3,FALSE)/100),"na")</f>
        <v>na</v>
      </c>
      <c r="O161" s="8" t="str" cm="1">
        <f t="array" aca="1" ref="O161" ca="1">+IFERROR(IF(O140&lt;&gt;"na",O140-VLOOKUP($B161&amp;"-"&amp;$B163,INDIRECT("V51:Y"&amp;COUNT((FIND("-",_xlfn.ANCHORARRAY($B$51))&gt;0)*1)+51),3,FALSE)/100,O163-VLOOKUP($B161&amp;"-"&amp;$B163,INDIRECT("V51:Y"&amp;COUNT((FIND("-",_xlfn.ANCHORARRAY($B$51))&gt;0)*1)+51),3,FALSE)/100),"na")</f>
        <v>na</v>
      </c>
      <c r="P161" s="8" t="str" cm="1">
        <f t="array" aca="1" ref="P161" ca="1">+IFERROR(IF(P140&lt;&gt;"na",P140-VLOOKUP($B161&amp;"-"&amp;$B163,INDIRECT("V51:Y"&amp;COUNT((FIND("-",_xlfn.ANCHORARRAY($B$51))&gt;0)*1)+51),3,FALSE)/100,P163-VLOOKUP($B161&amp;"-"&amp;$B163,INDIRECT("V51:Y"&amp;COUNT((FIND("-",_xlfn.ANCHORARRAY($B$51))&gt;0)*1)+51),3,FALSE)/100),"na")</f>
        <v>na</v>
      </c>
      <c r="Q161" s="8" t="str" cm="1">
        <f t="array" aca="1" ref="Q161" ca="1">+IFERROR(IF(Q140&lt;&gt;"na",Q140-VLOOKUP($B161&amp;"-"&amp;$B163,INDIRECT("V51:Y"&amp;COUNT((FIND("-",_xlfn.ANCHORARRAY($B$51))&gt;0)*1)+51),3,FALSE)/100,Q163-VLOOKUP($B161&amp;"-"&amp;$B163,INDIRECT("V51:Y"&amp;COUNT((FIND("-",_xlfn.ANCHORARRAY($B$51))&gt;0)*1)+51),3,FALSE)/100),"na")</f>
        <v>na</v>
      </c>
      <c r="R161" s="8">
        <f t="shared" ca="1" si="100"/>
        <v>9.67</v>
      </c>
    </row>
    <row r="162" spans="2:18">
      <c r="B162" s="8">
        <f ca="1"/>
        <v>39</v>
      </c>
      <c r="C162" s="8" t="str" cm="1">
        <f t="array" aca="1" ref="C162" ca="1">+IFERROR(IF(C137&lt;&gt;"na",C137+VLOOKUP($B160&amp;"-"&amp;$B162,INDIRECT("V51:Y"&amp;COUNT((FIND("-",_xlfn.ANCHORARRAY($B$51))&gt;0)*1)+51),4,FALSE)/100,C160+VLOOKUP($B160&amp;"-"&amp;$B162,INDIRECT("V51:Y"&amp;COUNT((FIND("-",_xlfn.ANCHORARRAY($B$51))&gt;0)*1)+51),4,FALSE)/100),"na")</f>
        <v>na</v>
      </c>
      <c r="D162" s="8" t="str" cm="1">
        <f t="array" aca="1" ref="D162" ca="1">+IFERROR(IF(D137&lt;&gt;"na",D137+VLOOKUP($B160&amp;"-"&amp;$B162,INDIRECT("V51:Y"&amp;COUNT((FIND("-",_xlfn.ANCHORARRAY($B$51))&gt;0)*1)+51),4,FALSE)/100,D160+VLOOKUP($B160&amp;"-"&amp;$B162,INDIRECT("V51:Y"&amp;COUNT((FIND("-",_xlfn.ANCHORARRAY($B$51))&gt;0)*1)+51),4,FALSE)/100),"na")</f>
        <v>na</v>
      </c>
      <c r="E162" s="8" t="str" cm="1">
        <f t="array" aca="1" ref="E162" ca="1">+IFERROR(IF(E137&lt;&gt;"na",E137+VLOOKUP($B160&amp;"-"&amp;$B162,INDIRECT("V51:Y"&amp;COUNT((FIND("-",_xlfn.ANCHORARRAY($B$51))&gt;0)*1)+51),4,FALSE)/100,E160+VLOOKUP($B160&amp;"-"&amp;$B162,INDIRECT("V51:Y"&amp;COUNT((FIND("-",_xlfn.ANCHORARRAY($B$51))&gt;0)*1)+51),4,FALSE)/100),"na")</f>
        <v>na</v>
      </c>
      <c r="F162" s="8" t="str" cm="1">
        <f t="array" aca="1" ref="F162" ca="1">+IFERROR(IF(F137&lt;&gt;"na",F137+VLOOKUP($B160&amp;"-"&amp;$B162,INDIRECT("V51:Y"&amp;COUNT((FIND("-",_xlfn.ANCHORARRAY($B$51))&gt;0)*1)+51),4,FALSE)/100,F160+VLOOKUP($B160&amp;"-"&amp;$B162,INDIRECT("V51:Y"&amp;COUNT((FIND("-",_xlfn.ANCHORARRAY($B$51))&gt;0)*1)+51),4,FALSE)/100),"na")</f>
        <v>na</v>
      </c>
      <c r="G162" s="8" t="str" cm="1">
        <f t="array" aca="1" ref="G162" ca="1">+IFERROR(G137+VLOOKUP($B160&amp;"-"&amp;$B162,INDIRECT("V51:Y"&amp;COUNT((FIND("-",_xlfn.ANCHORARRAY($B$51))&gt;0)*1)+51),4,FALSE)/100,"na")</f>
        <v>na</v>
      </c>
      <c r="H162" s="8" t="str">
        <f ca="1">+IFERROR(VALUE(VLOOKUP(H$91,INDIRECT("V28:Y"&amp;COUNT(_xlfn.ANCHORARRAY($B$92))+28),4,FALSE)),"na")</f>
        <v>na</v>
      </c>
      <c r="I162" s="8" t="str" cm="1">
        <f t="array" aca="1" ref="I162" ca="1">+IFERROR(I141-VLOOKUP($B162&amp;"-"&amp;$B164,INDIRECT("V51:Y"&amp;COUNT((FIND("-",_xlfn.ANCHORARRAY($B$51))&gt;0)*1)+51),3,FALSE)/100,"na")</f>
        <v>na</v>
      </c>
      <c r="J162" s="8" t="str" cm="1">
        <f t="array" aca="1" ref="J162" ca="1">+IFERROR(IF(J141&lt;&gt;"na",J141-VLOOKUP($B162&amp;"-"&amp;$B164,INDIRECT("V51:Y"&amp;COUNT((FIND("-",_xlfn.ANCHORARRAY($B$51))&gt;0)*1)+51),3,FALSE)/100,J164-VLOOKUP($B162&amp;"-"&amp;$B164,INDIRECT("V51:Y"&amp;COUNT((FIND("-",_xlfn.ANCHORARRAY($B$51))&gt;0)*1)+51),3,FALSE)/100),"na")</f>
        <v>na</v>
      </c>
      <c r="K162" s="8" t="str" cm="1">
        <f t="array" aca="1" ref="K162" ca="1">+IFERROR(IF(K141&lt;&gt;"na",K141-VLOOKUP($B162&amp;"-"&amp;$B164,INDIRECT("V51:Y"&amp;COUNT((FIND("-",_xlfn.ANCHORARRAY($B$51))&gt;0)*1)+51),3,FALSE)/100,K164-VLOOKUP($B162&amp;"-"&amp;$B164,INDIRECT("V51:Y"&amp;COUNT((FIND("-",_xlfn.ANCHORARRAY($B$51))&gt;0)*1)+51),3,FALSE)/100),"na")</f>
        <v>na</v>
      </c>
      <c r="L162" s="8" t="str" cm="1">
        <f t="array" aca="1" ref="L162" ca="1">+IFERROR(IF(L141&lt;&gt;"na",L141-VLOOKUP($B162&amp;"-"&amp;$B164,INDIRECT("V51:Y"&amp;COUNT((FIND("-",_xlfn.ANCHORARRAY($B$51))&gt;0)*1)+51),3,FALSE)/100,L164-VLOOKUP($B162&amp;"-"&amp;$B164,INDIRECT("V51:Y"&amp;COUNT((FIND("-",_xlfn.ANCHORARRAY($B$51))&gt;0)*1)+51),3,FALSE)/100),"na")</f>
        <v>na</v>
      </c>
      <c r="M162" s="8" t="str" cm="1">
        <f t="array" aca="1" ref="M162" ca="1">+IFERROR(IF(M141&lt;&gt;"na",M141-VLOOKUP($B162&amp;"-"&amp;$B164,INDIRECT("V51:Y"&amp;COUNT((FIND("-",_xlfn.ANCHORARRAY($B$51))&gt;0)*1)+51),3,FALSE)/100,M164-VLOOKUP($B162&amp;"-"&amp;$B164,INDIRECT("V51:Y"&amp;COUNT((FIND("-",_xlfn.ANCHORARRAY($B$51))&gt;0)*1)+51),3,FALSE)/100),"na")</f>
        <v>na</v>
      </c>
      <c r="N162" s="8" t="str" cm="1">
        <f t="array" aca="1" ref="N162" ca="1">+IFERROR(IF(N141&lt;&gt;"na",N141-VLOOKUP($B162&amp;"-"&amp;$B164,INDIRECT("V51:Y"&amp;COUNT((FIND("-",_xlfn.ANCHORARRAY($B$51))&gt;0)*1)+51),3,FALSE)/100,N164-VLOOKUP($B162&amp;"-"&amp;$B164,INDIRECT("V51:Y"&amp;COUNT((FIND("-",_xlfn.ANCHORARRAY($B$51))&gt;0)*1)+51),3,FALSE)/100),"na")</f>
        <v>na</v>
      </c>
      <c r="O162" s="8" t="str" cm="1">
        <f t="array" aca="1" ref="O162" ca="1">+IFERROR(IF(O141&lt;&gt;"na",O141-VLOOKUP($B162&amp;"-"&amp;$B164,INDIRECT("V51:Y"&amp;COUNT((FIND("-",_xlfn.ANCHORARRAY($B$51))&gt;0)*1)+51),3,FALSE)/100,O164-VLOOKUP($B162&amp;"-"&amp;$B164,INDIRECT("V51:Y"&amp;COUNT((FIND("-",_xlfn.ANCHORARRAY($B$51))&gt;0)*1)+51),3,FALSE)/100),"na")</f>
        <v>na</v>
      </c>
      <c r="P162" s="8" t="str" cm="1">
        <f t="array" aca="1" ref="P162" ca="1">+IFERROR(IF(P141&lt;&gt;"na",P141-VLOOKUP($B162&amp;"-"&amp;$B164,INDIRECT("V51:Y"&amp;COUNT((FIND("-",_xlfn.ANCHORARRAY($B$51))&gt;0)*1)+51),3,FALSE)/100,P164-VLOOKUP($B162&amp;"-"&amp;$B164,INDIRECT("V51:Y"&amp;COUNT((FIND("-",_xlfn.ANCHORARRAY($B$51))&gt;0)*1)+51),3,FALSE)/100),"na")</f>
        <v>na</v>
      </c>
      <c r="Q162" s="8" t="str" cm="1">
        <f t="array" aca="1" ref="Q162" ca="1">+IFERROR(IF(Q141&lt;&gt;"na",Q141-VLOOKUP($B162&amp;"-"&amp;$B164,INDIRECT("V51:Y"&amp;COUNT((FIND("-",_xlfn.ANCHORARRAY($B$51))&gt;0)*1)+51),3,FALSE)/100,Q164-VLOOKUP($B162&amp;"-"&amp;$B164,INDIRECT("V51:Y"&amp;COUNT((FIND("-",_xlfn.ANCHORARRAY($B$51))&gt;0)*1)+51),3,FALSE)/100),"na")</f>
        <v>na</v>
      </c>
      <c r="R162" s="8" t="str">
        <f t="shared" ca="1" si="100"/>
        <v/>
      </c>
    </row>
    <row r="163" spans="2:18">
      <c r="B163" s="8">
        <f ca="1"/>
        <v>52</v>
      </c>
      <c r="C163" s="8" t="str" cm="1">
        <f t="array" aca="1" ref="C163" ca="1">+IFERROR(IF(C138&lt;&gt;"na",C138+VLOOKUP($B161&amp;"-"&amp;$B163,INDIRECT("V51:Y"&amp;COUNT((FIND("-",_xlfn.ANCHORARRAY($B$51))&gt;0)*1)+51),4,FALSE)/100,C161+VLOOKUP($B161&amp;"-"&amp;$B163,INDIRECT("V51:Y"&amp;COUNT((FIND("-",_xlfn.ANCHORARRAY($B$51))&gt;0)*1)+51),4,FALSE)/100),"na")</f>
        <v>na</v>
      </c>
      <c r="D163" s="8" t="str" cm="1">
        <f t="array" aca="1" ref="D163" ca="1">+IFERROR(IF(D138&lt;&gt;"na",D138+VLOOKUP($B161&amp;"-"&amp;$B163,INDIRECT("V51:Y"&amp;COUNT((FIND("-",_xlfn.ANCHORARRAY($B$51))&gt;0)*1)+51),4,FALSE)/100,D161+VLOOKUP($B161&amp;"-"&amp;$B163,INDIRECT("V51:Y"&amp;COUNT((FIND("-",_xlfn.ANCHORARRAY($B$51))&gt;0)*1)+51),4,FALSE)/100),"na")</f>
        <v>na</v>
      </c>
      <c r="E163" s="8" t="str" cm="1">
        <f t="array" aca="1" ref="E163" ca="1">+IFERROR(IF(E138&lt;&gt;"na",E138+VLOOKUP($B161&amp;"-"&amp;$B163,INDIRECT("V51:Y"&amp;COUNT((FIND("-",_xlfn.ANCHORARRAY($B$51))&gt;0)*1)+51),4,FALSE)/100,E161+VLOOKUP($B161&amp;"-"&amp;$B163,INDIRECT("V51:Y"&amp;COUNT((FIND("-",_xlfn.ANCHORARRAY($B$51))&gt;0)*1)+51),4,FALSE)/100),"na")</f>
        <v>na</v>
      </c>
      <c r="F163" s="8" t="str" cm="1">
        <f t="array" aca="1" ref="F163" ca="1">+IFERROR(IF(F138&lt;&gt;"na",F138+VLOOKUP($B161&amp;"-"&amp;$B163,INDIRECT("V51:Y"&amp;COUNT((FIND("-",_xlfn.ANCHORARRAY($B$51))&gt;0)*1)+51),4,FALSE)/100,F161+VLOOKUP($B161&amp;"-"&amp;$B163,INDIRECT("V51:Y"&amp;COUNT((FIND("-",_xlfn.ANCHORARRAY($B$51))&gt;0)*1)+51),4,FALSE)/100),"na")</f>
        <v>na</v>
      </c>
      <c r="G163" s="8" t="str" cm="1">
        <f t="array" aca="1" ref="G163" ca="1">+IFERROR(IF(G138&lt;&gt;"na",G138+VLOOKUP($B161&amp;"-"&amp;$B163,INDIRECT("V51:Y"&amp;COUNT((FIND("-",_xlfn.ANCHORARRAY($B$51))&gt;0)*1)+51),4,FALSE)/100,G161+VLOOKUP($B161&amp;"-"&amp;$B163,INDIRECT("V51:Y"&amp;COUNT((FIND("-",_xlfn.ANCHORARRAY($B$51))&gt;0)*1)+51),4,FALSE)/100),"na")</f>
        <v>na</v>
      </c>
      <c r="H163" s="8" t="str" cm="1">
        <f t="array" aca="1" ref="H163" ca="1">+IFERROR(H138+VLOOKUP($B161&amp;"-"&amp;$B163,INDIRECT("V51:Y"&amp;COUNT((FIND("-",_xlfn.ANCHORARRAY($B$51))&gt;0)*1)+51),4,FALSE)/100,"na")</f>
        <v>na</v>
      </c>
      <c r="I163" s="8" t="str">
        <f ca="1">+IFERROR(VALUE(VLOOKUP(I$91,INDIRECT("V28:Y"&amp;COUNT(_xlfn.ANCHORARRAY($B$92))+28),4,FALSE)),"na")</f>
        <v>na</v>
      </c>
      <c r="J163" s="8" t="str" cm="1">
        <f t="array" aca="1" ref="J163" ca="1">+IFERROR(J142-VLOOKUP($B163&amp;"-"&amp;$B165,INDIRECT("V51:Y"&amp;COUNT((FIND("-",_xlfn.ANCHORARRAY($B$51))&gt;0)*1)+51),3,FALSE)/100,"na")</f>
        <v>na</v>
      </c>
      <c r="K163" s="8" t="str" cm="1">
        <f t="array" aca="1" ref="K163" ca="1">+IFERROR(IF(K142&lt;&gt;"na",K142-VLOOKUP($B163&amp;"-"&amp;$B165,INDIRECT("V51:Y"&amp;COUNT((FIND("-",_xlfn.ANCHORARRAY($B$51))&gt;0)*1)+51),3,FALSE)/100,K165-VLOOKUP($B163&amp;"-"&amp;$B165,INDIRECT("V51:Y"&amp;COUNT((FIND("-",_xlfn.ANCHORARRAY($B$51))&gt;0)*1)+51),3,FALSE)/100),"na")</f>
        <v>na</v>
      </c>
      <c r="L163" s="8" t="str" cm="1">
        <f t="array" aca="1" ref="L163" ca="1">+IFERROR(IF(L142&lt;&gt;"na",L142-VLOOKUP($B163&amp;"-"&amp;$B165,INDIRECT("V51:Y"&amp;COUNT((FIND("-",_xlfn.ANCHORARRAY($B$51))&gt;0)*1)+51),3,FALSE)/100,L165-VLOOKUP($B163&amp;"-"&amp;$B165,INDIRECT("V51:Y"&amp;COUNT((FIND("-",_xlfn.ANCHORARRAY($B$51))&gt;0)*1)+51),3,FALSE)/100),"na")</f>
        <v>na</v>
      </c>
      <c r="M163" s="8" t="str" cm="1">
        <f t="array" aca="1" ref="M163" ca="1">+IFERROR(IF(M142&lt;&gt;"na",M142-VLOOKUP($B163&amp;"-"&amp;$B165,INDIRECT("V51:Y"&amp;COUNT((FIND("-",_xlfn.ANCHORARRAY($B$51))&gt;0)*1)+51),3,FALSE)/100,M165-VLOOKUP($B163&amp;"-"&amp;$B165,INDIRECT("V51:Y"&amp;COUNT((FIND("-",_xlfn.ANCHORARRAY($B$51))&gt;0)*1)+51),3,FALSE)/100),"na")</f>
        <v>na</v>
      </c>
      <c r="N163" s="8" t="str" cm="1">
        <f t="array" aca="1" ref="N163" ca="1">+IFERROR(IF(N142&lt;&gt;"na",N142-VLOOKUP($B163&amp;"-"&amp;$B165,INDIRECT("V51:Y"&amp;COUNT((FIND("-",_xlfn.ANCHORARRAY($B$51))&gt;0)*1)+51),3,FALSE)/100,N165-VLOOKUP($B163&amp;"-"&amp;$B165,INDIRECT("V51:Y"&amp;COUNT((FIND("-",_xlfn.ANCHORARRAY($B$51))&gt;0)*1)+51),3,FALSE)/100),"na")</f>
        <v>na</v>
      </c>
      <c r="O163" s="8" t="str" cm="1">
        <f t="array" aca="1" ref="O163" ca="1">+IFERROR(IF(O142&lt;&gt;"na",O142-VLOOKUP($B163&amp;"-"&amp;$B165,INDIRECT("V51:Y"&amp;COUNT((FIND("-",_xlfn.ANCHORARRAY($B$51))&gt;0)*1)+51),3,FALSE)/100,O165-VLOOKUP($B163&amp;"-"&amp;$B165,INDIRECT("V51:Y"&amp;COUNT((FIND("-",_xlfn.ANCHORARRAY($B$51))&gt;0)*1)+51),3,FALSE)/100),"na")</f>
        <v>na</v>
      </c>
      <c r="P163" s="8" t="str" cm="1">
        <f t="array" aca="1" ref="P163" ca="1">+IFERROR(IF(P142&lt;&gt;"na",P142-VLOOKUP($B163&amp;"-"&amp;$B165,INDIRECT("V51:Y"&amp;COUNT((FIND("-",_xlfn.ANCHORARRAY($B$51))&gt;0)*1)+51),3,FALSE)/100,P165-VLOOKUP($B163&amp;"-"&amp;$B165,INDIRECT("V51:Y"&amp;COUNT((FIND("-",_xlfn.ANCHORARRAY($B$51))&gt;0)*1)+51),3,FALSE)/100),"na")</f>
        <v>na</v>
      </c>
      <c r="Q163" s="8" t="str" cm="1">
        <f t="array" aca="1" ref="Q163" ca="1">+IFERROR(IF(Q142&lt;&gt;"na",Q142-VLOOKUP($B163&amp;"-"&amp;$B165,INDIRECT("V51:Y"&amp;COUNT((FIND("-",_xlfn.ANCHORARRAY($B$51))&gt;0)*1)+51),3,FALSE)/100,Q165-VLOOKUP($B163&amp;"-"&amp;$B165,INDIRECT("V51:Y"&amp;COUNT((FIND("-",_xlfn.ANCHORARRAY($B$51))&gt;0)*1)+51),3,FALSE)/100),"na")</f>
        <v>na</v>
      </c>
      <c r="R163" s="8" t="str">
        <f t="shared" ca="1" si="100"/>
        <v/>
      </c>
    </row>
    <row r="164" spans="2:18">
      <c r="B164" s="8">
        <f ca="1"/>
        <v>65</v>
      </c>
      <c r="C164" s="8" t="str" cm="1">
        <f t="array" aca="1" ref="C164" ca="1">+IFERROR(IF(C139&lt;&gt;"na",C139+VLOOKUP($B162&amp;"-"&amp;$B164,INDIRECT("V51:Y"&amp;COUNT((FIND("-",_xlfn.ANCHORARRAY($B$51))&gt;0)*1)+51),4,FALSE)/100,C162+VLOOKUP($B162&amp;"-"&amp;$B164,INDIRECT("V51:Y"&amp;COUNT((FIND("-",_xlfn.ANCHORARRAY($B$51))&gt;0)*1)+51),4,FALSE)/100),"na")</f>
        <v>na</v>
      </c>
      <c r="D164" s="8" t="str" cm="1">
        <f t="array" aca="1" ref="D164" ca="1">+IFERROR(IF(D139&lt;&gt;"na",D139+VLOOKUP($B162&amp;"-"&amp;$B164,INDIRECT("V51:Y"&amp;COUNT((FIND("-",_xlfn.ANCHORARRAY($B$51))&gt;0)*1)+51),4,FALSE)/100,D162+VLOOKUP($B162&amp;"-"&amp;$B164,INDIRECT("V51:Y"&amp;COUNT((FIND("-",_xlfn.ANCHORARRAY($B$51))&gt;0)*1)+51),4,FALSE)/100),"na")</f>
        <v>na</v>
      </c>
      <c r="E164" s="8" t="str" cm="1">
        <f t="array" aca="1" ref="E164" ca="1">+IFERROR(IF(E139&lt;&gt;"na",E139+VLOOKUP($B162&amp;"-"&amp;$B164,INDIRECT("V51:Y"&amp;COUNT((FIND("-",_xlfn.ANCHORARRAY($B$51))&gt;0)*1)+51),4,FALSE)/100,E162+VLOOKUP($B162&amp;"-"&amp;$B164,INDIRECT("V51:Y"&amp;COUNT((FIND("-",_xlfn.ANCHORARRAY($B$51))&gt;0)*1)+51),4,FALSE)/100),"na")</f>
        <v>na</v>
      </c>
      <c r="F164" s="8" t="str" cm="1">
        <f t="array" aca="1" ref="F164" ca="1">+IFERROR(IF(F139&lt;&gt;"na",F139+VLOOKUP($B162&amp;"-"&amp;$B164,INDIRECT("V51:Y"&amp;COUNT((FIND("-",_xlfn.ANCHORARRAY($B$51))&gt;0)*1)+51),4,FALSE)/100,F162+VLOOKUP($B162&amp;"-"&amp;$B164,INDIRECT("V51:Y"&amp;COUNT((FIND("-",_xlfn.ANCHORARRAY($B$51))&gt;0)*1)+51),4,FALSE)/100),"na")</f>
        <v>na</v>
      </c>
      <c r="G164" s="8" t="str" cm="1">
        <f t="array" aca="1" ref="G164" ca="1">+IFERROR(IF(G139&lt;&gt;"na",G139+VLOOKUP($B162&amp;"-"&amp;$B164,INDIRECT("V51:Y"&amp;COUNT((FIND("-",_xlfn.ANCHORARRAY($B$51))&gt;0)*1)+51),4,FALSE)/100,G162+VLOOKUP($B162&amp;"-"&amp;$B164,INDIRECT("V51:Y"&amp;COUNT((FIND("-",_xlfn.ANCHORARRAY($B$51))&gt;0)*1)+51),4,FALSE)/100),"na")</f>
        <v>na</v>
      </c>
      <c r="H164" s="8" t="str" cm="1">
        <f t="array" aca="1" ref="H164" ca="1">+IFERROR(IF(H139&lt;&gt;"na",H139+VLOOKUP($B162&amp;"-"&amp;$B164,INDIRECT("V51:Y"&amp;COUNT((FIND("-",_xlfn.ANCHORARRAY($B$51))&gt;0)*1)+51),4,FALSE)/100,H162+VLOOKUP($B162&amp;"-"&amp;$B164,INDIRECT("V51:Y"&amp;COUNT((FIND("-",_xlfn.ANCHORARRAY($B$51))&gt;0)*1)+51),4,FALSE)/100),"na")</f>
        <v>na</v>
      </c>
      <c r="I164" s="8" t="str" cm="1">
        <f t="array" aca="1" ref="I164" ca="1">+IFERROR(I139+VLOOKUP($B162&amp;"-"&amp;$B164,INDIRECT("V51:Y"&amp;COUNT((FIND("-",_xlfn.ANCHORARRAY($B$51))&gt;0)*1)+51),4,FALSE)/100,"na")</f>
        <v>na</v>
      </c>
      <c r="J164" s="8">
        <f ca="1">+IFERROR(VALUE(VLOOKUP(J$91,INDIRECT("V28:Y"&amp;COUNT(_xlfn.ANCHORARRAY($B$92))+28),4,FALSE)),"na")</f>
        <v>8.39</v>
      </c>
      <c r="K164" s="8" t="str" cm="1">
        <f t="array" aca="1" ref="K164" ca="1">+IFERROR(K143-VLOOKUP($B164&amp;"-"&amp;$B166,INDIRECT("V51:Y"&amp;COUNT((FIND("-",_xlfn.ANCHORARRAY($B$51))&gt;0)*1)+51),3,FALSE)/100,"na")</f>
        <v>na</v>
      </c>
      <c r="L164" s="8" t="str" cm="1">
        <f t="array" aca="1" ref="L164" ca="1">+IFERROR(IF(L143&lt;&gt;"na",L143-VLOOKUP($B164&amp;"-"&amp;$B166,INDIRECT("V51:Y"&amp;COUNT((FIND("-",_xlfn.ANCHORARRAY($B$51))&gt;0)*1)+51),3,FALSE)/100,L166-VLOOKUP($B164&amp;"-"&amp;$B166,INDIRECT("V51:Y"&amp;COUNT((FIND("-",_xlfn.ANCHORARRAY($B$51))&gt;0)*1)+51),3,FALSE)/100),"na")</f>
        <v>na</v>
      </c>
      <c r="M164" s="8" t="str" cm="1">
        <f t="array" aca="1" ref="M164" ca="1">+IFERROR(IF(M143&lt;&gt;"na",M143-VLOOKUP($B164&amp;"-"&amp;$B166,INDIRECT("V51:Y"&amp;COUNT((FIND("-",_xlfn.ANCHORARRAY($B$51))&gt;0)*1)+51),3,FALSE)/100,M166-VLOOKUP($B164&amp;"-"&amp;$B166,INDIRECT("V51:Y"&amp;COUNT((FIND("-",_xlfn.ANCHORARRAY($B$51))&gt;0)*1)+51),3,FALSE)/100),"na")</f>
        <v>na</v>
      </c>
      <c r="N164" s="8" t="str" cm="1">
        <f t="array" aca="1" ref="N164" ca="1">+IFERROR(IF(N143&lt;&gt;"na",N143-VLOOKUP($B164&amp;"-"&amp;$B166,INDIRECT("V51:Y"&amp;COUNT((FIND("-",_xlfn.ANCHORARRAY($B$51))&gt;0)*1)+51),3,FALSE)/100,N166-VLOOKUP($B164&amp;"-"&amp;$B166,INDIRECT("V51:Y"&amp;COUNT((FIND("-",_xlfn.ANCHORARRAY($B$51))&gt;0)*1)+51),3,FALSE)/100),"na")</f>
        <v>na</v>
      </c>
      <c r="O164" s="8" t="str" cm="1">
        <f t="array" aca="1" ref="O164" ca="1">+IFERROR(IF(O143&lt;&gt;"na",O143-VLOOKUP($B164&amp;"-"&amp;$B166,INDIRECT("V51:Y"&amp;COUNT((FIND("-",_xlfn.ANCHORARRAY($B$51))&gt;0)*1)+51),3,FALSE)/100,O166-VLOOKUP($B164&amp;"-"&amp;$B166,INDIRECT("V51:Y"&amp;COUNT((FIND("-",_xlfn.ANCHORARRAY($B$51))&gt;0)*1)+51),3,FALSE)/100),"na")</f>
        <v>na</v>
      </c>
      <c r="P164" s="8" t="str" cm="1">
        <f t="array" aca="1" ref="P164" ca="1">+IFERROR(IF(P143&lt;&gt;"na",P143-VLOOKUP($B164&amp;"-"&amp;$B166,INDIRECT("V51:Y"&amp;COUNT((FIND("-",_xlfn.ANCHORARRAY($B$51))&gt;0)*1)+51),3,FALSE)/100,P166-VLOOKUP($B164&amp;"-"&amp;$B166,INDIRECT("V51:Y"&amp;COUNT((FIND("-",_xlfn.ANCHORARRAY($B$51))&gt;0)*1)+51),3,FALSE)/100),"na")</f>
        <v>na</v>
      </c>
      <c r="Q164" s="8" t="str" cm="1">
        <f t="array" aca="1" ref="Q164" ca="1">+IFERROR(IF(Q143&lt;&gt;"na",Q143-VLOOKUP($B164&amp;"-"&amp;$B166,INDIRECT("V51:Y"&amp;COUNT((FIND("-",_xlfn.ANCHORARRAY($B$51))&gt;0)*1)+51),3,FALSE)/100,Q166-VLOOKUP($B164&amp;"-"&amp;$B166,INDIRECT("V51:Y"&amp;COUNT((FIND("-",_xlfn.ANCHORARRAY($B$51))&gt;0)*1)+51),3,FALSE)/100),"na")</f>
        <v>na</v>
      </c>
      <c r="R164" s="8">
        <f t="shared" ca="1" si="100"/>
        <v>8.39</v>
      </c>
    </row>
    <row r="165" spans="2:18">
      <c r="B165" s="8"/>
      <c r="C165" s="8" t="str" cm="1">
        <f t="array" aca="1" ref="C165" ca="1">+IFERROR(IF(C140&lt;&gt;"na",C140+VLOOKUP($B163&amp;"-"&amp;$B165,INDIRECT("V51:Y"&amp;COUNT((FIND("-",_xlfn.ANCHORARRAY($B$51))&gt;0)*1)+51),4,FALSE)/100,C163+VLOOKUP($B163&amp;"-"&amp;$B165,INDIRECT("V51:Y"&amp;COUNT((FIND("-",_xlfn.ANCHORARRAY($B$51))&gt;0)*1)+51),4,FALSE)/100),"na")</f>
        <v>na</v>
      </c>
      <c r="D165" s="8" t="str" cm="1">
        <f t="array" aca="1" ref="D165" ca="1">+IFERROR(IF(D140&lt;&gt;"na",D140+VLOOKUP($B163&amp;"-"&amp;$B165,INDIRECT("V51:Y"&amp;COUNT((FIND("-",_xlfn.ANCHORARRAY($B$51))&gt;0)*1)+51),4,FALSE)/100,D163+VLOOKUP($B163&amp;"-"&amp;$B165,INDIRECT("V51:Y"&amp;COUNT((FIND("-",_xlfn.ANCHORARRAY($B$51))&gt;0)*1)+51),4,FALSE)/100),"na")</f>
        <v>na</v>
      </c>
      <c r="E165" s="8" t="str" cm="1">
        <f t="array" aca="1" ref="E165" ca="1">+IFERROR(IF(E140&lt;&gt;"na",E140+VLOOKUP($B163&amp;"-"&amp;$B165,INDIRECT("V51:Y"&amp;COUNT((FIND("-",_xlfn.ANCHORARRAY($B$51))&gt;0)*1)+51),4,FALSE)/100,E163+VLOOKUP($B163&amp;"-"&amp;$B165,INDIRECT("V51:Y"&amp;COUNT((FIND("-",_xlfn.ANCHORARRAY($B$51))&gt;0)*1)+51),4,FALSE)/100),"na")</f>
        <v>na</v>
      </c>
      <c r="F165" s="8" t="str" cm="1">
        <f t="array" aca="1" ref="F165" ca="1">+IFERROR(IF(F140&lt;&gt;"na",F140+VLOOKUP($B163&amp;"-"&amp;$B165,INDIRECT("V51:Y"&amp;COUNT((FIND("-",_xlfn.ANCHORARRAY($B$51))&gt;0)*1)+51),4,FALSE)/100,F163+VLOOKUP($B163&amp;"-"&amp;$B165,INDIRECT("V51:Y"&amp;COUNT((FIND("-",_xlfn.ANCHORARRAY($B$51))&gt;0)*1)+51),4,FALSE)/100),"na")</f>
        <v>na</v>
      </c>
      <c r="G165" s="8" t="str" cm="1">
        <f t="array" aca="1" ref="G165" ca="1">+IFERROR(IF(G140&lt;&gt;"na",G140+VLOOKUP($B163&amp;"-"&amp;$B165,INDIRECT("V51:Y"&amp;COUNT((FIND("-",_xlfn.ANCHORARRAY($B$51))&gt;0)*1)+51),4,FALSE)/100,G163+VLOOKUP($B163&amp;"-"&amp;$B165,INDIRECT("V51:Y"&amp;COUNT((FIND("-",_xlfn.ANCHORARRAY($B$51))&gt;0)*1)+51),4,FALSE)/100),"na")</f>
        <v>na</v>
      </c>
      <c r="H165" s="8" t="str" cm="1">
        <f t="array" aca="1" ref="H165" ca="1">+IFERROR(IF(H140&lt;&gt;"na",H140+VLOOKUP($B163&amp;"-"&amp;$B165,INDIRECT("V51:Y"&amp;COUNT((FIND("-",_xlfn.ANCHORARRAY($B$51))&gt;0)*1)+51),4,FALSE)/100,H163+VLOOKUP($B163&amp;"-"&amp;$B165,INDIRECT("V51:Y"&amp;COUNT((FIND("-",_xlfn.ANCHORARRAY($B$51))&gt;0)*1)+51),4,FALSE)/100),"na")</f>
        <v>na</v>
      </c>
      <c r="I165" s="8" t="str" cm="1">
        <f t="array" aca="1" ref="I165" ca="1">+IFERROR(IF(I140&lt;&gt;"na",I140+VLOOKUP($B163&amp;"-"&amp;$B165,INDIRECT("V51:Y"&amp;COUNT((FIND("-",_xlfn.ANCHORARRAY($B$51))&gt;0)*1)+51),4,FALSE)/100,I163+VLOOKUP($B163&amp;"-"&amp;$B165,INDIRECT("V51:Y"&amp;COUNT((FIND("-",_xlfn.ANCHORARRAY($B$51))&gt;0)*1)+51),4,FALSE)/100),"na")</f>
        <v>na</v>
      </c>
      <c r="J165" s="8" t="str" cm="1">
        <f t="array" aca="1" ref="J165" ca="1">+IFERROR(J140+VLOOKUP($B163&amp;"-"&amp;$B165,INDIRECT("V51:Y"&amp;COUNT((FIND("-",_xlfn.ANCHORARRAY($B$51))&gt;0)*1)+51),4,FALSE)/100,"na")</f>
        <v>na</v>
      </c>
      <c r="K165" s="8" t="str">
        <f ca="1">+IFERROR(VALUE(VLOOKUP(K$91,INDIRECT("V28:Y"&amp;COUNT(_xlfn.ANCHORARRAY($B$92))+28),4,FALSE)),"na")</f>
        <v>na</v>
      </c>
      <c r="L165" s="8" t="str" cm="1">
        <f t="array" aca="1" ref="L165" ca="1">+IFERROR(L144-VLOOKUP($B165&amp;"-"&amp;$B167,INDIRECT("V51:Y"&amp;COUNT((FIND("-",_xlfn.ANCHORARRAY($B$51))&gt;0)*1)+51),3,FALSE)/100,"na")</f>
        <v>na</v>
      </c>
      <c r="M165" s="8" t="str" cm="1">
        <f t="array" aca="1" ref="M165" ca="1">+IFERROR(IF(M144&lt;&gt;"na",M144-VLOOKUP($B165&amp;"-"&amp;$B167,INDIRECT("V51:Y"&amp;COUNT((FIND("-",_xlfn.ANCHORARRAY($B$51))&gt;0)*1)+51),3,FALSE)/100,M167-VLOOKUP($B165&amp;"-"&amp;$B167,INDIRECT("V51:Y"&amp;COUNT((FIND("-",_xlfn.ANCHORARRAY($B$51))&gt;0)*1)+51),3,FALSE)/100),"na")</f>
        <v>na</v>
      </c>
      <c r="N165" s="8" t="str" cm="1">
        <f t="array" aca="1" ref="N165" ca="1">+IFERROR(IF(N144&lt;&gt;"na",N144-VLOOKUP($B165&amp;"-"&amp;$B167,INDIRECT("V51:Y"&amp;COUNT((FIND("-",_xlfn.ANCHORARRAY($B$51))&gt;0)*1)+51),3,FALSE)/100,N167-VLOOKUP($B165&amp;"-"&amp;$B167,INDIRECT("V51:Y"&amp;COUNT((FIND("-",_xlfn.ANCHORARRAY($B$51))&gt;0)*1)+51),3,FALSE)/100),"na")</f>
        <v>na</v>
      </c>
      <c r="O165" s="8" t="str" cm="1">
        <f t="array" aca="1" ref="O165" ca="1">+IFERROR(IF(O144&lt;&gt;"na",O144-VLOOKUP($B165&amp;"-"&amp;$B167,INDIRECT("V51:Y"&amp;COUNT((FIND("-",_xlfn.ANCHORARRAY($B$51))&gt;0)*1)+51),3,FALSE)/100,O167-VLOOKUP($B165&amp;"-"&amp;$B167,INDIRECT("V51:Y"&amp;COUNT((FIND("-",_xlfn.ANCHORARRAY($B$51))&gt;0)*1)+51),3,FALSE)/100),"na")</f>
        <v>na</v>
      </c>
      <c r="P165" s="8" t="str" cm="1">
        <f t="array" aca="1" ref="P165" ca="1">+IFERROR(IF(P144&lt;&gt;"na",P144-VLOOKUP($B165&amp;"-"&amp;$B167,INDIRECT("V51:Y"&amp;COUNT((FIND("-",_xlfn.ANCHORARRAY($B$51))&gt;0)*1)+51),3,FALSE)/100,P167-VLOOKUP($B165&amp;"-"&amp;$B167,INDIRECT("V51:Y"&amp;COUNT((FIND("-",_xlfn.ANCHORARRAY($B$51))&gt;0)*1)+51),3,FALSE)/100),"na")</f>
        <v>na</v>
      </c>
      <c r="Q165" s="8" t="str" cm="1">
        <f t="array" aca="1" ref="Q165" ca="1">+IFERROR(IF(Q144&lt;&gt;"na",Q144-VLOOKUP($B165&amp;"-"&amp;$B167,INDIRECT("V51:Y"&amp;COUNT((FIND("-",_xlfn.ANCHORARRAY($B$51))&gt;0)*1)+51),3,FALSE)/100,Q167-VLOOKUP($B165&amp;"-"&amp;$B167,INDIRECT("V51:Y"&amp;COUNT((FIND("-",_xlfn.ANCHORARRAY($B$51))&gt;0)*1)+51),3,FALSE)/100),"na")</f>
        <v>na</v>
      </c>
      <c r="R165" s="8" t="str">
        <f t="shared" ca="1" si="100"/>
        <v/>
      </c>
    </row>
    <row r="166" spans="2:18">
      <c r="B166" s="8"/>
      <c r="C166" s="8" t="str" cm="1">
        <f t="array" aca="1" ref="C166" ca="1">+IFERROR(IF(C141&lt;&gt;"na",C141+VLOOKUP($B164&amp;"-"&amp;$B166,INDIRECT("V51:Y"&amp;COUNT((FIND("-",_xlfn.ANCHORARRAY($B$51))&gt;0)*1)+51),4,FALSE)/100,C164+VLOOKUP($B164&amp;"-"&amp;$B166,INDIRECT("V51:Y"&amp;COUNT((FIND("-",_xlfn.ANCHORARRAY($B$51))&gt;0)*1)+51),4,FALSE)/100),"na")</f>
        <v>na</v>
      </c>
      <c r="D166" s="8" t="str" cm="1">
        <f t="array" aca="1" ref="D166" ca="1">+IFERROR(IF(D141&lt;&gt;"na",D141+VLOOKUP($B164&amp;"-"&amp;$B166,INDIRECT("V51:Y"&amp;COUNT((FIND("-",_xlfn.ANCHORARRAY($B$51))&gt;0)*1)+51),4,FALSE)/100,D164+VLOOKUP($B164&amp;"-"&amp;$B166,INDIRECT("V51:Y"&amp;COUNT((FIND("-",_xlfn.ANCHORARRAY($B$51))&gt;0)*1)+51),4,FALSE)/100),"na")</f>
        <v>na</v>
      </c>
      <c r="E166" s="8" t="str" cm="1">
        <f t="array" aca="1" ref="E166" ca="1">+IFERROR(IF(E141&lt;&gt;"na",E141+VLOOKUP($B164&amp;"-"&amp;$B166,INDIRECT("V51:Y"&amp;COUNT((FIND("-",_xlfn.ANCHORARRAY($B$51))&gt;0)*1)+51),4,FALSE)/100,E164+VLOOKUP($B164&amp;"-"&amp;$B166,INDIRECT("V51:Y"&amp;COUNT((FIND("-",_xlfn.ANCHORARRAY($B$51))&gt;0)*1)+51),4,FALSE)/100),"na")</f>
        <v>na</v>
      </c>
      <c r="F166" s="8" t="str" cm="1">
        <f t="array" aca="1" ref="F166" ca="1">+IFERROR(IF(F141&lt;&gt;"na",F141+VLOOKUP($B164&amp;"-"&amp;$B166,INDIRECT("V51:Y"&amp;COUNT((FIND("-",_xlfn.ANCHORARRAY($B$51))&gt;0)*1)+51),4,FALSE)/100,F164+VLOOKUP($B164&amp;"-"&amp;$B166,INDIRECT("V51:Y"&amp;COUNT((FIND("-",_xlfn.ANCHORARRAY($B$51))&gt;0)*1)+51),4,FALSE)/100),"na")</f>
        <v>na</v>
      </c>
      <c r="G166" s="8" t="str" cm="1">
        <f t="array" aca="1" ref="G166" ca="1">+IFERROR(IF(G141&lt;&gt;"na",G141+VLOOKUP($B164&amp;"-"&amp;$B166,INDIRECT("V51:Y"&amp;COUNT((FIND("-",_xlfn.ANCHORARRAY($B$51))&gt;0)*1)+51),4,FALSE)/100,G164+VLOOKUP($B164&amp;"-"&amp;$B166,INDIRECT("V51:Y"&amp;COUNT((FIND("-",_xlfn.ANCHORARRAY($B$51))&gt;0)*1)+51),4,FALSE)/100),"na")</f>
        <v>na</v>
      </c>
      <c r="H166" s="8" t="str" cm="1">
        <f t="array" aca="1" ref="H166" ca="1">+IFERROR(IF(H141&lt;&gt;"na",H141+VLOOKUP($B164&amp;"-"&amp;$B166,INDIRECT("V51:Y"&amp;COUNT((FIND("-",_xlfn.ANCHORARRAY($B$51))&gt;0)*1)+51),4,FALSE)/100,H164+VLOOKUP($B164&amp;"-"&amp;$B166,INDIRECT("V51:Y"&amp;COUNT((FIND("-",_xlfn.ANCHORARRAY($B$51))&gt;0)*1)+51),4,FALSE)/100),"na")</f>
        <v>na</v>
      </c>
      <c r="I166" s="8" t="str" cm="1">
        <f t="array" aca="1" ref="I166" ca="1">+IFERROR(IF(I141&lt;&gt;"na",I141+VLOOKUP($B164&amp;"-"&amp;$B166,INDIRECT("V51:Y"&amp;COUNT((FIND("-",_xlfn.ANCHORARRAY($B$51))&gt;0)*1)+51),4,FALSE)/100,I164+VLOOKUP($B164&amp;"-"&amp;$B166,INDIRECT("V51:Y"&amp;COUNT((FIND("-",_xlfn.ANCHORARRAY($B$51))&gt;0)*1)+51),4,FALSE)/100),"na")</f>
        <v>na</v>
      </c>
      <c r="J166" s="8" t="str" cm="1">
        <f t="array" aca="1" ref="J166" ca="1">+IFERROR(IF(J141&lt;&gt;"na",J141+VLOOKUP($B164&amp;"-"&amp;$B166,INDIRECT("V51:Y"&amp;COUNT((FIND("-",_xlfn.ANCHORARRAY($B$51))&gt;0)*1)+51),4,FALSE)/100,J164+VLOOKUP($B164&amp;"-"&amp;$B166,INDIRECT("V51:Y"&amp;COUNT((FIND("-",_xlfn.ANCHORARRAY($B$51))&gt;0)*1)+51),4,FALSE)/100),"na")</f>
        <v>na</v>
      </c>
      <c r="K166" s="8" t="str" cm="1">
        <f t="array" aca="1" ref="K166" ca="1">+IFERROR(K141+VLOOKUP($B164&amp;"-"&amp;$B166,INDIRECT("V51:Y"&amp;COUNT((FIND("-",_xlfn.ANCHORARRAY($B$51))&gt;0)*1)+51),4,FALSE)/100,"na")</f>
        <v>na</v>
      </c>
      <c r="L166" s="8" t="str">
        <f ca="1">+IFERROR(VALUE(VLOOKUP(L$91,INDIRECT("V28:Y"&amp;COUNT(_xlfn.ANCHORARRAY($B$92))+28),4,FALSE)),"na")</f>
        <v>na</v>
      </c>
      <c r="M166" s="8" t="str" cm="1">
        <f t="array" aca="1" ref="M166" ca="1">+IFERROR(M145-VLOOKUP($B166&amp;"-"&amp;$B168,INDIRECT("V51:Y"&amp;COUNT((FIND("-",_xlfn.ANCHORARRAY($B$51))&gt;0)*1)+51),3,FALSE)/100,"na")</f>
        <v>na</v>
      </c>
      <c r="N166" s="8" t="str" cm="1">
        <f t="array" aca="1" ref="N166" ca="1">+IFERROR(IF(N145&lt;&gt;"na",N145-VLOOKUP($B166&amp;"-"&amp;$B168,INDIRECT("V51:Y"&amp;COUNT((FIND("-",_xlfn.ANCHORARRAY($B$51))&gt;0)*1)+51),3,FALSE)/100,N168-VLOOKUP($B166&amp;"-"&amp;$B168,INDIRECT("V51:Y"&amp;COUNT((FIND("-",_xlfn.ANCHORARRAY($B$51))&gt;0)*1)+51),3,FALSE)/100),"na")</f>
        <v>na</v>
      </c>
      <c r="O166" s="8" t="str" cm="1">
        <f t="array" aca="1" ref="O166" ca="1">+IFERROR(IF(O145&lt;&gt;"na",O145-VLOOKUP($B166&amp;"-"&amp;$B168,INDIRECT("V51:Y"&amp;COUNT((FIND("-",_xlfn.ANCHORARRAY($B$51))&gt;0)*1)+51),3,FALSE)/100,O168-VLOOKUP($B166&amp;"-"&amp;$B168,INDIRECT("V51:Y"&amp;COUNT((FIND("-",_xlfn.ANCHORARRAY($B$51))&gt;0)*1)+51),3,FALSE)/100),"na")</f>
        <v>na</v>
      </c>
      <c r="P166" s="8" t="str" cm="1">
        <f t="array" aca="1" ref="P166" ca="1">+IFERROR(IF(P145&lt;&gt;"na",P145-VLOOKUP($B166&amp;"-"&amp;$B168,INDIRECT("V51:Y"&amp;COUNT((FIND("-",_xlfn.ANCHORARRAY($B$51))&gt;0)*1)+51),3,FALSE)/100,P168-VLOOKUP($B166&amp;"-"&amp;$B168,INDIRECT("V51:Y"&amp;COUNT((FIND("-",_xlfn.ANCHORARRAY($B$51))&gt;0)*1)+51),3,FALSE)/100),"na")</f>
        <v>na</v>
      </c>
      <c r="Q166" s="8" t="str" cm="1">
        <f t="array" aca="1" ref="Q166" ca="1">+IFERROR(IF(Q145&lt;&gt;"na",Q145-VLOOKUP($B166&amp;"-"&amp;$B168,INDIRECT("V51:Y"&amp;COUNT((FIND("-",_xlfn.ANCHORARRAY($B$51))&gt;0)*1)+51),3,FALSE)/100,Q168-VLOOKUP($B166&amp;"-"&amp;$B168,INDIRECT("V51:Y"&amp;COUNT((FIND("-",_xlfn.ANCHORARRAY($B$51))&gt;0)*1)+51),3,FALSE)/100),"na")</f>
        <v>na</v>
      </c>
      <c r="R166" s="8" t="str">
        <f t="shared" ca="1" si="100"/>
        <v/>
      </c>
    </row>
    <row r="167" spans="2:18">
      <c r="B167" s="8"/>
      <c r="C167" s="8" t="str" cm="1">
        <f t="array" aca="1" ref="C167" ca="1">+IFERROR(IF(C142&lt;&gt;"na",C142+VLOOKUP($B165&amp;"-"&amp;$B167,INDIRECT("V51:Y"&amp;COUNT((FIND("-",_xlfn.ANCHORARRAY($B$51))&gt;0)*1)+51),4,FALSE)/100,C165+VLOOKUP($B165&amp;"-"&amp;$B167,INDIRECT("V51:Y"&amp;COUNT((FIND("-",_xlfn.ANCHORARRAY($B$51))&gt;0)*1)+51),4,FALSE)/100),"na")</f>
        <v>na</v>
      </c>
      <c r="D167" s="8" t="str" cm="1">
        <f t="array" aca="1" ref="D167" ca="1">+IFERROR(IF(D142&lt;&gt;"na",D142+VLOOKUP($B165&amp;"-"&amp;$B167,INDIRECT("V51:Y"&amp;COUNT((FIND("-",_xlfn.ANCHORARRAY($B$51))&gt;0)*1)+51),4,FALSE)/100,D165+VLOOKUP($B165&amp;"-"&amp;$B167,INDIRECT("V51:Y"&amp;COUNT((FIND("-",_xlfn.ANCHORARRAY($B$51))&gt;0)*1)+51),4,FALSE)/100),"na")</f>
        <v>na</v>
      </c>
      <c r="E167" s="8" t="str" cm="1">
        <f t="array" aca="1" ref="E167" ca="1">+IFERROR(IF(E142&lt;&gt;"na",E142+VLOOKUP($B165&amp;"-"&amp;$B167,INDIRECT("V51:Y"&amp;COUNT((FIND("-",_xlfn.ANCHORARRAY($B$51))&gt;0)*1)+51),4,FALSE)/100,E165+VLOOKUP($B165&amp;"-"&amp;$B167,INDIRECT("V51:Y"&amp;COUNT((FIND("-",_xlfn.ANCHORARRAY($B$51))&gt;0)*1)+51),4,FALSE)/100),"na")</f>
        <v>na</v>
      </c>
      <c r="F167" s="8" t="str" cm="1">
        <f t="array" aca="1" ref="F167" ca="1">+IFERROR(IF(F142&lt;&gt;"na",F142+VLOOKUP($B165&amp;"-"&amp;$B167,INDIRECT("V51:Y"&amp;COUNT((FIND("-",_xlfn.ANCHORARRAY($B$51))&gt;0)*1)+51),4,FALSE)/100,F165+VLOOKUP($B165&amp;"-"&amp;$B167,INDIRECT("V51:Y"&amp;COUNT((FIND("-",_xlfn.ANCHORARRAY($B$51))&gt;0)*1)+51),4,FALSE)/100),"na")</f>
        <v>na</v>
      </c>
      <c r="G167" s="8" t="str" cm="1">
        <f t="array" aca="1" ref="G167" ca="1">+IFERROR(IF(G142&lt;&gt;"na",G142+VLOOKUP($B165&amp;"-"&amp;$B167,INDIRECT("V51:Y"&amp;COUNT((FIND("-",_xlfn.ANCHORARRAY($B$51))&gt;0)*1)+51),4,FALSE)/100,G165+VLOOKUP($B165&amp;"-"&amp;$B167,INDIRECT("V51:Y"&amp;COUNT((FIND("-",_xlfn.ANCHORARRAY($B$51))&gt;0)*1)+51),4,FALSE)/100),"na")</f>
        <v>na</v>
      </c>
      <c r="H167" s="8" t="str" cm="1">
        <f t="array" aca="1" ref="H167" ca="1">+IFERROR(IF(H142&lt;&gt;"na",H142+VLOOKUP($B165&amp;"-"&amp;$B167,INDIRECT("V51:Y"&amp;COUNT((FIND("-",_xlfn.ANCHORARRAY($B$51))&gt;0)*1)+51),4,FALSE)/100,H165+VLOOKUP($B165&amp;"-"&amp;$B167,INDIRECT("V51:Y"&amp;COUNT((FIND("-",_xlfn.ANCHORARRAY($B$51))&gt;0)*1)+51),4,FALSE)/100),"na")</f>
        <v>na</v>
      </c>
      <c r="I167" s="8" t="str" cm="1">
        <f t="array" aca="1" ref="I167" ca="1">+IFERROR(IF(I142&lt;&gt;"na",I142+VLOOKUP($B165&amp;"-"&amp;$B167,INDIRECT("V51:Y"&amp;COUNT((FIND("-",_xlfn.ANCHORARRAY($B$51))&gt;0)*1)+51),4,FALSE)/100,I165+VLOOKUP($B165&amp;"-"&amp;$B167,INDIRECT("V51:Y"&amp;COUNT((FIND("-",_xlfn.ANCHORARRAY($B$51))&gt;0)*1)+51),4,FALSE)/100),"na")</f>
        <v>na</v>
      </c>
      <c r="J167" s="8" t="str" cm="1">
        <f t="array" aca="1" ref="J167" ca="1">+IFERROR(IF(J142&lt;&gt;"na",J142+VLOOKUP($B165&amp;"-"&amp;$B167,INDIRECT("V51:Y"&amp;COUNT((FIND("-",_xlfn.ANCHORARRAY($B$51))&gt;0)*1)+51),4,FALSE)/100,J165+VLOOKUP($B165&amp;"-"&amp;$B167,INDIRECT("V51:Y"&amp;COUNT((FIND("-",_xlfn.ANCHORARRAY($B$51))&gt;0)*1)+51),4,FALSE)/100),"na")</f>
        <v>na</v>
      </c>
      <c r="K167" s="8" t="str" cm="1">
        <f t="array" aca="1" ref="K167" ca="1">+IFERROR(IF(K142&lt;&gt;"na",K142+VLOOKUP($B165&amp;"-"&amp;$B167,INDIRECT("V51:Y"&amp;COUNT((FIND("-",_xlfn.ANCHORARRAY($B$51))&gt;0)*1)+51),4,FALSE)/100,K165+VLOOKUP($B165&amp;"-"&amp;$B167,INDIRECT("V51:Y"&amp;COUNT((FIND("-",_xlfn.ANCHORARRAY($B$51))&gt;0)*1)+51),4,FALSE)/100),"na")</f>
        <v>na</v>
      </c>
      <c r="L167" s="8" t="str" cm="1">
        <f t="array" aca="1" ref="L167" ca="1">+IFERROR(L142+VLOOKUP($B165&amp;"-"&amp;$B167,INDIRECT("V51:Y"&amp;COUNT((FIND("-",_xlfn.ANCHORARRAY($B$51))&gt;0)*1)+51),4,FALSE)/100,"na")</f>
        <v>na</v>
      </c>
      <c r="M167" s="8" t="str">
        <f ca="1">+IFERROR(VALUE(VLOOKUP(M$91,INDIRECT("V28:Y"&amp;COUNT(_xlfn.ANCHORARRAY($B$92))+28),4,FALSE)),"na")</f>
        <v>na</v>
      </c>
      <c r="N167" s="8" t="str" cm="1">
        <f t="array" aca="1" ref="N167" ca="1">+IFERROR(N146-VLOOKUP($B167&amp;"-"&amp;$B169,INDIRECT("V51:Y"&amp;COUNT((FIND("-",_xlfn.ANCHORARRAY($B$51))&gt;0)*1)+51),3,FALSE)/100,"na")</f>
        <v>na</v>
      </c>
      <c r="O167" s="8" t="str" cm="1">
        <f t="array" aca="1" ref="O167" ca="1">+IFERROR(IF(O146&lt;&gt;"na",O146-VLOOKUP($B167&amp;"-"&amp;$B169,INDIRECT("V51:Y"&amp;COUNT((FIND("-",_xlfn.ANCHORARRAY($B$51))&gt;0)*1)+51),3,FALSE)/100,O169-VLOOKUP($B167&amp;"-"&amp;$B169,INDIRECT("V51:Y"&amp;COUNT((FIND("-",_xlfn.ANCHORARRAY($B$51))&gt;0)*1)+51),3,FALSE)/100),"na")</f>
        <v>na</v>
      </c>
      <c r="P167" s="8" t="str" cm="1">
        <f t="array" aca="1" ref="P167" ca="1">+IFERROR(IF(P146&lt;&gt;"na",P146-VLOOKUP($B167&amp;"-"&amp;$B169,INDIRECT("V51:Y"&amp;COUNT((FIND("-",_xlfn.ANCHORARRAY($B$51))&gt;0)*1)+51),3,FALSE)/100,P169-VLOOKUP($B167&amp;"-"&amp;$B169,INDIRECT("V51:Y"&amp;COUNT((FIND("-",_xlfn.ANCHORARRAY($B$51))&gt;0)*1)+51),3,FALSE)/100),"na")</f>
        <v>na</v>
      </c>
      <c r="Q167" s="8" t="str" cm="1">
        <f t="array" aca="1" ref="Q167" ca="1">+IFERROR(IF(Q146&lt;&gt;"na",Q146-VLOOKUP($B167&amp;"-"&amp;$B169,INDIRECT("V51:Y"&amp;COUNT((FIND("-",_xlfn.ANCHORARRAY($B$51))&gt;0)*1)+51),3,FALSE)/100,Q169-VLOOKUP($B167&amp;"-"&amp;$B169,INDIRECT("V51:Y"&amp;COUNT((FIND("-",_xlfn.ANCHORARRAY($B$51))&gt;0)*1)+51),3,FALSE)/100),"na")</f>
        <v>na</v>
      </c>
      <c r="R167" s="8" t="str">
        <f t="shared" ca="1" si="100"/>
        <v/>
      </c>
    </row>
    <row r="168" spans="2:18">
      <c r="B168" s="8"/>
      <c r="C168" s="8" t="str" cm="1">
        <f t="array" aca="1" ref="C168" ca="1">+IFERROR(IF(C143&lt;&gt;"na",C143+VLOOKUP($B166&amp;"-"&amp;$B168,INDIRECT("V51:Y"&amp;COUNT((FIND("-",_xlfn.ANCHORARRAY($B$51))&gt;0)*1)+51),4,FALSE)/100,C166+VLOOKUP($B166&amp;"-"&amp;$B168,INDIRECT("V51:Y"&amp;COUNT((FIND("-",_xlfn.ANCHORARRAY($B$51))&gt;0)*1)+51),4,FALSE)/100),"na")</f>
        <v>na</v>
      </c>
      <c r="D168" s="8" t="str" cm="1">
        <f t="array" aca="1" ref="D168" ca="1">+IFERROR(IF(D143&lt;&gt;"na",D143+VLOOKUP($B166&amp;"-"&amp;$B168,INDIRECT("V51:Y"&amp;COUNT((FIND("-",_xlfn.ANCHORARRAY($B$51))&gt;0)*1)+51),4,FALSE)/100,D166+VLOOKUP($B166&amp;"-"&amp;$B168,INDIRECT("V51:Y"&amp;COUNT((FIND("-",_xlfn.ANCHORARRAY($B$51))&gt;0)*1)+51),4,FALSE)/100),"na")</f>
        <v>na</v>
      </c>
      <c r="E168" s="8" t="str" cm="1">
        <f t="array" aca="1" ref="E168" ca="1">+IFERROR(IF(E143&lt;&gt;"na",E143+VLOOKUP($B166&amp;"-"&amp;$B168,INDIRECT("V51:Y"&amp;COUNT((FIND("-",_xlfn.ANCHORARRAY($B$51))&gt;0)*1)+51),4,FALSE)/100,E166+VLOOKUP($B166&amp;"-"&amp;$B168,INDIRECT("V51:Y"&amp;COUNT((FIND("-",_xlfn.ANCHORARRAY($B$51))&gt;0)*1)+51),4,FALSE)/100),"na")</f>
        <v>na</v>
      </c>
      <c r="F168" s="8" t="str" cm="1">
        <f t="array" aca="1" ref="F168" ca="1">+IFERROR(IF(F143&lt;&gt;"na",F143+VLOOKUP($B166&amp;"-"&amp;$B168,INDIRECT("V51:Y"&amp;COUNT((FIND("-",_xlfn.ANCHORARRAY($B$51))&gt;0)*1)+51),4,FALSE)/100,F166+VLOOKUP($B166&amp;"-"&amp;$B168,INDIRECT("V51:Y"&amp;COUNT((FIND("-",_xlfn.ANCHORARRAY($B$51))&gt;0)*1)+51),4,FALSE)/100),"na")</f>
        <v>na</v>
      </c>
      <c r="G168" s="8" t="str" cm="1">
        <f t="array" aca="1" ref="G168" ca="1">+IFERROR(IF(G143&lt;&gt;"na",G143+VLOOKUP($B166&amp;"-"&amp;$B168,INDIRECT("V51:Y"&amp;COUNT((FIND("-",_xlfn.ANCHORARRAY($B$51))&gt;0)*1)+51),4,FALSE)/100,G166+VLOOKUP($B166&amp;"-"&amp;$B168,INDIRECT("V51:Y"&amp;COUNT((FIND("-",_xlfn.ANCHORARRAY($B$51))&gt;0)*1)+51),4,FALSE)/100),"na")</f>
        <v>na</v>
      </c>
      <c r="H168" s="8" t="str" cm="1">
        <f t="array" aca="1" ref="H168" ca="1">+IFERROR(IF(H143&lt;&gt;"na",H143+VLOOKUP($B166&amp;"-"&amp;$B168,INDIRECT("V51:Y"&amp;COUNT((FIND("-",_xlfn.ANCHORARRAY($B$51))&gt;0)*1)+51),4,FALSE)/100,H166+VLOOKUP($B166&amp;"-"&amp;$B168,INDIRECT("V51:Y"&amp;COUNT((FIND("-",_xlfn.ANCHORARRAY($B$51))&gt;0)*1)+51),4,FALSE)/100),"na")</f>
        <v>na</v>
      </c>
      <c r="I168" s="8" t="str" cm="1">
        <f t="array" aca="1" ref="I168" ca="1">+IFERROR(IF(I143&lt;&gt;"na",I143+VLOOKUP($B166&amp;"-"&amp;$B168,INDIRECT("V51:Y"&amp;COUNT((FIND("-",_xlfn.ANCHORARRAY($B$51))&gt;0)*1)+51),4,FALSE)/100,I166+VLOOKUP($B166&amp;"-"&amp;$B168,INDIRECT("V51:Y"&amp;COUNT((FIND("-",_xlfn.ANCHORARRAY($B$51))&gt;0)*1)+51),4,FALSE)/100),"na")</f>
        <v>na</v>
      </c>
      <c r="J168" s="8" t="str" cm="1">
        <f t="array" aca="1" ref="J168" ca="1">+IFERROR(IF(J143&lt;&gt;"na",J143+VLOOKUP($B166&amp;"-"&amp;$B168,INDIRECT("V51:Y"&amp;COUNT((FIND("-",_xlfn.ANCHORARRAY($B$51))&gt;0)*1)+51),4,FALSE)/100,J166+VLOOKUP($B166&amp;"-"&amp;$B168,INDIRECT("V51:Y"&amp;COUNT((FIND("-",_xlfn.ANCHORARRAY($B$51))&gt;0)*1)+51),4,FALSE)/100),"na")</f>
        <v>na</v>
      </c>
      <c r="K168" s="8" t="str" cm="1">
        <f t="array" aca="1" ref="K168" ca="1">+IFERROR(IF(K143&lt;&gt;"na",K143+VLOOKUP($B166&amp;"-"&amp;$B168,INDIRECT("V51:Y"&amp;COUNT((FIND("-",_xlfn.ANCHORARRAY($B$51))&gt;0)*1)+51),4,FALSE)/100,K166+VLOOKUP($B166&amp;"-"&amp;$B168,INDIRECT("V51:Y"&amp;COUNT((FIND("-",_xlfn.ANCHORARRAY($B$51))&gt;0)*1)+51),4,FALSE)/100),"na")</f>
        <v>na</v>
      </c>
      <c r="L168" s="8" t="str" cm="1">
        <f t="array" aca="1" ref="L168" ca="1">+IFERROR(IF(L143&lt;&gt;"na",L143+VLOOKUP($B166&amp;"-"&amp;$B168,INDIRECT("V51:Y"&amp;COUNT((FIND("-",_xlfn.ANCHORARRAY($B$51))&gt;0)*1)+51),4,FALSE)/100,L166+VLOOKUP($B166&amp;"-"&amp;$B168,INDIRECT("V51:Y"&amp;COUNT((FIND("-",_xlfn.ANCHORARRAY($B$51))&gt;0)*1)+51),4,FALSE)/100),"na")</f>
        <v>na</v>
      </c>
      <c r="M168" s="8" t="str" cm="1">
        <f t="array" aca="1" ref="M168" ca="1">+IFERROR(M143+VLOOKUP($B166&amp;"-"&amp;$B168,INDIRECT("V51:Y"&amp;COUNT((FIND("-",_xlfn.ANCHORARRAY($B$51))&gt;0)*1)+51),4,FALSE)/100,"na")</f>
        <v>na</v>
      </c>
      <c r="N168" s="8" t="str">
        <f ca="1">+IFERROR(VALUE(VLOOKUP(N$91,INDIRECT("V28:Y"&amp;COUNT(_xlfn.ANCHORARRAY($B$92))+28),4,FALSE)),"na")</f>
        <v>na</v>
      </c>
      <c r="O168" s="8" t="str" cm="1">
        <f t="array" aca="1" ref="O168" ca="1">+IFERROR(O147-VLOOKUP($B168&amp;"-"&amp;$B170,INDIRECT("V51:Y"&amp;COUNT((FIND("-",_xlfn.ANCHORARRAY($B$51))&gt;0)*1)+51),3,FALSE)/100,"na")</f>
        <v>na</v>
      </c>
      <c r="P168" s="8" t="str" cm="1">
        <f t="array" aca="1" ref="P168" ca="1">+IFERROR(IF(P147&lt;&gt;"na",P147-VLOOKUP($B168&amp;"-"&amp;$B170,INDIRECT("V51:Y"&amp;COUNT((FIND("-",_xlfn.ANCHORARRAY($B$51))&gt;0)*1)+51),3,FALSE)/100,P170-VLOOKUP($B168&amp;"-"&amp;$B170,INDIRECT("V51:Y"&amp;COUNT((FIND("-",_xlfn.ANCHORARRAY($B$51))&gt;0)*1)+51),3,FALSE)/100),"na")</f>
        <v>na</v>
      </c>
      <c r="Q168" s="8" t="str" cm="1">
        <f t="array" aca="1" ref="Q168" ca="1">+IFERROR(IF(Q147&lt;&gt;"na",Q147-VLOOKUP($B168&amp;"-"&amp;$B170,INDIRECT("V51:Y"&amp;COUNT((FIND("-",_xlfn.ANCHORARRAY($B$51))&gt;0)*1)+51),3,FALSE)/100,Q170-VLOOKUP($B168&amp;"-"&amp;$B170,INDIRECT("V51:Y"&amp;COUNT((FIND("-",_xlfn.ANCHORARRAY($B$51))&gt;0)*1)+51),3,FALSE)/100),"na")</f>
        <v>na</v>
      </c>
      <c r="R168" s="8" t="str">
        <f t="shared" ca="1" si="100"/>
        <v/>
      </c>
    </row>
    <row r="169" spans="2:18">
      <c r="B169" s="8"/>
      <c r="C169" s="8" t="str" cm="1">
        <f t="array" aca="1" ref="C169" ca="1">+IFERROR(IF(C144&lt;&gt;"na",C144+VLOOKUP($B167&amp;"-"&amp;$B169,INDIRECT("V51:Y"&amp;COUNT((FIND("-",_xlfn.ANCHORARRAY($B$51))&gt;0)*1)+51),4,FALSE)/100,C167+VLOOKUP($B167&amp;"-"&amp;$B169,INDIRECT("V51:Y"&amp;COUNT((FIND("-",_xlfn.ANCHORARRAY($B$51))&gt;0)*1)+51),4,FALSE)/100),"na")</f>
        <v>na</v>
      </c>
      <c r="D169" s="8" t="str" cm="1">
        <f t="array" aca="1" ref="D169" ca="1">+IFERROR(IF(D144&lt;&gt;"na",D144+VLOOKUP($B167&amp;"-"&amp;$B169,INDIRECT("V51:Y"&amp;COUNT((FIND("-",_xlfn.ANCHORARRAY($B$51))&gt;0)*1)+51),4,FALSE)/100,D167+VLOOKUP($B167&amp;"-"&amp;$B169,INDIRECT("V51:Y"&amp;COUNT((FIND("-",_xlfn.ANCHORARRAY($B$51))&gt;0)*1)+51),4,FALSE)/100),"na")</f>
        <v>na</v>
      </c>
      <c r="E169" s="8" t="str" cm="1">
        <f t="array" aca="1" ref="E169" ca="1">+IFERROR(IF(E144&lt;&gt;"na",E144+VLOOKUP($B167&amp;"-"&amp;$B169,INDIRECT("V51:Y"&amp;COUNT((FIND("-",_xlfn.ANCHORARRAY($B$51))&gt;0)*1)+51),4,FALSE)/100,E167+VLOOKUP($B167&amp;"-"&amp;$B169,INDIRECT("V51:Y"&amp;COUNT((FIND("-",_xlfn.ANCHORARRAY($B$51))&gt;0)*1)+51),4,FALSE)/100),"na")</f>
        <v>na</v>
      </c>
      <c r="F169" s="8" t="str" cm="1">
        <f t="array" aca="1" ref="F169" ca="1">+IFERROR(IF(F144&lt;&gt;"na",F144+VLOOKUP($B167&amp;"-"&amp;$B169,INDIRECT("V51:Y"&amp;COUNT((FIND("-",_xlfn.ANCHORARRAY($B$51))&gt;0)*1)+51),4,FALSE)/100,F167+VLOOKUP($B167&amp;"-"&amp;$B169,INDIRECT("V51:Y"&amp;COUNT((FIND("-",_xlfn.ANCHORARRAY($B$51))&gt;0)*1)+51),4,FALSE)/100),"na")</f>
        <v>na</v>
      </c>
      <c r="G169" s="8" t="str" cm="1">
        <f t="array" aca="1" ref="G169" ca="1">+IFERROR(IF(G144&lt;&gt;"na",G144+VLOOKUP($B167&amp;"-"&amp;$B169,INDIRECT("V51:Y"&amp;COUNT((FIND("-",_xlfn.ANCHORARRAY($B$51))&gt;0)*1)+51),4,FALSE)/100,G167+VLOOKUP($B167&amp;"-"&amp;$B169,INDIRECT("V51:Y"&amp;COUNT((FIND("-",_xlfn.ANCHORARRAY($B$51))&gt;0)*1)+51),4,FALSE)/100),"na")</f>
        <v>na</v>
      </c>
      <c r="H169" s="8" t="str" cm="1">
        <f t="array" aca="1" ref="H169" ca="1">+IFERROR(IF(H144&lt;&gt;"na",H144+VLOOKUP($B167&amp;"-"&amp;$B169,INDIRECT("V51:Y"&amp;COUNT((FIND("-",_xlfn.ANCHORARRAY($B$51))&gt;0)*1)+51),4,FALSE)/100,H167+VLOOKUP($B167&amp;"-"&amp;$B169,INDIRECT("V51:Y"&amp;COUNT((FIND("-",_xlfn.ANCHORARRAY($B$51))&gt;0)*1)+51),4,FALSE)/100),"na")</f>
        <v>na</v>
      </c>
      <c r="I169" s="8" t="str" cm="1">
        <f t="array" aca="1" ref="I169" ca="1">+IFERROR(IF(I144&lt;&gt;"na",I144+VLOOKUP($B167&amp;"-"&amp;$B169,INDIRECT("V51:Y"&amp;COUNT((FIND("-",_xlfn.ANCHORARRAY($B$51))&gt;0)*1)+51),4,FALSE)/100,I167+VLOOKUP($B167&amp;"-"&amp;$B169,INDIRECT("V51:Y"&amp;COUNT((FIND("-",_xlfn.ANCHORARRAY($B$51))&gt;0)*1)+51),4,FALSE)/100),"na")</f>
        <v>na</v>
      </c>
      <c r="J169" s="8" t="str" cm="1">
        <f t="array" aca="1" ref="J169" ca="1">+IFERROR(IF(J144&lt;&gt;"na",J144+VLOOKUP($B167&amp;"-"&amp;$B169,INDIRECT("V51:Y"&amp;COUNT((FIND("-",_xlfn.ANCHORARRAY($B$51))&gt;0)*1)+51),4,FALSE)/100,J167+VLOOKUP($B167&amp;"-"&amp;$B169,INDIRECT("V51:Y"&amp;COUNT((FIND("-",_xlfn.ANCHORARRAY($B$51))&gt;0)*1)+51),4,FALSE)/100),"na")</f>
        <v>na</v>
      </c>
      <c r="K169" s="8" t="str" cm="1">
        <f t="array" aca="1" ref="K169" ca="1">+IFERROR(IF(K144&lt;&gt;"na",K144+VLOOKUP($B167&amp;"-"&amp;$B169,INDIRECT("V51:Y"&amp;COUNT((FIND("-",_xlfn.ANCHORARRAY($B$51))&gt;0)*1)+51),4,FALSE)/100,K167+VLOOKUP($B167&amp;"-"&amp;$B169,INDIRECT("V51:Y"&amp;COUNT((FIND("-",_xlfn.ANCHORARRAY($B$51))&gt;0)*1)+51),4,FALSE)/100),"na")</f>
        <v>na</v>
      </c>
      <c r="L169" s="8" t="str" cm="1">
        <f t="array" aca="1" ref="L169" ca="1">+IFERROR(IF(L144&lt;&gt;"na",L144+VLOOKUP($B167&amp;"-"&amp;$B169,INDIRECT("V51:Y"&amp;COUNT((FIND("-",_xlfn.ANCHORARRAY($B$51))&gt;0)*1)+51),4,FALSE)/100,L167+VLOOKUP($B167&amp;"-"&amp;$B169,INDIRECT("V51:Y"&amp;COUNT((FIND("-",_xlfn.ANCHORARRAY($B$51))&gt;0)*1)+51),4,FALSE)/100),"na")</f>
        <v>na</v>
      </c>
      <c r="M169" s="8" t="str" cm="1">
        <f t="array" aca="1" ref="M169" ca="1">+IFERROR(IF(M144&lt;&gt;"na",M144+VLOOKUP($B167&amp;"-"&amp;$B169,INDIRECT("V51:Y"&amp;COUNT((FIND("-",_xlfn.ANCHORARRAY($B$51))&gt;0)*1)+51),4,FALSE)/100,M167+VLOOKUP($B167&amp;"-"&amp;$B169,INDIRECT("V51:Y"&amp;COUNT((FIND("-",_xlfn.ANCHORARRAY($B$51))&gt;0)*1)+51),4,FALSE)/100),"na")</f>
        <v>na</v>
      </c>
      <c r="N169" s="8" t="str" cm="1">
        <f t="array" aca="1" ref="N169" ca="1">+IFERROR(N144+VLOOKUP($B167&amp;"-"&amp;$B169,INDIRECT("V51:Y"&amp;COUNT((FIND("-",_xlfn.ANCHORARRAY($B$51))&gt;0)*1)+51),4,FALSE)/100,"na")</f>
        <v>na</v>
      </c>
      <c r="O169" s="8" t="str">
        <f ca="1">+IFERROR(VALUE(VLOOKUP(O$91,INDIRECT("V28:Y"&amp;COUNT(_xlfn.ANCHORARRAY($B$92))+28),4,FALSE)),"na")</f>
        <v>na</v>
      </c>
      <c r="P169" s="8" t="str" cm="1">
        <f t="array" aca="1" ref="P169" ca="1">+IFERROR(P148-VLOOKUP($B169&amp;"-"&amp;$B171,INDIRECT("V51:Y"&amp;COUNT((FIND("-",_xlfn.ANCHORARRAY($B$51))&gt;0)*1)+51),3,FALSE)/100,"na")</f>
        <v>na</v>
      </c>
      <c r="Q169" s="8" t="str" cm="1">
        <f t="array" aca="1" ref="Q169" ca="1">+IFERROR(IF(Q148&lt;&gt;"na",Q148-VLOOKUP($B169&amp;"-"&amp;$B171,INDIRECT("V51:Y"&amp;COUNT((FIND("-",_xlfn.ANCHORARRAY($B$51))&gt;0)*1)+51),3,FALSE)/100,Q171-VLOOKUP($B169&amp;"-"&amp;$B171,INDIRECT("V51:Y"&amp;COUNT((FIND("-",_xlfn.ANCHORARRAY($B$51))&gt;0)*1)+51),3,FALSE)/100),"na")</f>
        <v>na</v>
      </c>
      <c r="R169" s="8" t="str">
        <f t="shared" ca="1" si="100"/>
        <v/>
      </c>
    </row>
    <row r="170" spans="2:18">
      <c r="B170" s="8"/>
      <c r="C170" s="8" t="str" cm="1">
        <f t="array" aca="1" ref="C170" ca="1">+IFERROR(IF(C145&lt;&gt;"na",C145+VLOOKUP($B168&amp;"-"&amp;$B170,INDIRECT("V51:Y"&amp;COUNT((FIND("-",_xlfn.ANCHORARRAY($B$51))&gt;0)*1)+51),4,FALSE)/100,C168+VLOOKUP($B168&amp;"-"&amp;$B170,INDIRECT("V51:Y"&amp;COUNT((FIND("-",_xlfn.ANCHORARRAY($B$51))&gt;0)*1)+51),4,FALSE)/100),"na")</f>
        <v>na</v>
      </c>
      <c r="D170" s="8" t="str" cm="1">
        <f t="array" aca="1" ref="D170" ca="1">+IFERROR(IF(D145&lt;&gt;"na",D145+VLOOKUP($B168&amp;"-"&amp;$B170,INDIRECT("V51:Y"&amp;COUNT((FIND("-",_xlfn.ANCHORARRAY($B$51))&gt;0)*1)+51),4,FALSE)/100,D168+VLOOKUP($B168&amp;"-"&amp;$B170,INDIRECT("V51:Y"&amp;COUNT((FIND("-",_xlfn.ANCHORARRAY($B$51))&gt;0)*1)+51),4,FALSE)/100),"na")</f>
        <v>na</v>
      </c>
      <c r="E170" s="8" t="str" cm="1">
        <f t="array" aca="1" ref="E170" ca="1">+IFERROR(IF(E145&lt;&gt;"na",E145+VLOOKUP($B168&amp;"-"&amp;$B170,INDIRECT("V51:Y"&amp;COUNT((FIND("-",_xlfn.ANCHORARRAY($B$51))&gt;0)*1)+51),4,FALSE)/100,E168+VLOOKUP($B168&amp;"-"&amp;$B170,INDIRECT("V51:Y"&amp;COUNT((FIND("-",_xlfn.ANCHORARRAY($B$51))&gt;0)*1)+51),4,FALSE)/100),"na")</f>
        <v>na</v>
      </c>
      <c r="F170" s="8" t="str" cm="1">
        <f t="array" aca="1" ref="F170" ca="1">+IFERROR(IF(F145&lt;&gt;"na",F145+VLOOKUP($B168&amp;"-"&amp;$B170,INDIRECT("V51:Y"&amp;COUNT((FIND("-",_xlfn.ANCHORARRAY($B$51))&gt;0)*1)+51),4,FALSE)/100,F168+VLOOKUP($B168&amp;"-"&amp;$B170,INDIRECT("V51:Y"&amp;COUNT((FIND("-",_xlfn.ANCHORARRAY($B$51))&gt;0)*1)+51),4,FALSE)/100),"na")</f>
        <v>na</v>
      </c>
      <c r="G170" s="8" t="str" cm="1">
        <f t="array" aca="1" ref="G170" ca="1">+IFERROR(IF(G145&lt;&gt;"na",G145+VLOOKUP($B168&amp;"-"&amp;$B170,INDIRECT("V51:Y"&amp;COUNT((FIND("-",_xlfn.ANCHORARRAY($B$51))&gt;0)*1)+51),4,FALSE)/100,G168+VLOOKUP($B168&amp;"-"&amp;$B170,INDIRECT("V51:Y"&amp;COUNT((FIND("-",_xlfn.ANCHORARRAY($B$51))&gt;0)*1)+51),4,FALSE)/100),"na")</f>
        <v>na</v>
      </c>
      <c r="H170" s="8" t="str" cm="1">
        <f t="array" aca="1" ref="H170" ca="1">+IFERROR(IF(H145&lt;&gt;"na",H145+VLOOKUP($B168&amp;"-"&amp;$B170,INDIRECT("V51:Y"&amp;COUNT((FIND("-",_xlfn.ANCHORARRAY($B$51))&gt;0)*1)+51),4,FALSE)/100,H168+VLOOKUP($B168&amp;"-"&amp;$B170,INDIRECT("V51:Y"&amp;COUNT((FIND("-",_xlfn.ANCHORARRAY($B$51))&gt;0)*1)+51),4,FALSE)/100),"na")</f>
        <v>na</v>
      </c>
      <c r="I170" s="8" t="str" cm="1">
        <f t="array" aca="1" ref="I170" ca="1">+IFERROR(IF(I145&lt;&gt;"na",I145+VLOOKUP($B168&amp;"-"&amp;$B170,INDIRECT("V51:Y"&amp;COUNT((FIND("-",_xlfn.ANCHORARRAY($B$51))&gt;0)*1)+51),4,FALSE)/100,I168+VLOOKUP($B168&amp;"-"&amp;$B170,INDIRECT("V51:Y"&amp;COUNT((FIND("-",_xlfn.ANCHORARRAY($B$51))&gt;0)*1)+51),4,FALSE)/100),"na")</f>
        <v>na</v>
      </c>
      <c r="J170" s="8" t="str" cm="1">
        <f t="array" aca="1" ref="J170" ca="1">+IFERROR(IF(J145&lt;&gt;"na",J145+VLOOKUP($B168&amp;"-"&amp;$B170,INDIRECT("V51:Y"&amp;COUNT((FIND("-",_xlfn.ANCHORARRAY($B$51))&gt;0)*1)+51),4,FALSE)/100,J168+VLOOKUP($B168&amp;"-"&amp;$B170,INDIRECT("V51:Y"&amp;COUNT((FIND("-",_xlfn.ANCHORARRAY($B$51))&gt;0)*1)+51),4,FALSE)/100),"na")</f>
        <v>na</v>
      </c>
      <c r="K170" s="8" t="str" cm="1">
        <f t="array" aca="1" ref="K170" ca="1">+IFERROR(IF(K145&lt;&gt;"na",K145+VLOOKUP($B168&amp;"-"&amp;$B170,INDIRECT("V51:Y"&amp;COUNT((FIND("-",_xlfn.ANCHORARRAY($B$51))&gt;0)*1)+51),4,FALSE)/100,K168+VLOOKUP($B168&amp;"-"&amp;$B170,INDIRECT("V51:Y"&amp;COUNT((FIND("-",_xlfn.ANCHORARRAY($B$51))&gt;0)*1)+51),4,FALSE)/100),"na")</f>
        <v>na</v>
      </c>
      <c r="L170" s="8" t="str" cm="1">
        <f t="array" aca="1" ref="L170" ca="1">+IFERROR(IF(L145&lt;&gt;"na",L145+VLOOKUP($B168&amp;"-"&amp;$B170,INDIRECT("V51:Y"&amp;COUNT((FIND("-",_xlfn.ANCHORARRAY($B$51))&gt;0)*1)+51),4,FALSE)/100,L168+VLOOKUP($B168&amp;"-"&amp;$B170,INDIRECT("V51:Y"&amp;COUNT((FIND("-",_xlfn.ANCHORARRAY($B$51))&gt;0)*1)+51),4,FALSE)/100),"na")</f>
        <v>na</v>
      </c>
      <c r="M170" s="8" t="str" cm="1">
        <f t="array" aca="1" ref="M170" ca="1">+IFERROR(IF(M145&lt;&gt;"na",M145+VLOOKUP($B168&amp;"-"&amp;$B170,INDIRECT("V51:Y"&amp;COUNT((FIND("-",_xlfn.ANCHORARRAY($B$51))&gt;0)*1)+51),4,FALSE)/100,M168+VLOOKUP($B168&amp;"-"&amp;$B170,INDIRECT("V51:Y"&amp;COUNT((FIND("-",_xlfn.ANCHORARRAY($B$51))&gt;0)*1)+51),4,FALSE)/100),"na")</f>
        <v>na</v>
      </c>
      <c r="N170" s="8" t="str" cm="1">
        <f t="array" aca="1" ref="N170" ca="1">+IFERROR(IF(N145&lt;&gt;"na",N145+VLOOKUP($B168&amp;"-"&amp;$B170,INDIRECT("V51:Y"&amp;COUNT((FIND("-",_xlfn.ANCHORARRAY($B$51))&gt;0)*1)+51),4,FALSE)/100,N168+VLOOKUP($B168&amp;"-"&amp;$B170,INDIRECT("V51:Y"&amp;COUNT((FIND("-",_xlfn.ANCHORARRAY($B$51))&gt;0)*1)+51),4,FALSE)/100),"na")</f>
        <v>na</v>
      </c>
      <c r="O170" s="8" t="str" cm="1">
        <f t="array" aca="1" ref="O170" ca="1">+IFERROR(O145+VLOOKUP($B168&amp;"-"&amp;$B170,INDIRECT("V51:Y"&amp;COUNT((FIND("-",_xlfn.ANCHORARRAY($B$51))&gt;0)*1)+51),4,FALSE)/100,"na")</f>
        <v>na</v>
      </c>
      <c r="P170" s="8" t="str">
        <f ca="1">+IFERROR(VALUE(VLOOKUP(P$91,INDIRECT("V28:Y"&amp;COUNT(_xlfn.ANCHORARRAY($B$92))+28),4,FALSE)),"na")</f>
        <v>na</v>
      </c>
      <c r="Q170" s="8" t="str" cm="1">
        <f t="array" aca="1" ref="Q170" ca="1">+IFERROR(Q149-VLOOKUP($B170&amp;"-"&amp;$B172,INDIRECT("V51:Y"&amp;COUNT((FIND("-",_xlfn.ANCHORARRAY($B$51))&gt;0)*1)+51),3,FALSE)/100,"na")</f>
        <v>na</v>
      </c>
      <c r="R170" s="8" t="str">
        <f t="shared" ca="1" si="100"/>
        <v/>
      </c>
    </row>
    <row r="171" spans="2:18">
      <c r="B171" s="8"/>
      <c r="C171" s="8" t="str" cm="1">
        <f t="array" aca="1" ref="C171" ca="1">+IFERROR(IF(C146&lt;&gt;"na",C146+VLOOKUP($B169&amp;"-"&amp;$B171,INDIRECT("V51:Y"&amp;COUNT((FIND("-",_xlfn.ANCHORARRAY($B$51))&gt;0)*1)+51),4,FALSE)/100,C169+VLOOKUP($B169&amp;"-"&amp;$B171,INDIRECT("V51:Y"&amp;COUNT((FIND("-",_xlfn.ANCHORARRAY($B$51))&gt;0)*1)+51),4,FALSE)/100),"na")</f>
        <v>na</v>
      </c>
      <c r="D171" s="8" t="str" cm="1">
        <f t="array" aca="1" ref="D171" ca="1">+IFERROR(IF(D146&lt;&gt;"na",D146+VLOOKUP($B169&amp;"-"&amp;$B171,INDIRECT("V51:Y"&amp;COUNT((FIND("-",_xlfn.ANCHORARRAY($B$51))&gt;0)*1)+51),4,FALSE)/100,D169+VLOOKUP($B169&amp;"-"&amp;$B171,INDIRECT("V51:Y"&amp;COUNT((FIND("-",_xlfn.ANCHORARRAY($B$51))&gt;0)*1)+51),4,FALSE)/100),"na")</f>
        <v>na</v>
      </c>
      <c r="E171" s="8" t="str" cm="1">
        <f t="array" aca="1" ref="E171" ca="1">+IFERROR(IF(E146&lt;&gt;"na",E146+VLOOKUP($B169&amp;"-"&amp;$B171,INDIRECT("V51:Y"&amp;COUNT((FIND("-",_xlfn.ANCHORARRAY($B$51))&gt;0)*1)+51),4,FALSE)/100,E169+VLOOKUP($B169&amp;"-"&amp;$B171,INDIRECT("V51:Y"&amp;COUNT((FIND("-",_xlfn.ANCHORARRAY($B$51))&gt;0)*1)+51),4,FALSE)/100),"na")</f>
        <v>na</v>
      </c>
      <c r="F171" s="8" t="str" cm="1">
        <f t="array" aca="1" ref="F171" ca="1">+IFERROR(IF(F146&lt;&gt;"na",F146+VLOOKUP($B169&amp;"-"&amp;$B171,INDIRECT("V51:Y"&amp;COUNT((FIND("-",_xlfn.ANCHORARRAY($B$51))&gt;0)*1)+51),4,FALSE)/100,F169+VLOOKUP($B169&amp;"-"&amp;$B171,INDIRECT("V51:Y"&amp;COUNT((FIND("-",_xlfn.ANCHORARRAY($B$51))&gt;0)*1)+51),4,FALSE)/100),"na")</f>
        <v>na</v>
      </c>
      <c r="G171" s="8" t="str" cm="1">
        <f t="array" aca="1" ref="G171" ca="1">+IFERROR(IF(G146&lt;&gt;"na",G146+VLOOKUP($B169&amp;"-"&amp;$B171,INDIRECT("V51:Y"&amp;COUNT((FIND("-",_xlfn.ANCHORARRAY($B$51))&gt;0)*1)+51),4,FALSE)/100,G169+VLOOKUP($B169&amp;"-"&amp;$B171,INDIRECT("V51:Y"&amp;COUNT((FIND("-",_xlfn.ANCHORARRAY($B$51))&gt;0)*1)+51),4,FALSE)/100),"na")</f>
        <v>na</v>
      </c>
      <c r="H171" s="8" t="str" cm="1">
        <f t="array" aca="1" ref="H171" ca="1">+IFERROR(IF(H146&lt;&gt;"na",H146+VLOOKUP($B169&amp;"-"&amp;$B171,INDIRECT("V51:Y"&amp;COUNT((FIND("-",_xlfn.ANCHORARRAY($B$51))&gt;0)*1)+51),4,FALSE)/100,H169+VLOOKUP($B169&amp;"-"&amp;$B171,INDIRECT("V51:Y"&amp;COUNT((FIND("-",_xlfn.ANCHORARRAY($B$51))&gt;0)*1)+51),4,FALSE)/100),"na")</f>
        <v>na</v>
      </c>
      <c r="I171" s="8" t="str" cm="1">
        <f t="array" aca="1" ref="I171" ca="1">+IFERROR(IF(I146&lt;&gt;"na",I146+VLOOKUP($B169&amp;"-"&amp;$B171,INDIRECT("V51:Y"&amp;COUNT((FIND("-",_xlfn.ANCHORARRAY($B$51))&gt;0)*1)+51),4,FALSE)/100,I169+VLOOKUP($B169&amp;"-"&amp;$B171,INDIRECT("V51:Y"&amp;COUNT((FIND("-",_xlfn.ANCHORARRAY($B$51))&gt;0)*1)+51),4,FALSE)/100),"na")</f>
        <v>na</v>
      </c>
      <c r="J171" s="8" t="str" cm="1">
        <f t="array" aca="1" ref="J171" ca="1">+IFERROR(IF(J146&lt;&gt;"na",J146+VLOOKUP($B169&amp;"-"&amp;$B171,INDIRECT("V51:Y"&amp;COUNT((FIND("-",_xlfn.ANCHORARRAY($B$51))&gt;0)*1)+51),4,FALSE)/100,J169+VLOOKUP($B169&amp;"-"&amp;$B171,INDIRECT("V51:Y"&amp;COUNT((FIND("-",_xlfn.ANCHORARRAY($B$51))&gt;0)*1)+51),4,FALSE)/100),"na")</f>
        <v>na</v>
      </c>
      <c r="K171" s="8" t="str" cm="1">
        <f t="array" aca="1" ref="K171" ca="1">+IFERROR(IF(K146&lt;&gt;"na",K146+VLOOKUP($B169&amp;"-"&amp;$B171,INDIRECT("V51:Y"&amp;COUNT((FIND("-",_xlfn.ANCHORARRAY($B$51))&gt;0)*1)+51),4,FALSE)/100,K169+VLOOKUP($B169&amp;"-"&amp;$B171,INDIRECT("V51:Y"&amp;COUNT((FIND("-",_xlfn.ANCHORARRAY($B$51))&gt;0)*1)+51),4,FALSE)/100),"na")</f>
        <v>na</v>
      </c>
      <c r="L171" s="8" t="str" cm="1">
        <f t="array" aca="1" ref="L171" ca="1">+IFERROR(IF(L146&lt;&gt;"na",L146+VLOOKUP($B169&amp;"-"&amp;$B171,INDIRECT("V51:Y"&amp;COUNT((FIND("-",_xlfn.ANCHORARRAY($B$51))&gt;0)*1)+51),4,FALSE)/100,L169+VLOOKUP($B169&amp;"-"&amp;$B171,INDIRECT("V51:Y"&amp;COUNT((FIND("-",_xlfn.ANCHORARRAY($B$51))&gt;0)*1)+51),4,FALSE)/100),"na")</f>
        <v>na</v>
      </c>
      <c r="M171" s="8" t="str" cm="1">
        <f t="array" aca="1" ref="M171" ca="1">+IFERROR(IF(M146&lt;&gt;"na",M146+VLOOKUP($B169&amp;"-"&amp;$B171,INDIRECT("V51:Y"&amp;COUNT((FIND("-",_xlfn.ANCHORARRAY($B$51))&gt;0)*1)+51),4,FALSE)/100,M169+VLOOKUP($B169&amp;"-"&amp;$B171,INDIRECT("V51:Y"&amp;COUNT((FIND("-",_xlfn.ANCHORARRAY($B$51))&gt;0)*1)+51),4,FALSE)/100),"na")</f>
        <v>na</v>
      </c>
      <c r="N171" s="8" t="str" cm="1">
        <f t="array" aca="1" ref="N171" ca="1">+IFERROR(IF(N146&lt;&gt;"na",N146+VLOOKUP($B169&amp;"-"&amp;$B171,INDIRECT("V51:Y"&amp;COUNT((FIND("-",_xlfn.ANCHORARRAY($B$51))&gt;0)*1)+51),4,FALSE)/100,N169+VLOOKUP($B169&amp;"-"&amp;$B171,INDIRECT("V51:Y"&amp;COUNT((FIND("-",_xlfn.ANCHORARRAY($B$51))&gt;0)*1)+51),4,FALSE)/100),"na")</f>
        <v>na</v>
      </c>
      <c r="O171" s="8" t="str" cm="1">
        <f t="array" aca="1" ref="O171" ca="1">+IFERROR(IF(O146&lt;&gt;"na",O146+VLOOKUP($B169&amp;"-"&amp;$B171,INDIRECT("V51:Y"&amp;COUNT((FIND("-",_xlfn.ANCHORARRAY($B$51))&gt;0)*1)+51),4,FALSE)/100,O169+VLOOKUP($B169&amp;"-"&amp;$B171,INDIRECT("V51:Y"&amp;COUNT((FIND("-",_xlfn.ANCHORARRAY($B$51))&gt;0)*1)+51),4,FALSE)/100),"na")</f>
        <v>na</v>
      </c>
      <c r="P171" s="8" t="str" cm="1">
        <f t="array" aca="1" ref="P171" ca="1">+IFERROR(P146+VLOOKUP($B169&amp;"-"&amp;$B171,INDIRECT("V51:Y"&amp;COUNT((FIND("-",_xlfn.ANCHORARRAY($B$51))&gt;0)*1)+51),4,FALSE)/100,"na")</f>
        <v>na</v>
      </c>
      <c r="Q171" s="8" t="str">
        <f ca="1">+IFERROR(VALUE(VLOOKUP(Q$91,INDIRECT("V28:Y"&amp;COUNT(_xlfn.ANCHORARRAY($B$92))+28),4,FALSE)),"na")</f>
        <v>na</v>
      </c>
      <c r="R171" s="8" t="str">
        <f t="shared" ca="1" si="100"/>
        <v/>
      </c>
    </row>
    <row r="172" spans="2:18">
      <c r="B172" s="8"/>
      <c r="C172" s="8" t="str" cm="1">
        <f t="array" aca="1" ref="C172" ca="1">+IFERROR(IF(C147&lt;&gt;"na",C147+VLOOKUP($B170&amp;"-"&amp;$B172,INDIRECT("V51:Y"&amp;COUNT((FIND("-",_xlfn.ANCHORARRAY($B$51))&gt;0)*1)+51),4,FALSE)/100,C170+VLOOKUP($B170&amp;"-"&amp;$B172,INDIRECT("V51:Y"&amp;COUNT((FIND("-",_xlfn.ANCHORARRAY($B$51))&gt;0)*1)+51),4,FALSE)/100),"na")</f>
        <v>na</v>
      </c>
      <c r="D172" s="8" t="str" cm="1">
        <f t="array" aca="1" ref="D172" ca="1">+IFERROR(IF(D147&lt;&gt;"na",D147+VLOOKUP($B170&amp;"-"&amp;$B172,INDIRECT("V51:Y"&amp;COUNT((FIND("-",_xlfn.ANCHORARRAY($B$51))&gt;0)*1)+51),4,FALSE)/100,D170+VLOOKUP($B170&amp;"-"&amp;$B172,INDIRECT("V51:Y"&amp;COUNT((FIND("-",_xlfn.ANCHORARRAY($B$51))&gt;0)*1)+51),4,FALSE)/100),"na")</f>
        <v>na</v>
      </c>
      <c r="E172" s="8" t="str" cm="1">
        <f t="array" aca="1" ref="E172" ca="1">+IFERROR(IF(E147&lt;&gt;"na",E147+VLOOKUP($B170&amp;"-"&amp;$B172,INDIRECT("V51:Y"&amp;COUNT((FIND("-",_xlfn.ANCHORARRAY($B$51))&gt;0)*1)+51),4,FALSE)/100,E170+VLOOKUP($B170&amp;"-"&amp;$B172,INDIRECT("V51:Y"&amp;COUNT((FIND("-",_xlfn.ANCHORARRAY($B$51))&gt;0)*1)+51),4,FALSE)/100),"na")</f>
        <v>na</v>
      </c>
      <c r="F172" s="8" t="str" cm="1">
        <f t="array" aca="1" ref="F172" ca="1">+IFERROR(IF(F147&lt;&gt;"na",F147+VLOOKUP($B170&amp;"-"&amp;$B172,INDIRECT("V51:Y"&amp;COUNT((FIND("-",_xlfn.ANCHORARRAY($B$51))&gt;0)*1)+51),4,FALSE)/100,F170+VLOOKUP($B170&amp;"-"&amp;$B172,INDIRECT("V51:Y"&amp;COUNT((FIND("-",_xlfn.ANCHORARRAY($B$51))&gt;0)*1)+51),4,FALSE)/100),"na")</f>
        <v>na</v>
      </c>
      <c r="G172" s="8" t="str" cm="1">
        <f t="array" aca="1" ref="G172" ca="1">+IFERROR(IF(G147&lt;&gt;"na",G147+VLOOKUP($B170&amp;"-"&amp;$B172,INDIRECT("V51:Y"&amp;COUNT((FIND("-",_xlfn.ANCHORARRAY($B$51))&gt;0)*1)+51),4,FALSE)/100,G170+VLOOKUP($B170&amp;"-"&amp;$B172,INDIRECT("V51:Y"&amp;COUNT((FIND("-",_xlfn.ANCHORARRAY($B$51))&gt;0)*1)+51),4,FALSE)/100),"na")</f>
        <v>na</v>
      </c>
      <c r="H172" s="8" t="str" cm="1">
        <f t="array" aca="1" ref="H172" ca="1">+IFERROR(IF(H147&lt;&gt;"na",H147+VLOOKUP($B170&amp;"-"&amp;$B172,INDIRECT("V51:Y"&amp;COUNT((FIND("-",_xlfn.ANCHORARRAY($B$51))&gt;0)*1)+51),4,FALSE)/100,H170+VLOOKUP($B170&amp;"-"&amp;$B172,INDIRECT("V51:Y"&amp;COUNT((FIND("-",_xlfn.ANCHORARRAY($B$51))&gt;0)*1)+51),4,FALSE)/100),"na")</f>
        <v>na</v>
      </c>
      <c r="I172" s="8" t="str" cm="1">
        <f t="array" aca="1" ref="I172" ca="1">+IFERROR(IF(I147&lt;&gt;"na",I147+VLOOKUP($B170&amp;"-"&amp;$B172,INDIRECT("V51:Y"&amp;COUNT((FIND("-",_xlfn.ANCHORARRAY($B$51))&gt;0)*1)+51),4,FALSE)/100,I170+VLOOKUP($B170&amp;"-"&amp;$B172,INDIRECT("V51:Y"&amp;COUNT((FIND("-",_xlfn.ANCHORARRAY($B$51))&gt;0)*1)+51),4,FALSE)/100),"na")</f>
        <v>na</v>
      </c>
      <c r="J172" s="8" t="str" cm="1">
        <f t="array" aca="1" ref="J172" ca="1">+IFERROR(IF(J147&lt;&gt;"na",J147+VLOOKUP($B170&amp;"-"&amp;$B172,INDIRECT("V51:Y"&amp;COUNT((FIND("-",_xlfn.ANCHORARRAY($B$51))&gt;0)*1)+51),4,FALSE)/100,J170+VLOOKUP($B170&amp;"-"&amp;$B172,INDIRECT("V51:Y"&amp;COUNT((FIND("-",_xlfn.ANCHORARRAY($B$51))&gt;0)*1)+51),4,FALSE)/100),"na")</f>
        <v>na</v>
      </c>
      <c r="K172" s="8" t="str" cm="1">
        <f t="array" aca="1" ref="K172" ca="1">+IFERROR(IF(K147&lt;&gt;"na",K147+VLOOKUP($B170&amp;"-"&amp;$B172,INDIRECT("V51:Y"&amp;COUNT((FIND("-",_xlfn.ANCHORARRAY($B$51))&gt;0)*1)+51),4,FALSE)/100,K170+VLOOKUP($B170&amp;"-"&amp;$B172,INDIRECT("V51:Y"&amp;COUNT((FIND("-",_xlfn.ANCHORARRAY($B$51))&gt;0)*1)+51),4,FALSE)/100),"na")</f>
        <v>na</v>
      </c>
      <c r="L172" s="8" t="str" cm="1">
        <f t="array" aca="1" ref="L172" ca="1">+IFERROR(IF(L147&lt;&gt;"na",L147+VLOOKUP($B170&amp;"-"&amp;$B172,INDIRECT("V51:Y"&amp;COUNT((FIND("-",_xlfn.ANCHORARRAY($B$51))&gt;0)*1)+51),4,FALSE)/100,L170+VLOOKUP($B170&amp;"-"&amp;$B172,INDIRECT("V51:Y"&amp;COUNT((FIND("-",_xlfn.ANCHORARRAY($B$51))&gt;0)*1)+51),4,FALSE)/100),"na")</f>
        <v>na</v>
      </c>
      <c r="M172" s="8" t="str" cm="1">
        <f t="array" aca="1" ref="M172" ca="1">+IFERROR(IF(M147&lt;&gt;"na",M147+VLOOKUP($B170&amp;"-"&amp;$B172,INDIRECT("V51:Y"&amp;COUNT((FIND("-",_xlfn.ANCHORARRAY($B$51))&gt;0)*1)+51),4,FALSE)/100,M170+VLOOKUP($B170&amp;"-"&amp;$B172,INDIRECT("V51:Y"&amp;COUNT((FIND("-",_xlfn.ANCHORARRAY($B$51))&gt;0)*1)+51),4,FALSE)/100),"na")</f>
        <v>na</v>
      </c>
      <c r="N172" s="8" t="str" cm="1">
        <f t="array" aca="1" ref="N172" ca="1">+IFERROR(IF(N147&lt;&gt;"na",N147+VLOOKUP($B170&amp;"-"&amp;$B172,INDIRECT("V51:Y"&amp;COUNT((FIND("-",_xlfn.ANCHORARRAY($B$51))&gt;0)*1)+51),4,FALSE)/100,N170+VLOOKUP($B170&amp;"-"&amp;$B172,INDIRECT("V51:Y"&amp;COUNT((FIND("-",_xlfn.ANCHORARRAY($B$51))&gt;0)*1)+51),4,FALSE)/100),"na")</f>
        <v>na</v>
      </c>
      <c r="O172" s="8" t="str" cm="1">
        <f t="array" aca="1" ref="O172" ca="1">+IFERROR(IF(O147&lt;&gt;"na",O147+VLOOKUP($B170&amp;"-"&amp;$B172,INDIRECT("V51:Y"&amp;COUNT((FIND("-",_xlfn.ANCHORARRAY($B$51))&gt;0)*1)+51),4,FALSE)/100,O170+VLOOKUP($B170&amp;"-"&amp;$B172,INDIRECT("V51:Y"&amp;COUNT((FIND("-",_xlfn.ANCHORARRAY($B$51))&gt;0)*1)+51),4,FALSE)/100),"na")</f>
        <v>na</v>
      </c>
      <c r="P172" s="8" t="str" cm="1">
        <f t="array" aca="1" ref="P172" ca="1">+IFERROR(IF(P147&lt;&gt;"na",P147+VLOOKUP($B170&amp;"-"&amp;$B172,INDIRECT("V51:Y"&amp;COUNT((FIND("-",_xlfn.ANCHORARRAY($B$51))&gt;0)*1)+51),4,FALSE)/100,P170+VLOOKUP($B170&amp;"-"&amp;$B172,INDIRECT("V51:Y"&amp;COUNT((FIND("-",_xlfn.ANCHORARRAY($B$51))&gt;0)*1)+51),4,FALSE)/100),"na")</f>
        <v>na</v>
      </c>
      <c r="Q172" s="8" t="str" cm="1">
        <f t="array" aca="1" ref="Q172" ca="1">+IFERROR(Q147+VLOOKUP($B170&amp;"-"&amp;$B172,INDIRECT("V51:Y"&amp;COUNT((FIND("-",_xlfn.ANCHORARRAY($B$51))&gt;0)*1)+51),4,FALSE)/100,"na")</f>
        <v>na</v>
      </c>
      <c r="R172" s="8" t="str">
        <f t="shared" ca="1" si="100"/>
        <v/>
      </c>
    </row>
    <row r="173" spans="2:18">
      <c r="B173" s="8"/>
      <c r="C173" s="8" t="str" cm="1">
        <f t="array" aca="1" ref="C173" ca="1">+IFERROR(IF(C148&lt;&gt;"na",C148+VLOOKUP($B171&amp;"-"&amp;$B173,INDIRECT("V51:Y"&amp;COUNT((FIND("-",_xlfn.ANCHORARRAY($B$51))&gt;0)*1)+51),4,FALSE)/100,C171+VLOOKUP($B171&amp;"-"&amp;$B173,INDIRECT("V51:Y"&amp;COUNT((FIND("-",_xlfn.ANCHORARRAY($B$51))&gt;0)*1)+51),4,FALSE)/100),"na")</f>
        <v>na</v>
      </c>
      <c r="D173" s="8" t="str" cm="1">
        <f t="array" aca="1" ref="D173" ca="1">+IFERROR(IF(D148&lt;&gt;"na",D148+VLOOKUP($B171&amp;"-"&amp;$B173,INDIRECT("V51:Y"&amp;COUNT((FIND("-",_xlfn.ANCHORARRAY($B$51))&gt;0)*1)+51),4,FALSE)/100,D171+VLOOKUP($B171&amp;"-"&amp;$B173,INDIRECT("V51:Y"&amp;COUNT((FIND("-",_xlfn.ANCHORARRAY($B$51))&gt;0)*1)+51),4,FALSE)/100),"na")</f>
        <v>na</v>
      </c>
      <c r="E173" s="8" t="str" cm="1">
        <f t="array" aca="1" ref="E173" ca="1">+IFERROR(IF(E148&lt;&gt;"na",E148+VLOOKUP($B171&amp;"-"&amp;$B173,INDIRECT("V51:Y"&amp;COUNT((FIND("-",_xlfn.ANCHORARRAY($B$51))&gt;0)*1)+51),4,FALSE)/100,E171+VLOOKUP($B171&amp;"-"&amp;$B173,INDIRECT("V51:Y"&amp;COUNT((FIND("-",_xlfn.ANCHORARRAY($B$51))&gt;0)*1)+51),4,FALSE)/100),"na")</f>
        <v>na</v>
      </c>
      <c r="F173" s="8" t="str" cm="1">
        <f t="array" aca="1" ref="F173" ca="1">+IFERROR(IF(F148&lt;&gt;"na",F148+VLOOKUP($B171&amp;"-"&amp;$B173,INDIRECT("V51:Y"&amp;COUNT((FIND("-",_xlfn.ANCHORARRAY($B$51))&gt;0)*1)+51),4,FALSE)/100,F171+VLOOKUP($B171&amp;"-"&amp;$B173,INDIRECT("V51:Y"&amp;COUNT((FIND("-",_xlfn.ANCHORARRAY($B$51))&gt;0)*1)+51),4,FALSE)/100),"na")</f>
        <v>na</v>
      </c>
      <c r="G173" s="8" t="str" cm="1">
        <f t="array" aca="1" ref="G173" ca="1">+IFERROR(IF(G148&lt;&gt;"na",G148+VLOOKUP($B171&amp;"-"&amp;$B173,INDIRECT("V51:Y"&amp;COUNT((FIND("-",_xlfn.ANCHORARRAY($B$51))&gt;0)*1)+51),4,FALSE)/100,G171+VLOOKUP($B171&amp;"-"&amp;$B173,INDIRECT("V51:Y"&amp;COUNT((FIND("-",_xlfn.ANCHORARRAY($B$51))&gt;0)*1)+51),4,FALSE)/100),"na")</f>
        <v>na</v>
      </c>
      <c r="H173" s="8" t="str" cm="1">
        <f t="array" aca="1" ref="H173" ca="1">+IFERROR(IF(H148&lt;&gt;"na",H148+VLOOKUP($B171&amp;"-"&amp;$B173,INDIRECT("V51:Y"&amp;COUNT((FIND("-",_xlfn.ANCHORARRAY($B$51))&gt;0)*1)+51),4,FALSE)/100,H171+VLOOKUP($B171&amp;"-"&amp;$B173,INDIRECT("V51:Y"&amp;COUNT((FIND("-",_xlfn.ANCHORARRAY($B$51))&gt;0)*1)+51),4,FALSE)/100),"na")</f>
        <v>na</v>
      </c>
      <c r="I173" s="8" t="str" cm="1">
        <f t="array" aca="1" ref="I173" ca="1">+IFERROR(IF(I148&lt;&gt;"na",I148+VLOOKUP($B171&amp;"-"&amp;$B173,INDIRECT("V51:Y"&amp;COUNT((FIND("-",_xlfn.ANCHORARRAY($B$51))&gt;0)*1)+51),4,FALSE)/100,I171+VLOOKUP($B171&amp;"-"&amp;$B173,INDIRECT("V51:Y"&amp;COUNT((FIND("-",_xlfn.ANCHORARRAY($B$51))&gt;0)*1)+51),4,FALSE)/100),"na")</f>
        <v>na</v>
      </c>
      <c r="J173" s="8" t="str" cm="1">
        <f t="array" aca="1" ref="J173" ca="1">+IFERROR(IF(J148&lt;&gt;"na",J148+VLOOKUP($B171&amp;"-"&amp;$B173,INDIRECT("V51:Y"&amp;COUNT((FIND("-",_xlfn.ANCHORARRAY($B$51))&gt;0)*1)+51),4,FALSE)/100,J171+VLOOKUP($B171&amp;"-"&amp;$B173,INDIRECT("V51:Y"&amp;COUNT((FIND("-",_xlfn.ANCHORARRAY($B$51))&gt;0)*1)+51),4,FALSE)/100),"na")</f>
        <v>na</v>
      </c>
      <c r="K173" s="8" t="str" cm="1">
        <f t="array" aca="1" ref="K173" ca="1">+IFERROR(IF(K148&lt;&gt;"na",K148+VLOOKUP($B171&amp;"-"&amp;$B173,INDIRECT("V51:Y"&amp;COUNT((FIND("-",_xlfn.ANCHORARRAY($B$51))&gt;0)*1)+51),4,FALSE)/100,K171+VLOOKUP($B171&amp;"-"&amp;$B173,INDIRECT("V51:Y"&amp;COUNT((FIND("-",_xlfn.ANCHORARRAY($B$51))&gt;0)*1)+51),4,FALSE)/100),"na")</f>
        <v>na</v>
      </c>
      <c r="L173" s="8" t="str" cm="1">
        <f t="array" aca="1" ref="L173" ca="1">+IFERROR(IF(L148&lt;&gt;"na",L148+VLOOKUP($B171&amp;"-"&amp;$B173,INDIRECT("V51:Y"&amp;COUNT((FIND("-",_xlfn.ANCHORARRAY($B$51))&gt;0)*1)+51),4,FALSE)/100,L171+VLOOKUP($B171&amp;"-"&amp;$B173,INDIRECT("V51:Y"&amp;COUNT((FIND("-",_xlfn.ANCHORARRAY($B$51))&gt;0)*1)+51),4,FALSE)/100),"na")</f>
        <v>na</v>
      </c>
      <c r="M173" s="8" t="str" cm="1">
        <f t="array" aca="1" ref="M173" ca="1">+IFERROR(IF(M148&lt;&gt;"na",M148+VLOOKUP($B171&amp;"-"&amp;$B173,INDIRECT("V51:Y"&amp;COUNT((FIND("-",_xlfn.ANCHORARRAY($B$51))&gt;0)*1)+51),4,FALSE)/100,M171+VLOOKUP($B171&amp;"-"&amp;$B173,INDIRECT("V51:Y"&amp;COUNT((FIND("-",_xlfn.ANCHORARRAY($B$51))&gt;0)*1)+51),4,FALSE)/100),"na")</f>
        <v>na</v>
      </c>
      <c r="N173" s="8" t="str" cm="1">
        <f t="array" aca="1" ref="N173" ca="1">+IFERROR(IF(N148&lt;&gt;"na",N148+VLOOKUP($B171&amp;"-"&amp;$B173,INDIRECT("V51:Y"&amp;COUNT((FIND("-",_xlfn.ANCHORARRAY($B$51))&gt;0)*1)+51),4,FALSE)/100,N171+VLOOKUP($B171&amp;"-"&amp;$B173,INDIRECT("V51:Y"&amp;COUNT((FIND("-",_xlfn.ANCHORARRAY($B$51))&gt;0)*1)+51),4,FALSE)/100),"na")</f>
        <v>na</v>
      </c>
      <c r="O173" s="8" t="str" cm="1">
        <f t="array" aca="1" ref="O173" ca="1">+IFERROR(IF(O148&lt;&gt;"na",O148+VLOOKUP($B171&amp;"-"&amp;$B173,INDIRECT("V51:Y"&amp;COUNT((FIND("-",_xlfn.ANCHORARRAY($B$51))&gt;0)*1)+51),4,FALSE)/100,O171+VLOOKUP($B171&amp;"-"&amp;$B173,INDIRECT("V51:Y"&amp;COUNT((FIND("-",_xlfn.ANCHORARRAY($B$51))&gt;0)*1)+51),4,FALSE)/100),"na")</f>
        <v>na</v>
      </c>
      <c r="P173" s="8" t="str" cm="1">
        <f t="array" aca="1" ref="P173" ca="1">+IFERROR(IF(P148&lt;&gt;"na",P148+VLOOKUP($B171&amp;"-"&amp;$B173,INDIRECT("V51:Y"&amp;COUNT((FIND("-",_xlfn.ANCHORARRAY($B$51))&gt;0)*1)+51),4,FALSE)/100,P171+VLOOKUP($B171&amp;"-"&amp;$B173,INDIRECT("V51:Y"&amp;COUNT((FIND("-",_xlfn.ANCHORARRAY($B$51))&gt;0)*1)+51),4,FALSE)/100),"na")</f>
        <v>na</v>
      </c>
      <c r="Q173" s="8" t="str" cm="1">
        <f t="array" aca="1" ref="Q173" ca="1">+IFERROR(IF(Q148&lt;&gt;"na",Q148+VLOOKUP($B171&amp;"-"&amp;$B173,INDIRECT("V51:Y"&amp;COUNT((FIND("-",_xlfn.ANCHORARRAY($B$51))&gt;0)*1)+51),4,FALSE)/100,Q171+VLOOKUP($B171&amp;"-"&amp;$B173,INDIRECT("V51:Y"&amp;COUNT((FIND("-",_xlfn.ANCHORARRAY($B$51))&gt;0)*1)+51),4,FALSE)/100),"na")</f>
        <v>na</v>
      </c>
      <c r="R173" s="8" t="str">
        <f t="shared" ca="1" si="100"/>
        <v/>
      </c>
    </row>
    <row r="174" spans="2:18">
      <c r="B174" s="8"/>
      <c r="C174" s="8" t="str" cm="1">
        <f t="array" aca="1" ref="C174" ca="1">+IFERROR(IF(C149&lt;&gt;"na",C149+VLOOKUP($B172&amp;"-"&amp;$B174,INDIRECT("V51:Y"&amp;COUNT((FIND("-",_xlfn.ANCHORARRAY($B$51))&gt;0)*1)+51),4,FALSE)/100,C172+VLOOKUP($B172&amp;"-"&amp;$B174,INDIRECT("V51:Y"&amp;COUNT((FIND("-",_xlfn.ANCHORARRAY($B$51))&gt;0)*1)+51),4,FALSE)/100),"na")</f>
        <v>na</v>
      </c>
      <c r="D174" s="8" t="str" cm="1">
        <f t="array" aca="1" ref="D174" ca="1">+IFERROR(IF(D149&lt;&gt;"na",D149+VLOOKUP($B172&amp;"-"&amp;$B174,INDIRECT("V51:Y"&amp;COUNT((FIND("-",_xlfn.ANCHORARRAY($B$51))&gt;0)*1)+51),4,FALSE)/100,D172+VLOOKUP($B172&amp;"-"&amp;$B174,INDIRECT("V51:Y"&amp;COUNT((FIND("-",_xlfn.ANCHORARRAY($B$51))&gt;0)*1)+51),4,FALSE)/100),"na")</f>
        <v>na</v>
      </c>
      <c r="E174" s="8" t="str" cm="1">
        <f t="array" aca="1" ref="E174" ca="1">+IFERROR(IF(E149&lt;&gt;"na",E149+VLOOKUP($B172&amp;"-"&amp;$B174,INDIRECT("V51:Y"&amp;COUNT((FIND("-",_xlfn.ANCHORARRAY($B$51))&gt;0)*1)+51),4,FALSE)/100,E172+VLOOKUP($B172&amp;"-"&amp;$B174,INDIRECT("V51:Y"&amp;COUNT((FIND("-",_xlfn.ANCHORARRAY($B$51))&gt;0)*1)+51),4,FALSE)/100),"na")</f>
        <v>na</v>
      </c>
      <c r="F174" s="8" t="str" cm="1">
        <f t="array" aca="1" ref="F174" ca="1">+IFERROR(IF(F149&lt;&gt;"na",F149+VLOOKUP($B172&amp;"-"&amp;$B174,INDIRECT("V51:Y"&amp;COUNT((FIND("-",_xlfn.ANCHORARRAY($B$51))&gt;0)*1)+51),4,FALSE)/100,F172+VLOOKUP($B172&amp;"-"&amp;$B174,INDIRECT("V51:Y"&amp;COUNT((FIND("-",_xlfn.ANCHORARRAY($B$51))&gt;0)*1)+51),4,FALSE)/100),"na")</f>
        <v>na</v>
      </c>
      <c r="G174" s="8" t="str" cm="1">
        <f t="array" aca="1" ref="G174" ca="1">+IFERROR(IF(G149&lt;&gt;"na",G149+VLOOKUP($B172&amp;"-"&amp;$B174,INDIRECT("V51:Y"&amp;COUNT((FIND("-",_xlfn.ANCHORARRAY($B$51))&gt;0)*1)+51),4,FALSE)/100,G172+VLOOKUP($B172&amp;"-"&amp;$B174,INDIRECT("V51:Y"&amp;COUNT((FIND("-",_xlfn.ANCHORARRAY($B$51))&gt;0)*1)+51),4,FALSE)/100),"na")</f>
        <v>na</v>
      </c>
      <c r="H174" s="8" t="str" cm="1">
        <f t="array" aca="1" ref="H174" ca="1">+IFERROR(IF(H149&lt;&gt;"na",H149+VLOOKUP($B172&amp;"-"&amp;$B174,INDIRECT("V51:Y"&amp;COUNT((FIND("-",_xlfn.ANCHORARRAY($B$51))&gt;0)*1)+51),4,FALSE)/100,H172+VLOOKUP($B172&amp;"-"&amp;$B174,INDIRECT("V51:Y"&amp;COUNT((FIND("-",_xlfn.ANCHORARRAY($B$51))&gt;0)*1)+51),4,FALSE)/100),"na")</f>
        <v>na</v>
      </c>
      <c r="I174" s="8" t="str" cm="1">
        <f t="array" aca="1" ref="I174" ca="1">+IFERROR(IF(I149&lt;&gt;"na",I149+VLOOKUP($B172&amp;"-"&amp;$B174,INDIRECT("V51:Y"&amp;COUNT((FIND("-",_xlfn.ANCHORARRAY($B$51))&gt;0)*1)+51),4,FALSE)/100,I172+VLOOKUP($B172&amp;"-"&amp;$B174,INDIRECT("V51:Y"&amp;COUNT((FIND("-",_xlfn.ANCHORARRAY($B$51))&gt;0)*1)+51),4,FALSE)/100),"na")</f>
        <v>na</v>
      </c>
      <c r="J174" s="8" t="str" cm="1">
        <f t="array" aca="1" ref="J174" ca="1">+IFERROR(IF(J149&lt;&gt;"na",J149+VLOOKUP($B172&amp;"-"&amp;$B174,INDIRECT("V51:Y"&amp;COUNT((FIND("-",_xlfn.ANCHORARRAY($B$51))&gt;0)*1)+51),4,FALSE)/100,J172+VLOOKUP($B172&amp;"-"&amp;$B174,INDIRECT("V51:Y"&amp;COUNT((FIND("-",_xlfn.ANCHORARRAY($B$51))&gt;0)*1)+51),4,FALSE)/100),"na")</f>
        <v>na</v>
      </c>
      <c r="K174" s="8" t="str" cm="1">
        <f t="array" aca="1" ref="K174" ca="1">+IFERROR(IF(K149&lt;&gt;"na",K149+VLOOKUP($B172&amp;"-"&amp;$B174,INDIRECT("V51:Y"&amp;COUNT((FIND("-",_xlfn.ANCHORARRAY($B$51))&gt;0)*1)+51),4,FALSE)/100,K172+VLOOKUP($B172&amp;"-"&amp;$B174,INDIRECT("V51:Y"&amp;COUNT((FIND("-",_xlfn.ANCHORARRAY($B$51))&gt;0)*1)+51),4,FALSE)/100),"na")</f>
        <v>na</v>
      </c>
      <c r="L174" s="8" t="str" cm="1">
        <f t="array" aca="1" ref="L174" ca="1">+IFERROR(IF(L149&lt;&gt;"na",L149+VLOOKUP($B172&amp;"-"&amp;$B174,INDIRECT("V51:Y"&amp;COUNT((FIND("-",_xlfn.ANCHORARRAY($B$51))&gt;0)*1)+51),4,FALSE)/100,L172+VLOOKUP($B172&amp;"-"&amp;$B174,INDIRECT("V51:Y"&amp;COUNT((FIND("-",_xlfn.ANCHORARRAY($B$51))&gt;0)*1)+51),4,FALSE)/100),"na")</f>
        <v>na</v>
      </c>
      <c r="M174" s="8" t="str" cm="1">
        <f t="array" aca="1" ref="M174" ca="1">+IFERROR(IF(M149&lt;&gt;"na",M149+VLOOKUP($B172&amp;"-"&amp;$B174,INDIRECT("V51:Y"&amp;COUNT((FIND("-",_xlfn.ANCHORARRAY($B$51))&gt;0)*1)+51),4,FALSE)/100,M172+VLOOKUP($B172&amp;"-"&amp;$B174,INDIRECT("V51:Y"&amp;COUNT((FIND("-",_xlfn.ANCHORARRAY($B$51))&gt;0)*1)+51),4,FALSE)/100),"na")</f>
        <v>na</v>
      </c>
      <c r="N174" s="8" t="str" cm="1">
        <f t="array" aca="1" ref="N174" ca="1">+IFERROR(IF(N149&lt;&gt;"na",N149+VLOOKUP($B172&amp;"-"&amp;$B174,INDIRECT("V51:Y"&amp;COUNT((FIND("-",_xlfn.ANCHORARRAY($B$51))&gt;0)*1)+51),4,FALSE)/100,N172+VLOOKUP($B172&amp;"-"&amp;$B174,INDIRECT("V51:Y"&amp;COUNT((FIND("-",_xlfn.ANCHORARRAY($B$51))&gt;0)*1)+51),4,FALSE)/100),"na")</f>
        <v>na</v>
      </c>
      <c r="O174" s="8" t="str" cm="1">
        <f t="array" aca="1" ref="O174" ca="1">+IFERROR(IF(O149&lt;&gt;"na",O149+VLOOKUP($B172&amp;"-"&amp;$B174,INDIRECT("V51:Y"&amp;COUNT((FIND("-",_xlfn.ANCHORARRAY($B$51))&gt;0)*1)+51),4,FALSE)/100,O172+VLOOKUP($B172&amp;"-"&amp;$B174,INDIRECT("V51:Y"&amp;COUNT((FIND("-",_xlfn.ANCHORARRAY($B$51))&gt;0)*1)+51),4,FALSE)/100),"na")</f>
        <v>na</v>
      </c>
      <c r="P174" s="8" t="str" cm="1">
        <f t="array" aca="1" ref="P174" ca="1">+IFERROR(IF(P149&lt;&gt;"na",P149+VLOOKUP($B172&amp;"-"&amp;$B174,INDIRECT("V51:Y"&amp;COUNT((FIND("-",_xlfn.ANCHORARRAY($B$51))&gt;0)*1)+51),4,FALSE)/100,P172+VLOOKUP($B172&amp;"-"&amp;$B174,INDIRECT("V51:Y"&amp;COUNT((FIND("-",_xlfn.ANCHORARRAY($B$51))&gt;0)*1)+51),4,FALSE)/100),"na")</f>
        <v>na</v>
      </c>
      <c r="Q174" s="8" t="str" cm="1">
        <f t="array" aca="1" ref="Q174" ca="1">+IFERROR(IF(Q149&lt;&gt;"na",Q149+VLOOKUP($B172&amp;"-"&amp;$B174,INDIRECT("V51:Y"&amp;COUNT((FIND("-",_xlfn.ANCHORARRAY($B$51))&gt;0)*1)+51),4,FALSE)/100,Q172+VLOOKUP($B172&amp;"-"&amp;$B174,INDIRECT("V51:Y"&amp;COUNT((FIND("-",_xlfn.ANCHORARRAY($B$51))&gt;0)*1)+51),4,FALSE)/100),"na")</f>
        <v>na</v>
      </c>
      <c r="R174" s="8" t="str">
        <f t="shared" ca="1" si="100"/>
        <v/>
      </c>
    </row>
    <row r="175" spans="2:18">
      <c r="B175" s="223" t="s">
        <v>422</v>
      </c>
      <c r="C175" s="224" t="s">
        <v>1</v>
      </c>
      <c r="D175" s="224"/>
      <c r="E175" s="224"/>
      <c r="F175" s="224"/>
      <c r="G175" s="224"/>
      <c r="H175" s="224"/>
      <c r="I175" s="224"/>
      <c r="J175" s="224"/>
      <c r="K175" s="238" t="s">
        <v>2</v>
      </c>
      <c r="L175" s="224"/>
      <c r="M175" s="224"/>
      <c r="N175" s="224"/>
      <c r="O175" s="224"/>
      <c r="P175" s="224"/>
      <c r="Q175" s="224"/>
      <c r="R175" s="225"/>
    </row>
    <row r="176" spans="2:18">
      <c r="B176" s="227" t="s">
        <v>3</v>
      </c>
      <c r="C176" s="228" t="s">
        <v>4</v>
      </c>
      <c r="D176" s="228" t="s">
        <v>5</v>
      </c>
      <c r="E176" s="228" t="s">
        <v>6</v>
      </c>
      <c r="F176" s="228" t="s">
        <v>7</v>
      </c>
      <c r="G176" s="228" t="s">
        <v>8</v>
      </c>
      <c r="H176" s="228"/>
      <c r="I176" s="228"/>
      <c r="J176" s="228"/>
      <c r="K176" s="239" t="s">
        <v>4</v>
      </c>
      <c r="L176" s="228" t="s">
        <v>5</v>
      </c>
      <c r="M176" s="228" t="s">
        <v>6</v>
      </c>
      <c r="N176" s="228" t="s">
        <v>7</v>
      </c>
      <c r="O176" s="228" t="s">
        <v>8</v>
      </c>
      <c r="P176" s="228"/>
      <c r="Q176" s="228"/>
      <c r="R176" s="229"/>
    </row>
    <row r="177" spans="2:18">
      <c r="B177" s="240"/>
      <c r="C177" s="238"/>
      <c r="D177" s="224"/>
      <c r="E177" s="224"/>
      <c r="F177" s="224"/>
      <c r="G177" s="224"/>
      <c r="H177" s="224"/>
      <c r="I177" s="224"/>
      <c r="J177" s="225"/>
      <c r="K177" s="224"/>
      <c r="L177" s="224"/>
      <c r="M177" s="224"/>
      <c r="N177" s="224"/>
      <c r="O177" s="224"/>
      <c r="P177" s="224"/>
      <c r="Q177" s="224"/>
      <c r="R177" s="225"/>
    </row>
    <row r="178" spans="2:18">
      <c r="B178" s="240" t="str" cm="1">
        <f t="array" aca="1" ref="B178:B179" ca="1">+_xlfn.CHOOSECOLS(_xlfn._xlws.SORT(_xlfn.ANCHORARRAY(Flies!AD2):_xlfn.ANCHORARRAY(Flies!AE2):_xlfn.ANCHORARRAY(Flies!AF2):_xlfn.ANCHORARRAY(Flies!AG2),1,1),4)</f>
        <v>3-6-9</v>
      </c>
      <c r="C178" s="240" t="str" cm="1">
        <f t="array" aca="1" ref="C178:C179" ca="1">+VLOOKUP(_xlfn.ANCHORARRAY($B178),FLIES_BID,5,FALSE)</f>
        <v/>
      </c>
      <c r="D178" s="83" t="str" cm="1">
        <f t="array" aca="1" ref="D178:D179" ca="1">+VLOOKUP(_xlfn.ANCHORARRAY($B178),FLIES_BID,4,FALSE)</f>
        <v/>
      </c>
      <c r="E178" s="83" t="str" cm="1">
        <f t="array" aca="1" ref="E178:E179" ca="1">+VLOOKUP(_xlfn.ANCHORARRAY($B178),FLIES_BID,6,FALSE)</f>
        <v/>
      </c>
      <c r="F178" s="83" t="str" cm="1">
        <f t="array" aca="1" ref="F178:F179" ca="1">+VLOOKUP(_xlfn.ANCHORARRAY($B178),FLIES_BID,2,FALSE)</f>
        <v/>
      </c>
      <c r="G178" s="83" t="str" cm="1">
        <f t="array" aca="1" ref="G178:G179" ca="1">+VLOOKUP(_xlfn.ANCHORARRAY($B178),FLIES_BID,3,FALSE)</f>
        <v/>
      </c>
      <c r="J178" s="232"/>
      <c r="K178" s="83" t="str" cm="1">
        <f t="array" aca="1" ref="K178:K179" ca="1">+VLOOKUP(_xlfn.ANCHORARRAY($B178),FLIES_OFFER,5,FALSE)</f>
        <v/>
      </c>
      <c r="L178" s="83" t="str" cm="1">
        <f t="array" aca="1" ref="L178:L179" ca="1">+VLOOKUP(_xlfn.ANCHORARRAY($B178),FLIES_OFFER,4,FALSE)</f>
        <v/>
      </c>
      <c r="M178" s="83" t="str" cm="1">
        <f t="array" aca="1" ref="M178:M179" ca="1">+VLOOKUP(_xlfn.ANCHORARRAY($B178),FLIES_OFFER,6,FALSE)</f>
        <v/>
      </c>
      <c r="N178" s="83" cm="1">
        <f t="array" aca="1" ref="N178:N179" ca="1">+VLOOKUP(_xlfn.ANCHORARRAY($B178),FLIES_OFFER,2,FALSE)</f>
        <v>12</v>
      </c>
      <c r="O178" s="83" t="str" cm="1">
        <f t="array" aca="1" ref="O178:O179" ca="1">+VLOOKUP(_xlfn.ANCHORARRAY($B178),FLIES_OFFER,3,FALSE)</f>
        <v/>
      </c>
      <c r="R178" s="232"/>
    </row>
    <row r="179" spans="2:18">
      <c r="B179" s="295" t="str">
        <f ca="1"/>
        <v>13-26-39</v>
      </c>
      <c r="C179" s="240" t="str">
        <f ca="1"/>
        <v/>
      </c>
      <c r="D179" s="83" t="str">
        <f ca="1"/>
        <v/>
      </c>
      <c r="E179" s="83" t="str">
        <f ca="1"/>
        <v/>
      </c>
      <c r="F179" s="83">
        <f ca="1"/>
        <v>-57</v>
      </c>
      <c r="G179" s="83" t="str">
        <f ca="1"/>
        <v/>
      </c>
      <c r="J179" s="232"/>
      <c r="K179" s="83" t="str">
        <f ca="1"/>
        <v/>
      </c>
      <c r="L179" s="83" t="str">
        <f ca="1"/>
        <v/>
      </c>
      <c r="M179" s="83" t="str">
        <f ca="1"/>
        <v/>
      </c>
      <c r="N179" s="83">
        <f ca="1"/>
        <v>-51</v>
      </c>
      <c r="O179" s="83" t="str">
        <f ca="1"/>
        <v/>
      </c>
      <c r="R179" s="232"/>
    </row>
    <row r="180" spans="2:18">
      <c r="B180" s="240"/>
      <c r="C180" s="240"/>
      <c r="J180" s="232"/>
      <c r="R180" s="232"/>
    </row>
    <row r="181" spans="2:18">
      <c r="B181" s="240"/>
      <c r="C181" s="240"/>
      <c r="J181" s="232"/>
      <c r="R181" s="232"/>
    </row>
    <row r="182" spans="2:18">
      <c r="B182" s="240"/>
      <c r="C182" s="240"/>
      <c r="J182" s="232"/>
      <c r="R182" s="232"/>
    </row>
    <row r="183" spans="2:18">
      <c r="B183" s="240"/>
      <c r="C183" s="240"/>
      <c r="J183" s="232"/>
      <c r="R183" s="232"/>
    </row>
    <row r="184" spans="2:18">
      <c r="B184" s="240"/>
      <c r="C184" s="240"/>
      <c r="J184" s="232"/>
      <c r="R184" s="232"/>
    </row>
    <row r="185" spans="2:18">
      <c r="B185" s="240"/>
      <c r="C185" s="240"/>
      <c r="J185" s="232"/>
      <c r="R185" s="232"/>
    </row>
    <row r="186" spans="2:18">
      <c r="B186" s="240"/>
      <c r="C186" s="240"/>
      <c r="J186" s="232"/>
      <c r="R186" s="232"/>
    </row>
    <row r="187" spans="2:18">
      <c r="B187" s="240"/>
      <c r="C187" s="240"/>
      <c r="J187" s="232"/>
      <c r="R187" s="232"/>
    </row>
    <row r="188" spans="2:18">
      <c r="B188" s="240"/>
      <c r="C188" s="240"/>
      <c r="J188" s="232"/>
      <c r="R188" s="232"/>
    </row>
    <row r="189" spans="2:18">
      <c r="B189" s="240"/>
      <c r="C189" s="240"/>
      <c r="J189" s="232"/>
      <c r="R189" s="232"/>
    </row>
    <row r="190" spans="2:18">
      <c r="B190" s="240"/>
      <c r="C190" s="240"/>
      <c r="J190" s="232"/>
      <c r="R190" s="232"/>
    </row>
    <row r="191" spans="2:18">
      <c r="B191" s="240"/>
      <c r="C191" s="240"/>
      <c r="J191" s="232"/>
      <c r="R191" s="232"/>
    </row>
    <row r="192" spans="2:18">
      <c r="B192" s="240"/>
      <c r="C192" s="240"/>
      <c r="J192" s="232"/>
      <c r="R192" s="232"/>
    </row>
    <row r="193" spans="2:18">
      <c r="B193" s="240"/>
      <c r="C193" s="240"/>
      <c r="J193" s="232"/>
      <c r="R193" s="232"/>
    </row>
    <row r="194" spans="2:18">
      <c r="B194" s="240"/>
      <c r="C194" s="240"/>
      <c r="J194" s="232"/>
      <c r="R194" s="232"/>
    </row>
    <row r="195" spans="2:18">
      <c r="B195" s="240"/>
      <c r="C195" s="240"/>
      <c r="J195" s="232"/>
      <c r="R195" s="232"/>
    </row>
    <row r="196" spans="2:18">
      <c r="B196" s="240"/>
      <c r="C196" s="240"/>
      <c r="J196" s="232"/>
      <c r="R196" s="232"/>
    </row>
    <row r="197" spans="2:18">
      <c r="B197" s="240"/>
      <c r="C197" s="240"/>
      <c r="J197" s="232"/>
      <c r="R197" s="232"/>
    </row>
    <row r="198" spans="2:18">
      <c r="B198" s="240"/>
      <c r="C198" s="240"/>
      <c r="J198" s="232"/>
      <c r="R198" s="232"/>
    </row>
    <row r="199" spans="2:18">
      <c r="B199" s="240"/>
      <c r="C199" s="240"/>
      <c r="J199" s="232"/>
      <c r="R199" s="232"/>
    </row>
    <row r="200" spans="2:18">
      <c r="B200" s="239"/>
      <c r="C200" s="239"/>
      <c r="D200" s="228"/>
      <c r="E200" s="228"/>
      <c r="F200" s="228"/>
      <c r="G200" s="228"/>
      <c r="H200" s="228"/>
      <c r="I200" s="228"/>
      <c r="J200" s="229"/>
      <c r="K200" s="228"/>
      <c r="L200" s="228"/>
      <c r="M200" s="228"/>
      <c r="N200" s="228"/>
      <c r="O200" s="228"/>
      <c r="P200" s="228"/>
      <c r="Q200" s="228"/>
      <c r="R200" s="229"/>
    </row>
  </sheetData>
  <conditionalFormatting sqref="A28:A32">
    <cfRule type="expression" dxfId="15" priority="16">
      <formula>ISNUMBER(FIND("FALTA", A28))</formula>
    </cfRule>
  </conditionalFormatting>
  <conditionalFormatting sqref="A51">
    <cfRule type="expression" dxfId="14" priority="14">
      <formula>OR($A$52&lt;&gt;"", $A$53&lt;&gt;"", $A$54&lt;&gt;"", $A$55&lt;&gt;"",$A$56&lt;&gt;"")</formula>
    </cfRule>
  </conditionalFormatting>
  <conditionalFormatting sqref="A52:A56">
    <cfRule type="expression" dxfId="13" priority="15">
      <formula>A52&lt;&gt;""</formula>
    </cfRule>
  </conditionalFormatting>
  <conditionalFormatting sqref="U27">
    <cfRule type="expression" dxfId="12" priority="457">
      <formula>$AN31&lt;&gt;""</formula>
    </cfRule>
  </conditionalFormatting>
  <conditionalFormatting sqref="U51">
    <cfRule type="expression" dxfId="11" priority="49">
      <formula>$AM54&lt;&gt;""</formula>
    </cfRule>
  </conditionalFormatting>
  <conditionalFormatting sqref="U78">
    <cfRule type="expression" dxfId="10" priority="5">
      <formula>$AM81&lt;&gt;""</formula>
    </cfRule>
  </conditionalFormatting>
  <conditionalFormatting sqref="AC51">
    <cfRule type="expression" dxfId="9" priority="47">
      <formula>$AM54&lt;&gt;""</formula>
    </cfRule>
  </conditionalFormatting>
  <conditionalFormatting sqref="AC67:AC72 AC94 AC98">
    <cfRule type="expression" dxfId="8" priority="465">
      <formula>#REF!&lt;&gt;""</formula>
    </cfRule>
  </conditionalFormatting>
  <conditionalFormatting sqref="AC78">
    <cfRule type="expression" dxfId="7" priority="3">
      <formula>$AM81&lt;&gt;""</formula>
    </cfRule>
  </conditionalFormatting>
  <conditionalFormatting sqref="AG52:AG65">
    <cfRule type="expression" dxfId="6" priority="18">
      <formula>OR($AG52&gt;$X28,$X28="")</formula>
    </cfRule>
  </conditionalFormatting>
  <conditionalFormatting sqref="AH28:AH41">
    <cfRule type="expression" dxfId="5" priority="24">
      <formula>OR($AH28&gt;$X28,$X28="")</formula>
    </cfRule>
  </conditionalFormatting>
  <conditionalFormatting sqref="AH44:AH46">
    <cfRule type="expression" dxfId="4" priority="2">
      <formula>OR($AH44&gt;$X44,$X44="")</formula>
    </cfRule>
  </conditionalFormatting>
  <conditionalFormatting sqref="AH52:AH65">
    <cfRule type="expression" dxfId="3" priority="17">
      <formula>OR($AH52&lt;$Y28,$Y28="")</formula>
    </cfRule>
  </conditionalFormatting>
  <conditionalFormatting sqref="AI28:AI41">
    <cfRule type="expression" dxfId="2" priority="23">
      <formula>OR($AI28&lt;$Y28,$Y28="")</formula>
    </cfRule>
  </conditionalFormatting>
  <conditionalFormatting sqref="AI44:AI46">
    <cfRule type="expression" dxfId="1" priority="1">
      <formula>OR($AI44&lt;$Y44,$Y44="")</formula>
    </cfRule>
  </conditionalFormatting>
  <conditionalFormatting sqref="AJ25:AL25">
    <cfRule type="expression" dxfId="0" priority="25">
      <formula>$AN33&lt;&gt;""</formula>
    </cfRule>
  </conditionalFormatting>
  <pageMargins left="0.7" right="0.7" top="0.75" bottom="0.75" header="0.3" footer="0.3"/>
  <pageSetup scale="10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2A2EE11-D30C-42C7-8257-B1CBC1E4A108}">
          <x14:formula1>
            <xm:f>INDIRECT("Paths!$K$2"&amp;":$K$"&amp;1+COUNTIF(Paths!$K$2:$K$24, "&gt;0"))</xm:f>
          </x14:formula1>
          <xm:sqref>AP49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8" tint="0.79998168889431442"/>
  </sheetPr>
  <dimension ref="A1:AE184"/>
  <sheetViews>
    <sheetView zoomScale="90" zoomScaleNormal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17" sqref="D17"/>
    </sheetView>
  </sheetViews>
  <sheetFormatPr baseColWidth="10" defaultColWidth="9.140625" defaultRowHeight="12.75"/>
  <cols>
    <col min="1" max="1" width="94.7109375" style="1" bestFit="1" customWidth="1"/>
    <col min="2" max="2" width="47.7109375" style="2" bestFit="1" customWidth="1"/>
    <col min="3" max="3" width="11.85546875" style="2" bestFit="1" customWidth="1"/>
    <col min="4" max="4" width="9.140625" style="2" customWidth="1"/>
    <col min="5" max="5" width="11" style="2" bestFit="1" customWidth="1"/>
    <col min="6" max="6" width="9.140625" style="2" customWidth="1"/>
    <col min="7" max="7" width="9.7109375" style="2" bestFit="1" customWidth="1"/>
    <col min="8" max="8" width="9.140625" style="2" customWidth="1"/>
    <col min="9" max="10" width="11.5703125" style="2" bestFit="1" customWidth="1"/>
    <col min="11" max="12" width="9.140625" style="2" customWidth="1"/>
    <col min="13" max="16" width="11.42578125" style="2" customWidth="1"/>
    <col min="17" max="17" width="8.7109375" style="2" customWidth="1"/>
    <col min="18" max="21" width="11.42578125" style="2" customWidth="1"/>
    <col min="22" max="22" width="7" style="1" bestFit="1" customWidth="1"/>
    <col min="23" max="23" width="11.140625" style="1" bestFit="1" customWidth="1"/>
    <col min="24" max="24" width="9.140625" style="42"/>
    <col min="25" max="26" width="9.140625" style="1" customWidth="1"/>
    <col min="27" max="27" width="9.140625" style="42" customWidth="1"/>
    <col min="28" max="28" width="3.28515625" style="1" customWidth="1"/>
    <col min="29" max="29" width="9.140625" style="42"/>
    <col min="30" max="30" width="9.140625" style="44"/>
    <col min="31" max="31" width="9.140625" style="45"/>
    <col min="32" max="32" width="9.140625" style="1" customWidth="1"/>
    <col min="33" max="33" width="8.7109375" style="1" customWidth="1"/>
    <col min="34" max="16384" width="9.140625" style="1"/>
  </cols>
  <sheetData>
    <row r="1" spans="1:31">
      <c r="A1" s="3" t="str">
        <f>+HYPERLINK("bbg://screens/gptf%20158%201%201","ENMX")</f>
        <v>ENMX</v>
      </c>
      <c r="B1" s="1"/>
      <c r="C1" s="1"/>
      <c r="D1" s="45"/>
      <c r="E1" s="1"/>
      <c r="F1" s="1"/>
      <c r="G1" s="42"/>
      <c r="H1" s="1"/>
      <c r="I1" s="42"/>
      <c r="J1" s="44"/>
      <c r="K1" s="45"/>
      <c r="L1" s="1"/>
      <c r="M1" s="1"/>
      <c r="N1" s="1"/>
      <c r="O1" s="1"/>
      <c r="P1" s="1"/>
      <c r="Q1" s="1"/>
      <c r="R1" s="1"/>
      <c r="S1" s="1"/>
      <c r="T1" s="1"/>
      <c r="U1" s="1"/>
      <c r="X1" s="1"/>
      <c r="AA1" s="1"/>
      <c r="AC1" s="1"/>
      <c r="AD1" s="1"/>
      <c r="AE1" s="1"/>
    </row>
    <row r="2" spans="1:31" s="49" customFormat="1" ht="15">
      <c r="A2" s="21" t="e">
        <f ca="1">_xll.BPGE(" 158/1/1",,"cols=1;rows=26")</f>
        <v>#NAME?</v>
      </c>
      <c r="B2" s="1">
        <f>+LEN(A3)/2</f>
        <v>40</v>
      </c>
      <c r="C2" s="1">
        <f>+B2*2</f>
        <v>80</v>
      </c>
      <c r="D2" s="50">
        <v>3</v>
      </c>
      <c r="E2" s="49">
        <v>8</v>
      </c>
      <c r="F2" s="49">
        <v>6</v>
      </c>
      <c r="G2" s="50">
        <v>6</v>
      </c>
      <c r="I2" s="50"/>
      <c r="J2" s="51"/>
      <c r="K2" s="52"/>
    </row>
    <row r="3" spans="1:31" ht="15">
      <c r="A3" s="99" t="s">
        <v>27</v>
      </c>
      <c r="B3" s="100" t="str">
        <f>+MID(A3,1,$B$2)</f>
        <v xml:space="preserve">      BONOS GUBERNAMENTALES       ENLACE</v>
      </c>
      <c r="D3" s="24" t="s">
        <v>28</v>
      </c>
      <c r="E3" s="24" t="s">
        <v>29</v>
      </c>
      <c r="F3" s="24" t="s">
        <v>30</v>
      </c>
      <c r="G3" s="24" t="s">
        <v>31</v>
      </c>
      <c r="H3" s="1"/>
      <c r="I3" s="24" t="s">
        <v>28</v>
      </c>
      <c r="J3" s="24" t="s">
        <v>32</v>
      </c>
      <c r="K3" s="24" t="s">
        <v>14</v>
      </c>
      <c r="L3" s="24" t="s">
        <v>33</v>
      </c>
      <c r="M3" s="1"/>
      <c r="N3" s="1"/>
      <c r="O3" s="1"/>
      <c r="P3" s="1"/>
      <c r="Q3" s="1"/>
      <c r="R3" s="1"/>
      <c r="S3" s="1"/>
      <c r="T3" s="1"/>
      <c r="U3" s="1"/>
      <c r="X3" s="1"/>
      <c r="AA3" s="1"/>
      <c r="AC3" s="1"/>
      <c r="AD3" s="1"/>
      <c r="AE3" s="1"/>
    </row>
    <row r="4" spans="1:31" ht="15">
      <c r="A4" s="99" t="s">
        <v>795</v>
      </c>
      <c r="B4" s="102" t="str">
        <f>+MID(A4,1,$B$2)</f>
        <v xml:space="preserve">291223        -            X     11.420 </v>
      </c>
      <c r="C4" s="45"/>
      <c r="D4" s="95" t="str">
        <f>IF(D3&lt;&gt;"",MID(B4,FIND("-",B4)-12,4),"")</f>
        <v>1223</v>
      </c>
      <c r="E4" s="96">
        <f>+IF(_xlfn.NUMBERVALUE(D4)&gt;0,_xlfn.NUMBERVALUE(MID(B4,$E$2,FIND("-",B4)-$E$2)),"")</f>
        <v>0</v>
      </c>
      <c r="F4" s="97">
        <f>+IF(_xlfn.NUMBERVALUE(D4)&gt;0,_xlfn.NUMBERVALUE(MID(B4,FIND("-",B4)+1,$F$2)),"")</f>
        <v>0</v>
      </c>
      <c r="G4" s="98">
        <f>+IF(_xlfn.NUMBERVALUE(D4)&gt;0,_xlfn.NUMBERVALUE(MID(B4,LEN(B4)-$G$2,$G$2)),"")</f>
        <v>11.42</v>
      </c>
      <c r="H4" s="95"/>
      <c r="I4" s="95" t="str" cm="1">
        <f t="array" ref="I4:I25">+TRANSPOSE(_xlfn.TEXTSPLIT(_xlfn.TEXTJOIN(",",TRUE,D4:D42),","))</f>
        <v>1223</v>
      </c>
      <c r="J4" s="135" t="str" cm="1">
        <f t="array" ref="J4:J25">+IFERROR(VLOOKUP(VALUE(LEFT(_xlfn.ANCHORARRAY(I4),2)),$N$4:$O$15,2,FALSE)&amp;RIGHT(_xlfn.ANCHORARRAY(I4),2), "")</f>
        <v>dc23</v>
      </c>
      <c r="K4" s="98" t="str" cm="1">
        <f t="array" ref="K4:K25">+IF(VLOOKUP(_xlfn.ANCHORARRAY($I4),$D$4:$G$46,2,0)=0,"",VLOOKUP(_xlfn.ANCHORARRAY($I4),$D$4:$G$46,2,0))</f>
        <v/>
      </c>
      <c r="L4" s="98" t="str" cm="1">
        <f t="array" ref="L4:L25">+IF(VLOOKUP(_xlfn.ANCHORARRAY($I4),$D$4:$G$46,3,0)=0,"",VLOOKUP(_xlfn.ANCHORARRAY($I4),$D$4:$G$46,3,0))</f>
        <v/>
      </c>
      <c r="M4" s="1"/>
      <c r="N4" s="1">
        <v>1</v>
      </c>
      <c r="O4" s="1" t="s">
        <v>34</v>
      </c>
      <c r="P4" s="1"/>
      <c r="Q4" s="1"/>
      <c r="R4" s="1"/>
      <c r="S4" s="1"/>
      <c r="T4" s="1"/>
      <c r="U4" s="1"/>
      <c r="X4" s="1"/>
      <c r="AA4" s="1"/>
      <c r="AC4" s="1"/>
      <c r="AD4" s="1"/>
      <c r="AE4" s="1"/>
    </row>
    <row r="5" spans="1:31" ht="15">
      <c r="A5" s="99" t="s">
        <v>35</v>
      </c>
      <c r="B5" s="102" t="str">
        <f>+MID(A5,1,$B$2)</f>
        <v xml:space="preserve">301223        -            X            </v>
      </c>
      <c r="C5" s="45"/>
      <c r="D5" s="95" t="str">
        <f t="shared" ref="D5:D37" si="0">IF(D4="",MID(B5,FIND("-",B5)-12,4),"")</f>
        <v/>
      </c>
      <c r="E5" s="96" t="str">
        <f>+IF(_xlfn.NUMBERVALUE(D5)&gt;0,_xlfn.NUMBERVALUE(MID(B5,$E$2,FIND("-",B5)-$E$2)),"")</f>
        <v/>
      </c>
      <c r="F5" s="97" t="str">
        <f t="shared" ref="F5:F46" si="1">+IF(_xlfn.NUMBERVALUE(D5)&gt;0,_xlfn.NUMBERVALUE(MID(B5,FIND("-",B5)+1,$F$2)),"")</f>
        <v/>
      </c>
      <c r="G5" s="98" t="str">
        <f t="shared" ref="G5:G46" si="2">+IF(_xlfn.NUMBERVALUE(D5)&gt;0,_xlfn.NUMBERVALUE(MID(B5,LEN(B5)-$G$2,$G$2)),"")</f>
        <v/>
      </c>
      <c r="H5" s="40"/>
      <c r="I5" s="95" t="str">
        <v>0924</v>
      </c>
      <c r="J5" s="135" t="str">
        <v>sp24</v>
      </c>
      <c r="K5" s="98">
        <v>11</v>
      </c>
      <c r="L5" s="98" t="str">
        <v/>
      </c>
      <c r="M5" s="1"/>
      <c r="N5" s="1">
        <v>2</v>
      </c>
      <c r="O5" s="1" t="s">
        <v>36</v>
      </c>
      <c r="P5" s="1"/>
      <c r="Q5" s="1"/>
      <c r="R5" s="1"/>
      <c r="S5" s="1"/>
      <c r="T5" s="1"/>
      <c r="U5" s="1"/>
      <c r="X5" s="1"/>
      <c r="AA5" s="1"/>
      <c r="AC5" s="1"/>
      <c r="AD5" s="1"/>
      <c r="AE5" s="1"/>
    </row>
    <row r="6" spans="1:31" ht="15">
      <c r="A6" s="99" t="s">
        <v>800</v>
      </c>
      <c r="B6" s="102" t="str">
        <f t="shared" ref="B6:B25" si="3">+MID(A6,1,$B$2)</f>
        <v xml:space="preserve">310924  11.000-         10 X     10.990 </v>
      </c>
      <c r="C6" s="45"/>
      <c r="D6" s="95" t="str">
        <f t="shared" si="0"/>
        <v>0924</v>
      </c>
      <c r="E6" s="96">
        <f t="shared" ref="E6:E46" si="4">+IF(_xlfn.NUMBERVALUE(D6)&gt;0,_xlfn.NUMBERVALUE(MID(B6,$E$2,FIND("-",B6)-$E$2)),"")</f>
        <v>11</v>
      </c>
      <c r="F6" s="97">
        <f t="shared" si="1"/>
        <v>0</v>
      </c>
      <c r="G6" s="98">
        <f t="shared" si="2"/>
        <v>10.99</v>
      </c>
      <c r="H6" s="40"/>
      <c r="I6" s="95" t="str">
        <v>1224</v>
      </c>
      <c r="J6" s="135" t="str">
        <v>dc24</v>
      </c>
      <c r="K6" s="98" t="str">
        <v/>
      </c>
      <c r="L6" s="98" t="str">
        <v/>
      </c>
      <c r="M6" s="1"/>
      <c r="N6" s="1">
        <v>3</v>
      </c>
      <c r="O6" s="1" t="s">
        <v>37</v>
      </c>
      <c r="P6" s="1"/>
      <c r="Q6" s="1"/>
      <c r="R6" s="1"/>
      <c r="S6" s="1"/>
      <c r="T6" s="1"/>
      <c r="U6" s="1"/>
      <c r="X6" s="1"/>
      <c r="AA6" s="1"/>
      <c r="AC6" s="1"/>
      <c r="AD6" s="1"/>
      <c r="AE6" s="1"/>
    </row>
    <row r="7" spans="1:31" ht="15">
      <c r="A7" s="99" t="s">
        <v>38</v>
      </c>
      <c r="B7" s="102" t="str">
        <f t="shared" si="3"/>
        <v xml:space="preserve">320924        -            X            </v>
      </c>
      <c r="C7" s="45"/>
      <c r="D7" s="95" t="str">
        <f t="shared" si="0"/>
        <v/>
      </c>
      <c r="E7" s="96" t="str">
        <f t="shared" si="4"/>
        <v/>
      </c>
      <c r="F7" s="97" t="str">
        <f t="shared" si="1"/>
        <v/>
      </c>
      <c r="G7" s="98" t="str">
        <f t="shared" si="2"/>
        <v/>
      </c>
      <c r="H7" s="40"/>
      <c r="I7" s="95" t="str">
        <v>0325</v>
      </c>
      <c r="J7" s="135" t="str">
        <v>mz25</v>
      </c>
      <c r="K7" s="98" t="str">
        <v/>
      </c>
      <c r="L7" s="98" t="str">
        <v/>
      </c>
      <c r="M7" s="1"/>
      <c r="N7" s="1">
        <v>4</v>
      </c>
      <c r="O7" s="1" t="s">
        <v>39</v>
      </c>
      <c r="P7" s="1"/>
      <c r="Q7" s="1"/>
      <c r="R7" s="1"/>
      <c r="S7" s="1"/>
      <c r="T7" s="1"/>
      <c r="U7" s="1"/>
      <c r="X7" s="1"/>
      <c r="AA7" s="1"/>
      <c r="AC7" s="1"/>
      <c r="AD7" s="1"/>
      <c r="AE7" s="1"/>
    </row>
    <row r="8" spans="1:31" ht="15">
      <c r="A8" s="99" t="s">
        <v>761</v>
      </c>
      <c r="B8" s="102" t="str">
        <f t="shared" si="3"/>
        <v xml:space="preserve">331224        -            X     10.580 </v>
      </c>
      <c r="C8" s="45"/>
      <c r="D8" s="95" t="str">
        <f t="shared" si="0"/>
        <v>1224</v>
      </c>
      <c r="E8" s="96">
        <f t="shared" si="4"/>
        <v>0</v>
      </c>
      <c r="F8" s="97">
        <f t="shared" si="1"/>
        <v>0</v>
      </c>
      <c r="G8" s="98">
        <f t="shared" si="2"/>
        <v>10.58</v>
      </c>
      <c r="H8" s="40"/>
      <c r="I8" s="95" t="str">
        <v>0326</v>
      </c>
      <c r="J8" s="135" t="str">
        <v>mz26</v>
      </c>
      <c r="K8" s="98" t="str">
        <v/>
      </c>
      <c r="L8" s="98" t="str">
        <v/>
      </c>
      <c r="M8" s="1"/>
      <c r="N8" s="1">
        <v>5</v>
      </c>
      <c r="O8" s="1" t="s">
        <v>40</v>
      </c>
      <c r="P8" s="1"/>
      <c r="Q8" s="1"/>
      <c r="R8" s="1"/>
      <c r="S8" s="1"/>
      <c r="T8" s="1"/>
      <c r="U8" s="1"/>
      <c r="X8" s="1"/>
      <c r="AA8" s="1"/>
      <c r="AC8" s="1"/>
      <c r="AD8" s="1"/>
      <c r="AE8" s="1"/>
    </row>
    <row r="9" spans="1:31" ht="15">
      <c r="A9" s="99" t="s">
        <v>320</v>
      </c>
      <c r="B9" s="102" t="str">
        <f t="shared" si="3"/>
        <v xml:space="preserve">341224        -            X            </v>
      </c>
      <c r="C9" s="45"/>
      <c r="D9" s="95" t="str">
        <f t="shared" si="0"/>
        <v/>
      </c>
      <c r="E9" s="96" t="str">
        <f t="shared" si="4"/>
        <v/>
      </c>
      <c r="F9" s="97" t="str">
        <f t="shared" si="1"/>
        <v/>
      </c>
      <c r="G9" s="98" t="str">
        <f t="shared" si="2"/>
        <v/>
      </c>
      <c r="H9" s="40"/>
      <c r="I9" s="95" t="str">
        <v>0926</v>
      </c>
      <c r="J9" s="135" t="str">
        <v>sp26</v>
      </c>
      <c r="K9" s="98">
        <v>9.58</v>
      </c>
      <c r="L9" s="98">
        <v>9.4600000000000009</v>
      </c>
      <c r="M9" s="1"/>
      <c r="N9" s="1">
        <v>6</v>
      </c>
      <c r="O9" s="1" t="s">
        <v>41</v>
      </c>
      <c r="P9" s="1"/>
      <c r="Q9" s="1"/>
      <c r="R9" s="1"/>
      <c r="S9" s="1"/>
      <c r="T9" s="1"/>
      <c r="U9" s="1"/>
      <c r="X9" s="1"/>
      <c r="AA9" s="1"/>
      <c r="AC9" s="1"/>
      <c r="AD9" s="1"/>
      <c r="AE9" s="1"/>
    </row>
    <row r="10" spans="1:31" ht="15">
      <c r="A10" s="99" t="s">
        <v>756</v>
      </c>
      <c r="B10" s="102" t="str">
        <f t="shared" si="3"/>
        <v xml:space="preserve">350325        -            X     10.110 </v>
      </c>
      <c r="C10" s="45"/>
      <c r="D10" s="95" t="str">
        <f t="shared" si="0"/>
        <v>0325</v>
      </c>
      <c r="E10" s="96">
        <f t="shared" si="4"/>
        <v>0</v>
      </c>
      <c r="F10" s="97">
        <f t="shared" si="1"/>
        <v>0</v>
      </c>
      <c r="G10" s="98">
        <f t="shared" si="2"/>
        <v>10.11</v>
      </c>
      <c r="H10" s="40"/>
      <c r="I10" s="95" t="str">
        <v>0327</v>
      </c>
      <c r="J10" s="135" t="str">
        <v>mz27</v>
      </c>
      <c r="K10" s="98">
        <v>9.35</v>
      </c>
      <c r="L10" s="98">
        <v>9.23</v>
      </c>
      <c r="M10" s="1"/>
      <c r="N10" s="1">
        <v>7</v>
      </c>
      <c r="O10" s="1" t="s">
        <v>42</v>
      </c>
      <c r="P10" s="1"/>
      <c r="Q10" s="1"/>
      <c r="R10" s="1"/>
      <c r="S10" s="1"/>
      <c r="T10" s="1"/>
      <c r="U10" s="1"/>
      <c r="X10" s="1"/>
      <c r="AA10" s="1"/>
      <c r="AC10" s="1"/>
      <c r="AD10" s="1"/>
      <c r="AE10" s="1"/>
    </row>
    <row r="11" spans="1:31" ht="15">
      <c r="A11" s="99" t="s">
        <v>473</v>
      </c>
      <c r="B11" s="102" t="str">
        <f t="shared" si="3"/>
        <v xml:space="preserve">360325        -            X            </v>
      </c>
      <c r="C11" s="45"/>
      <c r="D11" s="95" t="str">
        <f t="shared" si="0"/>
        <v/>
      </c>
      <c r="E11" s="96" t="str">
        <f t="shared" si="4"/>
        <v/>
      </c>
      <c r="F11" s="97" t="str">
        <f t="shared" si="1"/>
        <v/>
      </c>
      <c r="G11" s="98" t="str">
        <f t="shared" si="2"/>
        <v/>
      </c>
      <c r="H11" s="40"/>
      <c r="I11" s="95" t="str">
        <v>0627</v>
      </c>
      <c r="J11" s="135" t="str">
        <v>jn27</v>
      </c>
      <c r="K11" s="98">
        <v>9.24</v>
      </c>
      <c r="L11" s="98">
        <v>9.1199999999999992</v>
      </c>
      <c r="M11" s="1"/>
      <c r="N11" s="1">
        <v>8</v>
      </c>
      <c r="O11" s="1" t="s">
        <v>43</v>
      </c>
      <c r="P11" s="1"/>
      <c r="Q11" s="1"/>
      <c r="R11" s="1"/>
      <c r="S11" s="1"/>
      <c r="T11" s="1"/>
      <c r="U11" s="1"/>
      <c r="X11" s="1"/>
      <c r="AA11" s="1"/>
      <c r="AC11" s="1"/>
      <c r="AD11" s="1"/>
      <c r="AE11" s="1"/>
    </row>
    <row r="12" spans="1:31" ht="15">
      <c r="A12" s="99" t="s">
        <v>752</v>
      </c>
      <c r="B12" s="102" t="str">
        <f t="shared" si="3"/>
        <v xml:space="preserve">370326        -            X      9.570 </v>
      </c>
      <c r="C12" s="45"/>
      <c r="D12" s="95" t="str">
        <f t="shared" si="0"/>
        <v>0326</v>
      </c>
      <c r="E12" s="96">
        <f t="shared" si="4"/>
        <v>0</v>
      </c>
      <c r="F12" s="97">
        <f t="shared" si="1"/>
        <v>0</v>
      </c>
      <c r="G12" s="98">
        <f t="shared" si="2"/>
        <v>9.57</v>
      </c>
      <c r="H12" s="40"/>
      <c r="I12" s="95" t="str">
        <v>0529</v>
      </c>
      <c r="J12" s="135" t="str">
        <v>my29</v>
      </c>
      <c r="K12" s="98">
        <v>8.86</v>
      </c>
      <c r="L12" s="98">
        <v>8.74</v>
      </c>
      <c r="M12" s="1"/>
      <c r="N12" s="1">
        <v>9</v>
      </c>
      <c r="O12" s="1" t="s">
        <v>44</v>
      </c>
      <c r="P12" s="1"/>
      <c r="Q12" s="1"/>
      <c r="R12" s="1"/>
      <c r="S12" s="1"/>
      <c r="T12" s="1"/>
      <c r="U12" s="1"/>
      <c r="X12" s="1"/>
      <c r="AA12" s="1"/>
      <c r="AC12" s="1"/>
      <c r="AD12" s="1"/>
      <c r="AE12" s="1"/>
    </row>
    <row r="13" spans="1:31" ht="15">
      <c r="A13" s="99" t="s">
        <v>45</v>
      </c>
      <c r="B13" s="102" t="str">
        <f t="shared" si="3"/>
        <v xml:space="preserve">380326        -            X            </v>
      </c>
      <c r="C13" s="45"/>
      <c r="D13" s="95" t="str">
        <f t="shared" si="0"/>
        <v/>
      </c>
      <c r="E13" s="96" t="str">
        <f t="shared" si="4"/>
        <v/>
      </c>
      <c r="F13" s="97" t="str">
        <f t="shared" si="1"/>
        <v/>
      </c>
      <c r="G13" s="98" t="str">
        <f t="shared" si="2"/>
        <v/>
      </c>
      <c r="H13" s="40"/>
      <c r="I13" s="95" t="str">
        <v>0531</v>
      </c>
      <c r="J13" s="135" t="str">
        <v>my31</v>
      </c>
      <c r="K13" s="98">
        <v>8.84</v>
      </c>
      <c r="L13" s="98">
        <v>8.7200000000000006</v>
      </c>
      <c r="M13" s="1"/>
      <c r="N13" s="1">
        <v>10</v>
      </c>
      <c r="O13" s="1" t="s">
        <v>46</v>
      </c>
      <c r="P13" s="1"/>
      <c r="Q13" s="1"/>
      <c r="R13" s="1"/>
      <c r="S13" s="1"/>
      <c r="T13" s="1"/>
      <c r="U13" s="1"/>
      <c r="X13" s="1"/>
      <c r="AA13" s="1"/>
      <c r="AC13" s="1"/>
      <c r="AD13" s="1"/>
      <c r="AE13" s="1"/>
    </row>
    <row r="14" spans="1:31" ht="15">
      <c r="A14" s="99" t="s">
        <v>760</v>
      </c>
      <c r="B14" s="102" t="str">
        <f t="shared" si="3"/>
        <v xml:space="preserve">390926   9.580- 9.460   10 X 10   9.560 </v>
      </c>
      <c r="C14" s="45"/>
      <c r="D14" s="95" t="str">
        <f t="shared" si="0"/>
        <v>0926</v>
      </c>
      <c r="E14" s="96">
        <f t="shared" si="4"/>
        <v>9.58</v>
      </c>
      <c r="F14" s="97">
        <f t="shared" si="1"/>
        <v>9.4600000000000009</v>
      </c>
      <c r="G14" s="98">
        <f t="shared" si="2"/>
        <v>9.56</v>
      </c>
      <c r="H14" s="40"/>
      <c r="I14" s="95" t="str">
        <v>0533</v>
      </c>
      <c r="J14" s="135" t="str">
        <v>my33</v>
      </c>
      <c r="K14" s="98">
        <v>8.82</v>
      </c>
      <c r="L14" s="98">
        <v>8.7200000000000006</v>
      </c>
      <c r="M14" s="1"/>
      <c r="N14" s="1">
        <v>11</v>
      </c>
      <c r="O14" s="1" t="s">
        <v>47</v>
      </c>
      <c r="P14" s="1"/>
      <c r="Q14" s="1"/>
      <c r="R14" s="1"/>
      <c r="S14" s="1"/>
      <c r="T14" s="1"/>
      <c r="U14" s="1"/>
      <c r="X14" s="1"/>
      <c r="AA14" s="1"/>
      <c r="AC14" s="1"/>
      <c r="AD14" s="1"/>
      <c r="AE14" s="1"/>
    </row>
    <row r="15" spans="1:31" ht="15">
      <c r="A15" s="99" t="s">
        <v>321</v>
      </c>
      <c r="B15" s="102" t="str">
        <f t="shared" si="3"/>
        <v xml:space="preserve">400926        -            X            </v>
      </c>
      <c r="C15" s="45"/>
      <c r="D15" s="95" t="str">
        <f t="shared" si="0"/>
        <v/>
      </c>
      <c r="E15" s="96" t="str">
        <f t="shared" si="4"/>
        <v/>
      </c>
      <c r="F15" s="97" t="str">
        <f t="shared" si="1"/>
        <v/>
      </c>
      <c r="G15" s="98" t="str">
        <f t="shared" si="2"/>
        <v/>
      </c>
      <c r="H15" s="40"/>
      <c r="I15" s="95" t="str">
        <v>1134</v>
      </c>
      <c r="J15" s="135" t="str">
        <v>nv34</v>
      </c>
      <c r="K15" s="98">
        <v>8.83</v>
      </c>
      <c r="L15" s="98">
        <v>8.7200000000000006</v>
      </c>
      <c r="M15" s="1"/>
      <c r="N15" s="1">
        <v>12</v>
      </c>
      <c r="O15" s="1" t="s">
        <v>48</v>
      </c>
      <c r="P15" s="1"/>
      <c r="Q15" s="1"/>
      <c r="R15" s="1"/>
      <c r="S15" s="1"/>
      <c r="T15" s="1"/>
      <c r="U15" s="1"/>
      <c r="X15" s="1"/>
      <c r="AA15" s="1"/>
      <c r="AC15" s="1"/>
      <c r="AD15" s="1"/>
      <c r="AE15" s="1"/>
    </row>
    <row r="16" spans="1:31" ht="15">
      <c r="A16" s="99" t="s">
        <v>765</v>
      </c>
      <c r="B16" s="102" t="str">
        <f t="shared" si="3"/>
        <v xml:space="preserve">410327   9.350- 9.230   10 X 10   9.330 </v>
      </c>
      <c r="C16" s="45"/>
      <c r="D16" s="95" t="str">
        <f t="shared" si="0"/>
        <v>0327</v>
      </c>
      <c r="E16" s="96">
        <f t="shared" si="4"/>
        <v>9.35</v>
      </c>
      <c r="F16" s="97">
        <f t="shared" si="1"/>
        <v>9.23</v>
      </c>
      <c r="G16" s="98">
        <f t="shared" si="2"/>
        <v>9.33</v>
      </c>
      <c r="H16" s="40"/>
      <c r="I16" s="95" t="str">
        <v>1136</v>
      </c>
      <c r="J16" s="135" t="str">
        <v>nv36</v>
      </c>
      <c r="K16" s="98">
        <v>8.82</v>
      </c>
      <c r="L16" s="98">
        <v>8.7200000000000006</v>
      </c>
      <c r="M16" s="1"/>
      <c r="N16" s="1"/>
      <c r="O16" s="1"/>
      <c r="P16" s="1"/>
      <c r="Q16" s="1"/>
      <c r="R16" s="1"/>
      <c r="S16" s="1"/>
      <c r="T16" s="1"/>
      <c r="U16" s="1"/>
      <c r="X16" s="1"/>
      <c r="AA16" s="1"/>
      <c r="AC16" s="1"/>
      <c r="AD16" s="1"/>
      <c r="AE16" s="1"/>
    </row>
    <row r="17" spans="1:31" ht="15">
      <c r="A17" s="99" t="s">
        <v>49</v>
      </c>
      <c r="B17" s="102" t="str">
        <f t="shared" si="3"/>
        <v xml:space="preserve">420327        -            X            </v>
      </c>
      <c r="C17" s="45"/>
      <c r="D17" s="95" t="str">
        <f t="shared" si="0"/>
        <v/>
      </c>
      <c r="E17" s="96" t="str">
        <f t="shared" si="4"/>
        <v/>
      </c>
      <c r="F17" s="97" t="str">
        <f t="shared" si="1"/>
        <v/>
      </c>
      <c r="G17" s="98" t="str">
        <f t="shared" si="2"/>
        <v/>
      </c>
      <c r="H17" s="40"/>
      <c r="I17" s="95" t="str">
        <v>1138</v>
      </c>
      <c r="J17" s="135" t="str">
        <v>nv38</v>
      </c>
      <c r="K17" s="98">
        <v>8.91</v>
      </c>
      <c r="L17" s="98">
        <v>8.7899999999999991</v>
      </c>
      <c r="M17" s="1"/>
      <c r="N17" s="1"/>
      <c r="O17" s="1"/>
      <c r="P17" s="1"/>
      <c r="Q17" s="1"/>
      <c r="R17" s="1"/>
      <c r="S17" s="1"/>
      <c r="T17" s="1"/>
      <c r="U17" s="1"/>
      <c r="X17" s="1"/>
      <c r="AA17" s="1"/>
      <c r="AC17" s="1"/>
      <c r="AD17" s="1"/>
      <c r="AE17" s="1"/>
    </row>
    <row r="18" spans="1:31" ht="15">
      <c r="A18" s="99" t="s">
        <v>770</v>
      </c>
      <c r="B18" s="102" t="str">
        <f t="shared" si="3"/>
        <v xml:space="preserve">430627   9.240- 9.120   10 X 10   9.220 </v>
      </c>
      <c r="C18" s="45"/>
      <c r="D18" s="95" t="str">
        <f t="shared" si="0"/>
        <v>0627</v>
      </c>
      <c r="E18" s="96">
        <f t="shared" si="4"/>
        <v>9.24</v>
      </c>
      <c r="F18" s="97">
        <f t="shared" si="1"/>
        <v>9.1199999999999992</v>
      </c>
      <c r="G18" s="98">
        <f t="shared" si="2"/>
        <v>9.2200000000000006</v>
      </c>
      <c r="H18" s="40"/>
      <c r="I18" s="95" t="str">
        <v>1142</v>
      </c>
      <c r="J18" s="135" t="str">
        <v>nv42</v>
      </c>
      <c r="K18" s="98">
        <v>8.93</v>
      </c>
      <c r="L18" s="98">
        <v>8.81</v>
      </c>
      <c r="M18" s="1"/>
      <c r="N18" s="1"/>
      <c r="O18" s="1"/>
      <c r="P18" s="1"/>
      <c r="Q18" s="1"/>
      <c r="R18" s="1"/>
      <c r="S18" s="1"/>
      <c r="T18" s="1"/>
      <c r="U18" s="1"/>
      <c r="X18" s="1"/>
      <c r="AA18" s="1"/>
      <c r="AC18" s="1"/>
      <c r="AD18" s="1"/>
      <c r="AE18" s="1"/>
    </row>
    <row r="19" spans="1:31" ht="15">
      <c r="A19" s="99" t="s">
        <v>50</v>
      </c>
      <c r="B19" s="102" t="str">
        <f t="shared" si="3"/>
        <v xml:space="preserve">440627        -            X            </v>
      </c>
      <c r="C19" s="45"/>
      <c r="D19" s="95" t="str">
        <f t="shared" si="0"/>
        <v/>
      </c>
      <c r="E19" s="96" t="str">
        <f t="shared" si="4"/>
        <v/>
      </c>
      <c r="F19" s="97" t="str">
        <f t="shared" si="1"/>
        <v/>
      </c>
      <c r="G19" s="98" t="str">
        <f t="shared" si="2"/>
        <v/>
      </c>
      <c r="H19" s="40"/>
      <c r="I19" s="95" t="str">
        <v>1147</v>
      </c>
      <c r="J19" s="135" t="str">
        <v>nv47</v>
      </c>
      <c r="K19" s="98">
        <v>8.9</v>
      </c>
      <c r="L19" s="98">
        <v>8.7799999999999994</v>
      </c>
      <c r="M19" s="1"/>
      <c r="N19" s="1"/>
      <c r="O19" s="1"/>
      <c r="P19" s="1"/>
      <c r="Q19" s="1"/>
      <c r="R19" s="1"/>
      <c r="S19" s="1"/>
      <c r="T19" s="1"/>
      <c r="U19" s="1"/>
      <c r="X19" s="1"/>
      <c r="AA19" s="1"/>
      <c r="AC19" s="1"/>
      <c r="AD19" s="1"/>
      <c r="AE19" s="1"/>
    </row>
    <row r="20" spans="1:31" ht="15">
      <c r="A20" s="99" t="s">
        <v>775</v>
      </c>
      <c r="B20" s="102" t="str">
        <f t="shared" si="3"/>
        <v xml:space="preserve">450529   8.860- 8.740   10 X 10   8.840 </v>
      </c>
      <c r="C20" s="45"/>
      <c r="D20" s="95" t="str">
        <f t="shared" si="0"/>
        <v>0529</v>
      </c>
      <c r="E20" s="96">
        <f t="shared" si="4"/>
        <v>8.86</v>
      </c>
      <c r="F20" s="97">
        <f t="shared" si="1"/>
        <v>8.74</v>
      </c>
      <c r="G20" s="98">
        <f t="shared" si="2"/>
        <v>8.84</v>
      </c>
      <c r="H20" s="40"/>
      <c r="I20" s="95" t="str">
        <v>0753</v>
      </c>
      <c r="J20" s="135" t="str">
        <v>jl53</v>
      </c>
      <c r="K20" s="98">
        <v>8.93</v>
      </c>
      <c r="L20" s="98">
        <v>8.81</v>
      </c>
      <c r="M20" s="1"/>
      <c r="N20" s="1"/>
      <c r="O20" s="1"/>
      <c r="P20" s="1"/>
      <c r="Q20" s="1"/>
      <c r="R20" s="1"/>
      <c r="S20" s="1"/>
      <c r="T20" s="1"/>
      <c r="U20" s="1"/>
      <c r="X20" s="1"/>
      <c r="AA20" s="1"/>
      <c r="AC20" s="1"/>
      <c r="AD20" s="1"/>
      <c r="AE20" s="1"/>
    </row>
    <row r="21" spans="1:31" ht="15">
      <c r="A21" s="99" t="s">
        <v>502</v>
      </c>
      <c r="B21" s="102" t="str">
        <f t="shared" si="3"/>
        <v xml:space="preserve">460529        -            X            </v>
      </c>
      <c r="C21" s="45"/>
      <c r="D21" s="95" t="str">
        <f t="shared" si="0"/>
        <v/>
      </c>
      <c r="E21" s="96" t="str">
        <f t="shared" si="4"/>
        <v/>
      </c>
      <c r="F21" s="97" t="str">
        <f t="shared" si="1"/>
        <v/>
      </c>
      <c r="G21" s="98" t="str">
        <f t="shared" si="2"/>
        <v/>
      </c>
      <c r="H21" s="40"/>
      <c r="I21" s="95" t="str">
        <v>0535</v>
      </c>
      <c r="J21" s="135" t="str">
        <v>my35</v>
      </c>
      <c r="K21" s="97" t="str">
        <v/>
      </c>
      <c r="L21" s="98" t="str">
        <v/>
      </c>
      <c r="M21" s="1"/>
      <c r="N21" s="1"/>
      <c r="O21" s="1"/>
      <c r="P21" s="1"/>
      <c r="Q21" s="1"/>
      <c r="R21" s="1"/>
      <c r="S21" s="1"/>
      <c r="T21" s="1"/>
      <c r="U21" s="1"/>
      <c r="X21" s="1"/>
      <c r="AA21" s="1"/>
      <c r="AC21" s="1"/>
      <c r="AD21" s="1"/>
      <c r="AE21" s="1"/>
    </row>
    <row r="22" spans="1:31" ht="15">
      <c r="A22" s="99" t="s">
        <v>777</v>
      </c>
      <c r="B22" s="102" t="str">
        <f t="shared" si="3"/>
        <v xml:space="preserve">470531   8.840- 8.720   10 X 10   8.820 </v>
      </c>
      <c r="C22" s="45"/>
      <c r="D22" s="95" t="str">
        <f t="shared" si="0"/>
        <v>0531</v>
      </c>
      <c r="E22" s="96">
        <f t="shared" si="4"/>
        <v>8.84</v>
      </c>
      <c r="F22" s="97">
        <f t="shared" si="1"/>
        <v>8.7200000000000006</v>
      </c>
      <c r="G22" s="98">
        <f t="shared" si="2"/>
        <v>8.82</v>
      </c>
      <c r="H22" s="40"/>
      <c r="I22" s="95" t="str">
        <v xml:space="preserve">    </v>
      </c>
      <c r="J22" s="135" t="str">
        <v/>
      </c>
      <c r="K22" s="97" t="str">
        <v/>
      </c>
      <c r="L22" s="98" t="str">
        <v/>
      </c>
      <c r="M22" s="1"/>
      <c r="N22" s="1"/>
      <c r="O22" s="1"/>
      <c r="P22" s="1"/>
      <c r="Q22" s="1"/>
      <c r="R22" s="1"/>
      <c r="S22" s="1"/>
      <c r="T22" s="1"/>
      <c r="U22" s="1"/>
      <c r="X22" s="1"/>
      <c r="AA22" s="1"/>
      <c r="AC22" s="1"/>
      <c r="AD22" s="1"/>
      <c r="AE22" s="1"/>
    </row>
    <row r="23" spans="1:31" ht="15">
      <c r="A23" s="99" t="s">
        <v>51</v>
      </c>
      <c r="B23" s="102" t="str">
        <f t="shared" si="3"/>
        <v xml:space="preserve">480531        -            X            </v>
      </c>
      <c r="C23" s="45"/>
      <c r="D23" s="95" t="str">
        <f t="shared" si="0"/>
        <v/>
      </c>
      <c r="E23" s="96" t="str">
        <f t="shared" si="4"/>
        <v/>
      </c>
      <c r="F23" s="97" t="str">
        <f t="shared" si="1"/>
        <v/>
      </c>
      <c r="G23" s="98" t="str">
        <f t="shared" si="2"/>
        <v/>
      </c>
      <c r="H23" s="40"/>
      <c r="I23" s="95" t="str">
        <v xml:space="preserve">    </v>
      </c>
      <c r="J23" s="135" t="str">
        <v/>
      </c>
      <c r="K23" s="97" t="str">
        <v/>
      </c>
      <c r="L23" s="98" t="str">
        <v/>
      </c>
      <c r="M23" s="1"/>
      <c r="N23" s="1"/>
      <c r="O23" s="1"/>
      <c r="P23" s="1"/>
      <c r="Q23" s="1"/>
      <c r="R23" s="1"/>
      <c r="S23" s="1"/>
      <c r="T23" s="1"/>
      <c r="U23" s="1"/>
      <c r="X23" s="1"/>
      <c r="AA23" s="1"/>
      <c r="AC23" s="1"/>
      <c r="AD23" s="1"/>
      <c r="AE23" s="1"/>
    </row>
    <row r="24" spans="1:31" ht="15">
      <c r="A24" s="99" t="s">
        <v>807</v>
      </c>
      <c r="B24" s="102" t="str">
        <f t="shared" si="3"/>
        <v xml:space="preserve">490533   8.820- 8.720   10 X 10   8.820 </v>
      </c>
      <c r="C24" s="45"/>
      <c r="D24" s="95" t="str">
        <f t="shared" si="0"/>
        <v>0533</v>
      </c>
      <c r="E24" s="96">
        <f t="shared" si="4"/>
        <v>8.82</v>
      </c>
      <c r="F24" s="97">
        <f t="shared" si="1"/>
        <v>8.7200000000000006</v>
      </c>
      <c r="G24" s="98">
        <f t="shared" si="2"/>
        <v>8.82</v>
      </c>
      <c r="H24" s="40"/>
      <c r="I24" s="95" t="str">
        <v xml:space="preserve">    </v>
      </c>
      <c r="J24" s="135" t="str">
        <v/>
      </c>
      <c r="K24" s="97" t="str">
        <v/>
      </c>
      <c r="L24" s="98" t="str">
        <v/>
      </c>
      <c r="M24" s="1"/>
      <c r="N24" s="1"/>
      <c r="O24" s="1"/>
      <c r="P24" s="1"/>
      <c r="Q24" s="1"/>
      <c r="R24" s="1"/>
      <c r="S24" s="1"/>
      <c r="T24" s="1"/>
      <c r="U24" s="1"/>
      <c r="X24" s="1"/>
      <c r="AA24" s="1"/>
      <c r="AC24" s="1"/>
      <c r="AD24" s="1"/>
      <c r="AE24" s="1"/>
    </row>
    <row r="25" spans="1:31" ht="15">
      <c r="A25" s="99" t="s">
        <v>318</v>
      </c>
      <c r="B25" s="102" t="str">
        <f t="shared" si="3"/>
        <v xml:space="preserve">500533        -            X            </v>
      </c>
      <c r="C25" s="1"/>
      <c r="D25" s="95" t="str">
        <f t="shared" si="0"/>
        <v/>
      </c>
      <c r="E25" s="96" t="str">
        <f t="shared" si="4"/>
        <v/>
      </c>
      <c r="F25" s="97" t="str">
        <f t="shared" si="1"/>
        <v/>
      </c>
      <c r="G25" s="98" t="str">
        <f t="shared" si="2"/>
        <v/>
      </c>
      <c r="H25" s="40"/>
      <c r="I25" s="42" t="str">
        <v xml:space="preserve">    </v>
      </c>
      <c r="J25" s="135" t="str">
        <v/>
      </c>
      <c r="K25" s="42" t="str">
        <v/>
      </c>
      <c r="L25" s="42" t="str">
        <v/>
      </c>
      <c r="M25" s="42"/>
      <c r="N25" s="1"/>
      <c r="O25" s="1"/>
      <c r="P25" s="1"/>
      <c r="Q25" s="1"/>
      <c r="R25" s="1"/>
      <c r="S25" s="1"/>
      <c r="T25" s="1"/>
      <c r="U25" s="1"/>
      <c r="X25" s="1"/>
      <c r="AA25" s="1"/>
      <c r="AC25" s="1"/>
      <c r="AD25" s="1"/>
      <c r="AE25" s="1"/>
    </row>
    <row r="26" spans="1:31" ht="15">
      <c r="A26" s="99" t="s">
        <v>52</v>
      </c>
      <c r="B26" s="102" t="str">
        <f>+MID(A4,$B$2+1,$C$2-$B$2-1)</f>
        <v>511134   8.830- 8.720   10 X 10   8.820</v>
      </c>
      <c r="C26" s="1"/>
      <c r="D26" s="95" t="str">
        <f t="shared" si="0"/>
        <v>1134</v>
      </c>
      <c r="E26" s="96">
        <f t="shared" si="4"/>
        <v>8.83</v>
      </c>
      <c r="F26" s="97">
        <f t="shared" si="1"/>
        <v>8.7200000000000006</v>
      </c>
      <c r="G26" s="98">
        <f t="shared" si="2"/>
        <v>8.82</v>
      </c>
      <c r="H26" s="40"/>
      <c r="I26" s="42"/>
      <c r="J26" s="42"/>
      <c r="K26" s="42"/>
      <c r="L26" s="42"/>
      <c r="M26" s="42"/>
      <c r="N26" s="1"/>
      <c r="O26" s="1"/>
      <c r="P26" s="1"/>
      <c r="Q26" s="1"/>
      <c r="R26" s="1"/>
      <c r="S26" s="1"/>
      <c r="T26" s="1"/>
      <c r="U26" s="1"/>
      <c r="X26" s="1"/>
      <c r="AA26" s="1"/>
      <c r="AC26" s="1"/>
      <c r="AD26" s="1"/>
      <c r="AE26" s="1"/>
    </row>
    <row r="27" spans="1:31" ht="15">
      <c r="A27" s="99" t="s">
        <v>52</v>
      </c>
      <c r="B27" s="102" t="str">
        <f t="shared" ref="B27:B28" si="5">+MID(A5,$B$2+1,$C$2-$B$2-1)</f>
        <v xml:space="preserve">521134        -            X           </v>
      </c>
      <c r="C27" s="1"/>
      <c r="D27" s="95" t="str">
        <f t="shared" si="0"/>
        <v/>
      </c>
      <c r="E27" s="96" t="str">
        <f t="shared" si="4"/>
        <v/>
      </c>
      <c r="F27" s="97" t="str">
        <f t="shared" si="1"/>
        <v/>
      </c>
      <c r="G27" s="98" t="str">
        <f t="shared" si="2"/>
        <v/>
      </c>
      <c r="H27" s="40"/>
      <c r="I27" s="42"/>
      <c r="J27" s="42"/>
      <c r="K27" s="42"/>
      <c r="L27" s="42"/>
      <c r="M27" s="42"/>
      <c r="N27" s="1"/>
      <c r="O27" s="1"/>
      <c r="P27" s="1"/>
      <c r="Q27" s="1"/>
      <c r="R27" s="1"/>
      <c r="S27" s="1"/>
      <c r="T27" s="1"/>
      <c r="U27" s="1"/>
      <c r="X27" s="1"/>
      <c r="AA27" s="1"/>
      <c r="AC27" s="1"/>
      <c r="AD27" s="1"/>
      <c r="AE27" s="1"/>
    </row>
    <row r="28" spans="1:31" ht="15">
      <c r="A28" s="99"/>
      <c r="B28" s="102" t="str">
        <f t="shared" si="5"/>
        <v>531136   8.820- 8.720   10 X 10   8.820</v>
      </c>
      <c r="C28" s="1"/>
      <c r="D28" s="95" t="str">
        <f t="shared" si="0"/>
        <v>1136</v>
      </c>
      <c r="E28" s="96">
        <f t="shared" si="4"/>
        <v>8.82</v>
      </c>
      <c r="F28" s="97">
        <f t="shared" si="1"/>
        <v>8.7200000000000006</v>
      </c>
      <c r="G28" s="98">
        <f t="shared" si="2"/>
        <v>8.82</v>
      </c>
      <c r="H28" s="40"/>
      <c r="I28" s="42"/>
      <c r="J28" s="42"/>
      <c r="K28" s="42"/>
      <c r="L28" s="42"/>
      <c r="M28" s="42"/>
      <c r="N28" s="1"/>
      <c r="O28" s="1"/>
      <c r="P28" s="1"/>
      <c r="Q28" s="1"/>
      <c r="R28" s="1"/>
      <c r="S28" s="1"/>
      <c r="T28" s="1"/>
      <c r="U28" s="1"/>
      <c r="X28" s="1"/>
      <c r="AA28" s="1"/>
      <c r="AC28" s="1"/>
      <c r="AD28" s="1"/>
      <c r="AE28" s="1"/>
    </row>
    <row r="29" spans="1:31" ht="15">
      <c r="A29" s="99"/>
      <c r="B29" s="102" t="str">
        <f t="shared" ref="B29:B38" si="6">+MID(A7,$B$2+1,$C$2-$B$2-1)</f>
        <v xml:space="preserve">541136        -            X           </v>
      </c>
      <c r="C29" s="1"/>
      <c r="D29" s="95" t="str">
        <f t="shared" si="0"/>
        <v/>
      </c>
      <c r="E29" s="96" t="str">
        <f t="shared" si="4"/>
        <v/>
      </c>
      <c r="F29" s="97" t="str">
        <f t="shared" si="1"/>
        <v/>
      </c>
      <c r="G29" s="98" t="str">
        <f t="shared" si="2"/>
        <v/>
      </c>
      <c r="H29" s="40"/>
      <c r="I29" s="42"/>
      <c r="J29" s="42"/>
      <c r="K29" s="42"/>
      <c r="L29" s="42"/>
      <c r="M29" s="42"/>
      <c r="N29" s="1"/>
      <c r="O29" s="1"/>
      <c r="P29" s="1"/>
      <c r="Q29" s="1"/>
      <c r="R29" s="1"/>
      <c r="S29" s="1"/>
      <c r="T29" s="1"/>
      <c r="U29" s="1"/>
      <c r="X29" s="1"/>
      <c r="AA29" s="1"/>
      <c r="AC29" s="1"/>
      <c r="AD29" s="1"/>
      <c r="AE29" s="1"/>
    </row>
    <row r="30" spans="1:31" ht="15">
      <c r="A30" s="99"/>
      <c r="B30" s="102" t="str">
        <f t="shared" si="6"/>
        <v>551138   8.910- 8.790   10 X 10   8.890</v>
      </c>
      <c r="C30" s="1"/>
      <c r="D30" s="95" t="str">
        <f t="shared" si="0"/>
        <v>1138</v>
      </c>
      <c r="E30" s="96">
        <f t="shared" si="4"/>
        <v>8.91</v>
      </c>
      <c r="F30" s="97">
        <f t="shared" si="1"/>
        <v>8.7899999999999991</v>
      </c>
      <c r="G30" s="98">
        <f t="shared" si="2"/>
        <v>8.89</v>
      </c>
      <c r="H30" s="40"/>
      <c r="I30" s="42"/>
      <c r="J30" s="42"/>
      <c r="K30" s="42"/>
      <c r="L30" s="42"/>
      <c r="M30" s="42"/>
      <c r="N30" s="1"/>
      <c r="O30" s="1"/>
      <c r="P30" s="1"/>
      <c r="Q30" s="1"/>
      <c r="R30" s="1"/>
      <c r="S30" s="1"/>
      <c r="T30" s="1"/>
      <c r="U30" s="1"/>
      <c r="X30" s="1"/>
      <c r="AA30" s="1"/>
      <c r="AC30" s="1"/>
      <c r="AD30" s="1"/>
      <c r="AE30" s="1"/>
    </row>
    <row r="31" spans="1:31" ht="15">
      <c r="A31" s="99"/>
      <c r="B31" s="102" t="str">
        <f t="shared" si="6"/>
        <v xml:space="preserve">561138        -            X           </v>
      </c>
      <c r="C31" s="1"/>
      <c r="D31" s="95" t="str">
        <f t="shared" si="0"/>
        <v/>
      </c>
      <c r="E31" s="96" t="str">
        <f t="shared" si="4"/>
        <v/>
      </c>
      <c r="F31" s="97" t="str">
        <f t="shared" si="1"/>
        <v/>
      </c>
      <c r="G31" s="98" t="str">
        <f t="shared" si="2"/>
        <v/>
      </c>
      <c r="H31" s="40"/>
      <c r="I31" s="42"/>
      <c r="J31" s="42"/>
      <c r="K31" s="42"/>
      <c r="L31" s="42"/>
      <c r="M31" s="42"/>
      <c r="N31" s="1"/>
      <c r="O31" s="1"/>
      <c r="P31" s="1"/>
      <c r="Q31" s="1"/>
      <c r="R31" s="1"/>
      <c r="S31" s="1"/>
      <c r="T31" s="1"/>
      <c r="U31" s="1"/>
      <c r="X31" s="1"/>
      <c r="AA31" s="1"/>
      <c r="AC31" s="1"/>
      <c r="AD31" s="1"/>
      <c r="AE31" s="1"/>
    </row>
    <row r="32" spans="1:31" ht="15">
      <c r="A32" s="99"/>
      <c r="B32" s="102" t="str">
        <f t="shared" si="6"/>
        <v>571142   8.930- 8.810   10 X 10   8.910</v>
      </c>
      <c r="C32" s="1"/>
      <c r="D32" s="95" t="str">
        <f t="shared" si="0"/>
        <v>1142</v>
      </c>
      <c r="E32" s="96">
        <f t="shared" si="4"/>
        <v>8.93</v>
      </c>
      <c r="F32" s="97">
        <f t="shared" si="1"/>
        <v>8.81</v>
      </c>
      <c r="G32" s="98">
        <f t="shared" si="2"/>
        <v>8.91</v>
      </c>
      <c r="H32" s="40"/>
      <c r="I32" s="42"/>
      <c r="J32" s="42"/>
      <c r="K32" s="42"/>
      <c r="L32" s="42"/>
      <c r="M32" s="42"/>
      <c r="N32" s="1"/>
      <c r="O32" s="1"/>
      <c r="P32" s="1"/>
      <c r="Q32" s="1"/>
      <c r="R32" s="1"/>
      <c r="S32" s="1"/>
      <c r="T32" s="1"/>
      <c r="U32" s="1"/>
      <c r="X32" s="1"/>
      <c r="AA32" s="1"/>
      <c r="AC32" s="1"/>
      <c r="AD32" s="1"/>
      <c r="AE32" s="1"/>
    </row>
    <row r="33" spans="1:31" ht="15">
      <c r="A33" s="99"/>
      <c r="B33" s="102" t="str">
        <f t="shared" si="6"/>
        <v xml:space="preserve">581142        -            X           </v>
      </c>
      <c r="C33" s="1"/>
      <c r="D33" s="95" t="str">
        <f t="shared" si="0"/>
        <v/>
      </c>
      <c r="E33" s="96" t="str">
        <f t="shared" si="4"/>
        <v/>
      </c>
      <c r="F33" s="97" t="str">
        <f t="shared" si="1"/>
        <v/>
      </c>
      <c r="G33" s="98" t="str">
        <f t="shared" si="2"/>
        <v/>
      </c>
      <c r="H33" s="40"/>
      <c r="I33" s="42"/>
      <c r="J33" s="42"/>
      <c r="K33" s="42"/>
      <c r="L33" s="42"/>
      <c r="M33" s="42"/>
      <c r="N33" s="1"/>
      <c r="O33" s="1"/>
      <c r="P33" s="1"/>
      <c r="Q33" s="1"/>
      <c r="R33" s="1"/>
      <c r="S33" s="1"/>
      <c r="T33" s="1"/>
      <c r="U33" s="1"/>
      <c r="X33" s="1"/>
      <c r="AA33" s="1"/>
      <c r="AC33" s="1"/>
      <c r="AD33" s="1"/>
      <c r="AE33" s="1"/>
    </row>
    <row r="34" spans="1:31" ht="15">
      <c r="A34" s="99"/>
      <c r="B34" s="102" t="str">
        <f t="shared" si="6"/>
        <v>591147   8.900- 8.780   10 X 10   8.880</v>
      </c>
      <c r="C34" s="1"/>
      <c r="D34" s="95" t="str">
        <f t="shared" si="0"/>
        <v>1147</v>
      </c>
      <c r="E34" s="96">
        <f t="shared" si="4"/>
        <v>8.9</v>
      </c>
      <c r="F34" s="97">
        <f t="shared" si="1"/>
        <v>8.7799999999999994</v>
      </c>
      <c r="G34" s="98">
        <f t="shared" si="2"/>
        <v>8.8800000000000008</v>
      </c>
      <c r="H34" s="40"/>
      <c r="I34" s="42"/>
      <c r="J34" s="42"/>
      <c r="K34" s="42"/>
      <c r="L34" s="42"/>
      <c r="M34" s="42"/>
      <c r="N34" s="1"/>
      <c r="O34" s="1"/>
      <c r="P34" s="1"/>
      <c r="Q34" s="1"/>
      <c r="R34" s="1"/>
      <c r="S34" s="1"/>
      <c r="T34" s="1"/>
      <c r="U34" s="1"/>
      <c r="X34" s="1"/>
      <c r="AA34" s="1"/>
      <c r="AC34" s="1"/>
      <c r="AD34" s="1"/>
      <c r="AE34" s="1"/>
    </row>
    <row r="35" spans="1:31" ht="15">
      <c r="A35" s="99"/>
      <c r="B35" s="102" t="str">
        <f t="shared" si="6"/>
        <v xml:space="preserve">601147        -            X           </v>
      </c>
      <c r="C35" s="1"/>
      <c r="D35" s="95" t="str">
        <f t="shared" si="0"/>
        <v/>
      </c>
      <c r="E35" s="96" t="str">
        <f t="shared" si="4"/>
        <v/>
      </c>
      <c r="F35" s="97" t="str">
        <f t="shared" si="1"/>
        <v/>
      </c>
      <c r="G35" s="98" t="str">
        <f t="shared" si="2"/>
        <v/>
      </c>
      <c r="H35" s="40"/>
      <c r="I35" s="42"/>
      <c r="J35" s="42"/>
      <c r="K35" s="42"/>
      <c r="L35" s="42"/>
      <c r="M35" s="42"/>
      <c r="N35" s="1"/>
      <c r="O35" s="1"/>
      <c r="P35" s="1"/>
      <c r="Q35" s="1"/>
      <c r="R35" s="1"/>
      <c r="S35" s="1"/>
      <c r="T35" s="1"/>
      <c r="U35" s="1"/>
      <c r="X35" s="1"/>
      <c r="AA35" s="1"/>
      <c r="AC35" s="1"/>
      <c r="AD35" s="1"/>
      <c r="AE35" s="1"/>
    </row>
    <row r="36" spans="1:31" ht="15">
      <c r="A36" s="99"/>
      <c r="B36" s="102" t="str">
        <f t="shared" si="6"/>
        <v>610753   8.930- 8.810   10 X 10   8.910</v>
      </c>
      <c r="C36" s="1"/>
      <c r="D36" s="95" t="str">
        <f t="shared" si="0"/>
        <v>0753</v>
      </c>
      <c r="E36" s="96">
        <f t="shared" si="4"/>
        <v>8.93</v>
      </c>
      <c r="F36" s="97">
        <f t="shared" si="1"/>
        <v>8.81</v>
      </c>
      <c r="G36" s="98">
        <f t="shared" si="2"/>
        <v>8.91</v>
      </c>
      <c r="H36" s="40"/>
      <c r="I36" s="42"/>
      <c r="J36" s="42"/>
      <c r="K36" s="42"/>
      <c r="L36" s="42"/>
      <c r="M36" s="42"/>
      <c r="N36" s="1"/>
      <c r="O36" s="1"/>
      <c r="P36" s="1"/>
      <c r="Q36" s="1"/>
      <c r="R36" s="1"/>
      <c r="S36" s="1"/>
      <c r="T36" s="1"/>
      <c r="U36" s="1"/>
      <c r="X36" s="1"/>
      <c r="AA36" s="1"/>
      <c r="AC36" s="1"/>
      <c r="AD36" s="1"/>
      <c r="AE36" s="1"/>
    </row>
    <row r="37" spans="1:31" ht="15">
      <c r="A37" s="99"/>
      <c r="B37" s="102" t="str">
        <f t="shared" si="6"/>
        <v xml:space="preserve">620753        -            X           </v>
      </c>
      <c r="C37" s="1"/>
      <c r="D37" s="95" t="str">
        <f t="shared" si="0"/>
        <v/>
      </c>
      <c r="E37" s="96" t="str">
        <f t="shared" si="4"/>
        <v/>
      </c>
      <c r="F37" s="97" t="str">
        <f t="shared" si="1"/>
        <v/>
      </c>
      <c r="G37" s="98" t="str">
        <f t="shared" si="2"/>
        <v/>
      </c>
      <c r="H37" s="40"/>
      <c r="I37" s="42"/>
      <c r="J37" s="42"/>
      <c r="K37" s="42"/>
      <c r="L37" s="42"/>
      <c r="M37" s="42"/>
      <c r="N37" s="1"/>
      <c r="O37" s="1"/>
      <c r="P37" s="1"/>
      <c r="Q37" s="1"/>
      <c r="R37" s="1"/>
      <c r="S37" s="1"/>
      <c r="T37" s="1"/>
      <c r="U37" s="1"/>
      <c r="X37" s="1"/>
      <c r="AA37" s="1"/>
      <c r="AC37" s="1"/>
      <c r="AD37" s="1"/>
      <c r="AE37" s="1"/>
    </row>
    <row r="38" spans="1:31" ht="15">
      <c r="A38" s="99"/>
      <c r="B38" s="102" t="str">
        <f t="shared" si="6"/>
        <v>3850535        -            X     8.850</v>
      </c>
      <c r="C38" s="1"/>
      <c r="D38" s="95" t="str">
        <f>IF(D37="",MID(B38,FIND("-",B38)-12,4),"")</f>
        <v>0535</v>
      </c>
      <c r="E38" s="96">
        <f>+IF(_xlfn.NUMBERVALUE(D38)&gt;0,_xlfn.NUMBERVALUE(MID(B38,$E$2,FIND("-",B38)-$E$2)),"")</f>
        <v>0</v>
      </c>
      <c r="F38" s="97">
        <f t="shared" si="1"/>
        <v>0</v>
      </c>
      <c r="G38" s="98">
        <f t="shared" si="2"/>
        <v>8.85</v>
      </c>
      <c r="H38" s="40"/>
      <c r="I38" s="42"/>
      <c r="J38" s="42"/>
      <c r="K38" s="42"/>
      <c r="L38" s="42"/>
      <c r="M38" s="42"/>
      <c r="N38" s="1"/>
      <c r="O38" s="1"/>
      <c r="P38" s="1"/>
      <c r="Q38" s="1"/>
      <c r="R38" s="1"/>
      <c r="S38" s="1"/>
      <c r="T38" s="1"/>
      <c r="U38" s="1"/>
      <c r="X38" s="1"/>
      <c r="AA38" s="1"/>
      <c r="AC38" s="1"/>
      <c r="AD38" s="1"/>
      <c r="AE38" s="1"/>
    </row>
    <row r="39" spans="1:31" ht="15">
      <c r="A39" s="99"/>
      <c r="B39" s="102" t="str">
        <f t="shared" ref="B39" si="7">+MID(A17,$B$2+1,$C$2-$B$2-1)</f>
        <v xml:space="preserve">                                       </v>
      </c>
      <c r="C39" s="1"/>
      <c r="D39" s="95" t="str">
        <f t="shared" ref="D39:D43" si="8">+IF(TRIM(MID(B39,$D$2,4))=D38,"",MID(B39,$D$2,4))</f>
        <v xml:space="preserve">    </v>
      </c>
      <c r="E39" s="96" t="str">
        <f t="shared" si="4"/>
        <v/>
      </c>
      <c r="F39" s="97" t="str">
        <f t="shared" si="1"/>
        <v/>
      </c>
      <c r="G39" s="98" t="str">
        <f t="shared" si="2"/>
        <v/>
      </c>
      <c r="H39" s="40"/>
      <c r="I39" s="42"/>
      <c r="J39" s="42"/>
      <c r="K39" s="42"/>
      <c r="L39" s="42"/>
      <c r="M39" s="42"/>
      <c r="N39" s="1"/>
      <c r="O39" s="1"/>
      <c r="P39" s="1"/>
      <c r="Q39" s="1"/>
      <c r="R39" s="1"/>
      <c r="S39" s="1"/>
      <c r="T39" s="1"/>
      <c r="U39" s="1"/>
      <c r="X39" s="1"/>
      <c r="AA39" s="1"/>
      <c r="AC39" s="1"/>
      <c r="AD39" s="1"/>
      <c r="AE39" s="1"/>
    </row>
    <row r="40" spans="1:31" ht="15">
      <c r="A40" s="99"/>
      <c r="B40" s="102" t="str">
        <f>+MID(A18,$B$2+1,$C$2-$B$2-1)</f>
        <v xml:space="preserve">                                       </v>
      </c>
      <c r="C40" s="1"/>
      <c r="D40" s="95" t="str">
        <f t="shared" si="8"/>
        <v xml:space="preserve">    </v>
      </c>
      <c r="E40" s="96" t="str">
        <f t="shared" si="4"/>
        <v/>
      </c>
      <c r="F40" s="97" t="str">
        <f t="shared" si="1"/>
        <v/>
      </c>
      <c r="G40" s="98" t="str">
        <f t="shared" si="2"/>
        <v/>
      </c>
      <c r="H40" s="40"/>
      <c r="I40" s="42"/>
      <c r="J40" s="42"/>
      <c r="K40" s="42"/>
      <c r="L40" s="42"/>
      <c r="M40" s="42"/>
      <c r="N40" s="1"/>
      <c r="O40" s="1"/>
      <c r="P40" s="1"/>
      <c r="Q40" s="1"/>
      <c r="R40" s="1"/>
      <c r="S40" s="1"/>
      <c r="T40" s="1"/>
      <c r="U40" s="1"/>
      <c r="X40" s="1"/>
      <c r="AA40" s="1"/>
      <c r="AC40" s="1"/>
      <c r="AD40" s="1"/>
      <c r="AE40" s="1"/>
    </row>
    <row r="41" spans="1:31" ht="15">
      <c r="A41" s="99"/>
      <c r="B41" s="102" t="str">
        <f t="shared" ref="B41:B45" si="9">+MID(A19,$B$2+1,$C$2-$B$2-1)</f>
        <v xml:space="preserve">                                       </v>
      </c>
      <c r="C41" s="1"/>
      <c r="D41" s="95" t="str">
        <f t="shared" si="8"/>
        <v xml:space="preserve">    </v>
      </c>
      <c r="E41" s="96" t="str">
        <f t="shared" si="4"/>
        <v/>
      </c>
      <c r="F41" s="97" t="str">
        <f t="shared" si="1"/>
        <v/>
      </c>
      <c r="G41" s="98" t="str">
        <f t="shared" si="2"/>
        <v/>
      </c>
      <c r="H41" s="40"/>
      <c r="I41" s="42"/>
      <c r="J41" s="42"/>
      <c r="K41" s="42"/>
      <c r="L41" s="42"/>
      <c r="M41" s="42"/>
      <c r="N41" s="1"/>
      <c r="O41" s="1"/>
      <c r="P41" s="1"/>
      <c r="Q41" s="1"/>
      <c r="R41" s="1"/>
      <c r="S41" s="1"/>
      <c r="T41" s="1"/>
      <c r="U41" s="1"/>
      <c r="X41" s="1"/>
      <c r="AA41" s="1"/>
      <c r="AC41" s="1"/>
      <c r="AD41" s="1"/>
      <c r="AE41" s="1"/>
    </row>
    <row r="42" spans="1:31" ht="15">
      <c r="A42" s="99"/>
      <c r="B42" s="102" t="str">
        <f t="shared" si="9"/>
        <v xml:space="preserve">                                       </v>
      </c>
      <c r="C42" s="1"/>
      <c r="D42" s="95" t="str">
        <f t="shared" si="8"/>
        <v xml:space="preserve">    </v>
      </c>
      <c r="E42" s="96" t="str">
        <f t="shared" si="4"/>
        <v/>
      </c>
      <c r="F42" s="97" t="str">
        <f t="shared" si="1"/>
        <v/>
      </c>
      <c r="G42" s="98" t="str">
        <f t="shared" si="2"/>
        <v/>
      </c>
      <c r="H42" s="40"/>
      <c r="I42" s="42"/>
      <c r="J42" s="42"/>
      <c r="K42" s="42"/>
      <c r="L42" s="42"/>
      <c r="M42" s="42"/>
      <c r="N42" s="1"/>
      <c r="O42" s="1"/>
      <c r="P42" s="1"/>
      <c r="Q42" s="1"/>
      <c r="R42" s="1"/>
      <c r="S42" s="1"/>
      <c r="T42" s="1"/>
      <c r="U42" s="1"/>
      <c r="X42" s="1"/>
      <c r="AA42" s="1"/>
      <c r="AC42" s="1"/>
      <c r="AD42" s="1"/>
      <c r="AE42" s="1"/>
    </row>
    <row r="43" spans="1:31" ht="15">
      <c r="A43" s="99"/>
      <c r="B43" s="102" t="str">
        <f t="shared" si="9"/>
        <v xml:space="preserve">                                       </v>
      </c>
      <c r="C43" s="1"/>
      <c r="D43" s="95" t="str">
        <f t="shared" si="8"/>
        <v xml:space="preserve">    </v>
      </c>
      <c r="E43" s="96" t="str">
        <f t="shared" si="4"/>
        <v/>
      </c>
      <c r="F43" s="97" t="str">
        <f t="shared" si="1"/>
        <v/>
      </c>
      <c r="G43" s="98" t="str">
        <f t="shared" si="2"/>
        <v/>
      </c>
      <c r="H43" s="40"/>
      <c r="I43" s="42"/>
      <c r="J43" s="42"/>
      <c r="K43" s="42"/>
      <c r="L43" s="42"/>
      <c r="M43" s="42"/>
      <c r="N43" s="1"/>
      <c r="O43" s="1"/>
      <c r="P43" s="1"/>
      <c r="Q43" s="1"/>
      <c r="R43" s="1"/>
      <c r="S43" s="1"/>
      <c r="T43" s="1"/>
      <c r="U43" s="1"/>
      <c r="X43" s="1"/>
      <c r="AA43" s="1"/>
      <c r="AC43" s="1"/>
      <c r="AD43" s="1"/>
      <c r="AE43" s="1"/>
    </row>
    <row r="44" spans="1:31" ht="15">
      <c r="A44" s="1" t="s">
        <v>52</v>
      </c>
      <c r="B44" s="102" t="str">
        <f t="shared" si="9"/>
        <v xml:space="preserve">                                       </v>
      </c>
      <c r="C44" s="1"/>
      <c r="D44" s="95" t="str">
        <f t="shared" ref="D44:D46" si="10">+IF(MID(B44,$D$2,4)=D43,"",MID(B44,$D$2,4))</f>
        <v/>
      </c>
      <c r="E44" s="96" t="str">
        <f t="shared" si="4"/>
        <v/>
      </c>
      <c r="F44" s="97" t="str">
        <f t="shared" si="1"/>
        <v/>
      </c>
      <c r="G44" s="98" t="str">
        <f t="shared" si="2"/>
        <v/>
      </c>
      <c r="H44" s="1"/>
      <c r="I44" s="42"/>
      <c r="J44" s="44"/>
      <c r="K44" s="45"/>
      <c r="L44" s="1"/>
      <c r="M44" s="1"/>
      <c r="N44" s="1"/>
      <c r="O44" s="1"/>
      <c r="P44" s="1"/>
      <c r="Q44" s="1"/>
      <c r="R44" s="1"/>
      <c r="S44" s="1"/>
      <c r="T44" s="1"/>
      <c r="U44" s="1"/>
      <c r="X44" s="1"/>
      <c r="AA44" s="1"/>
      <c r="AC44" s="1"/>
      <c r="AD44" s="1"/>
      <c r="AE44" s="1"/>
    </row>
    <row r="45" spans="1:31" ht="15">
      <c r="A45" s="1" t="s">
        <v>52</v>
      </c>
      <c r="B45" s="102" t="str">
        <f t="shared" si="9"/>
        <v xml:space="preserve">                                       </v>
      </c>
      <c r="C45" s="1"/>
      <c r="D45" s="95" t="str">
        <f t="shared" si="10"/>
        <v xml:space="preserve">    </v>
      </c>
      <c r="E45" s="96" t="str">
        <f t="shared" si="4"/>
        <v/>
      </c>
      <c r="F45" s="97" t="str">
        <f t="shared" si="1"/>
        <v/>
      </c>
      <c r="G45" s="98" t="str">
        <f t="shared" si="2"/>
        <v/>
      </c>
      <c r="H45" s="1"/>
      <c r="I45" s="42"/>
      <c r="J45" s="44"/>
      <c r="K45" s="45"/>
      <c r="L45" s="1"/>
      <c r="M45" s="1"/>
      <c r="N45" s="1"/>
      <c r="O45" s="1"/>
      <c r="P45" s="1"/>
      <c r="Q45" s="1"/>
      <c r="R45" s="1"/>
      <c r="S45" s="1"/>
      <c r="T45" s="1"/>
      <c r="U45" s="1"/>
      <c r="X45" s="1"/>
      <c r="AA45" s="1"/>
      <c r="AC45" s="1"/>
      <c r="AD45" s="1"/>
      <c r="AE45" s="1"/>
    </row>
    <row r="46" spans="1:31" ht="15">
      <c r="B46" s="102" t="str">
        <f>+MID(A24,$B$2+1,$C$2-$B$2-1)</f>
        <v xml:space="preserve">                                       </v>
      </c>
      <c r="C46" s="1"/>
      <c r="D46" s="95" t="str">
        <f t="shared" si="10"/>
        <v/>
      </c>
      <c r="E46" s="96" t="str">
        <f t="shared" si="4"/>
        <v/>
      </c>
      <c r="F46" s="97" t="str">
        <f t="shared" si="1"/>
        <v/>
      </c>
      <c r="G46" s="98" t="str">
        <f t="shared" si="2"/>
        <v/>
      </c>
      <c r="H46" s="1"/>
      <c r="I46" s="42"/>
      <c r="J46" s="44"/>
      <c r="K46" s="45"/>
      <c r="L46" s="1"/>
      <c r="M46" s="1"/>
      <c r="N46" s="1"/>
      <c r="O46" s="1"/>
      <c r="P46" s="1"/>
      <c r="Q46" s="1"/>
      <c r="R46" s="1"/>
      <c r="S46" s="1"/>
      <c r="T46" s="1"/>
      <c r="U46" s="1"/>
      <c r="X46" s="1"/>
      <c r="AA46" s="1"/>
      <c r="AC46" s="1"/>
      <c r="AD46" s="1"/>
      <c r="AE46" s="1"/>
    </row>
    <row r="47" spans="1:31">
      <c r="A47" s="1" t="s">
        <v>52</v>
      </c>
      <c r="B47" s="102" t="str">
        <f>+MID(A25,$B$2+1,$C$2-$B$2-1)</f>
        <v xml:space="preserve">                                       </v>
      </c>
      <c r="C47" s="1"/>
      <c r="H47" s="1"/>
      <c r="I47" s="42"/>
      <c r="J47" s="44"/>
      <c r="K47" s="45"/>
      <c r="L47" s="1"/>
      <c r="M47" s="1"/>
      <c r="N47" s="1"/>
      <c r="O47" s="1"/>
      <c r="P47" s="1"/>
      <c r="Q47" s="1"/>
      <c r="R47" s="1"/>
      <c r="S47" s="1"/>
      <c r="T47" s="1"/>
      <c r="U47" s="1"/>
      <c r="X47" s="1"/>
      <c r="AA47" s="1"/>
      <c r="AC47" s="1"/>
      <c r="AD47" s="1"/>
      <c r="AE47" s="1"/>
    </row>
    <row r="48" spans="1:31" ht="15">
      <c r="A48" s="1" t="s">
        <v>53</v>
      </c>
      <c r="B48" s="102"/>
      <c r="C48" s="1"/>
      <c r="D48" s="95" t="str">
        <f>+IF(MID(B47,3,4)=D46,"",MID(B47,3,4))</f>
        <v xml:space="preserve">    </v>
      </c>
      <c r="E48" s="96" t="str">
        <f t="shared" ref="E48" si="11">+IF(_xlfn.NUMBERVALUE(D48)&gt;0,_xlfn.NUMBERVALUE(MID(B47,7,FIND("-",B47)-7)),"")</f>
        <v/>
      </c>
      <c r="F48" s="97" t="str">
        <f t="shared" ref="F48" si="12">+IF(_xlfn.NUMBERVALUE(D48)&gt;0,_xlfn.NUMBERVALUE(MID(B47,FIND("-",B47)+1,6)),"")</f>
        <v/>
      </c>
      <c r="G48" s="98" t="str">
        <f t="shared" ref="G48" si="13">+IF(_xlfn.NUMBERVALUE(D48)&gt;0,_xlfn.NUMBERVALUE(MID(B47,LEN(B47)-6,6)),"")</f>
        <v/>
      </c>
      <c r="H48" s="1"/>
      <c r="I48" s="42"/>
      <c r="J48" s="44"/>
      <c r="K48" s="45"/>
      <c r="L48" s="1"/>
      <c r="M48" s="1"/>
      <c r="N48" s="1"/>
      <c r="O48" s="1"/>
      <c r="P48" s="1"/>
      <c r="Q48" s="1"/>
      <c r="R48" s="1"/>
      <c r="S48" s="1"/>
      <c r="T48" s="1"/>
      <c r="U48" s="1"/>
      <c r="X48" s="1"/>
      <c r="AA48" s="1"/>
      <c r="AC48" s="1"/>
      <c r="AD48" s="1"/>
      <c r="AE48" s="1"/>
    </row>
    <row r="49" spans="1:31" customFormat="1" ht="15.75" thickBot="1">
      <c r="A49" s="4" t="s">
        <v>4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31" s="21" customFormat="1" ht="15.75" thickTop="1">
      <c r="A50" s="21" t="e">
        <f ca="1">+_xll.BPGE("158/16/1 ",,"cols=1;rows=26")</f>
        <v>#NAME?</v>
      </c>
      <c r="B50" s="1">
        <f>+LEN(A51)/2</f>
        <v>40</v>
      </c>
      <c r="C50" s="1">
        <f>+B50*2</f>
        <v>80</v>
      </c>
      <c r="D50" s="49">
        <v>4</v>
      </c>
      <c r="E50" s="49">
        <v>6</v>
      </c>
      <c r="F50" s="49">
        <v>3</v>
      </c>
      <c r="G50" s="49">
        <v>8</v>
      </c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AA50" s="54"/>
      <c r="AC50" s="54"/>
      <c r="AD50" s="55"/>
      <c r="AE50" s="56"/>
    </row>
    <row r="51" spans="1:31" customFormat="1" ht="15">
      <c r="A51" s="69" t="s">
        <v>54</v>
      </c>
      <c r="B51" s="70" t="str">
        <f>+MID(A52,1,$B$50)</f>
        <v xml:space="preserve">                                        </v>
      </c>
      <c r="C51" s="1"/>
      <c r="D51" s="24" t="s">
        <v>55</v>
      </c>
      <c r="E51" s="25" t="s">
        <v>29</v>
      </c>
      <c r="F51" s="26" t="s">
        <v>30</v>
      </c>
      <c r="G51" s="24" t="s">
        <v>31</v>
      </c>
      <c r="H51" s="1"/>
      <c r="I51" s="24" t="s">
        <v>28</v>
      </c>
      <c r="J51" s="24" t="s">
        <v>32</v>
      </c>
      <c r="K51" s="24" t="s">
        <v>14</v>
      </c>
      <c r="L51" s="24" t="s">
        <v>33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AA51" s="43"/>
      <c r="AC51" s="43"/>
      <c r="AD51" s="46"/>
      <c r="AE51" s="47"/>
    </row>
    <row r="52" spans="1:31" customFormat="1" ht="15">
      <c r="A52" s="69" t="s">
        <v>52</v>
      </c>
      <c r="B52" s="70" t="str">
        <f t="shared" ref="B52:B65" si="14">+MID(A53,1,$B$50)</f>
        <v>1641123        -           X       6.370</v>
      </c>
      <c r="C52" s="1"/>
      <c r="D52" s="38">
        <f t="shared" ref="D52:D64" si="15">IFERROR(VALUE(MID($B52,$D$50,$D$50)),"")</f>
        <v>1123</v>
      </c>
      <c r="E52" s="103" t="str">
        <f>IF(_xlfn.NUMBERVALUE(MID($A53,FIND("-",$A$54)-$E$50,$E$50))=0,"",_xlfn.NUMBERVALUE(MID($A53,FIND("-",$A$54)-$E$50,$E$50)))</f>
        <v/>
      </c>
      <c r="F52" s="36" t="str">
        <f>IFERROR(VALUE(MID($A53,FIND("-",$A$54)+$F$50,5)),"")</f>
        <v/>
      </c>
      <c r="G52" s="31" t="str">
        <f>IFERROR(MID($A52,FIND("X",$A$52)+8,5),"")</f>
        <v/>
      </c>
      <c r="H52" s="1"/>
      <c r="I52" s="95" cm="1">
        <f t="array" ref="I52:I61">+VALUE(TRANSPOSE(_xlfn.TEXTSPLIT(_xlfn.TEXTJOIN(",",TRUE,D52:D64),",")))</f>
        <v>1123</v>
      </c>
      <c r="J52" s="135" t="str" cm="1">
        <f t="array" ref="J52:J61">+VLOOKUP(VALUE(LEFT(_xlfn.ANCHORARRAY(I52),2)),$N$4:$O$15,2,FALSE)&amp;RIGHT(_xlfn.ANCHORARRAY(I52),2)</f>
        <v>nv23</v>
      </c>
      <c r="K52" s="98" t="str" cm="1">
        <f t="array" ref="K52:K61">+IF(VLOOKUP(_xlfn.ANCHORARRAY($I52),$D$52:$G$62,2,0)=0,"",VLOOKUP(_xlfn.ANCHORARRAY($I52),$D$52:$G$62,2,0))</f>
        <v/>
      </c>
      <c r="L52" s="98" t="str" cm="1">
        <f t="array" ref="L52:L61">+IF(VLOOKUP(_xlfn.ANCHORARRAY($I52),$D$52:$G$62,3,0)=0,"",VLOOKUP(_xlfn.ANCHORARRAY($I52),$D$52:$G$62,3,0))</f>
        <v/>
      </c>
      <c r="M52" s="1"/>
      <c r="N52" s="1">
        <v>1</v>
      </c>
      <c r="O52" s="1" t="s">
        <v>34</v>
      </c>
      <c r="P52" s="1"/>
      <c r="Q52" s="1"/>
      <c r="R52" s="1"/>
      <c r="S52" s="1"/>
      <c r="T52" s="1"/>
      <c r="U52" s="1"/>
      <c r="V52" s="1"/>
      <c r="W52" s="1"/>
      <c r="X52" s="1"/>
      <c r="Y52" s="1"/>
      <c r="AA52" s="43"/>
      <c r="AC52" s="43"/>
      <c r="AD52" s="46"/>
      <c r="AE52" s="47"/>
    </row>
    <row r="53" spans="1:31" customFormat="1" ht="15">
      <c r="A53" s="69" t="s">
        <v>529</v>
      </c>
      <c r="B53" s="70" t="str">
        <f t="shared" si="14"/>
        <v>1651225        -           X       5.570</v>
      </c>
      <c r="C53" s="1"/>
      <c r="D53" s="38">
        <f t="shared" si="15"/>
        <v>1225</v>
      </c>
      <c r="E53" s="103" t="str">
        <f t="shared" ref="E53:E64" si="16">IF(_xlfn.NUMBERVALUE(MID($A54,FIND("-",$A$54)-$E$50,$E$50))=0,"",_xlfn.NUMBERVALUE(MID($A54,FIND("-",$A$54)-$E$50,$E$50)))</f>
        <v/>
      </c>
      <c r="F53" s="36" t="str">
        <f t="shared" ref="F53:F64" si="17">IFERROR(VALUE(MID($A54,FIND("-",$A$54)+$F$50,5)),"")</f>
        <v/>
      </c>
      <c r="G53" s="31" t="str">
        <f>IFERROR(MID($A53,FIND("X",$A$52)+8,5),"")</f>
        <v/>
      </c>
      <c r="H53" s="1"/>
      <c r="I53" s="95">
        <v>1225</v>
      </c>
      <c r="J53" s="135" t="str">
        <v>dc25</v>
      </c>
      <c r="K53" s="98" t="str">
        <v/>
      </c>
      <c r="L53" s="98" t="str">
        <v/>
      </c>
      <c r="M53" s="1"/>
      <c r="N53" s="1">
        <v>2</v>
      </c>
      <c r="O53" s="1" t="s">
        <v>36</v>
      </c>
      <c r="P53" s="1"/>
      <c r="Q53" s="1"/>
      <c r="R53" s="1"/>
      <c r="S53" s="1"/>
      <c r="T53" s="1"/>
      <c r="U53" s="1"/>
      <c r="V53" s="1"/>
      <c r="W53" s="1"/>
      <c r="X53" s="1"/>
      <c r="Y53" s="1"/>
      <c r="AA53" s="43"/>
      <c r="AC53" s="43"/>
      <c r="AD53" s="46"/>
      <c r="AE53" s="47"/>
    </row>
    <row r="54" spans="1:31" customFormat="1" ht="15">
      <c r="A54" s="69" t="s">
        <v>530</v>
      </c>
      <c r="B54" s="70" t="str">
        <f t="shared" si="14"/>
        <v>1661226        -           X       5.370</v>
      </c>
      <c r="C54" s="1"/>
      <c r="D54" s="38">
        <f t="shared" si="15"/>
        <v>1226</v>
      </c>
      <c r="E54" s="103" t="str">
        <f t="shared" si="16"/>
        <v/>
      </c>
      <c r="F54" s="36" t="str">
        <f t="shared" si="17"/>
        <v/>
      </c>
      <c r="G54" s="31" t="str">
        <f t="shared" ref="G54:G64" si="18">IFERROR(MID($A54,FIND("X",$A$52)+8,5),"")</f>
        <v/>
      </c>
      <c r="H54" s="1"/>
      <c r="I54" s="95">
        <v>1226</v>
      </c>
      <c r="J54" s="135" t="str">
        <v>dc26</v>
      </c>
      <c r="K54" s="98" t="str">
        <v/>
      </c>
      <c r="L54" s="98" t="str">
        <v/>
      </c>
      <c r="M54" s="1"/>
      <c r="N54" s="1">
        <v>3</v>
      </c>
      <c r="O54" s="1" t="s">
        <v>37</v>
      </c>
      <c r="P54" s="1"/>
      <c r="Q54" s="1"/>
      <c r="R54" s="1"/>
      <c r="S54" s="1"/>
      <c r="T54" s="1"/>
      <c r="U54" s="1"/>
      <c r="V54" s="1"/>
      <c r="W54" s="1"/>
      <c r="X54" s="1"/>
      <c r="Y54" s="1"/>
      <c r="AA54" s="43"/>
      <c r="AC54" s="43"/>
      <c r="AD54" s="46"/>
      <c r="AE54" s="47"/>
    </row>
    <row r="55" spans="1:31" customFormat="1" ht="15">
      <c r="A55" s="69" t="s">
        <v>531</v>
      </c>
      <c r="B55" s="70" t="str">
        <f t="shared" si="14"/>
        <v>1671128        -           X       4.580</v>
      </c>
      <c r="D55" s="38">
        <f t="shared" si="15"/>
        <v>1128</v>
      </c>
      <c r="E55" s="103" t="str">
        <f t="shared" si="16"/>
        <v/>
      </c>
      <c r="F55" s="36" t="str">
        <f t="shared" si="17"/>
        <v/>
      </c>
      <c r="G55" s="31" t="str">
        <f t="shared" si="18"/>
        <v/>
      </c>
      <c r="I55" s="95">
        <v>1128</v>
      </c>
      <c r="J55" s="135" t="str">
        <v>nv28</v>
      </c>
      <c r="K55" s="98" t="str">
        <v/>
      </c>
      <c r="L55" s="98" t="str">
        <v/>
      </c>
      <c r="M55" s="1"/>
      <c r="N55" s="1">
        <v>4</v>
      </c>
      <c r="O55" s="1" t="s">
        <v>39</v>
      </c>
      <c r="X55" s="43"/>
      <c r="AA55" s="43"/>
      <c r="AC55" s="43"/>
      <c r="AD55" s="46"/>
      <c r="AE55" s="47"/>
    </row>
    <row r="56" spans="1:31" customFormat="1" ht="15">
      <c r="A56" s="69" t="s">
        <v>532</v>
      </c>
      <c r="B56" s="70" t="str">
        <f t="shared" si="14"/>
        <v>1681131        -           X       4.450</v>
      </c>
      <c r="D56" s="38">
        <f t="shared" si="15"/>
        <v>1131</v>
      </c>
      <c r="E56" s="103" t="str">
        <f t="shared" si="16"/>
        <v/>
      </c>
      <c r="F56" s="36" t="str">
        <f t="shared" si="17"/>
        <v/>
      </c>
      <c r="G56" s="31" t="str">
        <f t="shared" si="18"/>
        <v/>
      </c>
      <c r="I56" s="95">
        <v>1131</v>
      </c>
      <c r="J56" s="135" t="str">
        <v>nv31</v>
      </c>
      <c r="K56" s="98" t="str">
        <v/>
      </c>
      <c r="L56" s="98" t="str">
        <v/>
      </c>
      <c r="M56" s="1"/>
      <c r="N56" s="1">
        <v>5</v>
      </c>
      <c r="O56" s="1" t="s">
        <v>40</v>
      </c>
      <c r="X56" s="43"/>
      <c r="AA56" s="43"/>
      <c r="AC56" s="43"/>
      <c r="AD56" s="46"/>
      <c r="AE56" s="47"/>
    </row>
    <row r="57" spans="1:31" customFormat="1" ht="15">
      <c r="A57" s="69" t="s">
        <v>533</v>
      </c>
      <c r="B57" s="70" t="str">
        <f t="shared" si="14"/>
        <v>1691135        -           X       4.270</v>
      </c>
      <c r="D57" s="38">
        <f t="shared" si="15"/>
        <v>1135</v>
      </c>
      <c r="E57" s="103" t="str">
        <f t="shared" si="16"/>
        <v/>
      </c>
      <c r="F57" s="36" t="str">
        <f t="shared" si="17"/>
        <v/>
      </c>
      <c r="G57" s="31" t="str">
        <f t="shared" si="18"/>
        <v/>
      </c>
      <c r="I57" s="95">
        <v>1135</v>
      </c>
      <c r="J57" s="135" t="str">
        <v>nv35</v>
      </c>
      <c r="K57" s="98" t="str">
        <v/>
      </c>
      <c r="L57" s="98" t="str">
        <v/>
      </c>
      <c r="M57" s="1"/>
      <c r="N57" s="1">
        <v>6</v>
      </c>
      <c r="O57" s="1" t="s">
        <v>41</v>
      </c>
      <c r="X57" s="43"/>
      <c r="AA57" s="43"/>
      <c r="AC57" s="43"/>
      <c r="AD57" s="46"/>
      <c r="AE57" s="47"/>
    </row>
    <row r="58" spans="1:31" customFormat="1" ht="15">
      <c r="A58" s="69" t="s">
        <v>500</v>
      </c>
      <c r="B58" s="70" t="str">
        <f t="shared" si="14"/>
        <v>1701140        -           X       4.340</v>
      </c>
      <c r="D58" s="38">
        <f t="shared" si="15"/>
        <v>1140</v>
      </c>
      <c r="E58" s="103" t="str">
        <f t="shared" si="16"/>
        <v/>
      </c>
      <c r="F58" s="36" t="str">
        <f t="shared" si="17"/>
        <v/>
      </c>
      <c r="G58" s="31" t="str">
        <f t="shared" si="18"/>
        <v/>
      </c>
      <c r="I58" s="95">
        <v>1140</v>
      </c>
      <c r="J58" s="135" t="str">
        <v>nv40</v>
      </c>
      <c r="K58" s="98" t="str">
        <v/>
      </c>
      <c r="L58" s="98" t="str">
        <v/>
      </c>
      <c r="M58" s="1"/>
      <c r="N58" s="1">
        <v>7</v>
      </c>
      <c r="O58" s="1" t="s">
        <v>42</v>
      </c>
      <c r="X58" s="43"/>
      <c r="AA58" s="43"/>
      <c r="AC58" s="43"/>
      <c r="AD58" s="46"/>
      <c r="AE58" s="47"/>
    </row>
    <row r="59" spans="1:31" customFormat="1" ht="15">
      <c r="A59" s="69" t="s">
        <v>534</v>
      </c>
      <c r="B59" s="70" t="str">
        <f t="shared" si="14"/>
        <v>1711143        -           X       4.430</v>
      </c>
      <c r="D59" s="38">
        <f t="shared" si="15"/>
        <v>1143</v>
      </c>
      <c r="E59" s="103" t="str">
        <f t="shared" si="16"/>
        <v/>
      </c>
      <c r="F59" s="36" t="str">
        <f t="shared" si="17"/>
        <v/>
      </c>
      <c r="G59" s="31" t="str">
        <f t="shared" si="18"/>
        <v/>
      </c>
      <c r="I59" s="95">
        <v>1143</v>
      </c>
      <c r="J59" s="135" t="str">
        <v>nv43</v>
      </c>
      <c r="K59" s="98" t="str">
        <v/>
      </c>
      <c r="L59" s="98" t="str">
        <v/>
      </c>
      <c r="M59" s="1"/>
      <c r="N59" s="1">
        <v>8</v>
      </c>
      <c r="O59" s="1" t="s">
        <v>43</v>
      </c>
      <c r="X59" s="43"/>
      <c r="AA59" s="43"/>
      <c r="AC59" s="43"/>
      <c r="AD59" s="46"/>
      <c r="AE59" s="47"/>
    </row>
    <row r="60" spans="1:31" customFormat="1" ht="15">
      <c r="A60" s="69" t="s">
        <v>535</v>
      </c>
      <c r="B60" s="70" t="str">
        <f t="shared" si="14"/>
        <v>1721146        -           X       4.420</v>
      </c>
      <c r="D60" s="38">
        <f t="shared" si="15"/>
        <v>1146</v>
      </c>
      <c r="E60" s="103" t="str">
        <f t="shared" si="16"/>
        <v/>
      </c>
      <c r="F60" s="36" t="str">
        <f t="shared" si="17"/>
        <v/>
      </c>
      <c r="G60" s="31" t="str">
        <f t="shared" si="18"/>
        <v/>
      </c>
      <c r="I60" s="95">
        <v>1146</v>
      </c>
      <c r="J60" s="135" t="str">
        <v>nv46</v>
      </c>
      <c r="K60" s="98" t="str">
        <v/>
      </c>
      <c r="L60" s="98" t="str">
        <v/>
      </c>
      <c r="M60" s="1"/>
      <c r="N60" s="1">
        <v>9</v>
      </c>
      <c r="O60" s="1" t="s">
        <v>44</v>
      </c>
      <c r="X60" s="43"/>
      <c r="AA60" s="43"/>
      <c r="AC60" s="43"/>
      <c r="AD60" s="46"/>
      <c r="AE60" s="47"/>
    </row>
    <row r="61" spans="1:31" customFormat="1" ht="15">
      <c r="A61" s="69" t="s">
        <v>536</v>
      </c>
      <c r="B61" s="70" t="str">
        <f t="shared" si="14"/>
        <v>1731150        -           X       4.450</v>
      </c>
      <c r="D61" s="38">
        <f t="shared" si="15"/>
        <v>1150</v>
      </c>
      <c r="E61" s="103" t="str">
        <f t="shared" si="16"/>
        <v/>
      </c>
      <c r="F61" s="36" t="str">
        <f t="shared" si="17"/>
        <v/>
      </c>
      <c r="G61" s="31" t="str">
        <f t="shared" si="18"/>
        <v/>
      </c>
      <c r="I61" s="95">
        <v>1150</v>
      </c>
      <c r="J61" s="135" t="str">
        <v>nv50</v>
      </c>
      <c r="K61" s="98" t="str">
        <v/>
      </c>
      <c r="L61" s="98" t="str">
        <v/>
      </c>
      <c r="M61" s="1"/>
      <c r="N61" s="1">
        <v>10</v>
      </c>
      <c r="O61" s="1" t="s">
        <v>46</v>
      </c>
      <c r="X61" s="43"/>
      <c r="AA61" s="43"/>
      <c r="AC61" s="43"/>
      <c r="AD61" s="46"/>
      <c r="AE61" s="47"/>
    </row>
    <row r="62" spans="1:31" customFormat="1" ht="15">
      <c r="A62" s="69" t="s">
        <v>537</v>
      </c>
      <c r="B62" s="70" t="str">
        <f t="shared" si="14"/>
        <v xml:space="preserve">                                        </v>
      </c>
      <c r="D62" s="38" t="str">
        <f t="shared" si="15"/>
        <v/>
      </c>
      <c r="E62" s="103" t="str">
        <f t="shared" si="16"/>
        <v/>
      </c>
      <c r="F62" s="36" t="str">
        <f t="shared" si="17"/>
        <v/>
      </c>
      <c r="G62" s="31" t="str">
        <f t="shared" si="18"/>
        <v/>
      </c>
      <c r="I62" s="95"/>
      <c r="J62" s="135"/>
      <c r="K62" s="98"/>
      <c r="L62" s="98"/>
      <c r="M62" s="1"/>
      <c r="N62" s="1">
        <v>11</v>
      </c>
      <c r="O62" s="1" t="s">
        <v>47</v>
      </c>
      <c r="X62" s="43"/>
      <c r="AA62" s="43"/>
      <c r="AC62" s="43"/>
      <c r="AD62" s="46"/>
      <c r="AE62" s="47"/>
    </row>
    <row r="63" spans="1:31" customFormat="1" ht="15">
      <c r="A63" t="s">
        <v>52</v>
      </c>
      <c r="B63" s="1" t="str">
        <f t="shared" si="14"/>
        <v xml:space="preserve">                                        </v>
      </c>
      <c r="D63" s="38" t="str">
        <f t="shared" si="15"/>
        <v/>
      </c>
      <c r="E63" s="103" t="str">
        <f t="shared" si="16"/>
        <v/>
      </c>
      <c r="F63" s="36" t="str">
        <f t="shared" si="17"/>
        <v/>
      </c>
      <c r="G63" s="31" t="str">
        <f t="shared" si="18"/>
        <v/>
      </c>
      <c r="I63" s="95"/>
      <c r="J63" s="135"/>
      <c r="K63" s="98"/>
      <c r="L63" s="98"/>
      <c r="M63" s="1"/>
      <c r="N63" s="1">
        <v>12</v>
      </c>
      <c r="O63" s="1" t="s">
        <v>48</v>
      </c>
      <c r="X63" s="43"/>
      <c r="AA63" s="43"/>
      <c r="AC63" s="43"/>
      <c r="AD63" s="46"/>
      <c r="AE63" s="47"/>
    </row>
    <row r="64" spans="1:31" customFormat="1" ht="15">
      <c r="A64" t="s">
        <v>52</v>
      </c>
      <c r="B64" s="1" t="str">
        <f t="shared" si="14"/>
        <v xml:space="preserve">                                        </v>
      </c>
      <c r="D64" s="38" t="str">
        <f t="shared" si="15"/>
        <v/>
      </c>
      <c r="E64" s="103" t="str">
        <f t="shared" si="16"/>
        <v/>
      </c>
      <c r="F64" s="36" t="str">
        <f t="shared" si="17"/>
        <v/>
      </c>
      <c r="G64" s="31" t="str">
        <f t="shared" si="18"/>
        <v/>
      </c>
      <c r="I64" s="95"/>
      <c r="J64" s="135"/>
      <c r="K64" s="98"/>
      <c r="L64" s="98"/>
      <c r="M64" s="1"/>
      <c r="N64" s="1"/>
      <c r="O64" s="1"/>
      <c r="X64" s="43"/>
      <c r="AA64" s="43"/>
      <c r="AC64" s="43"/>
      <c r="AD64" s="46"/>
      <c r="AE64" s="47"/>
    </row>
    <row r="65" spans="1:31" customFormat="1" ht="15">
      <c r="A65" t="s">
        <v>52</v>
      </c>
      <c r="B65" s="1" t="str">
        <f t="shared" si="14"/>
        <v xml:space="preserve">                                        </v>
      </c>
      <c r="I65" s="95"/>
      <c r="J65" s="135"/>
      <c r="K65" s="98"/>
      <c r="L65" s="98"/>
      <c r="M65" s="1"/>
      <c r="N65" s="1"/>
      <c r="O65" s="1"/>
      <c r="X65" s="43"/>
      <c r="AA65" s="43"/>
      <c r="AC65" s="43"/>
      <c r="AD65" s="46"/>
      <c r="AE65" s="47"/>
    </row>
    <row r="66" spans="1:31" customFormat="1" ht="15">
      <c r="A66" t="s">
        <v>52</v>
      </c>
      <c r="I66" s="95"/>
      <c r="J66" s="135"/>
      <c r="K66" s="98"/>
      <c r="L66" s="98"/>
      <c r="M66" s="1"/>
      <c r="N66" s="1"/>
      <c r="O66" s="1"/>
      <c r="X66" s="43"/>
      <c r="AA66" s="43"/>
      <c r="AC66" s="43"/>
      <c r="AD66" s="46"/>
      <c r="AE66" s="47"/>
    </row>
    <row r="67" spans="1:31" customFormat="1" ht="15">
      <c r="A67" t="s">
        <v>52</v>
      </c>
      <c r="I67" s="95"/>
      <c r="J67" s="135"/>
      <c r="K67" s="98"/>
      <c r="L67" s="98"/>
      <c r="M67" s="1"/>
      <c r="N67" s="1"/>
      <c r="O67" s="1"/>
      <c r="X67" s="43"/>
      <c r="AA67" s="43"/>
      <c r="AC67" s="43"/>
      <c r="AD67" s="46"/>
      <c r="AE67" s="47"/>
    </row>
    <row r="68" spans="1:31" customFormat="1" ht="15">
      <c r="A68" t="s">
        <v>52</v>
      </c>
      <c r="I68" s="95"/>
      <c r="J68" s="135"/>
      <c r="K68" s="98"/>
      <c r="L68" s="98"/>
      <c r="M68" s="1"/>
      <c r="N68" s="1"/>
      <c r="O68" s="1"/>
      <c r="X68" s="43"/>
      <c r="AA68" s="43"/>
      <c r="AC68" s="43"/>
      <c r="AD68" s="46"/>
      <c r="AE68" s="47"/>
    </row>
    <row r="69" spans="1:31" customFormat="1" ht="15">
      <c r="A69" t="s">
        <v>52</v>
      </c>
      <c r="X69" s="43"/>
      <c r="AA69" s="43"/>
      <c r="AC69" s="43"/>
      <c r="AD69" s="46"/>
      <c r="AE69" s="47"/>
    </row>
    <row r="70" spans="1:31" customFormat="1" ht="15">
      <c r="A70" t="s">
        <v>52</v>
      </c>
      <c r="X70" s="43"/>
      <c r="AA70" s="43"/>
      <c r="AC70" s="43"/>
      <c r="AD70" s="46"/>
      <c r="AE70" s="47"/>
    </row>
    <row r="71" spans="1:31" customFormat="1" ht="15">
      <c r="A71" t="s">
        <v>52</v>
      </c>
      <c r="X71" s="43"/>
      <c r="AA71" s="43"/>
      <c r="AC71" s="43"/>
      <c r="AD71" s="46"/>
      <c r="AE71" s="47"/>
    </row>
    <row r="72" spans="1:31" customFormat="1" ht="15">
      <c r="A72" t="s">
        <v>52</v>
      </c>
      <c r="X72" s="43"/>
      <c r="AA72" s="43"/>
      <c r="AC72" s="43"/>
      <c r="AD72" s="46"/>
      <c r="AE72" s="47"/>
    </row>
    <row r="73" spans="1:31" customFormat="1" ht="15">
      <c r="A73" t="s">
        <v>52</v>
      </c>
      <c r="X73" s="43"/>
      <c r="AA73" s="43"/>
      <c r="AC73" s="43"/>
      <c r="AD73" s="46"/>
      <c r="AE73" s="47"/>
    </row>
    <row r="74" spans="1:31" customFormat="1" ht="15">
      <c r="A74" t="s">
        <v>52</v>
      </c>
      <c r="X74" s="43"/>
      <c r="AA74" s="43"/>
      <c r="AC74" s="43"/>
      <c r="AD74" s="46"/>
      <c r="AE74" s="47"/>
    </row>
    <row r="75" spans="1:31" customFormat="1" ht="15">
      <c r="A75" t="s">
        <v>52</v>
      </c>
      <c r="X75" s="43"/>
      <c r="AA75" s="43"/>
      <c r="AC75" s="43"/>
      <c r="AD75" s="46"/>
      <c r="AE75" s="47"/>
    </row>
    <row r="76" spans="1:31" customFormat="1" ht="15">
      <c r="X76" s="43"/>
      <c r="AA76" s="43"/>
      <c r="AC76" s="43"/>
      <c r="AD76" s="46"/>
      <c r="AE76" s="47"/>
    </row>
    <row r="77" spans="1:31" customFormat="1" ht="15">
      <c r="A77" t="s">
        <v>52</v>
      </c>
      <c r="B77" t="e">
        <f t="shared" ref="B77" si="19">TRIM(LEFT(A77,B$51))</f>
        <v>#VALUE!</v>
      </c>
      <c r="X77" s="43"/>
      <c r="AA77" s="43"/>
      <c r="AC77" s="43"/>
      <c r="AD77" s="46"/>
      <c r="AE77" s="47"/>
    </row>
    <row r="78" spans="1:31" ht="15.75" thickBot="1">
      <c r="A78" s="5" t="s">
        <v>52</v>
      </c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31" s="49" customFormat="1" ht="15.75" thickTop="1">
      <c r="A79" s="21" t="e">
        <f ca="1">+_xll.BPGE(" 158/4/1",,"cols=1;rows=26")</f>
        <v>#NAME?</v>
      </c>
      <c r="B79" s="21"/>
      <c r="C79" s="21"/>
      <c r="D79" s="21"/>
      <c r="E79" s="21"/>
      <c r="F79" s="53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AA79" s="50"/>
      <c r="AC79" s="50"/>
      <c r="AD79" s="51"/>
      <c r="AE79" s="52"/>
    </row>
    <row r="80" spans="1:31" ht="15">
      <c r="A80" s="99" t="s">
        <v>56</v>
      </c>
      <c r="B80">
        <f>+LEN(A80)/2</f>
        <v>40</v>
      </c>
      <c r="C80">
        <f>+B80*2</f>
        <v>80</v>
      </c>
      <c r="D80" s="299" t="s">
        <v>57</v>
      </c>
      <c r="E80" s="300"/>
      <c r="F80" s="300"/>
      <c r="G80" s="301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30" ht="15">
      <c r="A81" s="99" t="s">
        <v>805</v>
      </c>
      <c r="B81" s="69" t="str">
        <f>+A81</f>
        <v>1003x1    11.470-11.500  1000X1000      1143x1          -            X     93.50</v>
      </c>
      <c r="C81"/>
      <c r="D81" s="24" t="s">
        <v>55</v>
      </c>
      <c r="E81" s="24" t="s">
        <v>29</v>
      </c>
      <c r="F81" s="24" t="s">
        <v>30</v>
      </c>
      <c r="G81" s="24" t="s">
        <v>58</v>
      </c>
      <c r="I81" s="82" t="s">
        <v>59</v>
      </c>
      <c r="J81" s="82" t="s">
        <v>14</v>
      </c>
      <c r="K81" s="82" t="s">
        <v>33</v>
      </c>
      <c r="L81"/>
      <c r="M81"/>
      <c r="N81"/>
      <c r="O81"/>
      <c r="P81"/>
      <c r="Q81"/>
      <c r="R81"/>
      <c r="S81"/>
      <c r="T81"/>
      <c r="U81"/>
      <c r="V81"/>
      <c r="W81" s="84" t="s">
        <v>176</v>
      </c>
      <c r="X81" s="84" t="s">
        <v>70</v>
      </c>
      <c r="Y81" s="84" t="s">
        <v>64</v>
      </c>
      <c r="Z81" s="84" t="s">
        <v>65</v>
      </c>
      <c r="AA81" s="84" t="s">
        <v>66</v>
      </c>
      <c r="AB81" s="84" t="s">
        <v>67</v>
      </c>
      <c r="AC81" s="84" t="s">
        <v>68</v>
      </c>
      <c r="AD81" s="84" t="s">
        <v>69</v>
      </c>
    </row>
    <row r="82" spans="1:30" ht="15">
      <c r="A82" s="99" t="s">
        <v>808</v>
      </c>
      <c r="B82" s="69" t="str">
        <f t="shared" ref="B82:B95" si="20">+A82</f>
        <v>1016x1          -11.445      X500       1156x1          -            X     83.50</v>
      </c>
      <c r="C82"/>
      <c r="D82" t="str">
        <f>+TRIM(MID(B81,4,IF(FIND("x",B81)&gt;8,FIND("*",B81)+1,FIND("x",B81)+2)))</f>
        <v>3x1</v>
      </c>
      <c r="E82" s="83">
        <f>+_xlfn.NUMBERVALUE(MID(B81,LEN(D82)+4,FIND("-",B81)-LEN(D82)-4))</f>
        <v>11.47</v>
      </c>
      <c r="F82" s="83">
        <f>+_xlfn.NUMBERVALUE(MID(B81,FIND("-",B81)+1,8))</f>
        <v>11.5</v>
      </c>
      <c r="G82" s="89">
        <f t="shared" ref="G82:G96" si="21">+_xlfn.NUMBERVALUE(MID(A81,72,$C$80-8))</f>
        <v>93.5</v>
      </c>
      <c r="I82" s="83" cm="1">
        <f t="array" ref="I82:I96">+_xlfn.NUMBERVALUE(MID(D82:D96,1,FIND("x",D82:D96)-1))</f>
        <v>3</v>
      </c>
      <c r="J82" cm="1">
        <f t="array" ref="J82:J96">+IF(E82:E96=0,"",E82:E96)</f>
        <v>11.47</v>
      </c>
      <c r="K82" cm="1">
        <f t="array" ref="K82:K96">+IF(F82:F96=0,"",F82:F96)</f>
        <v>11.5</v>
      </c>
      <c r="L82"/>
      <c r="M82"/>
      <c r="N82"/>
      <c r="O82"/>
      <c r="P82"/>
      <c r="Q82"/>
      <c r="R82"/>
      <c r="S82"/>
      <c r="T82"/>
      <c r="U82"/>
      <c r="V82"/>
      <c r="W82" s="83" t="s">
        <v>329</v>
      </c>
      <c r="X82" t="s">
        <v>196</v>
      </c>
      <c r="Y82" s="83" t="str">
        <f t="shared" ref="Y82:Y93" si="22">+MID($X82,1,IFERROR(FIND("M",$X82),FIND("Y",$X82)))</f>
        <v>3M</v>
      </c>
      <c r="Z82" s="83" t="str">
        <f t="shared" ref="Z82:Z93" si="23">+MID($X82,LEN(Y82)+2,IFERROR(FIND("M",$X82,LEN(Y82)+1),FIND("Y",$X82,LEN(Y82)+1))-LEN(Y82)-1)</f>
        <v>6M</v>
      </c>
      <c r="AA82" s="83" t="str">
        <f t="shared" ref="AA82:AA93" si="24">+MID($X82,LEN(Z82)+LEN(Y82)+3,LEN(X82)-(LEN(Z82)+LEN(Y82)+1))</f>
        <v/>
      </c>
      <c r="AB82" s="85">
        <f>+IFERROR(IF(IFERROR(FIND("M",Y82)&gt;0,FALSE),_xlfn.NUMBERVALUE(MID(Y82,1,LEN(Y82)-1)),MID(Y82,1,LEN(Y82)-1)*13),"")</f>
        <v>3</v>
      </c>
      <c r="AC82" s="85">
        <f t="shared" ref="AC82:AD93" si="25">+IFERROR(IF(IFERROR(FIND("M",Z82)&gt;0,FALSE),_xlfn.NUMBERVALUE(MID(Z82,1,LEN(Z82)-1)),MID(Z82,1,LEN(Z82)-1)*13),"")</f>
        <v>6</v>
      </c>
      <c r="AD82" s="85" t="str">
        <f t="shared" si="25"/>
        <v/>
      </c>
    </row>
    <row r="83" spans="1:30" ht="15">
      <c r="A83" s="99" t="s">
        <v>811</v>
      </c>
      <c r="B83" s="69" t="str">
        <f t="shared" si="20"/>
        <v>1029x1    11.200-11.300  500 X500       1169x1          -            X     79.00</v>
      </c>
      <c r="C83"/>
      <c r="D83" t="str">
        <f t="shared" ref="D83:D96" si="26">+TRIM(MID(B82,4,IF(FIND("x",B82)&gt;8,FIND("*",B82)+1,FIND("x",B82)+2)))</f>
        <v>6x1</v>
      </c>
      <c r="E83" s="83">
        <f>+_xlfn.NUMBERVALUE(MID(B82,LEN(D83)+4,FIND("-",B82)-LEN(D83)-4))</f>
        <v>0</v>
      </c>
      <c r="F83" s="83">
        <f t="shared" ref="F83:F96" si="27">+_xlfn.NUMBERVALUE(MID(B82,FIND("-",B82)+1,8))</f>
        <v>11.445</v>
      </c>
      <c r="G83" s="89">
        <f t="shared" si="21"/>
        <v>83.5</v>
      </c>
      <c r="I83" s="83">
        <v>6</v>
      </c>
      <c r="J83" t="str">
        <v/>
      </c>
      <c r="K83">
        <v>11.445</v>
      </c>
      <c r="L83"/>
      <c r="M83"/>
      <c r="N83"/>
      <c r="O83"/>
      <c r="P83"/>
      <c r="Q83"/>
      <c r="R83"/>
      <c r="S83"/>
      <c r="T83"/>
      <c r="U83"/>
      <c r="V83"/>
      <c r="W83" s="83" t="s">
        <v>330</v>
      </c>
      <c r="X83" t="s">
        <v>200</v>
      </c>
      <c r="Y83" s="83" t="str">
        <f t="shared" si="22"/>
        <v>9M</v>
      </c>
      <c r="Z83" s="83" t="str">
        <f t="shared" si="23"/>
        <v>1Y</v>
      </c>
      <c r="AA83" s="83" t="str">
        <f t="shared" si="24"/>
        <v/>
      </c>
      <c r="AB83" s="85">
        <f t="shared" ref="AB83:AB93" si="28">+IFERROR(IF(IFERROR(FIND("M",Y83)&gt;0,FALSE),_xlfn.NUMBERVALUE(MID(Y83,1,LEN(Y83)-1)),MID(Y83,1,LEN(Y83)-1)*13),"")</f>
        <v>9</v>
      </c>
      <c r="AC83" s="85">
        <f t="shared" si="25"/>
        <v>13</v>
      </c>
      <c r="AD83" s="85" t="str">
        <f t="shared" si="25"/>
        <v/>
      </c>
    </row>
    <row r="84" spans="1:30" ht="15">
      <c r="A84" s="99" t="s">
        <v>809</v>
      </c>
      <c r="B84" s="69" t="str">
        <f t="shared" si="20"/>
        <v>10313x1         -10.920      X300       11713x1         -            X     74.00</v>
      </c>
      <c r="C84"/>
      <c r="D84" t="str">
        <f t="shared" si="26"/>
        <v>9x1</v>
      </c>
      <c r="E84" s="83">
        <f t="shared" ref="E84:E96" si="29">+_xlfn.NUMBERVALUE(MID(B83,LEN(D84)+4,FIND("-",B83)-LEN(D84)-4))</f>
        <v>11.2</v>
      </c>
      <c r="F84" s="83">
        <f t="shared" si="27"/>
        <v>11.3</v>
      </c>
      <c r="G84" s="89">
        <f t="shared" si="21"/>
        <v>79</v>
      </c>
      <c r="I84" s="83">
        <v>9</v>
      </c>
      <c r="J84">
        <v>11.2</v>
      </c>
      <c r="K84">
        <v>11.3</v>
      </c>
      <c r="L84"/>
      <c r="M84"/>
      <c r="N84"/>
      <c r="O84"/>
      <c r="P84"/>
      <c r="Q84"/>
      <c r="R84"/>
      <c r="S84"/>
      <c r="T84"/>
      <c r="U84"/>
      <c r="V84"/>
      <c r="W84" s="83" t="s">
        <v>331</v>
      </c>
      <c r="X84" t="s">
        <v>206</v>
      </c>
      <c r="Y84" s="83" t="str">
        <f t="shared" si="22"/>
        <v>2Y</v>
      </c>
      <c r="Z84" s="83" t="str">
        <f t="shared" si="23"/>
        <v>3Y</v>
      </c>
      <c r="AA84" s="83" t="str">
        <f t="shared" si="24"/>
        <v/>
      </c>
      <c r="AB84" s="85">
        <f t="shared" si="28"/>
        <v>26</v>
      </c>
      <c r="AC84" s="85">
        <f t="shared" si="25"/>
        <v>39</v>
      </c>
      <c r="AD84" s="85" t="str">
        <f t="shared" si="25"/>
        <v/>
      </c>
    </row>
    <row r="85" spans="1:30" ht="15">
      <c r="A85" s="107" t="s">
        <v>816</v>
      </c>
      <c r="B85" s="69" t="str">
        <f t="shared" si="20"/>
        <v>10426x1    9.620- 9.680  200 X200       11826x1         -            X     55.50</v>
      </c>
      <c r="C85"/>
      <c r="D85" t="str">
        <f t="shared" si="26"/>
        <v>13x1</v>
      </c>
      <c r="E85" s="83">
        <f t="shared" si="29"/>
        <v>0</v>
      </c>
      <c r="F85" s="83">
        <f t="shared" si="27"/>
        <v>10.92</v>
      </c>
      <c r="G85" s="89">
        <f t="shared" si="21"/>
        <v>74</v>
      </c>
      <c r="I85" s="83">
        <v>13</v>
      </c>
      <c r="J85" t="str">
        <v/>
      </c>
      <c r="K85">
        <v>10.92</v>
      </c>
      <c r="L85"/>
      <c r="M85"/>
      <c r="N85"/>
      <c r="O85"/>
      <c r="P85"/>
      <c r="Q85"/>
      <c r="R85"/>
      <c r="S85"/>
      <c r="T85"/>
      <c r="U85"/>
      <c r="V85"/>
      <c r="W85" s="43" t="s">
        <v>332</v>
      </c>
      <c r="X85" s="1" t="s">
        <v>333</v>
      </c>
      <c r="Y85" s="83" t="str">
        <f t="shared" si="22"/>
        <v>4Y</v>
      </c>
      <c r="Z85" s="83" t="str">
        <f t="shared" si="23"/>
        <v>5Y</v>
      </c>
      <c r="AA85" s="83" t="str">
        <f t="shared" si="24"/>
        <v/>
      </c>
      <c r="AB85" s="85">
        <f t="shared" si="28"/>
        <v>52</v>
      </c>
      <c r="AC85" s="85">
        <f t="shared" si="25"/>
        <v>65</v>
      </c>
      <c r="AD85" s="85" t="str">
        <f t="shared" si="25"/>
        <v/>
      </c>
    </row>
    <row r="86" spans="1:30" ht="15">
      <c r="A86" s="99" t="s">
        <v>737</v>
      </c>
      <c r="B86" s="69" t="str">
        <f t="shared" si="20"/>
        <v>10539x1         -            X          11939x1         -            X     41.00</v>
      </c>
      <c r="C86"/>
      <c r="D86" t="str">
        <f t="shared" si="26"/>
        <v>26x1</v>
      </c>
      <c r="E86" s="83">
        <f t="shared" si="29"/>
        <v>9.6199999999999992</v>
      </c>
      <c r="F86" s="83">
        <f t="shared" si="27"/>
        <v>9.68</v>
      </c>
      <c r="G86" s="89">
        <f t="shared" si="21"/>
        <v>55.5</v>
      </c>
      <c r="I86" s="83">
        <v>26</v>
      </c>
      <c r="J86">
        <v>9.6199999999999992</v>
      </c>
      <c r="K86">
        <v>9.68</v>
      </c>
      <c r="L86"/>
      <c r="M86"/>
      <c r="N86"/>
      <c r="O86"/>
      <c r="P86"/>
      <c r="Q86"/>
      <c r="R86"/>
      <c r="S86"/>
      <c r="T86"/>
      <c r="U86"/>
      <c r="V86"/>
      <c r="W86" s="43" t="s">
        <v>334</v>
      </c>
      <c r="X86" s="1" t="s">
        <v>202</v>
      </c>
      <c r="Y86" s="83" t="str">
        <f t="shared" si="22"/>
        <v>1Y</v>
      </c>
      <c r="Z86" s="83" t="str">
        <f t="shared" si="23"/>
        <v>2Y</v>
      </c>
      <c r="AA86" s="83" t="str">
        <f t="shared" si="24"/>
        <v/>
      </c>
      <c r="AB86" s="85">
        <f t="shared" si="28"/>
        <v>13</v>
      </c>
      <c r="AC86" s="85">
        <f t="shared" si="25"/>
        <v>26</v>
      </c>
      <c r="AD86" s="85" t="str">
        <f t="shared" si="25"/>
        <v/>
      </c>
    </row>
    <row r="87" spans="1:30" ht="15">
      <c r="A87" s="99" t="s">
        <v>736</v>
      </c>
      <c r="B87" s="69" t="str">
        <f t="shared" si="20"/>
        <v>10652x1         -            X          12052x1         -            X     34.00</v>
      </c>
      <c r="C87"/>
      <c r="D87" t="str">
        <f t="shared" si="26"/>
        <v>39x1</v>
      </c>
      <c r="E87" s="83">
        <f t="shared" si="29"/>
        <v>0</v>
      </c>
      <c r="F87" s="83">
        <f t="shared" si="27"/>
        <v>0</v>
      </c>
      <c r="G87" s="89">
        <f t="shared" si="21"/>
        <v>41</v>
      </c>
      <c r="I87" s="83">
        <v>39</v>
      </c>
      <c r="J87" t="str">
        <v/>
      </c>
      <c r="K87" t="str">
        <v/>
      </c>
      <c r="L87"/>
      <c r="M87"/>
      <c r="N87"/>
      <c r="O87"/>
      <c r="P87"/>
      <c r="Q87"/>
      <c r="R87"/>
      <c r="S87"/>
      <c r="T87"/>
      <c r="U87"/>
      <c r="V87"/>
      <c r="W87" s="43" t="s">
        <v>335</v>
      </c>
      <c r="X87" s="1" t="s">
        <v>214</v>
      </c>
      <c r="Y87" s="83" t="str">
        <f t="shared" si="22"/>
        <v>3Y</v>
      </c>
      <c r="Z87" s="83" t="str">
        <f t="shared" si="23"/>
        <v>4Y</v>
      </c>
      <c r="AA87" s="83" t="str">
        <f t="shared" si="24"/>
        <v/>
      </c>
      <c r="AB87" s="85">
        <f t="shared" si="28"/>
        <v>39</v>
      </c>
      <c r="AC87" s="85">
        <f t="shared" si="25"/>
        <v>52</v>
      </c>
      <c r="AD87" s="85" t="str">
        <f t="shared" si="25"/>
        <v/>
      </c>
    </row>
    <row r="88" spans="1:30" ht="15">
      <c r="A88" s="99" t="s">
        <v>738</v>
      </c>
      <c r="B88" s="69" t="str">
        <f t="shared" si="20"/>
        <v>10765x1         -            X          12165x1         -            X     28.00</v>
      </c>
      <c r="C88"/>
      <c r="D88" t="str">
        <f t="shared" si="26"/>
        <v>52x1</v>
      </c>
      <c r="E88" s="83">
        <f t="shared" si="29"/>
        <v>0</v>
      </c>
      <c r="F88" s="83">
        <f t="shared" si="27"/>
        <v>0</v>
      </c>
      <c r="G88" s="89">
        <f t="shared" si="21"/>
        <v>34</v>
      </c>
      <c r="I88" s="83">
        <v>52</v>
      </c>
      <c r="J88" t="str">
        <v/>
      </c>
      <c r="K88" t="str">
        <v/>
      </c>
      <c r="L88"/>
      <c r="M88"/>
      <c r="N88"/>
      <c r="O88"/>
      <c r="P88"/>
      <c r="Q88"/>
      <c r="R88"/>
      <c r="S88"/>
      <c r="T88"/>
      <c r="U88"/>
      <c r="V88"/>
      <c r="W88" s="43" t="s">
        <v>336</v>
      </c>
      <c r="X88" s="1" t="s">
        <v>225</v>
      </c>
      <c r="Y88" s="83" t="str">
        <f t="shared" si="22"/>
        <v>5Y</v>
      </c>
      <c r="Z88" s="83" t="str">
        <f t="shared" si="23"/>
        <v>10Y</v>
      </c>
      <c r="AA88" s="83" t="str">
        <f t="shared" si="24"/>
        <v/>
      </c>
      <c r="AB88" s="85">
        <f t="shared" si="28"/>
        <v>65</v>
      </c>
      <c r="AC88" s="85">
        <f t="shared" si="25"/>
        <v>130</v>
      </c>
      <c r="AD88" s="85" t="str">
        <f t="shared" si="25"/>
        <v/>
      </c>
    </row>
    <row r="89" spans="1:30" ht="15">
      <c r="A89" s="99" t="s">
        <v>741</v>
      </c>
      <c r="B89" s="69" t="str">
        <f t="shared" si="20"/>
        <v>10891x1         -            X          12291x1         -            X     25.00</v>
      </c>
      <c r="C89"/>
      <c r="D89" t="str">
        <f t="shared" si="26"/>
        <v>65x1</v>
      </c>
      <c r="E89" s="83">
        <f t="shared" si="29"/>
        <v>0</v>
      </c>
      <c r="F89" s="83">
        <f t="shared" si="27"/>
        <v>0</v>
      </c>
      <c r="G89" s="89">
        <f>+_xlfn.NUMBERVALUE(MID(A88,72,$C$80-8))</f>
        <v>28</v>
      </c>
      <c r="I89" s="83">
        <v>65</v>
      </c>
      <c r="J89" t="str">
        <v/>
      </c>
      <c r="K89" t="str">
        <v/>
      </c>
      <c r="L89"/>
      <c r="M89"/>
      <c r="N89"/>
      <c r="O89"/>
      <c r="P89"/>
      <c r="Q89"/>
      <c r="R89"/>
      <c r="S89"/>
      <c r="T89"/>
      <c r="U89"/>
      <c r="V89"/>
      <c r="W89" s="43" t="s">
        <v>337</v>
      </c>
      <c r="X89" s="1" t="s">
        <v>229</v>
      </c>
      <c r="Y89" s="83" t="str">
        <f t="shared" si="22"/>
        <v>7Y</v>
      </c>
      <c r="Z89" s="83" t="str">
        <f t="shared" si="23"/>
        <v>10Y</v>
      </c>
      <c r="AA89" s="83" t="str">
        <f t="shared" si="24"/>
        <v/>
      </c>
      <c r="AB89" s="85">
        <f t="shared" si="28"/>
        <v>91</v>
      </c>
      <c r="AC89" s="85">
        <f t="shared" si="25"/>
        <v>130</v>
      </c>
      <c r="AD89" s="85" t="str">
        <f t="shared" si="25"/>
        <v/>
      </c>
    </row>
    <row r="90" spans="1:30" ht="15">
      <c r="A90" s="99" t="s">
        <v>739</v>
      </c>
      <c r="B90" s="69" t="str">
        <f t="shared" si="20"/>
        <v>109130x1        -            X          123130x1        -            X     26.00</v>
      </c>
      <c r="C90"/>
      <c r="D90" t="str">
        <f t="shared" si="26"/>
        <v>91x1</v>
      </c>
      <c r="E90" s="83">
        <f t="shared" si="29"/>
        <v>0</v>
      </c>
      <c r="F90" s="83">
        <f t="shared" si="27"/>
        <v>0</v>
      </c>
      <c r="G90" s="89">
        <f t="shared" si="21"/>
        <v>25</v>
      </c>
      <c r="I90" s="83">
        <v>91</v>
      </c>
      <c r="J90" t="str">
        <v/>
      </c>
      <c r="K90" t="str">
        <v/>
      </c>
      <c r="L90"/>
      <c r="M90"/>
      <c r="N90"/>
      <c r="O90"/>
      <c r="P90"/>
      <c r="Q90"/>
      <c r="R90"/>
      <c r="S90"/>
      <c r="T90"/>
      <c r="U90"/>
      <c r="V90"/>
      <c r="W90" s="43" t="s">
        <v>338</v>
      </c>
      <c r="X90" s="1" t="s">
        <v>233</v>
      </c>
      <c r="Y90" s="83" t="str">
        <f t="shared" si="22"/>
        <v>10Y</v>
      </c>
      <c r="Z90" s="83" t="str">
        <f t="shared" si="23"/>
        <v>12Y</v>
      </c>
      <c r="AA90" s="83" t="str">
        <f t="shared" si="24"/>
        <v/>
      </c>
      <c r="AB90" s="85">
        <f t="shared" si="28"/>
        <v>130</v>
      </c>
      <c r="AC90" s="85">
        <f t="shared" si="25"/>
        <v>156</v>
      </c>
      <c r="AD90" s="85" t="str">
        <f t="shared" si="25"/>
        <v/>
      </c>
    </row>
    <row r="91" spans="1:30" ht="15">
      <c r="A91" s="99" t="s">
        <v>740</v>
      </c>
      <c r="B91" s="69" t="str">
        <f t="shared" si="20"/>
        <v>110156x1        -            X          124156x1        -            X     29.50</v>
      </c>
      <c r="C91"/>
      <c r="D91" t="str">
        <f t="shared" si="26"/>
        <v>130x1</v>
      </c>
      <c r="E91" s="83">
        <f t="shared" si="29"/>
        <v>0</v>
      </c>
      <c r="F91" s="83">
        <f t="shared" si="27"/>
        <v>0</v>
      </c>
      <c r="G91" s="89">
        <f t="shared" si="21"/>
        <v>26</v>
      </c>
      <c r="I91" s="83">
        <v>130</v>
      </c>
      <c r="J91" t="str">
        <v/>
      </c>
      <c r="K91" t="str">
        <v/>
      </c>
      <c r="L91"/>
      <c r="M91"/>
      <c r="N91"/>
      <c r="O91"/>
      <c r="P91"/>
      <c r="Q91"/>
      <c r="R91"/>
      <c r="S91"/>
      <c r="T91"/>
      <c r="U91"/>
      <c r="V91"/>
      <c r="W91" s="43" t="s">
        <v>339</v>
      </c>
      <c r="X91" s="1" t="s">
        <v>223</v>
      </c>
      <c r="Y91" s="83" t="str">
        <f t="shared" si="22"/>
        <v>5Y</v>
      </c>
      <c r="Z91" s="83" t="str">
        <f t="shared" si="23"/>
        <v>7Y</v>
      </c>
      <c r="AA91" s="83" t="str">
        <f t="shared" si="24"/>
        <v/>
      </c>
      <c r="AB91" s="85">
        <f t="shared" si="28"/>
        <v>65</v>
      </c>
      <c r="AC91" s="85">
        <f t="shared" si="25"/>
        <v>91</v>
      </c>
      <c r="AD91" s="85" t="str">
        <f t="shared" si="25"/>
        <v/>
      </c>
    </row>
    <row r="92" spans="1:30" ht="15">
      <c r="A92" s="99" t="s">
        <v>742</v>
      </c>
      <c r="B92" s="69" t="str">
        <f t="shared" si="20"/>
        <v>111195x1        -            X          125195x1        -            X     27.00</v>
      </c>
      <c r="C92"/>
      <c r="D92" t="str">
        <f t="shared" si="26"/>
        <v>156x1</v>
      </c>
      <c r="E92" s="83">
        <f t="shared" si="29"/>
        <v>0</v>
      </c>
      <c r="F92" s="83">
        <f t="shared" si="27"/>
        <v>0</v>
      </c>
      <c r="G92" s="89">
        <f t="shared" si="21"/>
        <v>29.5</v>
      </c>
      <c r="I92" s="83">
        <v>156</v>
      </c>
      <c r="J92" t="str">
        <v/>
      </c>
      <c r="K92" t="str">
        <v/>
      </c>
      <c r="L92"/>
      <c r="M92"/>
      <c r="N92"/>
      <c r="O92"/>
      <c r="P92"/>
      <c r="Q92"/>
      <c r="R92"/>
      <c r="S92"/>
      <c r="T92"/>
      <c r="U92"/>
      <c r="V92"/>
      <c r="W92" s="43" t="s">
        <v>340</v>
      </c>
      <c r="X92" s="1" t="s">
        <v>212</v>
      </c>
      <c r="Y92" s="83" t="str">
        <f t="shared" si="22"/>
        <v>2Y</v>
      </c>
      <c r="Z92" s="83" t="str">
        <f t="shared" si="23"/>
        <v>10Y</v>
      </c>
      <c r="AA92" s="83" t="str">
        <f t="shared" si="24"/>
        <v/>
      </c>
      <c r="AB92" s="85">
        <f t="shared" si="28"/>
        <v>26</v>
      </c>
      <c r="AC92" s="85">
        <f t="shared" si="25"/>
        <v>130</v>
      </c>
      <c r="AD92" s="85" t="str">
        <f t="shared" si="25"/>
        <v/>
      </c>
    </row>
    <row r="93" spans="1:30" ht="15">
      <c r="A93" s="99" t="s">
        <v>743</v>
      </c>
      <c r="B93" s="69" t="str">
        <f t="shared" si="20"/>
        <v>112260x1        -            X          126260x1        -            X     31.50</v>
      </c>
      <c r="C93"/>
      <c r="D93" t="str">
        <f t="shared" si="26"/>
        <v>195x1</v>
      </c>
      <c r="E93" s="83">
        <f t="shared" si="29"/>
        <v>0</v>
      </c>
      <c r="F93" s="83">
        <f t="shared" si="27"/>
        <v>0</v>
      </c>
      <c r="G93" s="89">
        <f t="shared" si="21"/>
        <v>27</v>
      </c>
      <c r="I93" s="83">
        <v>195</v>
      </c>
      <c r="J93" t="str">
        <v/>
      </c>
      <c r="K93" t="str">
        <v/>
      </c>
      <c r="L93"/>
      <c r="M93"/>
      <c r="N93"/>
      <c r="O93"/>
      <c r="P93"/>
      <c r="Q93"/>
      <c r="R93"/>
      <c r="S93"/>
      <c r="T93"/>
      <c r="U93"/>
      <c r="V93"/>
      <c r="W93" s="43" t="s">
        <v>341</v>
      </c>
      <c r="X93" s="1" t="s">
        <v>198</v>
      </c>
      <c r="Y93" s="83" t="str">
        <f t="shared" si="22"/>
        <v>6M</v>
      </c>
      <c r="Z93" s="83" t="str">
        <f t="shared" si="23"/>
        <v>9M</v>
      </c>
      <c r="AA93" s="83" t="str">
        <f t="shared" si="24"/>
        <v/>
      </c>
      <c r="AB93" s="85">
        <f t="shared" si="28"/>
        <v>6</v>
      </c>
      <c r="AC93" s="85">
        <f t="shared" si="25"/>
        <v>9</v>
      </c>
      <c r="AD93" s="85" t="str">
        <f t="shared" si="25"/>
        <v/>
      </c>
    </row>
    <row r="94" spans="1:30" ht="15">
      <c r="A94" s="99" t="s">
        <v>735</v>
      </c>
      <c r="B94" s="69" t="str">
        <f t="shared" si="20"/>
        <v>113390x1        -            X          127390x1        -            X     29.50</v>
      </c>
      <c r="C94"/>
      <c r="D94" t="str">
        <f t="shared" si="26"/>
        <v>260x1</v>
      </c>
      <c r="E94" s="83">
        <f t="shared" si="29"/>
        <v>0</v>
      </c>
      <c r="F94" s="83">
        <f t="shared" si="27"/>
        <v>0</v>
      </c>
      <c r="G94" s="89">
        <f t="shared" si="21"/>
        <v>31.5</v>
      </c>
      <c r="I94" s="83">
        <v>260</v>
      </c>
      <c r="J94" t="str">
        <v/>
      </c>
      <c r="K94" t="str">
        <v/>
      </c>
      <c r="L94"/>
      <c r="M94"/>
      <c r="N94"/>
      <c r="O94"/>
      <c r="P94"/>
      <c r="Q94"/>
      <c r="R94"/>
      <c r="S94"/>
      <c r="T94"/>
      <c r="U94"/>
      <c r="V94"/>
      <c r="W94"/>
      <c r="X94" s="43"/>
    </row>
    <row r="95" spans="1:30" ht="15">
      <c r="A95" s="99" t="s">
        <v>60</v>
      </c>
      <c r="B95" s="69" t="str">
        <f t="shared" si="20"/>
        <v xml:space="preserve">2002x1          -            X                                                  </v>
      </c>
      <c r="C95"/>
      <c r="D95" t="str">
        <f t="shared" si="26"/>
        <v>390x1</v>
      </c>
      <c r="E95" s="83">
        <f t="shared" si="29"/>
        <v>0</v>
      </c>
      <c r="F95" s="83">
        <f t="shared" si="27"/>
        <v>0</v>
      </c>
      <c r="G95" s="89">
        <f t="shared" si="21"/>
        <v>29.5</v>
      </c>
      <c r="I95" s="83">
        <v>390</v>
      </c>
      <c r="J95" t="str">
        <v/>
      </c>
      <c r="K95" t="str">
        <v/>
      </c>
      <c r="L95"/>
      <c r="M95"/>
      <c r="N95"/>
      <c r="O95"/>
      <c r="P95"/>
      <c r="Q95"/>
      <c r="R95"/>
      <c r="S95"/>
      <c r="T95"/>
      <c r="U95"/>
      <c r="V95"/>
      <c r="W95"/>
      <c r="X95" s="43"/>
    </row>
    <row r="96" spans="1:30" ht="15">
      <c r="A96" s="99" t="s">
        <v>61</v>
      </c>
      <c r="B96" s="69" t="str">
        <f t="shared" ref="B96:B104" si="30">+MID(A96,1,$B$80)</f>
        <v xml:space="preserve">               SPREAD IRS               </v>
      </c>
      <c r="C96"/>
      <c r="D96" t="str">
        <f t="shared" si="26"/>
        <v>2x1</v>
      </c>
      <c r="E96" s="83">
        <f t="shared" si="29"/>
        <v>0</v>
      </c>
      <c r="F96" s="83">
        <f t="shared" si="27"/>
        <v>0</v>
      </c>
      <c r="G96" s="89">
        <f t="shared" si="21"/>
        <v>0</v>
      </c>
      <c r="I96" s="83">
        <v>2</v>
      </c>
      <c r="J96" t="str">
        <v/>
      </c>
      <c r="K96" t="str">
        <v/>
      </c>
      <c r="L96"/>
      <c r="M96"/>
      <c r="N96"/>
      <c r="O96"/>
      <c r="P96"/>
      <c r="Q96"/>
      <c r="R96"/>
      <c r="S96"/>
      <c r="T96"/>
      <c r="U96"/>
      <c r="V96"/>
      <c r="W96"/>
      <c r="X96" s="43"/>
    </row>
    <row r="97" spans="1:24" ht="15">
      <c r="A97" s="99" t="s">
        <v>789</v>
      </c>
      <c r="B97" s="69" t="str">
        <f>+MID(A97,1,$B$80)</f>
        <v>2013mx6m             -  -6.00      X1200</v>
      </c>
      <c r="C97"/>
      <c r="D97"/>
      <c r="E97" s="83"/>
      <c r="F97" s="83"/>
      <c r="G97" s="104"/>
      <c r="H97" s="105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 s="43"/>
    </row>
    <row r="98" spans="1:24" ht="15">
      <c r="A98" s="99" t="s">
        <v>792</v>
      </c>
      <c r="B98" s="69" t="str">
        <f t="shared" si="30"/>
        <v xml:space="preserve">2026mx9m       -19.00- -14.00  750 X750 </v>
      </c>
      <c r="C98"/>
      <c r="D98" s="79" t="s">
        <v>62</v>
      </c>
      <c r="E98" s="80"/>
      <c r="F98" s="80"/>
      <c r="G98" s="81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 s="43"/>
    </row>
    <row r="99" spans="1:24" ht="15">
      <c r="A99" s="99" t="s">
        <v>433</v>
      </c>
      <c r="B99" s="69" t="str">
        <f t="shared" si="30"/>
        <v xml:space="preserve">2039mx1y             -             X    </v>
      </c>
      <c r="C99"/>
      <c r="D99" s="24" t="s">
        <v>55</v>
      </c>
      <c r="E99" s="24" t="s">
        <v>29</v>
      </c>
      <c r="F99" s="24" t="s">
        <v>30</v>
      </c>
      <c r="G99" s="24" t="s">
        <v>58</v>
      </c>
      <c r="H99" s="84" t="s">
        <v>63</v>
      </c>
      <c r="I99" s="84" t="s">
        <v>64</v>
      </c>
      <c r="J99" s="84" t="s">
        <v>65</v>
      </c>
      <c r="K99" s="84" t="s">
        <v>66</v>
      </c>
      <c r="L99" s="84" t="s">
        <v>67</v>
      </c>
      <c r="M99" s="84" t="s">
        <v>68</v>
      </c>
      <c r="N99" s="84" t="s">
        <v>69</v>
      </c>
      <c r="O99" s="84" t="s">
        <v>70</v>
      </c>
      <c r="P99" s="24" t="s">
        <v>29</v>
      </c>
      <c r="Q99" s="24" t="s">
        <v>30</v>
      </c>
      <c r="R99" s="84" t="s">
        <v>64</v>
      </c>
      <c r="S99" s="84" t="s">
        <v>65</v>
      </c>
      <c r="T99"/>
      <c r="U99"/>
      <c r="V99"/>
      <c r="W99"/>
      <c r="X99" s="43"/>
    </row>
    <row r="100" spans="1:24" ht="15">
      <c r="A100" s="99" t="s">
        <v>465</v>
      </c>
      <c r="B100" s="69" t="str">
        <f t="shared" si="30"/>
        <v xml:space="preserve">2041yx2y             -             X    </v>
      </c>
      <c r="C100" s="106" t="str">
        <f>+IFERROR(MID(B97,1,IFERROR(FIND("y",B97,FIND("x",B97)),FIND("m",B97,FIND("x",B97)))),"")</f>
        <v>2013mx6m</v>
      </c>
      <c r="D100" s="69" t="str">
        <f>+IFERROR(IF(MID(B97,LEN(C100)+1,1)="x",MID(B113,4,11),MID(C100,4,LEN(C100)-3)),"")</f>
        <v>3mx6m</v>
      </c>
      <c r="E100" s="88">
        <f>+IF(D100&lt;&gt;"",IFERROR(_xlfn.NUMBERVALUE(MID(B97,LEN(D100)+4,22-LEN(D100)-4)),0),"")</f>
        <v>0</v>
      </c>
      <c r="F100" s="89">
        <f>+IF(D100&lt;&gt;"",_xlfn.NUMBERVALUE(MID(B97,23,9)),"")</f>
        <v>-6</v>
      </c>
      <c r="G100">
        <f>IF(D100&lt;&gt;"",0, "")</f>
        <v>0</v>
      </c>
      <c r="H100" s="83" t="str">
        <f>+IF(D100&lt;&gt;"", IF(LEN(D100)-LEN(SUBSTITUTE(D100,"x",""))&gt;1,"Fly","Spread"), "")</f>
        <v>Spread</v>
      </c>
      <c r="I100" s="83" t="str">
        <f>IF(D100&lt;&gt;"",IFERROR(VLOOKUP(D100, $W$81:$AD$93, 3, 0), "-"), "")</f>
        <v>3M</v>
      </c>
      <c r="J100" s="83" t="str">
        <f>IF(D100&lt;&gt;"",IFERROR(VLOOKUP(D100, $W$81:$AD$93, 4, 0), "-"), "")</f>
        <v>6M</v>
      </c>
      <c r="K100" s="83" t="str">
        <f>IF(D100&lt;&gt;"",IFERROR(VLOOKUP(D100, $W$81:$AD$93, 5, 0), "-"), "")</f>
        <v/>
      </c>
      <c r="L100" s="85">
        <f>+IFERROR(IF(IFERROR(FIND("M",I100)&gt;0,FALSE),_xlfn.NUMBERVALUE(MID(I100,1,LEN(I100)-1)),MID(I100,1,LEN(I100)-1)*13),"")</f>
        <v>3</v>
      </c>
      <c r="M100" s="85">
        <f>+IFERROR(IF(IFERROR(FIND("M",J100)&gt;0,FALSE),_xlfn.NUMBERVALUE(MID(J100,1,LEN(J100)-1)),MID(J100,1,LEN(J100)-1)*13),"")</f>
        <v>6</v>
      </c>
      <c r="N100" s="85" t="str">
        <f t="shared" ref="N100:N111" si="31">+IFERROR(IF(IFERROR(FIND("M",K100)&gt;0,FALSE),_xlfn.NUMBERVALUE(MID(K100,1,LEN(K100)-1)),MID(K100,1,LEN(K100)-1)*13),"")</f>
        <v/>
      </c>
      <c r="O100" t="str">
        <f>IF(D100&lt;&gt;"",IFERROR(VLOOKUP(D100, $W$81:$AD$93, 2, 0), "-"), "")</f>
        <v>3M-6M</v>
      </c>
      <c r="P100" s="88">
        <f>+E100</f>
        <v>0</v>
      </c>
      <c r="Q100" s="88">
        <f>+F100</f>
        <v>-6</v>
      </c>
      <c r="R100" s="85">
        <f>+L100</f>
        <v>3</v>
      </c>
      <c r="S100" s="85">
        <f>+M100</f>
        <v>6</v>
      </c>
      <c r="T100"/>
      <c r="U100"/>
      <c r="V100"/>
      <c r="W100"/>
      <c r="X100" s="43"/>
    </row>
    <row r="101" spans="1:24" ht="15">
      <c r="A101" s="99" t="s">
        <v>377</v>
      </c>
      <c r="B101" s="69" t="str">
        <f t="shared" si="30"/>
        <v xml:space="preserve">2052yx3y             -             X    </v>
      </c>
      <c r="C101" s="106" t="str">
        <f t="shared" ref="C101:C106" si="32">+IFERROR(MID(B98,1,IFERROR(FIND("y",B98,FIND("x",B98)),FIND("m",B98,FIND("x",B98)))),"")</f>
        <v>2026mx9m</v>
      </c>
      <c r="D101" s="69" t="str">
        <f t="shared" ref="D101:D111" si="33">+IFERROR(IF(MID(B98,LEN(C101)+1,1)="x",MID(B114,4,11),MID(C101,4,LEN(C101)-3)),"")</f>
        <v>6mx9m</v>
      </c>
      <c r="E101" s="88">
        <f t="shared" ref="E101:E111" si="34">+IF(D101&lt;&gt;"",IFERROR(_xlfn.NUMBERVALUE(MID(B98,LEN(D101)+4,22-LEN(D101)-4)),0),"")</f>
        <v>-19</v>
      </c>
      <c r="F101" s="89">
        <f t="shared" ref="F101:F111" si="35">+IF(D101&lt;&gt;"",_xlfn.NUMBERVALUE(MID(B98,23,9)),"")</f>
        <v>-14</v>
      </c>
      <c r="G101">
        <f t="shared" ref="G101:G111" si="36">IF(D101&lt;&gt;"",0, "")</f>
        <v>0</v>
      </c>
      <c r="H101" s="83" t="str">
        <f t="shared" ref="H101:H111" si="37">+IF(D101&lt;&gt;"", IF(LEN(D101)-LEN(SUBSTITUTE(D101,"x",""))&gt;1,"Fly","Spread"), "")</f>
        <v>Spread</v>
      </c>
      <c r="I101" s="83" t="str">
        <f t="shared" ref="I101:I111" si="38">IF(D101&lt;&gt;"",IFERROR(VLOOKUP(D101, $W$81:$AD$93, 3, 0), "-"), "")</f>
        <v>6M</v>
      </c>
      <c r="J101" s="83" t="str">
        <f t="shared" ref="J101:J111" si="39">IF(D101&lt;&gt;"",IFERROR(VLOOKUP(D101, $W$81:$AD$93, 4, 0), "-"), "")</f>
        <v>9M</v>
      </c>
      <c r="K101" s="83" t="str">
        <f t="shared" ref="K101:K111" si="40">IF(D101&lt;&gt;"",IFERROR(VLOOKUP(D101, $W$81:$AD$93, 5, 0), "-"), "")</f>
        <v/>
      </c>
      <c r="L101" s="85">
        <f t="shared" ref="L101:M111" si="41">+IFERROR(IF(IFERROR(FIND("M",I101)&gt;0,FALSE),_xlfn.NUMBERVALUE(MID(I101,1,LEN(I101)-1)),MID(I101,1,LEN(I101)-1)*13),"")</f>
        <v>6</v>
      </c>
      <c r="M101" s="85">
        <f t="shared" si="41"/>
        <v>9</v>
      </c>
      <c r="N101" s="85" t="str">
        <f t="shared" si="31"/>
        <v/>
      </c>
      <c r="O101" t="str">
        <f t="shared" ref="O101:O111" si="42">IF(D101&lt;&gt;"",IFERROR(VLOOKUP(D101, $W$81:$AD$93, 2, 0), "-"), "")</f>
        <v>6M-9M</v>
      </c>
      <c r="P101" s="88">
        <f t="shared" ref="P101:Q111" si="43">+E101</f>
        <v>-19</v>
      </c>
      <c r="Q101" s="88">
        <f t="shared" si="43"/>
        <v>-14</v>
      </c>
      <c r="R101" s="85">
        <f t="shared" ref="R101:S111" si="44">+L101</f>
        <v>6</v>
      </c>
      <c r="S101" s="85">
        <f t="shared" si="44"/>
        <v>9</v>
      </c>
      <c r="T101"/>
      <c r="U101"/>
      <c r="V101"/>
      <c r="W101"/>
      <c r="X101" s="43"/>
    </row>
    <row r="102" spans="1:24" ht="15">
      <c r="A102" s="99" t="s">
        <v>378</v>
      </c>
      <c r="B102" s="69" t="str">
        <f t="shared" si="30"/>
        <v xml:space="preserve">2062yx10y            -             X    </v>
      </c>
      <c r="C102" s="106" t="str">
        <f t="shared" si="32"/>
        <v>2039mx1y</v>
      </c>
      <c r="D102" s="69" t="str">
        <f t="shared" si="33"/>
        <v>9mx1y</v>
      </c>
      <c r="E102" s="88">
        <f t="shared" si="34"/>
        <v>0</v>
      </c>
      <c r="F102" s="89">
        <f t="shared" si="35"/>
        <v>0</v>
      </c>
      <c r="G102">
        <f t="shared" si="36"/>
        <v>0</v>
      </c>
      <c r="H102" s="83" t="str">
        <f t="shared" si="37"/>
        <v>Spread</v>
      </c>
      <c r="I102" s="83" t="str">
        <f t="shared" si="38"/>
        <v>9M</v>
      </c>
      <c r="J102" s="83" t="str">
        <f t="shared" si="39"/>
        <v>1Y</v>
      </c>
      <c r="K102" s="83" t="str">
        <f t="shared" si="40"/>
        <v/>
      </c>
      <c r="L102" s="85">
        <f t="shared" si="41"/>
        <v>9</v>
      </c>
      <c r="M102" s="85">
        <f t="shared" si="41"/>
        <v>13</v>
      </c>
      <c r="N102" s="85" t="str">
        <f t="shared" si="31"/>
        <v/>
      </c>
      <c r="O102" t="str">
        <f t="shared" si="42"/>
        <v>9M-1Y</v>
      </c>
      <c r="P102" s="88">
        <f t="shared" si="43"/>
        <v>0</v>
      </c>
      <c r="Q102" s="88">
        <f t="shared" si="43"/>
        <v>0</v>
      </c>
      <c r="R102" s="85">
        <f t="shared" si="44"/>
        <v>9</v>
      </c>
      <c r="S102" s="85">
        <f t="shared" si="44"/>
        <v>13</v>
      </c>
      <c r="T102"/>
      <c r="U102"/>
      <c r="V102"/>
      <c r="W102"/>
      <c r="X102" s="43"/>
    </row>
    <row r="103" spans="1:24" ht="15">
      <c r="A103" s="99" t="s">
        <v>379</v>
      </c>
      <c r="B103" s="69" t="str">
        <f t="shared" si="30"/>
        <v xml:space="preserve">2073yx4y             -             X    </v>
      </c>
      <c r="C103" s="106" t="str">
        <f t="shared" si="32"/>
        <v>2041yx2y</v>
      </c>
      <c r="D103" s="69" t="str">
        <f t="shared" si="33"/>
        <v>1yx2y</v>
      </c>
      <c r="E103" s="88">
        <f t="shared" si="34"/>
        <v>0</v>
      </c>
      <c r="F103" s="89">
        <f t="shared" si="35"/>
        <v>0</v>
      </c>
      <c r="G103">
        <f t="shared" si="36"/>
        <v>0</v>
      </c>
      <c r="H103" s="83" t="str">
        <f t="shared" si="37"/>
        <v>Spread</v>
      </c>
      <c r="I103" s="83" t="str">
        <f t="shared" si="38"/>
        <v>1Y</v>
      </c>
      <c r="J103" s="83" t="str">
        <f t="shared" si="39"/>
        <v>2Y</v>
      </c>
      <c r="K103" s="83" t="str">
        <f t="shared" si="40"/>
        <v/>
      </c>
      <c r="L103" s="85">
        <f t="shared" si="41"/>
        <v>13</v>
      </c>
      <c r="M103" s="85">
        <f t="shared" si="41"/>
        <v>26</v>
      </c>
      <c r="N103" s="85" t="str">
        <f t="shared" si="31"/>
        <v/>
      </c>
      <c r="O103" t="str">
        <f t="shared" si="42"/>
        <v>1Y-2Y</v>
      </c>
      <c r="P103" s="88">
        <f t="shared" si="43"/>
        <v>0</v>
      </c>
      <c r="Q103" s="88">
        <f t="shared" si="43"/>
        <v>0</v>
      </c>
      <c r="R103" s="85">
        <f t="shared" si="44"/>
        <v>13</v>
      </c>
      <c r="S103" s="85">
        <f t="shared" si="44"/>
        <v>26</v>
      </c>
      <c r="T103"/>
      <c r="U103"/>
      <c r="V103"/>
      <c r="W103"/>
      <c r="X103" s="43"/>
    </row>
    <row r="104" spans="1:24" ht="15">
      <c r="A104" s="99" t="s">
        <v>464</v>
      </c>
      <c r="B104" s="69" t="str">
        <f t="shared" si="30"/>
        <v xml:space="preserve">2084yx5y             -             X    </v>
      </c>
      <c r="C104" s="106" t="str">
        <f t="shared" si="32"/>
        <v>2052yx3y</v>
      </c>
      <c r="D104" s="69" t="str">
        <f t="shared" si="33"/>
        <v>2yx3y</v>
      </c>
      <c r="E104" s="88">
        <f t="shared" si="34"/>
        <v>0</v>
      </c>
      <c r="F104" s="89">
        <f t="shared" si="35"/>
        <v>0</v>
      </c>
      <c r="G104">
        <f t="shared" si="36"/>
        <v>0</v>
      </c>
      <c r="H104" s="83" t="str">
        <f t="shared" si="37"/>
        <v>Spread</v>
      </c>
      <c r="I104" s="83" t="str">
        <f t="shared" si="38"/>
        <v>2Y</v>
      </c>
      <c r="J104" s="83" t="str">
        <f t="shared" si="39"/>
        <v>3Y</v>
      </c>
      <c r="K104" s="83" t="str">
        <f t="shared" si="40"/>
        <v/>
      </c>
      <c r="L104" s="85">
        <f t="shared" si="41"/>
        <v>26</v>
      </c>
      <c r="M104" s="85">
        <f t="shared" si="41"/>
        <v>39</v>
      </c>
      <c r="N104" s="85" t="str">
        <f t="shared" si="31"/>
        <v/>
      </c>
      <c r="O104" t="str">
        <f t="shared" si="42"/>
        <v>2Y-3Y</v>
      </c>
      <c r="P104" s="88">
        <f t="shared" si="43"/>
        <v>0</v>
      </c>
      <c r="Q104" s="88">
        <f t="shared" si="43"/>
        <v>0</v>
      </c>
      <c r="R104" s="85">
        <f t="shared" si="44"/>
        <v>26</v>
      </c>
      <c r="S104" s="85">
        <f t="shared" si="44"/>
        <v>39</v>
      </c>
      <c r="T104"/>
      <c r="U104"/>
      <c r="V104"/>
      <c r="W104"/>
      <c r="X104" s="43"/>
    </row>
    <row r="105" spans="1:24" ht="15">
      <c r="A105"/>
      <c r="B105" s="69" t="str">
        <f>+MID(A97,1+$B$80,$C$80-$B$80-1)</f>
        <v xml:space="preserve">2095yx7y             -             X   </v>
      </c>
      <c r="C105" s="106" t="str">
        <f t="shared" si="32"/>
        <v>2062yx10y</v>
      </c>
      <c r="D105" s="69" t="str">
        <f t="shared" si="33"/>
        <v>2yx10y</v>
      </c>
      <c r="E105" s="88">
        <f t="shared" si="34"/>
        <v>0</v>
      </c>
      <c r="F105" s="89">
        <f t="shared" si="35"/>
        <v>0</v>
      </c>
      <c r="G105">
        <f t="shared" si="36"/>
        <v>0</v>
      </c>
      <c r="H105" s="83" t="str">
        <f t="shared" si="37"/>
        <v>Spread</v>
      </c>
      <c r="I105" s="83" t="str">
        <f t="shared" si="38"/>
        <v>2Y</v>
      </c>
      <c r="J105" s="83" t="str">
        <f t="shared" si="39"/>
        <v>10Y</v>
      </c>
      <c r="K105" s="83" t="str">
        <f t="shared" si="40"/>
        <v/>
      </c>
      <c r="L105" s="85">
        <f t="shared" si="41"/>
        <v>26</v>
      </c>
      <c r="M105" s="85">
        <f t="shared" si="41"/>
        <v>130</v>
      </c>
      <c r="N105" s="85" t="str">
        <f t="shared" si="31"/>
        <v/>
      </c>
      <c r="O105" t="str">
        <f t="shared" si="42"/>
        <v>2Y-10Y</v>
      </c>
      <c r="P105" s="88">
        <f t="shared" si="43"/>
        <v>0</v>
      </c>
      <c r="Q105" s="88">
        <f t="shared" si="43"/>
        <v>0</v>
      </c>
      <c r="R105" s="85">
        <f t="shared" si="44"/>
        <v>26</v>
      </c>
      <c r="S105" s="85">
        <f t="shared" si="44"/>
        <v>130</v>
      </c>
      <c r="T105"/>
      <c r="U105"/>
      <c r="V105"/>
      <c r="W105"/>
      <c r="X105" s="43"/>
    </row>
    <row r="106" spans="1:24" ht="15">
      <c r="A106"/>
      <c r="B106" s="69" t="str">
        <f t="shared" ref="B106:B112" si="45">+MID(A98,1+$B$80,$C$80-$B$80-1)</f>
        <v xml:space="preserve">2105yx10y            -             X   </v>
      </c>
      <c r="C106" s="106" t="str">
        <f t="shared" si="32"/>
        <v>2073yx4y</v>
      </c>
      <c r="D106" s="69" t="str">
        <f t="shared" si="33"/>
        <v>3yx4y</v>
      </c>
      <c r="E106" s="88">
        <f t="shared" si="34"/>
        <v>0</v>
      </c>
      <c r="F106" s="89">
        <f t="shared" si="35"/>
        <v>0</v>
      </c>
      <c r="G106">
        <f t="shared" si="36"/>
        <v>0</v>
      </c>
      <c r="H106" s="83" t="str">
        <f t="shared" si="37"/>
        <v>Spread</v>
      </c>
      <c r="I106" s="83" t="str">
        <f t="shared" si="38"/>
        <v>3Y</v>
      </c>
      <c r="J106" s="83" t="str">
        <f t="shared" si="39"/>
        <v>4Y</v>
      </c>
      <c r="K106" s="83" t="str">
        <f t="shared" si="40"/>
        <v/>
      </c>
      <c r="L106" s="85">
        <f t="shared" si="41"/>
        <v>39</v>
      </c>
      <c r="M106" s="85">
        <f t="shared" si="41"/>
        <v>52</v>
      </c>
      <c r="N106" s="85" t="str">
        <f t="shared" si="31"/>
        <v/>
      </c>
      <c r="O106" t="str">
        <f t="shared" si="42"/>
        <v>3Y-4Y</v>
      </c>
      <c r="P106" s="88">
        <f t="shared" si="43"/>
        <v>0</v>
      </c>
      <c r="Q106" s="88">
        <f t="shared" si="43"/>
        <v>0</v>
      </c>
      <c r="R106" s="85">
        <f t="shared" si="44"/>
        <v>39</v>
      </c>
      <c r="S106" s="85">
        <f t="shared" si="44"/>
        <v>52</v>
      </c>
      <c r="T106"/>
      <c r="U106"/>
      <c r="V106"/>
      <c r="W106"/>
      <c r="X106" s="43"/>
    </row>
    <row r="107" spans="1:24" ht="15">
      <c r="A107"/>
      <c r="B107" s="69" t="str">
        <f t="shared" si="45"/>
        <v xml:space="preserve">2117yx10y            -             X   </v>
      </c>
      <c r="C107" s="106" t="str">
        <f>+IFERROR(MID(B104,1,IFERROR(FIND("y",B104,FIND("x",B104)),FIND("m",B104,FIND("x",B104)))),"")</f>
        <v>2084yx5y</v>
      </c>
      <c r="D107" s="69" t="str">
        <f t="shared" si="33"/>
        <v>4yx5y</v>
      </c>
      <c r="E107" s="88">
        <f t="shared" si="34"/>
        <v>0</v>
      </c>
      <c r="F107" s="89">
        <f t="shared" si="35"/>
        <v>0</v>
      </c>
      <c r="G107">
        <f t="shared" si="36"/>
        <v>0</v>
      </c>
      <c r="H107" s="83" t="str">
        <f t="shared" si="37"/>
        <v>Spread</v>
      </c>
      <c r="I107" s="83" t="str">
        <f t="shared" si="38"/>
        <v>4Y</v>
      </c>
      <c r="J107" s="83" t="str">
        <f t="shared" si="39"/>
        <v>5Y</v>
      </c>
      <c r="K107" s="83" t="str">
        <f t="shared" si="40"/>
        <v/>
      </c>
      <c r="L107" s="85">
        <f t="shared" si="41"/>
        <v>52</v>
      </c>
      <c r="M107" s="85">
        <f t="shared" si="41"/>
        <v>65</v>
      </c>
      <c r="N107" s="85" t="str">
        <f t="shared" si="31"/>
        <v/>
      </c>
      <c r="O107" t="str">
        <f t="shared" si="42"/>
        <v>4Y-5Y</v>
      </c>
      <c r="P107" s="88">
        <f t="shared" si="43"/>
        <v>0</v>
      </c>
      <c r="Q107" s="88">
        <f t="shared" si="43"/>
        <v>0</v>
      </c>
      <c r="R107" s="85">
        <f t="shared" si="44"/>
        <v>52</v>
      </c>
      <c r="S107" s="85">
        <f t="shared" si="44"/>
        <v>65</v>
      </c>
      <c r="T107"/>
      <c r="U107"/>
      <c r="V107"/>
      <c r="W107"/>
      <c r="X107" s="43"/>
    </row>
    <row r="108" spans="1:24" ht="15">
      <c r="A108"/>
      <c r="B108" s="69" t="str">
        <f t="shared" si="45"/>
        <v xml:space="preserve">21210yx12y           -             X   </v>
      </c>
      <c r="C108" s="106" t="str">
        <f t="shared" ref="C108:C111" si="46">+IFERROR(MID(B105,1,IFERROR(FIND("y",B105,FIND("x",B105)),FIND("m",B105,FIND("x",B105)))),"")</f>
        <v>2095yx7y</v>
      </c>
      <c r="D108" s="69" t="str">
        <f t="shared" si="33"/>
        <v>5yx7y</v>
      </c>
      <c r="E108" s="88">
        <f t="shared" si="34"/>
        <v>0</v>
      </c>
      <c r="F108" s="89">
        <f t="shared" si="35"/>
        <v>0</v>
      </c>
      <c r="G108">
        <f t="shared" si="36"/>
        <v>0</v>
      </c>
      <c r="H108" s="83" t="str">
        <f t="shared" si="37"/>
        <v>Spread</v>
      </c>
      <c r="I108" s="83" t="str">
        <f t="shared" si="38"/>
        <v>5Y</v>
      </c>
      <c r="J108" s="83" t="str">
        <f t="shared" si="39"/>
        <v>7Y</v>
      </c>
      <c r="K108" s="83" t="str">
        <f t="shared" si="40"/>
        <v/>
      </c>
      <c r="L108" s="85">
        <f t="shared" si="41"/>
        <v>65</v>
      </c>
      <c r="M108" s="85">
        <f t="shared" si="41"/>
        <v>91</v>
      </c>
      <c r="N108" s="85" t="str">
        <f t="shared" si="31"/>
        <v/>
      </c>
      <c r="O108" t="str">
        <f t="shared" si="42"/>
        <v>5Y-7Y</v>
      </c>
      <c r="P108" s="88">
        <f t="shared" si="43"/>
        <v>0</v>
      </c>
      <c r="Q108" s="88">
        <f t="shared" si="43"/>
        <v>0</v>
      </c>
      <c r="R108" s="85">
        <f t="shared" si="44"/>
        <v>65</v>
      </c>
      <c r="S108" s="85">
        <f t="shared" si="44"/>
        <v>91</v>
      </c>
      <c r="T108"/>
      <c r="U108"/>
      <c r="V108"/>
      <c r="W108"/>
      <c r="X108" s="43"/>
    </row>
    <row r="109" spans="1:24" ht="15">
      <c r="A109"/>
      <c r="B109" s="69" t="str">
        <f t="shared" si="45"/>
        <v xml:space="preserve">                                       </v>
      </c>
      <c r="C109" s="106" t="str">
        <f t="shared" si="46"/>
        <v>2105yx10y</v>
      </c>
      <c r="D109" s="69" t="str">
        <f t="shared" si="33"/>
        <v>5yx10y</v>
      </c>
      <c r="E109" s="88">
        <f t="shared" si="34"/>
        <v>0</v>
      </c>
      <c r="F109" s="89">
        <f t="shared" si="35"/>
        <v>0</v>
      </c>
      <c r="G109">
        <f t="shared" si="36"/>
        <v>0</v>
      </c>
      <c r="H109" s="83" t="str">
        <f t="shared" si="37"/>
        <v>Spread</v>
      </c>
      <c r="I109" s="83" t="str">
        <f t="shared" si="38"/>
        <v>5Y</v>
      </c>
      <c r="J109" s="83" t="str">
        <f t="shared" si="39"/>
        <v>10Y</v>
      </c>
      <c r="K109" s="83" t="str">
        <f t="shared" si="40"/>
        <v/>
      </c>
      <c r="L109" s="85">
        <f t="shared" si="41"/>
        <v>65</v>
      </c>
      <c r="M109" s="85">
        <f t="shared" si="41"/>
        <v>130</v>
      </c>
      <c r="N109" s="85" t="str">
        <f t="shared" si="31"/>
        <v/>
      </c>
      <c r="O109" t="str">
        <f t="shared" si="42"/>
        <v>5Y-10Y</v>
      </c>
      <c r="P109" s="88">
        <f t="shared" si="43"/>
        <v>0</v>
      </c>
      <c r="Q109" s="88">
        <f t="shared" si="43"/>
        <v>0</v>
      </c>
      <c r="R109" s="85">
        <f t="shared" si="44"/>
        <v>65</v>
      </c>
      <c r="S109" s="85">
        <f t="shared" si="44"/>
        <v>130</v>
      </c>
      <c r="T109"/>
      <c r="U109"/>
      <c r="V109"/>
      <c r="W109"/>
      <c r="X109" s="43"/>
    </row>
    <row r="110" spans="1:24" ht="15">
      <c r="A110"/>
      <c r="B110" s="69" t="str">
        <f t="shared" si="45"/>
        <v xml:space="preserve">                                       </v>
      </c>
      <c r="C110" s="106" t="str">
        <f t="shared" si="46"/>
        <v>2117yx10y</v>
      </c>
      <c r="D110" s="69" t="str">
        <f t="shared" si="33"/>
        <v>7yx10y</v>
      </c>
      <c r="E110" s="88">
        <f t="shared" si="34"/>
        <v>0</v>
      </c>
      <c r="F110" s="89">
        <f t="shared" si="35"/>
        <v>0</v>
      </c>
      <c r="G110">
        <f t="shared" si="36"/>
        <v>0</v>
      </c>
      <c r="H110" s="83" t="str">
        <f t="shared" si="37"/>
        <v>Spread</v>
      </c>
      <c r="I110" s="83" t="str">
        <f t="shared" si="38"/>
        <v>7Y</v>
      </c>
      <c r="J110" s="83" t="str">
        <f t="shared" si="39"/>
        <v>10Y</v>
      </c>
      <c r="K110" s="83" t="str">
        <f t="shared" si="40"/>
        <v/>
      </c>
      <c r="L110" s="85">
        <f t="shared" si="41"/>
        <v>91</v>
      </c>
      <c r="M110" s="85">
        <f t="shared" si="41"/>
        <v>130</v>
      </c>
      <c r="N110" s="85" t="str">
        <f t="shared" si="31"/>
        <v/>
      </c>
      <c r="O110" t="str">
        <f t="shared" si="42"/>
        <v>7Y-10Y</v>
      </c>
      <c r="P110" s="88">
        <f t="shared" si="43"/>
        <v>0</v>
      </c>
      <c r="Q110" s="88">
        <f t="shared" si="43"/>
        <v>0</v>
      </c>
      <c r="R110" s="85">
        <f t="shared" si="44"/>
        <v>91</v>
      </c>
      <c r="S110" s="85">
        <f t="shared" si="44"/>
        <v>130</v>
      </c>
      <c r="T110"/>
      <c r="U110"/>
      <c r="V110"/>
      <c r="W110"/>
      <c r="X110" s="43"/>
    </row>
    <row r="111" spans="1:24" ht="15">
      <c r="A111"/>
      <c r="B111" s="69" t="str">
        <f t="shared" si="45"/>
        <v xml:space="preserve">                                       </v>
      </c>
      <c r="C111" s="106" t="str">
        <f t="shared" si="46"/>
        <v>21210yx12y</v>
      </c>
      <c r="D111" s="69" t="str">
        <f t="shared" si="33"/>
        <v>10yx12y</v>
      </c>
      <c r="E111" s="88">
        <f t="shared" si="34"/>
        <v>0</v>
      </c>
      <c r="F111" s="89">
        <f t="shared" si="35"/>
        <v>0</v>
      </c>
      <c r="G111">
        <f t="shared" si="36"/>
        <v>0</v>
      </c>
      <c r="H111" s="83" t="str">
        <f t="shared" si="37"/>
        <v>Spread</v>
      </c>
      <c r="I111" s="83" t="str">
        <f t="shared" si="38"/>
        <v>10Y</v>
      </c>
      <c r="J111" s="83" t="str">
        <f t="shared" si="39"/>
        <v>12Y</v>
      </c>
      <c r="K111" s="83" t="str">
        <f t="shared" si="40"/>
        <v/>
      </c>
      <c r="L111" s="85">
        <f t="shared" si="41"/>
        <v>130</v>
      </c>
      <c r="M111" s="85">
        <f t="shared" si="41"/>
        <v>156</v>
      </c>
      <c r="N111" s="85" t="str">
        <f t="shared" si="31"/>
        <v/>
      </c>
      <c r="O111" t="str">
        <f t="shared" si="42"/>
        <v>10Y-12Y</v>
      </c>
      <c r="P111" s="88">
        <f t="shared" si="43"/>
        <v>0</v>
      </c>
      <c r="Q111" s="88">
        <f t="shared" si="43"/>
        <v>0</v>
      </c>
      <c r="R111" s="85">
        <f t="shared" si="44"/>
        <v>130</v>
      </c>
      <c r="S111" s="85">
        <f t="shared" si="44"/>
        <v>156</v>
      </c>
      <c r="T111"/>
      <c r="U111"/>
      <c r="V111"/>
      <c r="W111"/>
      <c r="X111" s="43"/>
    </row>
    <row r="112" spans="1:24" ht="15">
      <c r="A112"/>
      <c r="B112" s="69" t="str">
        <f t="shared" si="45"/>
        <v xml:space="preserve">                                       </v>
      </c>
      <c r="C112" s="106" t="str">
        <f t="shared" ref="C112:C118" si="47">+IFERROR(MID(B109,1,IFERROR(FIND("y",B109,FIND("x",B109)),FIND("m",B109,FIND("x",B109)))),"")</f>
        <v/>
      </c>
      <c r="D112" s="69" t="str">
        <f t="shared" ref="D112:D118" si="48">+IFERROR(IF(MID(B109,LEN(C112)+1,1)="x",MID(B125,4,11),MID(C112,4,LEN(C112)-3)),"")</f>
        <v/>
      </c>
      <c r="E112" s="88" t="str">
        <f t="shared" ref="E112:E118" si="49">+IF(D112&lt;&gt;"",IFERROR(_xlfn.NUMBERVALUE(MID(B109,LEN(D112)+4,22-LEN(D112)-4)),0),"")</f>
        <v/>
      </c>
      <c r="F112" s="89" t="str">
        <f t="shared" ref="F112:F118" si="50">+IF(D112&lt;&gt;"",_xlfn.NUMBERVALUE(MID(B109,23,9)),"")</f>
        <v/>
      </c>
      <c r="G112" t="str">
        <f t="shared" ref="G112:G118" si="51">IF(D112&lt;&gt;"",0, "")</f>
        <v/>
      </c>
      <c r="H112" s="83" t="str">
        <f t="shared" ref="H112:H118" si="52">+IF(D112&lt;&gt;"", IF(LEN(D112)-LEN(SUBSTITUTE(D112,"x",""))&gt;1,"Fly","Spread"), "")</f>
        <v/>
      </c>
      <c r="I112" s="83" t="str">
        <f t="shared" ref="I112:I118" si="53">IF(D112&lt;&gt;"",IFERROR(VLOOKUP(D112, $W$81:$AD$93, 3, 0), "-"), "")</f>
        <v/>
      </c>
      <c r="J112" s="83" t="str">
        <f t="shared" ref="J112:J118" si="54">IF(D112&lt;&gt;"",IFERROR(VLOOKUP(D112, $W$81:$AD$93, 4, 0), "-"), "")</f>
        <v/>
      </c>
      <c r="K112" s="83" t="str">
        <f t="shared" ref="K112:K118" si="55">IF(D112&lt;&gt;"",IFERROR(VLOOKUP(D112, $W$81:$AD$93, 5, 0), "-"), "")</f>
        <v/>
      </c>
      <c r="L112" s="85" t="str">
        <f t="shared" ref="L112:L118" si="56">+IFERROR(IF(IFERROR(FIND("M",I112)&gt;0,FALSE),_xlfn.NUMBERVALUE(MID(I112,1,LEN(I112)-1)),MID(I112,1,LEN(I112)-1)*13),"")</f>
        <v/>
      </c>
      <c r="M112" s="85" t="str">
        <f t="shared" ref="M112:M118" si="57">+IFERROR(IF(IFERROR(FIND("M",J112)&gt;0,FALSE),_xlfn.NUMBERVALUE(MID(J112,1,LEN(J112)-1)),MID(J112,1,LEN(J112)-1)*13),"")</f>
        <v/>
      </c>
      <c r="N112" s="85" t="str">
        <f t="shared" ref="N112:N118" si="58">+IFERROR(IF(IFERROR(FIND("M",K112)&gt;0,FALSE),_xlfn.NUMBERVALUE(MID(K112,1,LEN(K112)-1)),MID(K112,1,LEN(K112)-1)*13),"")</f>
        <v/>
      </c>
      <c r="O112" t="str">
        <f t="shared" ref="O112:O118" si="59">IF(D112&lt;&gt;"",IFERROR(VLOOKUP(D112, $W$81:$AD$93, 2, 0), "-"), "")</f>
        <v/>
      </c>
      <c r="P112" s="88" t="str">
        <f t="shared" ref="P112:P118" si="60">+E112</f>
        <v/>
      </c>
      <c r="Q112" s="88" t="str">
        <f t="shared" ref="Q112:Q118" si="61">+F112</f>
        <v/>
      </c>
      <c r="R112" s="85" t="str">
        <f t="shared" ref="R112:R118" si="62">+L112</f>
        <v/>
      </c>
      <c r="S112" s="85" t="str">
        <f t="shared" ref="S112:S118" si="63">+M112</f>
        <v/>
      </c>
      <c r="T112"/>
      <c r="U112"/>
      <c r="V112"/>
      <c r="W112"/>
      <c r="X112" s="43"/>
    </row>
    <row r="113" spans="1:24" ht="15">
      <c r="A113"/>
      <c r="B113" s="69"/>
      <c r="C113" s="106" t="str">
        <f t="shared" si="47"/>
        <v/>
      </c>
      <c r="D113" s="69" t="str">
        <f t="shared" si="48"/>
        <v/>
      </c>
      <c r="E113" s="88" t="str">
        <f t="shared" si="49"/>
        <v/>
      </c>
      <c r="F113" s="89" t="str">
        <f t="shared" si="50"/>
        <v/>
      </c>
      <c r="G113" t="str">
        <f t="shared" si="51"/>
        <v/>
      </c>
      <c r="H113" s="83" t="str">
        <f t="shared" si="52"/>
        <v/>
      </c>
      <c r="I113" s="83" t="str">
        <f t="shared" si="53"/>
        <v/>
      </c>
      <c r="J113" s="83" t="str">
        <f t="shared" si="54"/>
        <v/>
      </c>
      <c r="K113" s="83" t="str">
        <f t="shared" si="55"/>
        <v/>
      </c>
      <c r="L113" s="85" t="str">
        <f t="shared" si="56"/>
        <v/>
      </c>
      <c r="M113" s="85" t="str">
        <f t="shared" si="57"/>
        <v/>
      </c>
      <c r="N113" s="85" t="str">
        <f t="shared" si="58"/>
        <v/>
      </c>
      <c r="O113" t="str">
        <f t="shared" si="59"/>
        <v/>
      </c>
      <c r="P113" s="88" t="str">
        <f t="shared" si="60"/>
        <v/>
      </c>
      <c r="Q113" s="88" t="str">
        <f t="shared" si="61"/>
        <v/>
      </c>
      <c r="R113" s="85" t="str">
        <f t="shared" si="62"/>
        <v/>
      </c>
      <c r="S113" s="85" t="str">
        <f t="shared" si="63"/>
        <v/>
      </c>
      <c r="T113"/>
      <c r="U113"/>
      <c r="V113"/>
      <c r="W113"/>
      <c r="X113" s="43"/>
    </row>
    <row r="114" spans="1:24" ht="15">
      <c r="A114"/>
      <c r="B114" s="69"/>
      <c r="C114" s="106" t="str">
        <f t="shared" si="47"/>
        <v/>
      </c>
      <c r="D114" s="69" t="str">
        <f t="shared" si="48"/>
        <v/>
      </c>
      <c r="E114" s="88" t="str">
        <f t="shared" si="49"/>
        <v/>
      </c>
      <c r="F114" s="89" t="str">
        <f t="shared" si="50"/>
        <v/>
      </c>
      <c r="G114" t="str">
        <f t="shared" si="51"/>
        <v/>
      </c>
      <c r="H114" s="83" t="str">
        <f t="shared" si="52"/>
        <v/>
      </c>
      <c r="I114" s="83" t="str">
        <f t="shared" si="53"/>
        <v/>
      </c>
      <c r="J114" s="83" t="str">
        <f t="shared" si="54"/>
        <v/>
      </c>
      <c r="K114" s="83" t="str">
        <f t="shared" si="55"/>
        <v/>
      </c>
      <c r="L114" s="85" t="str">
        <f t="shared" si="56"/>
        <v/>
      </c>
      <c r="M114" s="85" t="str">
        <f t="shared" si="57"/>
        <v/>
      </c>
      <c r="N114" s="85" t="str">
        <f t="shared" si="58"/>
        <v/>
      </c>
      <c r="O114" t="str">
        <f t="shared" si="59"/>
        <v/>
      </c>
      <c r="P114" s="88" t="str">
        <f t="shared" si="60"/>
        <v/>
      </c>
      <c r="Q114" s="88" t="str">
        <f t="shared" si="61"/>
        <v/>
      </c>
      <c r="R114" s="85" t="str">
        <f t="shared" si="62"/>
        <v/>
      </c>
      <c r="S114" s="85" t="str">
        <f t="shared" si="63"/>
        <v/>
      </c>
      <c r="T114"/>
      <c r="U114"/>
      <c r="V114"/>
      <c r="W114"/>
      <c r="X114" s="43"/>
    </row>
    <row r="115" spans="1:24" ht="15">
      <c r="A115"/>
      <c r="B115" s="69"/>
      <c r="C115" s="106" t="str">
        <f t="shared" si="47"/>
        <v/>
      </c>
      <c r="D115" s="69" t="str">
        <f t="shared" si="48"/>
        <v/>
      </c>
      <c r="E115" s="88" t="str">
        <f t="shared" si="49"/>
        <v/>
      </c>
      <c r="F115" s="89" t="str">
        <f t="shared" si="50"/>
        <v/>
      </c>
      <c r="G115" t="str">
        <f t="shared" si="51"/>
        <v/>
      </c>
      <c r="H115" s="83" t="str">
        <f t="shared" si="52"/>
        <v/>
      </c>
      <c r="I115" s="83" t="str">
        <f t="shared" si="53"/>
        <v/>
      </c>
      <c r="J115" s="83" t="str">
        <f t="shared" si="54"/>
        <v/>
      </c>
      <c r="K115" s="83" t="str">
        <f t="shared" si="55"/>
        <v/>
      </c>
      <c r="L115" s="85" t="str">
        <f t="shared" si="56"/>
        <v/>
      </c>
      <c r="M115" s="85" t="str">
        <f t="shared" si="57"/>
        <v/>
      </c>
      <c r="N115" s="85" t="str">
        <f t="shared" si="58"/>
        <v/>
      </c>
      <c r="O115" t="str">
        <f t="shared" si="59"/>
        <v/>
      </c>
      <c r="P115" s="88" t="str">
        <f t="shared" si="60"/>
        <v/>
      </c>
      <c r="Q115" s="88" t="str">
        <f t="shared" si="61"/>
        <v/>
      </c>
      <c r="R115" s="85" t="str">
        <f t="shared" si="62"/>
        <v/>
      </c>
      <c r="S115" s="85" t="str">
        <f t="shared" si="63"/>
        <v/>
      </c>
      <c r="T115"/>
      <c r="U115"/>
      <c r="V115"/>
      <c r="W115"/>
      <c r="X115" s="43"/>
    </row>
    <row r="116" spans="1:24" ht="15">
      <c r="A116"/>
      <c r="B116" s="69"/>
      <c r="C116" s="106" t="str">
        <f t="shared" si="47"/>
        <v/>
      </c>
      <c r="D116" s="69" t="str">
        <f t="shared" si="48"/>
        <v/>
      </c>
      <c r="E116" s="88" t="str">
        <f t="shared" si="49"/>
        <v/>
      </c>
      <c r="F116" s="89" t="str">
        <f t="shared" si="50"/>
        <v/>
      </c>
      <c r="G116" t="str">
        <f t="shared" si="51"/>
        <v/>
      </c>
      <c r="H116" s="83" t="str">
        <f t="shared" si="52"/>
        <v/>
      </c>
      <c r="I116" s="83" t="str">
        <f t="shared" si="53"/>
        <v/>
      </c>
      <c r="J116" s="83" t="str">
        <f t="shared" si="54"/>
        <v/>
      </c>
      <c r="K116" s="83" t="str">
        <f t="shared" si="55"/>
        <v/>
      </c>
      <c r="L116" s="85" t="str">
        <f t="shared" si="56"/>
        <v/>
      </c>
      <c r="M116" s="85" t="str">
        <f t="shared" si="57"/>
        <v/>
      </c>
      <c r="N116" s="85" t="str">
        <f t="shared" si="58"/>
        <v/>
      </c>
      <c r="O116" t="str">
        <f t="shared" si="59"/>
        <v/>
      </c>
      <c r="P116" s="88" t="str">
        <f t="shared" si="60"/>
        <v/>
      </c>
      <c r="Q116" s="88" t="str">
        <f t="shared" si="61"/>
        <v/>
      </c>
      <c r="R116" s="85" t="str">
        <f t="shared" si="62"/>
        <v/>
      </c>
      <c r="S116" s="85" t="str">
        <f t="shared" si="63"/>
        <v/>
      </c>
      <c r="T116"/>
      <c r="U116"/>
      <c r="V116"/>
      <c r="W116"/>
      <c r="X116" s="43"/>
    </row>
    <row r="117" spans="1:24" ht="15">
      <c r="A117"/>
      <c r="B117" s="69"/>
      <c r="C117" s="106" t="str">
        <f t="shared" si="47"/>
        <v/>
      </c>
      <c r="D117" s="69" t="str">
        <f t="shared" si="48"/>
        <v/>
      </c>
      <c r="E117" s="88" t="str">
        <f t="shared" si="49"/>
        <v/>
      </c>
      <c r="F117" s="89" t="str">
        <f t="shared" si="50"/>
        <v/>
      </c>
      <c r="G117" t="str">
        <f t="shared" si="51"/>
        <v/>
      </c>
      <c r="H117" s="83" t="str">
        <f t="shared" si="52"/>
        <v/>
      </c>
      <c r="I117" s="83" t="str">
        <f t="shared" si="53"/>
        <v/>
      </c>
      <c r="J117" s="83" t="str">
        <f t="shared" si="54"/>
        <v/>
      </c>
      <c r="K117" s="83" t="str">
        <f t="shared" si="55"/>
        <v/>
      </c>
      <c r="L117" s="85" t="str">
        <f t="shared" si="56"/>
        <v/>
      </c>
      <c r="M117" s="85" t="str">
        <f t="shared" si="57"/>
        <v/>
      </c>
      <c r="N117" s="85" t="str">
        <f t="shared" si="58"/>
        <v/>
      </c>
      <c r="O117" t="str">
        <f t="shared" si="59"/>
        <v/>
      </c>
      <c r="P117" s="88" t="str">
        <f t="shared" si="60"/>
        <v/>
      </c>
      <c r="Q117" s="88" t="str">
        <f t="shared" si="61"/>
        <v/>
      </c>
      <c r="R117" s="85" t="str">
        <f t="shared" si="62"/>
        <v/>
      </c>
      <c r="S117" s="85" t="str">
        <f t="shared" si="63"/>
        <v/>
      </c>
      <c r="T117"/>
      <c r="U117"/>
      <c r="V117"/>
      <c r="W117"/>
      <c r="X117" s="43"/>
    </row>
    <row r="118" spans="1:24" ht="15">
      <c r="A118"/>
      <c r="B118" s="69"/>
      <c r="C118" s="106" t="str">
        <f t="shared" si="47"/>
        <v/>
      </c>
      <c r="D118" s="69" t="str">
        <f t="shared" si="48"/>
        <v/>
      </c>
      <c r="E118" s="88" t="str">
        <f t="shared" si="49"/>
        <v/>
      </c>
      <c r="F118" s="89" t="str">
        <f t="shared" si="50"/>
        <v/>
      </c>
      <c r="G118" t="str">
        <f t="shared" si="51"/>
        <v/>
      </c>
      <c r="H118" s="83" t="str">
        <f t="shared" si="52"/>
        <v/>
      </c>
      <c r="I118" s="83" t="str">
        <f t="shared" si="53"/>
        <v/>
      </c>
      <c r="J118" s="83" t="str">
        <f t="shared" si="54"/>
        <v/>
      </c>
      <c r="K118" s="83" t="str">
        <f t="shared" si="55"/>
        <v/>
      </c>
      <c r="L118" s="85" t="str">
        <f t="shared" si="56"/>
        <v/>
      </c>
      <c r="M118" s="85" t="str">
        <f t="shared" si="57"/>
        <v/>
      </c>
      <c r="N118" s="85" t="str">
        <f t="shared" si="58"/>
        <v/>
      </c>
      <c r="O118" t="str">
        <f t="shared" si="59"/>
        <v/>
      </c>
      <c r="P118" s="88" t="str">
        <f t="shared" si="60"/>
        <v/>
      </c>
      <c r="Q118" s="88" t="str">
        <f t="shared" si="61"/>
        <v/>
      </c>
      <c r="R118" s="85" t="str">
        <f t="shared" si="62"/>
        <v/>
      </c>
      <c r="S118" s="85" t="str">
        <f t="shared" si="63"/>
        <v/>
      </c>
      <c r="T118"/>
      <c r="U118"/>
      <c r="V118"/>
      <c r="W118"/>
      <c r="X118" s="43"/>
    </row>
    <row r="119" spans="1:24" ht="15">
      <c r="A119"/>
      <c r="B119" s="69"/>
      <c r="C119" s="106" t="str">
        <f t="shared" ref="C119:C120" si="64">+IFERROR(MID(B116,1,IFERROR(FIND("y",B116,FIND("x",B116)),FIND("m",B116,FIND("x",B116)))),"")</f>
        <v/>
      </c>
      <c r="D119" s="69" t="str">
        <f t="shared" ref="D119:D120" si="65">+IFERROR(IF(MID(B116,LEN(C119)+1,1)="x",MID(B132,4,11),MID(C119,4,LEN(C119)-3)),"")</f>
        <v/>
      </c>
      <c r="E119" s="88" t="str">
        <f t="shared" ref="E119:E120" si="66">+IF(D119&lt;&gt;"",IFERROR(_xlfn.NUMBERVALUE(MID(B116,LEN(D119)+4,22-LEN(D119)-4)),0),"")</f>
        <v/>
      </c>
      <c r="F119" s="89" t="str">
        <f t="shared" ref="F119:F120" si="67">+IF(D119&lt;&gt;"",_xlfn.NUMBERVALUE(MID(B116,23,9)),"")</f>
        <v/>
      </c>
      <c r="G119" t="str">
        <f t="shared" ref="G119:G120" si="68">IF(D119&lt;&gt;"",0, "")</f>
        <v/>
      </c>
      <c r="H119" s="83" t="str">
        <f t="shared" ref="H119:H120" si="69">+IF(D119&lt;&gt;"", IF(LEN(D119)-LEN(SUBSTITUTE(D119,"x",""))&gt;1,"Fly","Spread"), "")</f>
        <v/>
      </c>
      <c r="I119" s="83" t="str">
        <f t="shared" ref="I119:I120" si="70">IF(D119&lt;&gt;"",IFERROR(VLOOKUP(D119, $W$81:$AD$93, 3, 0), "-"), "")</f>
        <v/>
      </c>
      <c r="J119" s="83" t="str">
        <f t="shared" ref="J119:J120" si="71">IF(D119&lt;&gt;"",IFERROR(VLOOKUP(D119, $W$81:$AD$93, 4, 0), "-"), "")</f>
        <v/>
      </c>
      <c r="K119" s="83" t="str">
        <f t="shared" ref="K119:K120" si="72">IF(D119&lt;&gt;"",IFERROR(VLOOKUP(D119, $W$81:$AD$93, 5, 0), "-"), "")</f>
        <v/>
      </c>
      <c r="L119" s="85" t="str">
        <f t="shared" ref="L119:L120" si="73">+IFERROR(IF(IFERROR(FIND("M",I119)&gt;0,FALSE),_xlfn.NUMBERVALUE(MID(I119,1,LEN(I119)-1)),MID(I119,1,LEN(I119)-1)*13),"")</f>
        <v/>
      </c>
      <c r="M119" s="85" t="str">
        <f t="shared" ref="M119:M120" si="74">+IFERROR(IF(IFERROR(FIND("M",J119)&gt;0,FALSE),_xlfn.NUMBERVALUE(MID(J119,1,LEN(J119)-1)),MID(J119,1,LEN(J119)-1)*13),"")</f>
        <v/>
      </c>
      <c r="N119" s="85" t="str">
        <f t="shared" ref="N119:N120" si="75">+IFERROR(IF(IFERROR(FIND("M",K119)&gt;0,FALSE),_xlfn.NUMBERVALUE(MID(K119,1,LEN(K119)-1)),MID(K119,1,LEN(K119)-1)*13),"")</f>
        <v/>
      </c>
      <c r="O119" t="str">
        <f t="shared" ref="O119:O120" si="76">IF(D119&lt;&gt;"",IFERROR(VLOOKUP(D119, $W$81:$AD$93, 2, 0), "-"), "")</f>
        <v/>
      </c>
      <c r="P119" s="88" t="str">
        <f t="shared" ref="P119:P120" si="77">+E119</f>
        <v/>
      </c>
      <c r="Q119" s="88" t="str">
        <f t="shared" ref="Q119:Q120" si="78">+F119</f>
        <v/>
      </c>
      <c r="R119" s="85" t="str">
        <f t="shared" ref="R119:R120" si="79">+L119</f>
        <v/>
      </c>
      <c r="S119" s="85" t="str">
        <f t="shared" ref="S119:S120" si="80">+M119</f>
        <v/>
      </c>
      <c r="T119"/>
      <c r="U119"/>
      <c r="V119"/>
      <c r="W119"/>
      <c r="X119" s="43"/>
    </row>
    <row r="120" spans="1:24" ht="15">
      <c r="A120"/>
      <c r="B120" s="69"/>
      <c r="C120" s="106" t="str">
        <f t="shared" si="64"/>
        <v/>
      </c>
      <c r="D120" s="69" t="str">
        <f t="shared" si="65"/>
        <v/>
      </c>
      <c r="E120" s="88" t="str">
        <f t="shared" si="66"/>
        <v/>
      </c>
      <c r="F120" s="89" t="str">
        <f t="shared" si="67"/>
        <v/>
      </c>
      <c r="G120" t="str">
        <f t="shared" si="68"/>
        <v/>
      </c>
      <c r="H120" s="83" t="str">
        <f t="shared" si="69"/>
        <v/>
      </c>
      <c r="I120" s="83" t="str">
        <f t="shared" si="70"/>
        <v/>
      </c>
      <c r="J120" s="83" t="str">
        <f t="shared" si="71"/>
        <v/>
      </c>
      <c r="K120" s="83" t="str">
        <f t="shared" si="72"/>
        <v/>
      </c>
      <c r="L120" s="85" t="str">
        <f t="shared" si="73"/>
        <v/>
      </c>
      <c r="M120" s="85" t="str">
        <f t="shared" si="74"/>
        <v/>
      </c>
      <c r="N120" s="85" t="str">
        <f t="shared" si="75"/>
        <v/>
      </c>
      <c r="O120" t="str">
        <f t="shared" si="76"/>
        <v/>
      </c>
      <c r="P120" s="88" t="str">
        <f t="shared" si="77"/>
        <v/>
      </c>
      <c r="Q120" s="88" t="str">
        <f t="shared" si="78"/>
        <v/>
      </c>
      <c r="R120" s="85" t="str">
        <f t="shared" si="79"/>
        <v/>
      </c>
      <c r="S120" s="85" t="str">
        <f t="shared" si="80"/>
        <v/>
      </c>
    </row>
    <row r="121" spans="1:24" ht="15">
      <c r="A121"/>
      <c r="B121" s="69"/>
      <c r="C121"/>
      <c r="D121"/>
      <c r="E121" s="83"/>
      <c r="F121" s="83"/>
      <c r="G121"/>
      <c r="H121"/>
      <c r="I121"/>
      <c r="J121"/>
      <c r="K121"/>
      <c r="L121"/>
      <c r="M121"/>
      <c r="N121"/>
      <c r="O121"/>
      <c r="P121"/>
      <c r="Q121"/>
      <c r="R121" s="85"/>
      <c r="S121"/>
    </row>
    <row r="122" spans="1:24" ht="15">
      <c r="A122"/>
      <c r="B122" s="69"/>
      <c r="C122"/>
      <c r="D122"/>
      <c r="E122" s="83"/>
      <c r="F122" s="83"/>
      <c r="G122"/>
      <c r="H122"/>
      <c r="I122"/>
      <c r="J122"/>
      <c r="K122"/>
      <c r="L122"/>
      <c r="M122"/>
      <c r="N122"/>
      <c r="O122"/>
      <c r="P122"/>
      <c r="Q122"/>
      <c r="R122" s="85"/>
      <c r="S122"/>
    </row>
    <row r="123" spans="1:24" ht="15">
      <c r="A123"/>
      <c r="B123" s="69"/>
      <c r="C123"/>
      <c r="D123"/>
      <c r="E123" s="83"/>
      <c r="F123" s="83"/>
      <c r="G123"/>
      <c r="H123"/>
      <c r="I123"/>
      <c r="J123"/>
      <c r="K123"/>
      <c r="L123"/>
      <c r="M123"/>
      <c r="N123"/>
      <c r="O123"/>
      <c r="P123"/>
      <c r="Q123"/>
      <c r="R123" s="85"/>
      <c r="S123"/>
    </row>
    <row r="124" spans="1:24" ht="15">
      <c r="A124"/>
      <c r="B124" s="69"/>
      <c r="C124"/>
      <c r="D124"/>
      <c r="E124" s="83"/>
      <c r="F124" s="83"/>
      <c r="G124"/>
      <c r="H124"/>
      <c r="I124"/>
      <c r="J124"/>
      <c r="K124"/>
      <c r="L124"/>
      <c r="M124"/>
      <c r="N124"/>
      <c r="O124"/>
      <c r="P124"/>
      <c r="Q124"/>
      <c r="R124" s="85"/>
      <c r="S124"/>
    </row>
    <row r="125" spans="1:24" ht="15">
      <c r="A125"/>
      <c r="B125" s="69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85"/>
      <c r="S125"/>
    </row>
    <row r="126" spans="1:24" ht="15">
      <c r="A126"/>
      <c r="B126" s="69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</row>
    <row r="127" spans="1:24" ht="15">
      <c r="A127"/>
      <c r="B127" s="69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</row>
    <row r="128" spans="1:24" ht="15">
      <c r="B128" s="69"/>
    </row>
    <row r="131" spans="1:19" ht="15">
      <c r="A131" s="1" t="e">
        <f ca="1">_xll.BPGE(" 158/2/1",,"cols=1;rows=26")</f>
        <v>#NAME?</v>
      </c>
      <c r="B131"/>
      <c r="C131"/>
      <c r="D131" s="24" t="s">
        <v>71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 spans="1:19" ht="15">
      <c r="A132" s="69" t="s">
        <v>542</v>
      </c>
      <c r="B132" s="69" t="str">
        <f>+MID(A132,1,$B$2)</f>
        <v xml:space="preserve">            CETES                 ENLACE</v>
      </c>
      <c r="C132"/>
      <c r="D132" s="24" t="s">
        <v>55</v>
      </c>
      <c r="E132" s="24" t="s">
        <v>29</v>
      </c>
      <c r="F132" s="24" t="s">
        <v>30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</row>
    <row r="133" spans="1:19" ht="15">
      <c r="A133" s="69" t="s">
        <v>543</v>
      </c>
      <c r="B133" s="69" t="str">
        <f t="shared" ref="B133:B156" si="81">+MID(A133,1,$B$2)</f>
        <v>1369     48       -           X    11.35</v>
      </c>
      <c r="D133" t="str">
        <f>+MID(B133,4,4)</f>
        <v xml:space="preserve">9   </v>
      </c>
      <c r="E133" t="str">
        <f>+MID(B133,12,FIND("-",B133)-12)</f>
        <v xml:space="preserve">       </v>
      </c>
      <c r="F133" t="str">
        <f>+MID(B133,FIND("-",B133)+1,6)</f>
        <v xml:space="preserve">      </v>
      </c>
      <c r="G133"/>
      <c r="H133"/>
      <c r="I133"/>
      <c r="J133"/>
      <c r="K133"/>
      <c r="L133"/>
      <c r="M133"/>
      <c r="N133"/>
      <c r="O133"/>
      <c r="P133"/>
      <c r="Q133"/>
      <c r="R133"/>
      <c r="S133"/>
    </row>
    <row r="134" spans="1:19" ht="15">
      <c r="A134" s="69" t="s">
        <v>538</v>
      </c>
      <c r="B134" s="69" t="str">
        <f t="shared" si="81"/>
        <v>13716    48       -           X    11.36</v>
      </c>
      <c r="D134" t="str">
        <f t="shared" ref="D134:D160" si="82">+MID(B134,4,4)</f>
        <v xml:space="preserve">16  </v>
      </c>
      <c r="E134" t="str">
        <f t="shared" ref="E134:E160" si="83">+MID(B134,12,FIND("-",B134)-12)</f>
        <v xml:space="preserve">       </v>
      </c>
      <c r="F134" t="str">
        <f t="shared" ref="F134:F160" si="84">+MID(B134,FIND("-",B134)+1,6)</f>
        <v xml:space="preserve">      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</row>
    <row r="135" spans="1:19" ht="15">
      <c r="A135" s="69" t="s">
        <v>539</v>
      </c>
      <c r="B135" s="69" t="str">
        <f t="shared" si="81"/>
        <v>13823    48       -           X    11.20</v>
      </c>
      <c r="D135" t="str">
        <f t="shared" si="82"/>
        <v xml:space="preserve">23  </v>
      </c>
      <c r="E135" t="str">
        <f t="shared" si="83"/>
        <v xml:space="preserve">       </v>
      </c>
      <c r="F135" t="str">
        <f t="shared" si="84"/>
        <v xml:space="preserve">      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</row>
    <row r="136" spans="1:19" ht="15">
      <c r="A136" s="69" t="s">
        <v>540</v>
      </c>
      <c r="B136" s="69" t="str">
        <f t="shared" si="81"/>
        <v>13965    48       -           X    11.40</v>
      </c>
      <c r="D136" t="str">
        <f t="shared" si="82"/>
        <v xml:space="preserve">65  </v>
      </c>
      <c r="E136" t="str">
        <f t="shared" si="83"/>
        <v xml:space="preserve">       </v>
      </c>
      <c r="F136" t="str">
        <f t="shared" si="84"/>
        <v xml:space="preserve">      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</row>
    <row r="137" spans="1:19" ht="15">
      <c r="A137" s="69" t="s">
        <v>541</v>
      </c>
      <c r="B137" s="69" t="str">
        <f t="shared" si="81"/>
        <v>14072    48       -           X    11.39</v>
      </c>
      <c r="D137" t="str">
        <f t="shared" si="82"/>
        <v xml:space="preserve">72  </v>
      </c>
      <c r="E137" t="str">
        <f t="shared" si="83"/>
        <v xml:space="preserve">       </v>
      </c>
      <c r="F137" t="str">
        <f t="shared" si="84"/>
        <v xml:space="preserve">      </v>
      </c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 spans="1:19" ht="15">
      <c r="A138" s="69" t="s">
        <v>544</v>
      </c>
      <c r="B138" s="69" t="str">
        <f t="shared" si="81"/>
        <v>14179    48       -           X    11.41</v>
      </c>
      <c r="D138" t="str">
        <f t="shared" si="82"/>
        <v xml:space="preserve">79  </v>
      </c>
      <c r="E138" t="str">
        <f t="shared" si="83"/>
        <v xml:space="preserve">       </v>
      </c>
      <c r="F138" t="str">
        <f t="shared" si="84"/>
        <v xml:space="preserve">      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</row>
    <row r="139" spans="1:19" ht="15">
      <c r="A139" s="69" t="s">
        <v>545</v>
      </c>
      <c r="B139" s="69" t="str">
        <f t="shared" si="81"/>
        <v>14286    48       -           X    11.40</v>
      </c>
      <c r="D139" t="str">
        <f t="shared" si="82"/>
        <v xml:space="preserve">86  </v>
      </c>
      <c r="E139" t="str">
        <f t="shared" si="83"/>
        <v xml:space="preserve">       </v>
      </c>
      <c r="F139" t="str">
        <f t="shared" si="84"/>
        <v xml:space="preserve">      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</row>
    <row r="140" spans="1:19" ht="15">
      <c r="A140" s="69" t="s">
        <v>546</v>
      </c>
      <c r="B140" s="69" t="str">
        <f t="shared" si="81"/>
        <v>14399    48       -           X    11.43</v>
      </c>
      <c r="D140" t="str">
        <f t="shared" si="82"/>
        <v xml:space="preserve">99  </v>
      </c>
      <c r="E140" t="str">
        <f t="shared" si="83"/>
        <v xml:space="preserve">       </v>
      </c>
      <c r="F140" t="str">
        <f t="shared" si="84"/>
        <v xml:space="preserve">      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</row>
    <row r="141" spans="1:19" ht="15">
      <c r="A141" s="69" t="s">
        <v>547</v>
      </c>
      <c r="B141" s="69" t="str">
        <f t="shared" si="81"/>
        <v>144114   48       -           X    11.41</v>
      </c>
      <c r="D141" t="str">
        <f t="shared" si="82"/>
        <v xml:space="preserve">114 </v>
      </c>
      <c r="E141" t="str">
        <f t="shared" si="83"/>
        <v xml:space="preserve">       </v>
      </c>
      <c r="F141" t="str">
        <f t="shared" si="84"/>
        <v xml:space="preserve">      </v>
      </c>
    </row>
    <row r="142" spans="1:19" ht="15">
      <c r="A142" s="69" t="s">
        <v>548</v>
      </c>
      <c r="B142" s="69" t="str">
        <f t="shared" si="81"/>
        <v>145128   48       -           X    11.40</v>
      </c>
      <c r="D142" t="str">
        <f t="shared" si="82"/>
        <v xml:space="preserve">128 </v>
      </c>
      <c r="E142" t="str">
        <f t="shared" si="83"/>
        <v xml:space="preserve">       </v>
      </c>
      <c r="F142" t="str">
        <f t="shared" si="84"/>
        <v xml:space="preserve">      </v>
      </c>
    </row>
    <row r="143" spans="1:19" ht="15">
      <c r="A143" s="69" t="s">
        <v>549</v>
      </c>
      <c r="B143" s="69" t="str">
        <f t="shared" si="81"/>
        <v>146142   48       -           X    11.42</v>
      </c>
      <c r="D143" t="str">
        <f t="shared" si="82"/>
        <v xml:space="preserve">142 </v>
      </c>
      <c r="E143" t="str">
        <f t="shared" si="83"/>
        <v xml:space="preserve">       </v>
      </c>
      <c r="F143" t="str">
        <f t="shared" si="84"/>
        <v xml:space="preserve">      </v>
      </c>
    </row>
    <row r="144" spans="1:19" ht="15">
      <c r="A144" s="69" t="s">
        <v>550</v>
      </c>
      <c r="B144" s="69" t="str">
        <f t="shared" si="81"/>
        <v>147156   48       -           X    11.41</v>
      </c>
      <c r="D144" t="str">
        <f t="shared" si="82"/>
        <v xml:space="preserve">156 </v>
      </c>
      <c r="E144" t="str">
        <f t="shared" si="83"/>
        <v xml:space="preserve">       </v>
      </c>
      <c r="F144" t="str">
        <f t="shared" si="84"/>
        <v xml:space="preserve">      </v>
      </c>
    </row>
    <row r="145" spans="1:6" ht="15">
      <c r="A145" s="69" t="s">
        <v>551</v>
      </c>
      <c r="B145" s="69" t="str">
        <f t="shared" si="81"/>
        <v>148170   48       -           X    11.43</v>
      </c>
      <c r="D145" t="str">
        <f t="shared" si="82"/>
        <v xml:space="preserve">170 </v>
      </c>
      <c r="E145" t="str">
        <f t="shared" si="83"/>
        <v xml:space="preserve">       </v>
      </c>
      <c r="F145" t="str">
        <f t="shared" si="84"/>
        <v xml:space="preserve">      </v>
      </c>
    </row>
    <row r="146" spans="1:6" ht="15">
      <c r="A146" s="69" t="s">
        <v>552</v>
      </c>
      <c r="B146" s="69" t="str">
        <f t="shared" si="81"/>
        <v>149198   48       -           X    11.39</v>
      </c>
      <c r="D146" t="str">
        <f t="shared" si="82"/>
        <v xml:space="preserve">198 </v>
      </c>
      <c r="E146" t="str">
        <f t="shared" si="83"/>
        <v xml:space="preserve">       </v>
      </c>
      <c r="F146" t="str">
        <f t="shared" si="84"/>
        <v xml:space="preserve">      </v>
      </c>
    </row>
    <row r="147" spans="1:6" ht="15">
      <c r="A147" s="69" t="s">
        <v>553</v>
      </c>
      <c r="B147" s="69" t="str">
        <f t="shared" si="81"/>
        <v>150226   48       -           X    11.35</v>
      </c>
      <c r="D147" t="str">
        <f t="shared" si="82"/>
        <v xml:space="preserve">226 </v>
      </c>
      <c r="E147" t="str">
        <f t="shared" si="83"/>
        <v xml:space="preserve">       </v>
      </c>
      <c r="F147" t="str">
        <f t="shared" si="84"/>
        <v xml:space="preserve">      </v>
      </c>
    </row>
    <row r="148" spans="1:6" ht="15">
      <c r="A148" s="69" t="s">
        <v>554</v>
      </c>
      <c r="B148" s="69" t="str">
        <f t="shared" si="81"/>
        <v>151254   48       -           X    11.34</v>
      </c>
      <c r="D148" t="str">
        <f t="shared" si="82"/>
        <v xml:space="preserve">254 </v>
      </c>
      <c r="E148" t="str">
        <f t="shared" si="83"/>
        <v xml:space="preserve">       </v>
      </c>
      <c r="F148" t="str">
        <f t="shared" si="84"/>
        <v xml:space="preserve">      </v>
      </c>
    </row>
    <row r="149" spans="1:6" ht="15">
      <c r="A149" s="69" t="s">
        <v>555</v>
      </c>
      <c r="B149" s="69" t="str">
        <f t="shared" si="81"/>
        <v>152282   48       -           X    11.24</v>
      </c>
      <c r="D149" t="str">
        <f t="shared" si="82"/>
        <v xml:space="preserve">282 </v>
      </c>
      <c r="E149" t="str">
        <f t="shared" si="83"/>
        <v xml:space="preserve">       </v>
      </c>
      <c r="F149" t="str">
        <f t="shared" si="84"/>
        <v xml:space="preserve">      </v>
      </c>
    </row>
    <row r="150" spans="1:6" ht="15">
      <c r="A150" s="69" t="s">
        <v>556</v>
      </c>
      <c r="B150" s="69" t="str">
        <f t="shared" si="81"/>
        <v>153310   48       -           X    11.31</v>
      </c>
      <c r="D150" t="str">
        <f t="shared" si="82"/>
        <v xml:space="preserve">310 </v>
      </c>
      <c r="E150" t="str">
        <f t="shared" si="83"/>
        <v xml:space="preserve">       </v>
      </c>
      <c r="F150" t="str">
        <f t="shared" si="84"/>
        <v xml:space="preserve">      </v>
      </c>
    </row>
    <row r="151" spans="1:6" ht="15">
      <c r="A151" s="69" t="s">
        <v>557</v>
      </c>
      <c r="B151" s="69" t="str">
        <f t="shared" si="81"/>
        <v>154338   48       -           X    11.31</v>
      </c>
      <c r="D151" t="str">
        <f t="shared" si="82"/>
        <v xml:space="preserve">338 </v>
      </c>
      <c r="E151" t="str">
        <f t="shared" si="83"/>
        <v xml:space="preserve">       </v>
      </c>
      <c r="F151" t="str">
        <f t="shared" si="84"/>
        <v xml:space="preserve">      </v>
      </c>
    </row>
    <row r="152" spans="1:6" ht="15">
      <c r="A152" s="69" t="s">
        <v>558</v>
      </c>
      <c r="B152" s="69" t="str">
        <f t="shared" si="81"/>
        <v>155436   48       -           X    11.36</v>
      </c>
      <c r="D152" t="str">
        <f t="shared" si="82"/>
        <v xml:space="preserve">436 </v>
      </c>
      <c r="E152" t="str">
        <f t="shared" si="83"/>
        <v xml:space="preserve">       </v>
      </c>
      <c r="F152" t="str">
        <f t="shared" si="84"/>
        <v xml:space="preserve">      </v>
      </c>
    </row>
    <row r="153" spans="1:6" ht="15">
      <c r="A153" s="69" t="s">
        <v>559</v>
      </c>
      <c r="B153" s="69" t="str">
        <f t="shared" si="81"/>
        <v>156492   48       -           X    11.30</v>
      </c>
      <c r="D153" t="str">
        <f t="shared" si="82"/>
        <v xml:space="preserve">492 </v>
      </c>
      <c r="E153" t="str">
        <f t="shared" si="83"/>
        <v xml:space="preserve">       </v>
      </c>
      <c r="F153" t="str">
        <f t="shared" si="84"/>
        <v xml:space="preserve">      </v>
      </c>
    </row>
    <row r="154" spans="1:6" ht="15">
      <c r="A154" s="69" t="s">
        <v>560</v>
      </c>
      <c r="B154" s="69" t="str">
        <f t="shared" si="81"/>
        <v>157548   48       -           X    11.13</v>
      </c>
      <c r="D154" t="str">
        <f t="shared" si="82"/>
        <v xml:space="preserve">548 </v>
      </c>
      <c r="E154" t="str">
        <f t="shared" si="83"/>
        <v xml:space="preserve">       </v>
      </c>
      <c r="F154" t="str">
        <f t="shared" si="84"/>
        <v xml:space="preserve">      </v>
      </c>
    </row>
    <row r="155" spans="1:6" ht="15">
      <c r="A155" s="69" t="s">
        <v>561</v>
      </c>
      <c r="B155" s="69" t="str">
        <f t="shared" si="81"/>
        <v>158562   48       -           X    10.94</v>
      </c>
      <c r="D155" t="str">
        <f t="shared" si="82"/>
        <v xml:space="preserve">562 </v>
      </c>
      <c r="E155" t="str">
        <f t="shared" si="83"/>
        <v xml:space="preserve">       </v>
      </c>
      <c r="F155" t="str">
        <f t="shared" si="84"/>
        <v xml:space="preserve">      </v>
      </c>
    </row>
    <row r="156" spans="1:6" ht="15">
      <c r="A156" s="69" t="s">
        <v>562</v>
      </c>
      <c r="B156" s="69" t="str">
        <f t="shared" si="81"/>
        <v>159604   48       -           X    10.92</v>
      </c>
      <c r="D156" t="str">
        <f t="shared" si="82"/>
        <v xml:space="preserve">604 </v>
      </c>
      <c r="E156" t="str">
        <f t="shared" si="83"/>
        <v xml:space="preserve">       </v>
      </c>
      <c r="F156" t="str">
        <f t="shared" si="84"/>
        <v xml:space="preserve">      </v>
      </c>
    </row>
    <row r="157" spans="1:6" ht="15">
      <c r="B157" s="69" t="str">
        <f>+MID(A132,$B$2+1,$B$2)</f>
        <v>160660   48       -           X    10.92</v>
      </c>
      <c r="D157" t="str">
        <f t="shared" si="82"/>
        <v xml:space="preserve">660 </v>
      </c>
      <c r="E157" t="str">
        <f t="shared" si="83"/>
        <v xml:space="preserve">       </v>
      </c>
      <c r="F157" t="str">
        <f t="shared" si="84"/>
        <v xml:space="preserve">      </v>
      </c>
    </row>
    <row r="158" spans="1:6" ht="15">
      <c r="B158" s="69" t="str">
        <f t="shared" ref="B158:B177" si="85">+MID(A133,$B$2+1,$B$2)</f>
        <v>161716   48       -           X    10.87</v>
      </c>
      <c r="D158" t="str">
        <f t="shared" si="82"/>
        <v xml:space="preserve">716 </v>
      </c>
      <c r="E158" t="str">
        <f t="shared" si="83"/>
        <v xml:space="preserve">       </v>
      </c>
      <c r="F158" t="str">
        <f t="shared" si="84"/>
        <v xml:space="preserve">      </v>
      </c>
    </row>
    <row r="159" spans="1:6" ht="15">
      <c r="B159" s="69" t="str">
        <f t="shared" si="85"/>
        <v xml:space="preserve">                                        </v>
      </c>
      <c r="D159" t="str">
        <f t="shared" si="82"/>
        <v xml:space="preserve">    </v>
      </c>
      <c r="E159" t="e">
        <f t="shared" si="83"/>
        <v>#VALUE!</v>
      </c>
      <c r="F159" t="e">
        <f t="shared" si="84"/>
        <v>#VALUE!</v>
      </c>
    </row>
    <row r="160" spans="1:6" ht="15">
      <c r="B160" s="69" t="str">
        <f t="shared" si="85"/>
        <v xml:space="preserve">                     REALES             </v>
      </c>
      <c r="D160" t="str">
        <f t="shared" si="82"/>
        <v xml:space="preserve">    </v>
      </c>
      <c r="E160" t="e">
        <f t="shared" si="83"/>
        <v>#VALUE!</v>
      </c>
      <c r="F160" t="e">
        <f t="shared" si="84"/>
        <v>#VALUE!</v>
      </c>
    </row>
    <row r="161" spans="2:14" ht="15">
      <c r="B161" s="69" t="str">
        <f>+MID(A136,$B$2+1,$B$2)</f>
        <v xml:space="preserve">                                        </v>
      </c>
    </row>
    <row r="162" spans="2:14" ht="15">
      <c r="B162" s="69" t="str">
        <f t="shared" si="85"/>
        <v>1641123        -           X       6.370</v>
      </c>
    </row>
    <row r="163" spans="2:14" ht="15">
      <c r="B163" s="69" t="str">
        <f t="shared" si="85"/>
        <v>1651225        -           X       5.570</v>
      </c>
      <c r="D163" s="24" t="s">
        <v>53</v>
      </c>
      <c r="E163"/>
      <c r="F163"/>
    </row>
    <row r="164" spans="2:14" ht="15">
      <c r="B164" s="69" t="str">
        <f t="shared" si="85"/>
        <v>1661226        -           X       5.370</v>
      </c>
      <c r="D164" s="24" t="s">
        <v>55</v>
      </c>
      <c r="E164" s="24" t="s">
        <v>29</v>
      </c>
      <c r="F164" s="24" t="s">
        <v>30</v>
      </c>
      <c r="H164" s="24" t="s">
        <v>28</v>
      </c>
      <c r="I164" s="24" t="s">
        <v>32</v>
      </c>
      <c r="J164" s="24" t="s">
        <v>14</v>
      </c>
      <c r="K164" s="24" t="s">
        <v>33</v>
      </c>
      <c r="L164" s="1"/>
      <c r="M164" s="1"/>
      <c r="N164" s="1"/>
    </row>
    <row r="165" spans="2:14" ht="15">
      <c r="B165" s="69" t="str">
        <f t="shared" si="85"/>
        <v>1671128        -           X       4.580</v>
      </c>
      <c r="D165">
        <f>+IFERROR(VALUE(MID(B162,4,4)),"")</f>
        <v>1123</v>
      </c>
      <c r="E165" s="108">
        <f>+IFERROR(_xlfn.NUMBERVALUE(MID(B162,LEN(D165)+4,FIND("-",B162)-LEN(D165)-4)),"")</f>
        <v>0</v>
      </c>
      <c r="F165" s="108">
        <f>+IFERROR(_xlfn.NUMBERVALUE(MID(B162,FIND("-",B162)+1,8)),"")</f>
        <v>0</v>
      </c>
      <c r="H165" s="95" cm="1">
        <f t="array" ref="H165:H174">+VALUE(TRANSPOSE(_xlfn.TEXTSPLIT(_xlfn.TEXTJOIN(",",TRUE,D165:D203),",")))</f>
        <v>1123</v>
      </c>
      <c r="I165" s="135" t="str" cm="1">
        <f t="array" ref="I165:I174">+IFERROR(VLOOKUP(VALUE(LEFT(_xlfn.ANCHORARRAY(H165),2)),$N$4:$O$15,2,FALSE)&amp;RIGHT(_xlfn.ANCHORARRAY(H165),2),"")</f>
        <v>nv23</v>
      </c>
      <c r="J165" s="98" t="str" cm="1">
        <f t="array" ref="J165:J174">+IF(VLOOKUP(_xlfn.ANCHORARRAY(H165),D165:F184,2,0)=0,"",VLOOKUP(_xlfn.ANCHORARRAY(H165),D165:F184,2,0))</f>
        <v/>
      </c>
      <c r="K165" s="98" t="str" cm="1">
        <f t="array" ref="K165:K174">+IF(VLOOKUP(_xlfn.ANCHORARRAY(H165),D165:F184,2,0)=0,"",VLOOKUP(_xlfn.ANCHORARRAY(H165),D165:F184,3,0))</f>
        <v/>
      </c>
      <c r="L165" s="1"/>
      <c r="M165" s="1">
        <v>1</v>
      </c>
      <c r="N165" s="1" t="s">
        <v>34</v>
      </c>
    </row>
    <row r="166" spans="2:14" ht="15">
      <c r="B166" s="69" t="str">
        <f t="shared" si="85"/>
        <v>1681131        -           X       4.450</v>
      </c>
      <c r="D166">
        <f t="shared" ref="D166:D184" si="86">+IFERROR(VALUE(MID(B163,4,4)),"")</f>
        <v>1225</v>
      </c>
      <c r="E166" s="108">
        <f t="shared" ref="E166:E184" si="87">+IFERROR(_xlfn.NUMBERVALUE(MID(B163,LEN(D166)+4,FIND("-",B163)-LEN(D166)-4)),"")</f>
        <v>0</v>
      </c>
      <c r="F166" s="108">
        <f t="shared" ref="F166:F184" si="88">+IFERROR(_xlfn.NUMBERVALUE(MID(B163,FIND("-",B163)+1,8)),"")</f>
        <v>0</v>
      </c>
      <c r="H166" s="95">
        <v>1225</v>
      </c>
      <c r="I166" s="135" t="str">
        <v>dc25</v>
      </c>
      <c r="J166" s="98" t="str">
        <v/>
      </c>
      <c r="K166" s="98" t="str">
        <v/>
      </c>
      <c r="L166" s="1"/>
      <c r="M166" s="1">
        <v>2</v>
      </c>
      <c r="N166" s="1" t="s">
        <v>36</v>
      </c>
    </row>
    <row r="167" spans="2:14" ht="15">
      <c r="B167" s="69" t="str">
        <f t="shared" si="85"/>
        <v>1691135        -           X       4.270</v>
      </c>
      <c r="D167">
        <f t="shared" si="86"/>
        <v>1226</v>
      </c>
      <c r="E167" s="108">
        <f t="shared" si="87"/>
        <v>0</v>
      </c>
      <c r="F167" s="108">
        <f t="shared" si="88"/>
        <v>0</v>
      </c>
      <c r="H167" s="95">
        <v>1226</v>
      </c>
      <c r="I167" s="135" t="str">
        <v>dc26</v>
      </c>
      <c r="J167" s="98" t="str">
        <v/>
      </c>
      <c r="K167" s="98" t="str">
        <v/>
      </c>
      <c r="L167" s="1"/>
      <c r="M167" s="1">
        <v>3</v>
      </c>
      <c r="N167" s="1" t="s">
        <v>37</v>
      </c>
    </row>
    <row r="168" spans="2:14" ht="15">
      <c r="B168" s="69" t="str">
        <f t="shared" si="85"/>
        <v>1701140        -           X       4.340</v>
      </c>
      <c r="D168">
        <f t="shared" si="86"/>
        <v>1128</v>
      </c>
      <c r="E168" s="108">
        <f t="shared" si="87"/>
        <v>0</v>
      </c>
      <c r="F168" s="108">
        <f t="shared" si="88"/>
        <v>0</v>
      </c>
      <c r="H168" s="95">
        <v>1128</v>
      </c>
      <c r="I168" s="135" t="str">
        <v>nv28</v>
      </c>
      <c r="J168" s="98" t="str">
        <v/>
      </c>
      <c r="K168" s="98" t="str">
        <v/>
      </c>
      <c r="L168" s="1"/>
      <c r="M168" s="1">
        <v>4</v>
      </c>
      <c r="N168" s="1" t="s">
        <v>39</v>
      </c>
    </row>
    <row r="169" spans="2:14" ht="15">
      <c r="B169" s="69" t="str">
        <f t="shared" si="85"/>
        <v>1711143        -           X       4.430</v>
      </c>
      <c r="D169">
        <f t="shared" si="86"/>
        <v>1131</v>
      </c>
      <c r="E169" s="108">
        <f t="shared" si="87"/>
        <v>0</v>
      </c>
      <c r="F169" s="108">
        <f t="shared" si="88"/>
        <v>0</v>
      </c>
      <c r="H169" s="95">
        <v>1131</v>
      </c>
      <c r="I169" s="135" t="str">
        <v>nv31</v>
      </c>
      <c r="J169" s="98" t="str">
        <v/>
      </c>
      <c r="K169" s="98" t="str">
        <v/>
      </c>
      <c r="L169" s="1"/>
      <c r="M169" s="1">
        <v>5</v>
      </c>
      <c r="N169" s="1" t="s">
        <v>40</v>
      </c>
    </row>
    <row r="170" spans="2:14" ht="15">
      <c r="B170" s="69" t="str">
        <f t="shared" si="85"/>
        <v>1721146        -           X       4.420</v>
      </c>
      <c r="D170">
        <f t="shared" si="86"/>
        <v>1135</v>
      </c>
      <c r="E170" s="108">
        <f t="shared" si="87"/>
        <v>0</v>
      </c>
      <c r="F170" s="108">
        <f t="shared" si="88"/>
        <v>0</v>
      </c>
      <c r="H170" s="95">
        <v>1135</v>
      </c>
      <c r="I170" s="135" t="str">
        <v>nv35</v>
      </c>
      <c r="J170" s="98" t="str">
        <v/>
      </c>
      <c r="K170" s="98" t="str">
        <v/>
      </c>
      <c r="L170" s="1"/>
      <c r="M170" s="1">
        <v>6</v>
      </c>
      <c r="N170" s="1" t="s">
        <v>41</v>
      </c>
    </row>
    <row r="171" spans="2:14" ht="15">
      <c r="B171" s="69" t="str">
        <f>+MID(A146,$B$2+1,$B$2)</f>
        <v>1731150        -           X       4.450</v>
      </c>
      <c r="D171">
        <f t="shared" si="86"/>
        <v>1140</v>
      </c>
      <c r="E171" s="108">
        <f t="shared" si="87"/>
        <v>0</v>
      </c>
      <c r="F171" s="108">
        <f t="shared" si="88"/>
        <v>0</v>
      </c>
      <c r="H171" s="95">
        <v>1140</v>
      </c>
      <c r="I171" s="135" t="str">
        <v>nv40</v>
      </c>
      <c r="J171" s="98" t="str">
        <v/>
      </c>
      <c r="K171" s="98" t="str">
        <v/>
      </c>
      <c r="L171" s="1"/>
      <c r="M171" s="1">
        <v>7</v>
      </c>
      <c r="N171" s="1" t="s">
        <v>42</v>
      </c>
    </row>
    <row r="172" spans="2:14" ht="15">
      <c r="B172" s="78" t="str">
        <f t="shared" si="85"/>
        <v xml:space="preserve">                                        </v>
      </c>
      <c r="D172">
        <f t="shared" si="86"/>
        <v>1143</v>
      </c>
      <c r="E172" s="108">
        <f t="shared" si="87"/>
        <v>0</v>
      </c>
      <c r="F172" s="108">
        <f t="shared" si="88"/>
        <v>0</v>
      </c>
      <c r="H172" s="95">
        <v>1143</v>
      </c>
      <c r="I172" s="135" t="str">
        <v>nv43</v>
      </c>
      <c r="J172" s="98" t="str">
        <v/>
      </c>
      <c r="K172" s="98" t="str">
        <v/>
      </c>
      <c r="L172" s="1"/>
      <c r="M172" s="1">
        <v>8</v>
      </c>
      <c r="N172" s="1" t="s">
        <v>43</v>
      </c>
    </row>
    <row r="173" spans="2:14" ht="15">
      <c r="B173" s="78" t="str">
        <f t="shared" si="85"/>
        <v xml:space="preserve">                                        </v>
      </c>
      <c r="D173">
        <f t="shared" si="86"/>
        <v>1146</v>
      </c>
      <c r="E173" s="108">
        <f t="shared" si="87"/>
        <v>0</v>
      </c>
      <c r="F173" s="108">
        <f t="shared" si="88"/>
        <v>0</v>
      </c>
      <c r="H173" s="95">
        <v>1146</v>
      </c>
      <c r="I173" s="135" t="str">
        <v>nv46</v>
      </c>
      <c r="J173" s="98" t="str">
        <v/>
      </c>
      <c r="K173" s="98" t="str">
        <v/>
      </c>
      <c r="L173" s="1"/>
      <c r="M173" s="1">
        <v>9</v>
      </c>
      <c r="N173" s="1" t="s">
        <v>44</v>
      </c>
    </row>
    <row r="174" spans="2:14" ht="15">
      <c r="B174" s="78" t="str">
        <f t="shared" si="85"/>
        <v xml:space="preserve">                                        </v>
      </c>
      <c r="D174">
        <f t="shared" si="86"/>
        <v>1150</v>
      </c>
      <c r="E174" s="108">
        <f t="shared" si="87"/>
        <v>0</v>
      </c>
      <c r="F174" s="108">
        <f t="shared" si="88"/>
        <v>0</v>
      </c>
      <c r="H174" s="95">
        <v>1150</v>
      </c>
      <c r="I174" s="135" t="str">
        <v>nv50</v>
      </c>
      <c r="J174" s="98" t="str">
        <v/>
      </c>
      <c r="K174" s="98" t="str">
        <v/>
      </c>
      <c r="L174" s="1"/>
      <c r="M174" s="1">
        <v>10</v>
      </c>
      <c r="N174" s="1" t="s">
        <v>46</v>
      </c>
    </row>
    <row r="175" spans="2:14" ht="15">
      <c r="B175" s="78" t="str">
        <f t="shared" si="85"/>
        <v xml:space="preserve">                                        </v>
      </c>
      <c r="D175" t="str">
        <f t="shared" si="86"/>
        <v/>
      </c>
      <c r="E175" s="108" t="str">
        <f t="shared" si="87"/>
        <v/>
      </c>
      <c r="F175" s="108" t="str">
        <f t="shared" si="88"/>
        <v/>
      </c>
      <c r="H175" s="95"/>
      <c r="I175" s="135"/>
      <c r="J175" s="98"/>
      <c r="K175" s="98"/>
      <c r="L175" s="1"/>
      <c r="M175" s="1">
        <v>11</v>
      </c>
      <c r="N175" s="1" t="s">
        <v>47</v>
      </c>
    </row>
    <row r="176" spans="2:14" ht="15">
      <c r="B176" s="78" t="str">
        <f>+MID(A151,$B$2+1,$B$2)</f>
        <v xml:space="preserve">                                        </v>
      </c>
      <c r="D176" t="str">
        <f t="shared" si="86"/>
        <v/>
      </c>
      <c r="E176" s="108" t="str">
        <f t="shared" si="87"/>
        <v/>
      </c>
      <c r="F176" s="108" t="str">
        <f t="shared" si="88"/>
        <v/>
      </c>
      <c r="H176" s="95"/>
      <c r="I176" s="135"/>
      <c r="J176" s="98"/>
      <c r="K176" s="98"/>
      <c r="L176" s="1"/>
      <c r="M176" s="1">
        <v>12</v>
      </c>
      <c r="N176" s="1" t="s">
        <v>48</v>
      </c>
    </row>
    <row r="177" spans="2:14" ht="15">
      <c r="B177" s="78" t="str">
        <f t="shared" si="85"/>
        <v xml:space="preserve">                                        </v>
      </c>
      <c r="D177" t="str">
        <f t="shared" si="86"/>
        <v/>
      </c>
      <c r="E177" s="108" t="str">
        <f t="shared" si="87"/>
        <v/>
      </c>
      <c r="F177" s="108" t="str">
        <f t="shared" si="88"/>
        <v/>
      </c>
      <c r="H177" s="95"/>
      <c r="I177" s="135"/>
      <c r="J177" s="98"/>
      <c r="K177" s="98"/>
      <c r="L177" s="1"/>
      <c r="M177" s="1"/>
      <c r="N177" s="1"/>
    </row>
    <row r="178" spans="2:14" ht="15">
      <c r="B178" s="78" t="str">
        <f>+MID(A153,$B$2+1,$B$2)</f>
        <v xml:space="preserve">                                        </v>
      </c>
      <c r="D178" t="str">
        <f t="shared" si="86"/>
        <v/>
      </c>
      <c r="E178" s="108" t="str">
        <f t="shared" si="87"/>
        <v/>
      </c>
      <c r="F178" s="108" t="str">
        <f t="shared" si="88"/>
        <v/>
      </c>
      <c r="H178" s="95"/>
      <c r="I178" s="135"/>
      <c r="J178" s="98"/>
      <c r="K178" s="98"/>
      <c r="L178" s="1"/>
      <c r="M178" s="1"/>
      <c r="N178" s="1"/>
    </row>
    <row r="179" spans="2:14" ht="15">
      <c r="B179" s="78" t="str">
        <f>+MID(A154,$B$2+1,$B$2)</f>
        <v xml:space="preserve">                                        </v>
      </c>
      <c r="D179" t="str">
        <f t="shared" si="86"/>
        <v/>
      </c>
      <c r="E179" s="108" t="str">
        <f t="shared" si="87"/>
        <v/>
      </c>
      <c r="F179" s="108" t="str">
        <f t="shared" si="88"/>
        <v/>
      </c>
      <c r="H179" s="95"/>
      <c r="I179" s="135"/>
      <c r="J179" s="98"/>
      <c r="K179" s="98"/>
      <c r="L179" s="1"/>
      <c r="M179" s="1"/>
      <c r="N179" s="1"/>
    </row>
    <row r="180" spans="2:14" ht="15">
      <c r="B180" s="78" t="str">
        <f t="shared" ref="B180" si="89">+MID(A155,$B$2+1,$B$2)</f>
        <v xml:space="preserve">                                        </v>
      </c>
      <c r="D180" t="str">
        <f t="shared" si="86"/>
        <v/>
      </c>
      <c r="E180" s="108" t="str">
        <f t="shared" si="87"/>
        <v/>
      </c>
      <c r="F180" s="108" t="str">
        <f t="shared" si="88"/>
        <v/>
      </c>
      <c r="H180" s="95"/>
      <c r="I180" s="135"/>
      <c r="J180" s="98"/>
      <c r="K180" s="98"/>
      <c r="L180" s="1"/>
      <c r="M180" s="1"/>
      <c r="N180" s="1"/>
    </row>
    <row r="181" spans="2:14" ht="15">
      <c r="B181" s="78" t="str">
        <f>+MID(A156,$B$2+1,$B$2)</f>
        <v xml:space="preserve">                                        </v>
      </c>
      <c r="D181" t="str">
        <f t="shared" si="86"/>
        <v/>
      </c>
      <c r="E181" s="108" t="str">
        <f t="shared" si="87"/>
        <v/>
      </c>
      <c r="F181" s="108" t="str">
        <f t="shared" si="88"/>
        <v/>
      </c>
      <c r="H181" s="95"/>
      <c r="I181" s="135"/>
      <c r="J181" s="98"/>
      <c r="K181" s="98"/>
      <c r="L181" s="1"/>
      <c r="M181" s="1"/>
      <c r="N181" s="1"/>
    </row>
    <row r="182" spans="2:14" ht="15">
      <c r="D182" t="str">
        <f t="shared" si="86"/>
        <v/>
      </c>
      <c r="E182" s="108" t="str">
        <f t="shared" si="87"/>
        <v/>
      </c>
      <c r="F182" s="108" t="str">
        <f t="shared" si="88"/>
        <v/>
      </c>
    </row>
    <row r="183" spans="2:14" ht="15">
      <c r="D183" t="str">
        <f t="shared" si="86"/>
        <v/>
      </c>
      <c r="E183" s="108" t="str">
        <f t="shared" si="87"/>
        <v/>
      </c>
      <c r="F183" s="108" t="str">
        <f t="shared" si="88"/>
        <v/>
      </c>
    </row>
    <row r="184" spans="2:14" ht="15">
      <c r="D184" t="str">
        <f t="shared" si="86"/>
        <v/>
      </c>
      <c r="E184" s="108" t="str">
        <f t="shared" si="87"/>
        <v/>
      </c>
      <c r="F184" s="108" t="str">
        <f t="shared" si="88"/>
        <v/>
      </c>
    </row>
  </sheetData>
  <mergeCells count="1">
    <mergeCell ref="D80:G8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theme="8" tint="0.79998168889431442"/>
  </sheetPr>
  <dimension ref="A1:AD141"/>
  <sheetViews>
    <sheetView zoomScale="80" zoomScaleNormal="80" workbookViewId="0">
      <selection activeCell="A4" sqref="A4"/>
    </sheetView>
  </sheetViews>
  <sheetFormatPr baseColWidth="10" defaultColWidth="9.140625" defaultRowHeight="15"/>
  <cols>
    <col min="1" max="1" width="94.7109375" bestFit="1" customWidth="1"/>
    <col min="2" max="2" width="17.140625" customWidth="1"/>
    <col min="3" max="3" width="21.85546875" bestFit="1" customWidth="1"/>
    <col min="4" max="4" width="14.28515625" customWidth="1"/>
    <col min="5" max="5" width="11.85546875" bestFit="1" customWidth="1"/>
    <col min="6" max="6" width="14.42578125" bestFit="1" customWidth="1"/>
    <col min="7" max="7" width="8.7109375" style="20"/>
    <col min="8" max="8" width="8.28515625" style="20" bestFit="1" customWidth="1"/>
    <col min="9" max="9" width="9.42578125" style="20" bestFit="1" customWidth="1"/>
    <col min="10" max="10" width="11.28515625" style="20" customWidth="1"/>
    <col min="11" max="11" width="11.5703125" bestFit="1" customWidth="1"/>
    <col min="12" max="12" width="20.42578125" bestFit="1" customWidth="1"/>
    <col min="13" max="14" width="10.28515625" bestFit="1" customWidth="1"/>
    <col min="17" max="17" width="27.7109375" bestFit="1" customWidth="1"/>
    <col min="23" max="23" width="14.5703125" bestFit="1" customWidth="1"/>
  </cols>
  <sheetData>
    <row r="1" spans="1:16" s="21" customFormat="1">
      <c r="A1" s="21" t="e">
        <f ca="1">_xll.BPGE(" 1595/4/1",,"cols=1;rows=26")</f>
        <v>#NAME?</v>
      </c>
      <c r="B1" s="21">
        <f>+LEN(A2)/2</f>
        <v>40</v>
      </c>
      <c r="D1" s="21">
        <v>8</v>
      </c>
      <c r="F1" s="21">
        <v>32</v>
      </c>
      <c r="G1" s="22">
        <v>41</v>
      </c>
      <c r="H1" s="22">
        <v>17</v>
      </c>
      <c r="I1" s="22"/>
      <c r="J1" s="22"/>
    </row>
    <row r="2" spans="1:16">
      <c r="A2" s="69" t="s">
        <v>868</v>
      </c>
      <c r="D2" s="24" t="s">
        <v>55</v>
      </c>
      <c r="E2" s="24" t="s">
        <v>72</v>
      </c>
      <c r="F2" s="24" t="s">
        <v>29</v>
      </c>
      <c r="G2" s="24" t="s">
        <v>30</v>
      </c>
      <c r="H2" s="24" t="s">
        <v>58</v>
      </c>
      <c r="J2" s="24" t="s">
        <v>28</v>
      </c>
      <c r="K2" s="24" t="s">
        <v>32</v>
      </c>
      <c r="L2" s="24" t="s">
        <v>14</v>
      </c>
      <c r="M2" s="24" t="s">
        <v>33</v>
      </c>
    </row>
    <row r="3" spans="1:16">
      <c r="A3" s="69" t="s">
        <v>52</v>
      </c>
      <c r="B3">
        <f>+FIND(8,A4)</f>
        <v>21</v>
      </c>
      <c r="C3" s="109" t="str">
        <f>+MID(A4,4,$B$3-3)</f>
        <v xml:space="preserve">   RONDA MAY31  48</v>
      </c>
      <c r="D3" s="37" t="str">
        <f>+IF(OR(IFERROR(FIND("RONDA",C3)&gt;0,FALSE),IFERROR(FIND("CAMA",C3)&gt;0,FALSE)),"",MID(C3,LEN(C3)-$D$1,5))</f>
        <v/>
      </c>
      <c r="E3" s="27" t="str">
        <f>+IF(D3="","",_xlfn.NUMBERVALUE(MID(C3,1,FIND(D3,C3)-1)))</f>
        <v/>
      </c>
      <c r="F3" s="33" t="str">
        <f>+IF(E3="","",_xlfn.NUMBERVALUE(MID(A4,$F$1,8)))</f>
        <v/>
      </c>
      <c r="G3" s="34" t="str">
        <f>+IF(F3="","",_xlfn.NUMBERVALUE(MID(A4,$G$1,7)))</f>
        <v/>
      </c>
      <c r="H3" s="30" t="str">
        <f>+IF(G3="","",_xlfn.NUMBERVALUE(MID(A4,LEN(A4)-$H$1,5)))</f>
        <v/>
      </c>
      <c r="I3" s="94"/>
      <c r="J3" s="95" t="str" cm="1">
        <f t="array" ref="J3:J19">+TRANSPOSE(_xlfn.TEXTSPLIT(_xlfn.TEXTJOIN(",",TRUE,D3:D26,D32:D47),","))</f>
        <v>DIC23</v>
      </c>
      <c r="K3" s="135" t="str" cm="1">
        <f t="array" ref="K3:K19">+VLOOKUP(LEFT(_xlfn.ANCHORARRAY(J3),3),$O$3:$P$14,2,FALSE)&amp;RIGHT(_xlfn.ANCHORARRAY(J3),2)</f>
        <v>dc23</v>
      </c>
      <c r="L3" s="98" t="str" cm="1">
        <f t="array" ref="L3:L19">+IF(VLOOKUP(_xlfn.ANCHORARRAY($J3),$D$3:$H$45,3,0)=0,"",VLOOKUP(_xlfn.ANCHORARRAY($J3),$D$3:$H$45,3,0))</f>
        <v/>
      </c>
      <c r="M3" s="98" t="str" cm="1">
        <f t="array" ref="M3:M19">+IF(VLOOKUP(_xlfn.ANCHORARRAY($J3),$D$3:$H$45,4,0)=0,"",VLOOKUP(_xlfn.ANCHORARRAY($J3),$D$3:$H$45,4,0))</f>
        <v/>
      </c>
      <c r="O3" s="136" t="s">
        <v>73</v>
      </c>
      <c r="P3" t="s">
        <v>34</v>
      </c>
    </row>
    <row r="4" spans="1:16">
      <c r="A4" s="69" t="s">
        <v>74</v>
      </c>
      <c r="C4" s="109" t="s">
        <v>75</v>
      </c>
      <c r="D4" s="37" t="str">
        <f t="shared" ref="D4:D25" si="0">+IF(OR(IFERROR(FIND("RONDA",C4)&gt;0,FALSE),IFERROR(FIND("CAMA",C4)&gt;0,FALSE)),"",MID(C4,LEN(C4)-$D$1,5))</f>
        <v>DIC23</v>
      </c>
      <c r="E4" s="28">
        <f>+IF(D4="","",_xlfn.NUMBERVALUE(MID(C4,1,FIND(D4,C4)-1)))</f>
        <v>174</v>
      </c>
      <c r="F4" s="33">
        <f t="shared" ref="F4:F25" si="1">+IF(E4="","",_xlfn.NUMBERVALUE(MID(A5,$F$1,8)))</f>
        <v>0</v>
      </c>
      <c r="G4" s="34">
        <f t="shared" ref="G4:G25" si="2">+IF(F4="","",_xlfn.NUMBERVALUE(MID(A5,$G$1,7)))</f>
        <v>0</v>
      </c>
      <c r="H4" s="30">
        <f t="shared" ref="H4:H25" si="3">+IF(G4="","",_xlfn.NUMBERVALUE(MID(A5,LEN(A5)-$H$1,5)))</f>
        <v>11.42</v>
      </c>
      <c r="I4" s="96"/>
      <c r="J4" s="95" t="str">
        <v>SEP24</v>
      </c>
      <c r="K4" s="135" t="str">
        <v>sp24</v>
      </c>
      <c r="L4" s="98">
        <v>11</v>
      </c>
      <c r="M4" s="98" t="str">
        <v/>
      </c>
      <c r="O4" s="66" t="s">
        <v>76</v>
      </c>
      <c r="P4" t="s">
        <v>36</v>
      </c>
    </row>
    <row r="5" spans="1:16">
      <c r="A5" s="69" t="s">
        <v>691</v>
      </c>
      <c r="C5" s="109" t="str">
        <f t="shared" ref="C5:C26" si="4">+MID(A6,4,$B$3-3)</f>
        <v xml:space="preserve">       CAMA  DIC23</v>
      </c>
      <c r="D5" s="37" t="str">
        <f t="shared" si="0"/>
        <v/>
      </c>
      <c r="E5" s="27" t="str">
        <f t="shared" ref="E5:E25" si="5">+IF(D5="","",_xlfn.NUMBERVALUE(MID(C5,1,FIND(D5,C5)-1)))</f>
        <v/>
      </c>
      <c r="F5" s="33" t="str">
        <f t="shared" si="1"/>
        <v/>
      </c>
      <c r="G5" s="34" t="str">
        <f t="shared" si="2"/>
        <v/>
      </c>
      <c r="H5" s="30" t="str">
        <f t="shared" si="3"/>
        <v/>
      </c>
      <c r="I5" s="96"/>
      <c r="J5" s="95" t="str">
        <v>DIC24</v>
      </c>
      <c r="K5" s="135" t="str">
        <v>dc24</v>
      </c>
      <c r="L5" s="98">
        <v>10.6</v>
      </c>
      <c r="M5" s="98">
        <v>10.48</v>
      </c>
      <c r="O5" s="66" t="s">
        <v>77</v>
      </c>
      <c r="P5" t="s">
        <v>37</v>
      </c>
    </row>
    <row r="6" spans="1:16">
      <c r="A6" s="69" t="s">
        <v>78</v>
      </c>
      <c r="C6" s="109" t="str">
        <f t="shared" si="4"/>
        <v xml:space="preserve">    408  SEP24  48</v>
      </c>
      <c r="D6" s="37" t="str">
        <f t="shared" si="0"/>
        <v>SEP24</v>
      </c>
      <c r="E6" s="28">
        <f t="shared" si="5"/>
        <v>408</v>
      </c>
      <c r="F6" s="33">
        <f t="shared" si="1"/>
        <v>11</v>
      </c>
      <c r="G6" s="34">
        <f t="shared" si="2"/>
        <v>0</v>
      </c>
      <c r="H6" s="30">
        <f t="shared" si="3"/>
        <v>10.99</v>
      </c>
      <c r="I6" s="96"/>
      <c r="J6" s="95" t="str">
        <v>MAR25</v>
      </c>
      <c r="K6" s="135" t="str">
        <v>mz25</v>
      </c>
      <c r="L6" s="98">
        <v>10.130000000000001</v>
      </c>
      <c r="M6" s="98">
        <v>10.01</v>
      </c>
      <c r="O6" t="s">
        <v>79</v>
      </c>
      <c r="P6" t="s">
        <v>39</v>
      </c>
    </row>
    <row r="7" spans="1:16">
      <c r="A7" s="69" t="s">
        <v>782</v>
      </c>
      <c r="C7" s="109" t="str">
        <f t="shared" si="4"/>
        <v xml:space="preserve">       CAMA  SEP24</v>
      </c>
      <c r="D7" s="37" t="str">
        <f t="shared" si="0"/>
        <v/>
      </c>
      <c r="E7" s="27" t="str">
        <f t="shared" si="5"/>
        <v/>
      </c>
      <c r="F7" s="33" t="str">
        <f t="shared" si="1"/>
        <v/>
      </c>
      <c r="G7" s="34" t="str">
        <f t="shared" si="2"/>
        <v/>
      </c>
      <c r="H7" s="30" t="str">
        <f t="shared" si="3"/>
        <v/>
      </c>
      <c r="I7" s="96"/>
      <c r="J7" s="95" t="str">
        <v>MAR26</v>
      </c>
      <c r="K7" s="135" t="str">
        <v>mz26</v>
      </c>
      <c r="L7" s="98">
        <v>9.59</v>
      </c>
      <c r="M7" s="98">
        <v>9.4700000000000006</v>
      </c>
      <c r="O7" t="s">
        <v>80</v>
      </c>
      <c r="P7" t="s">
        <v>40</v>
      </c>
    </row>
    <row r="8" spans="1:16">
      <c r="A8" s="69" t="s">
        <v>81</v>
      </c>
      <c r="C8" s="109" t="str">
        <f t="shared" si="4"/>
        <v xml:space="preserve">    499  DIC24  48</v>
      </c>
      <c r="D8" s="37" t="str">
        <f t="shared" si="0"/>
        <v>DIC24</v>
      </c>
      <c r="E8" s="28">
        <f t="shared" si="5"/>
        <v>499</v>
      </c>
      <c r="F8" s="33">
        <f t="shared" si="1"/>
        <v>10.6</v>
      </c>
      <c r="G8" s="34">
        <f t="shared" si="2"/>
        <v>10.48</v>
      </c>
      <c r="H8" s="30">
        <f t="shared" si="3"/>
        <v>10.58</v>
      </c>
      <c r="I8" s="96"/>
      <c r="J8" s="95" t="str">
        <v>SEP26</v>
      </c>
      <c r="K8" s="135" t="str">
        <v>sp26</v>
      </c>
      <c r="L8" s="98">
        <v>9.58</v>
      </c>
      <c r="M8" s="98">
        <v>9.4600000000000009</v>
      </c>
      <c r="O8" t="s">
        <v>82</v>
      </c>
      <c r="P8" t="s">
        <v>41</v>
      </c>
    </row>
    <row r="9" spans="1:16">
      <c r="A9" s="69" t="s">
        <v>767</v>
      </c>
      <c r="C9" s="109" t="str">
        <f t="shared" si="4"/>
        <v xml:space="preserve">       CAMA  DIC24</v>
      </c>
      <c r="D9" s="37" t="str">
        <f t="shared" si="0"/>
        <v/>
      </c>
      <c r="E9" s="27" t="str">
        <f t="shared" si="5"/>
        <v/>
      </c>
      <c r="F9" s="33" t="str">
        <f t="shared" si="1"/>
        <v/>
      </c>
      <c r="G9" s="34" t="str">
        <f t="shared" si="2"/>
        <v/>
      </c>
      <c r="H9" s="30" t="str">
        <f t="shared" si="3"/>
        <v/>
      </c>
      <c r="I9" s="96"/>
      <c r="J9" s="95" t="str">
        <v>MAR27</v>
      </c>
      <c r="K9" s="135" t="str">
        <v>mz27</v>
      </c>
      <c r="L9" s="98">
        <v>9.35</v>
      </c>
      <c r="M9" s="98">
        <v>9.23</v>
      </c>
      <c r="O9" t="s">
        <v>83</v>
      </c>
      <c r="P9" t="s">
        <v>42</v>
      </c>
    </row>
    <row r="10" spans="1:16">
      <c r="A10" s="69" t="s">
        <v>84</v>
      </c>
      <c r="C10" s="109" t="str">
        <f t="shared" si="4"/>
        <v xml:space="preserve">    590  MAR25  48</v>
      </c>
      <c r="D10" s="37" t="str">
        <f t="shared" si="0"/>
        <v>MAR25</v>
      </c>
      <c r="E10" s="28">
        <f t="shared" si="5"/>
        <v>590</v>
      </c>
      <c r="F10" s="33">
        <f t="shared" si="1"/>
        <v>10.130000000000001</v>
      </c>
      <c r="G10" s="34">
        <f t="shared" si="2"/>
        <v>10.01</v>
      </c>
      <c r="H10" s="30">
        <f t="shared" si="3"/>
        <v>10.11</v>
      </c>
      <c r="I10" s="96"/>
      <c r="J10" s="95" t="str">
        <v>JUN27</v>
      </c>
      <c r="K10" s="135" t="str">
        <v>jn27</v>
      </c>
      <c r="L10" s="98">
        <v>9.24</v>
      </c>
      <c r="M10" s="98">
        <v>9.1199999999999992</v>
      </c>
      <c r="O10" t="s">
        <v>85</v>
      </c>
      <c r="P10" t="s">
        <v>43</v>
      </c>
    </row>
    <row r="11" spans="1:16">
      <c r="A11" s="69" t="s">
        <v>749</v>
      </c>
      <c r="C11" s="109" t="str">
        <f t="shared" si="4"/>
        <v xml:space="preserve">       CAMA  MAR25</v>
      </c>
      <c r="D11" s="37" t="str">
        <f t="shared" si="0"/>
        <v/>
      </c>
      <c r="E11" s="27" t="str">
        <f t="shared" si="5"/>
        <v/>
      </c>
      <c r="F11" s="33" t="str">
        <f t="shared" si="1"/>
        <v/>
      </c>
      <c r="G11" s="34" t="str">
        <f t="shared" si="2"/>
        <v/>
      </c>
      <c r="H11" s="30" t="str">
        <f t="shared" si="3"/>
        <v/>
      </c>
      <c r="I11" s="96"/>
      <c r="J11" s="95" t="str">
        <v>MAY29</v>
      </c>
      <c r="K11" s="135" t="str">
        <v>my29</v>
      </c>
      <c r="L11" s="98">
        <v>8.86</v>
      </c>
      <c r="M11" s="98">
        <v>8.74</v>
      </c>
      <c r="O11" t="s">
        <v>86</v>
      </c>
      <c r="P11" t="s">
        <v>44</v>
      </c>
    </row>
    <row r="12" spans="1:16">
      <c r="A12" s="69" t="s">
        <v>87</v>
      </c>
      <c r="C12" s="109" t="str">
        <f t="shared" si="4"/>
        <v xml:space="preserve">    954  MAR26  48</v>
      </c>
      <c r="D12" s="37" t="str">
        <f t="shared" si="0"/>
        <v>MAR26</v>
      </c>
      <c r="E12" s="28">
        <f t="shared" si="5"/>
        <v>954</v>
      </c>
      <c r="F12" s="33">
        <f t="shared" si="1"/>
        <v>9.59</v>
      </c>
      <c r="G12" s="34">
        <f t="shared" si="2"/>
        <v>9.4700000000000006</v>
      </c>
      <c r="H12" s="30">
        <f t="shared" si="3"/>
        <v>9.57</v>
      </c>
      <c r="I12" s="96"/>
      <c r="J12" s="95" t="str">
        <v>MAY31</v>
      </c>
      <c r="K12" s="135" t="str">
        <v>my31</v>
      </c>
      <c r="L12" s="98">
        <v>8.84</v>
      </c>
      <c r="M12" s="98">
        <v>8.7200000000000006</v>
      </c>
      <c r="O12" t="s">
        <v>88</v>
      </c>
      <c r="P12" t="s">
        <v>46</v>
      </c>
    </row>
    <row r="13" spans="1:16">
      <c r="A13" s="69" t="s">
        <v>751</v>
      </c>
      <c r="C13" s="109" t="str">
        <f t="shared" si="4"/>
        <v xml:space="preserve">       CAMA  MAR26</v>
      </c>
      <c r="D13" s="37" t="str">
        <f t="shared" si="0"/>
        <v/>
      </c>
      <c r="E13" s="27" t="str">
        <f t="shared" si="5"/>
        <v/>
      </c>
      <c r="F13" s="33" t="str">
        <f t="shared" si="1"/>
        <v/>
      </c>
      <c r="G13" s="34" t="str">
        <f t="shared" si="2"/>
        <v/>
      </c>
      <c r="H13" s="30" t="str">
        <f t="shared" si="3"/>
        <v/>
      </c>
      <c r="I13" s="96"/>
      <c r="J13" s="95" t="str">
        <v>MAY33</v>
      </c>
      <c r="K13" s="135" t="str">
        <v>my33</v>
      </c>
      <c r="L13" s="98">
        <v>8.82</v>
      </c>
      <c r="M13" s="98">
        <v>8.7200000000000006</v>
      </c>
      <c r="O13" t="s">
        <v>89</v>
      </c>
      <c r="P13" t="s">
        <v>47</v>
      </c>
    </row>
    <row r="14" spans="1:16">
      <c r="A14" s="69" t="s">
        <v>90</v>
      </c>
      <c r="C14" s="109" t="str">
        <f t="shared" si="4"/>
        <v xml:space="preserve">   1136  SEP26  48</v>
      </c>
      <c r="D14" s="37" t="str">
        <f t="shared" si="0"/>
        <v>SEP26</v>
      </c>
      <c r="E14" s="28">
        <f t="shared" si="5"/>
        <v>1136</v>
      </c>
      <c r="F14" s="33">
        <f t="shared" si="1"/>
        <v>9.58</v>
      </c>
      <c r="G14" s="34">
        <f t="shared" si="2"/>
        <v>9.4600000000000009</v>
      </c>
      <c r="H14" s="30">
        <f t="shared" si="3"/>
        <v>9.56</v>
      </c>
      <c r="I14" s="96"/>
      <c r="J14" s="95" t="str">
        <v>NOV34</v>
      </c>
      <c r="K14" s="135" t="str">
        <v>nv34</v>
      </c>
      <c r="L14" s="98">
        <v>8.83</v>
      </c>
      <c r="M14" s="98">
        <v>8.7200000000000006</v>
      </c>
      <c r="O14" t="s">
        <v>91</v>
      </c>
      <c r="P14" t="s">
        <v>48</v>
      </c>
    </row>
    <row r="15" spans="1:16">
      <c r="A15" s="69" t="s">
        <v>753</v>
      </c>
      <c r="C15" s="109" t="str">
        <f t="shared" si="4"/>
        <v xml:space="preserve">       CAMA  SEP26</v>
      </c>
      <c r="D15" s="37" t="str">
        <f t="shared" si="0"/>
        <v/>
      </c>
      <c r="E15" s="27" t="str">
        <f t="shared" si="5"/>
        <v/>
      </c>
      <c r="F15" s="33" t="str">
        <f t="shared" si="1"/>
        <v/>
      </c>
      <c r="G15" s="34" t="str">
        <f t="shared" si="2"/>
        <v/>
      </c>
      <c r="H15" s="30" t="str">
        <f t="shared" si="3"/>
        <v/>
      </c>
      <c r="I15" s="96"/>
      <c r="J15" s="95" t="str">
        <v>NOV36</v>
      </c>
      <c r="K15" s="135" t="str">
        <v>nv36</v>
      </c>
      <c r="L15" s="98">
        <v>8.82</v>
      </c>
      <c r="M15" s="98">
        <v>8.7200000000000006</v>
      </c>
    </row>
    <row r="16" spans="1:16">
      <c r="A16" s="69" t="s">
        <v>92</v>
      </c>
      <c r="C16" s="109" t="str">
        <f t="shared" si="4"/>
        <v xml:space="preserve">   1318  MAR27  48</v>
      </c>
      <c r="D16" s="37" t="str">
        <f t="shared" si="0"/>
        <v>MAR27</v>
      </c>
      <c r="E16" s="28">
        <f t="shared" si="5"/>
        <v>1318</v>
      </c>
      <c r="F16" s="33">
        <f t="shared" si="1"/>
        <v>9.35</v>
      </c>
      <c r="G16" s="34">
        <f t="shared" si="2"/>
        <v>9.23</v>
      </c>
      <c r="H16" s="30">
        <f t="shared" si="3"/>
        <v>9.33</v>
      </c>
      <c r="I16" s="96"/>
      <c r="J16" s="95" t="str">
        <v>NOV38</v>
      </c>
      <c r="K16" s="135" t="str">
        <v>nv38</v>
      </c>
      <c r="L16" s="98">
        <v>8.91</v>
      </c>
      <c r="M16" s="98">
        <v>8.7899999999999991</v>
      </c>
    </row>
    <row r="17" spans="1:17">
      <c r="A17" s="69" t="s">
        <v>755</v>
      </c>
      <c r="C17" s="109" t="str">
        <f t="shared" si="4"/>
        <v xml:space="preserve">       CAMA  MAR27</v>
      </c>
      <c r="D17" s="37" t="str">
        <f t="shared" si="0"/>
        <v/>
      </c>
      <c r="E17" s="27" t="str">
        <f t="shared" si="5"/>
        <v/>
      </c>
      <c r="F17" s="33" t="str">
        <f t="shared" si="1"/>
        <v/>
      </c>
      <c r="G17" s="34" t="str">
        <f t="shared" si="2"/>
        <v/>
      </c>
      <c r="H17" s="30" t="str">
        <f t="shared" si="3"/>
        <v/>
      </c>
      <c r="I17" s="96"/>
      <c r="J17" s="95" t="str">
        <v>NOV42</v>
      </c>
      <c r="K17" s="135" t="str">
        <v>nv42</v>
      </c>
      <c r="L17" s="98">
        <v>8.93</v>
      </c>
      <c r="M17" s="98">
        <v>8.81</v>
      </c>
    </row>
    <row r="18" spans="1:17">
      <c r="A18" s="69" t="s">
        <v>93</v>
      </c>
      <c r="C18" s="109" t="str">
        <f t="shared" si="4"/>
        <v xml:space="preserve">   1409  JUN27  48</v>
      </c>
      <c r="D18" s="37" t="str">
        <f t="shared" si="0"/>
        <v>JUN27</v>
      </c>
      <c r="E18" s="28">
        <f t="shared" si="5"/>
        <v>1409</v>
      </c>
      <c r="F18" s="33">
        <f t="shared" si="1"/>
        <v>9.24</v>
      </c>
      <c r="G18" s="34">
        <f t="shared" si="2"/>
        <v>9.1199999999999992</v>
      </c>
      <c r="H18" s="30">
        <f t="shared" si="3"/>
        <v>9.2200000000000006</v>
      </c>
      <c r="I18" s="96"/>
      <c r="J18" s="95" t="str">
        <v>NOV47</v>
      </c>
      <c r="K18" s="135" t="str">
        <v>nv47</v>
      </c>
      <c r="L18" s="98">
        <v>8.9</v>
      </c>
      <c r="M18" s="98">
        <v>8.7799999999999994</v>
      </c>
    </row>
    <row r="19" spans="1:17">
      <c r="A19" s="69" t="s">
        <v>759</v>
      </c>
      <c r="C19" s="109" t="str">
        <f t="shared" si="4"/>
        <v xml:space="preserve">       CAMA  JUN27</v>
      </c>
      <c r="D19" s="37" t="str">
        <f t="shared" si="0"/>
        <v/>
      </c>
      <c r="E19" s="27" t="str">
        <f t="shared" si="5"/>
        <v/>
      </c>
      <c r="F19" s="33" t="str">
        <f t="shared" si="1"/>
        <v/>
      </c>
      <c r="G19" s="34" t="str">
        <f t="shared" si="2"/>
        <v/>
      </c>
      <c r="H19" s="30" t="str">
        <f t="shared" si="3"/>
        <v/>
      </c>
      <c r="I19" s="96"/>
      <c r="J19" s="95" t="str">
        <v>JUL53</v>
      </c>
      <c r="K19" s="135" t="str">
        <v>jl53</v>
      </c>
      <c r="L19" s="98">
        <v>8.93</v>
      </c>
      <c r="M19" s="98">
        <v>8.81</v>
      </c>
      <c r="Q19">
        <f>+LEN(P19)</f>
        <v>0</v>
      </c>
    </row>
    <row r="20" spans="1:17">
      <c r="A20" s="69" t="s">
        <v>94</v>
      </c>
      <c r="C20" s="109" t="str">
        <f t="shared" si="4"/>
        <v xml:space="preserve">   2137  MAY29  48</v>
      </c>
      <c r="D20" s="37" t="str">
        <f t="shared" si="0"/>
        <v>MAY29</v>
      </c>
      <c r="E20" s="28">
        <f t="shared" si="5"/>
        <v>2137</v>
      </c>
      <c r="F20" s="33">
        <f t="shared" si="1"/>
        <v>8.86</v>
      </c>
      <c r="G20" s="34">
        <f t="shared" si="2"/>
        <v>8.74</v>
      </c>
      <c r="H20" s="30">
        <f t="shared" si="3"/>
        <v>8.84</v>
      </c>
      <c r="I20" s="96"/>
      <c r="J20" s="97"/>
      <c r="K20" s="98"/>
    </row>
    <row r="21" spans="1:17">
      <c r="A21" s="69" t="s">
        <v>762</v>
      </c>
      <c r="C21" s="109" t="str">
        <f t="shared" si="4"/>
        <v xml:space="preserve">        CAMA MAY29</v>
      </c>
      <c r="D21" s="37" t="str">
        <f t="shared" si="0"/>
        <v/>
      </c>
      <c r="E21" s="27" t="str">
        <f t="shared" si="5"/>
        <v/>
      </c>
      <c r="F21" s="33" t="str">
        <f t="shared" si="1"/>
        <v/>
      </c>
      <c r="G21" s="34" t="str">
        <f t="shared" si="2"/>
        <v/>
      </c>
      <c r="H21" s="30" t="str">
        <f t="shared" si="3"/>
        <v/>
      </c>
      <c r="I21" s="96"/>
      <c r="J21" s="97"/>
      <c r="K21" s="98"/>
    </row>
    <row r="22" spans="1:17">
      <c r="A22" s="69" t="s">
        <v>95</v>
      </c>
      <c r="C22" s="109" t="str">
        <f t="shared" si="4"/>
        <v xml:space="preserve">   2865  MAY31  48</v>
      </c>
      <c r="D22" s="37" t="str">
        <f t="shared" si="0"/>
        <v>MAY31</v>
      </c>
      <c r="E22" s="28">
        <f t="shared" si="5"/>
        <v>2865</v>
      </c>
      <c r="F22" s="33">
        <f t="shared" si="1"/>
        <v>8.84</v>
      </c>
      <c r="G22" s="34">
        <f t="shared" si="2"/>
        <v>8.7200000000000006</v>
      </c>
      <c r="H22" s="30">
        <f t="shared" si="3"/>
        <v>8.82</v>
      </c>
      <c r="I22" s="96"/>
      <c r="J22" s="97"/>
      <c r="K22" s="98"/>
    </row>
    <row r="23" spans="1:17">
      <c r="A23" s="69" t="s">
        <v>772</v>
      </c>
      <c r="C23" s="109" t="str">
        <f t="shared" si="4"/>
        <v xml:space="preserve">        CAMA MAY31</v>
      </c>
      <c r="D23" s="37" t="str">
        <f t="shared" si="0"/>
        <v/>
      </c>
      <c r="E23" s="27" t="str">
        <f t="shared" si="5"/>
        <v/>
      </c>
      <c r="F23" s="33" t="str">
        <f t="shared" si="1"/>
        <v/>
      </c>
      <c r="G23" s="34" t="str">
        <f t="shared" si="2"/>
        <v/>
      </c>
      <c r="H23" s="30" t="str">
        <f t="shared" si="3"/>
        <v/>
      </c>
      <c r="I23" s="96"/>
      <c r="J23" s="97"/>
      <c r="K23" s="98"/>
    </row>
    <row r="24" spans="1:17">
      <c r="A24" s="69" t="s">
        <v>96</v>
      </c>
      <c r="C24" s="109" t="str">
        <f t="shared" si="4"/>
        <v xml:space="preserve">   3593  MAY33  48</v>
      </c>
      <c r="D24" s="37" t="str">
        <f t="shared" si="0"/>
        <v>MAY33</v>
      </c>
      <c r="E24" s="28">
        <f t="shared" si="5"/>
        <v>3593</v>
      </c>
      <c r="F24" s="33">
        <f t="shared" si="1"/>
        <v>8.82</v>
      </c>
      <c r="G24" s="34">
        <f t="shared" si="2"/>
        <v>8.7200000000000006</v>
      </c>
      <c r="H24" s="30">
        <f t="shared" si="3"/>
        <v>8.82</v>
      </c>
      <c r="I24" s="96"/>
      <c r="J24" s="97"/>
      <c r="K24" s="98"/>
    </row>
    <row r="25" spans="1:17">
      <c r="A25" s="69" t="s">
        <v>806</v>
      </c>
      <c r="C25" s="109" t="str">
        <f t="shared" si="4"/>
        <v xml:space="preserve">        CAMA MAY33</v>
      </c>
      <c r="D25" s="37" t="str">
        <f t="shared" si="0"/>
        <v/>
      </c>
      <c r="E25" s="29" t="str">
        <f t="shared" si="5"/>
        <v/>
      </c>
      <c r="F25" s="33" t="str">
        <f t="shared" si="1"/>
        <v/>
      </c>
      <c r="G25" s="34" t="str">
        <f t="shared" si="2"/>
        <v/>
      </c>
      <c r="H25" s="30" t="str">
        <f t="shared" si="3"/>
        <v/>
      </c>
      <c r="I25" s="96"/>
      <c r="J25" s="97"/>
      <c r="K25" s="98"/>
    </row>
    <row r="26" spans="1:17">
      <c r="A26" s="69" t="s">
        <v>305</v>
      </c>
      <c r="C26" s="109" t="str">
        <f t="shared" si="4"/>
        <v/>
      </c>
      <c r="D26" s="37"/>
      <c r="E26" s="29"/>
      <c r="F26" s="33"/>
      <c r="G26" s="34"/>
      <c r="H26" s="30"/>
      <c r="I26" s="96"/>
      <c r="J26" s="97"/>
      <c r="K26" s="98"/>
    </row>
    <row r="27" spans="1:17">
      <c r="G27"/>
      <c r="H27"/>
      <c r="I27"/>
      <c r="J27"/>
    </row>
    <row r="28" spans="1:17">
      <c r="G28"/>
      <c r="H28"/>
      <c r="I28"/>
      <c r="J28"/>
    </row>
    <row r="29" spans="1:17" s="21" customFormat="1">
      <c r="A29" s="21" t="e">
        <f ca="1">_xll.BPGE(" 1595/4/2",,"cols=1;rows=26")</f>
        <v>#NAME?</v>
      </c>
      <c r="G29" s="22"/>
      <c r="H29" s="22"/>
      <c r="I29" s="22"/>
      <c r="J29" s="22"/>
    </row>
    <row r="30" spans="1:17">
      <c r="A30" s="69" t="s">
        <v>868</v>
      </c>
      <c r="D30">
        <v>8</v>
      </c>
      <c r="F30">
        <v>32</v>
      </c>
      <c r="G30" s="20">
        <v>41</v>
      </c>
      <c r="H30" s="20">
        <v>17</v>
      </c>
    </row>
    <row r="31" spans="1:17">
      <c r="A31" s="69" t="s">
        <v>52</v>
      </c>
      <c r="D31" s="23" t="s">
        <v>28</v>
      </c>
      <c r="E31" s="24" t="s">
        <v>72</v>
      </c>
      <c r="F31" s="25" t="s">
        <v>29</v>
      </c>
      <c r="G31" s="26" t="s">
        <v>30</v>
      </c>
      <c r="H31" s="24" t="s">
        <v>58</v>
      </c>
    </row>
    <row r="32" spans="1:17">
      <c r="A32" s="69" t="s">
        <v>797</v>
      </c>
      <c r="C32" s="109" t="str">
        <f>+MID(A32,4,$B$3-3)</f>
        <v xml:space="preserve">   4139  NOV34  48</v>
      </c>
      <c r="D32" s="37" t="str">
        <f t="shared" ref="D32:D43" si="6">+IF(OR(IFERROR(FIND("RONDA",C32)&gt;0,FALSE),IFERROR(FIND("CAMA",C32)&gt;0,FALSE)),"",MID(C32,LEN(C32)-$D$30,5))</f>
        <v>NOV34</v>
      </c>
      <c r="E32" s="27">
        <f>+IF(D32="","",_xlfn.NUMBERVALUE(MID(C32,1,FIND(D32,C32)-1)))</f>
        <v>4139</v>
      </c>
      <c r="F32" s="33">
        <f>+IF(E32="","",_xlfn.NUMBERVALUE(MID(A32,$F$30,8)))</f>
        <v>8.83</v>
      </c>
      <c r="G32" s="34">
        <f>+IF(F32="","",_xlfn.NUMBERVALUE(MID(A32,$G$30,7)))</f>
        <v>8.7200000000000006</v>
      </c>
      <c r="H32" s="30">
        <f>+IF(G32="","",_xlfn.NUMBERVALUE(MID(A32,LEN(A33)-$H$30,5)))</f>
        <v>8.82</v>
      </c>
    </row>
    <row r="33" spans="1:10">
      <c r="A33" s="69" t="s">
        <v>97</v>
      </c>
      <c r="C33" s="109" t="str">
        <f t="shared" ref="C33:C43" si="7">+MID(A33,4,$B$3-3)</f>
        <v xml:space="preserve">       CAMA  NOV34</v>
      </c>
      <c r="D33" s="37" t="str">
        <f t="shared" si="6"/>
        <v/>
      </c>
      <c r="E33" s="27" t="str">
        <f t="shared" ref="E33:E43" si="8">+IF(D33="","",_xlfn.NUMBERVALUE(MID(C33,1,FIND(D33,C33)-1)))</f>
        <v/>
      </c>
      <c r="F33" s="33" t="str">
        <f t="shared" ref="F33:F43" si="9">+IF(E33="","",_xlfn.NUMBERVALUE(MID(A33,$F$30,8)))</f>
        <v/>
      </c>
      <c r="G33" s="34" t="str">
        <f t="shared" ref="G33:G43" si="10">+IF(F33="","",_xlfn.NUMBERVALUE(MID(A33,$G$30,7)))</f>
        <v/>
      </c>
      <c r="H33" s="30" t="str">
        <f t="shared" ref="H33:H43" si="11">+IF(G33="","",_xlfn.NUMBERVALUE(MID(A33,LEN(A34)-$H$30,5)))</f>
        <v/>
      </c>
    </row>
    <row r="34" spans="1:10">
      <c r="A34" s="69" t="s">
        <v>799</v>
      </c>
      <c r="C34" s="109" t="str">
        <f t="shared" si="7"/>
        <v xml:space="preserve">   4867  NOV36  48</v>
      </c>
      <c r="D34" s="37" t="str">
        <f t="shared" si="6"/>
        <v>NOV36</v>
      </c>
      <c r="E34" s="27">
        <f t="shared" si="8"/>
        <v>4867</v>
      </c>
      <c r="F34" s="33">
        <f t="shared" si="9"/>
        <v>8.82</v>
      </c>
      <c r="G34" s="34">
        <f t="shared" si="10"/>
        <v>8.7200000000000006</v>
      </c>
      <c r="H34" s="30">
        <f t="shared" si="11"/>
        <v>8.82</v>
      </c>
    </row>
    <row r="35" spans="1:10">
      <c r="A35" s="69" t="s">
        <v>98</v>
      </c>
      <c r="C35" s="109" t="str">
        <f t="shared" si="7"/>
        <v xml:space="preserve">       CAMA  NOV36</v>
      </c>
      <c r="D35" s="37" t="str">
        <f t="shared" si="6"/>
        <v/>
      </c>
      <c r="E35" s="27" t="str">
        <f t="shared" si="8"/>
        <v/>
      </c>
      <c r="F35" s="33" t="str">
        <f t="shared" si="9"/>
        <v/>
      </c>
      <c r="G35" s="34" t="str">
        <f t="shared" si="10"/>
        <v/>
      </c>
      <c r="H35" s="30" t="str">
        <f t="shared" si="11"/>
        <v/>
      </c>
    </row>
    <row r="36" spans="1:10">
      <c r="A36" s="69" t="s">
        <v>764</v>
      </c>
      <c r="C36" s="109" t="str">
        <f t="shared" si="7"/>
        <v xml:space="preserve">   5595  NOV38  48</v>
      </c>
      <c r="D36" s="37" t="str">
        <f t="shared" si="6"/>
        <v>NOV38</v>
      </c>
      <c r="E36" s="27">
        <f t="shared" si="8"/>
        <v>5595</v>
      </c>
      <c r="F36" s="33">
        <f t="shared" si="9"/>
        <v>8.91</v>
      </c>
      <c r="G36" s="34">
        <f t="shared" si="10"/>
        <v>8.7899999999999991</v>
      </c>
      <c r="H36" s="30">
        <f t="shared" si="11"/>
        <v>8.89</v>
      </c>
    </row>
    <row r="37" spans="1:10">
      <c r="A37" s="69" t="s">
        <v>99</v>
      </c>
      <c r="C37" s="109" t="str">
        <f t="shared" si="7"/>
        <v xml:space="preserve">       CAMA  NOV38</v>
      </c>
      <c r="D37" s="37" t="str">
        <f t="shared" si="6"/>
        <v/>
      </c>
      <c r="E37" s="27" t="str">
        <f t="shared" si="8"/>
        <v/>
      </c>
      <c r="F37" s="33" t="str">
        <f t="shared" si="9"/>
        <v/>
      </c>
      <c r="G37" s="34" t="str">
        <f t="shared" si="10"/>
        <v/>
      </c>
      <c r="H37" s="30" t="str">
        <f t="shared" si="11"/>
        <v/>
      </c>
    </row>
    <row r="38" spans="1:10">
      <c r="A38" s="69" t="s">
        <v>758</v>
      </c>
      <c r="C38" s="109" t="str">
        <f t="shared" si="7"/>
        <v xml:space="preserve">   7051  NOV42  48</v>
      </c>
      <c r="D38" s="37" t="str">
        <f t="shared" si="6"/>
        <v>NOV42</v>
      </c>
      <c r="E38" s="27">
        <f t="shared" si="8"/>
        <v>7051</v>
      </c>
      <c r="F38" s="33">
        <f t="shared" si="9"/>
        <v>8.93</v>
      </c>
      <c r="G38" s="34">
        <f t="shared" si="10"/>
        <v>8.81</v>
      </c>
      <c r="H38" s="30">
        <f t="shared" si="11"/>
        <v>8.91</v>
      </c>
    </row>
    <row r="39" spans="1:10">
      <c r="A39" s="69" t="s">
        <v>100</v>
      </c>
      <c r="C39" s="109" t="str">
        <f t="shared" si="7"/>
        <v xml:space="preserve">       CAMA  NOV42</v>
      </c>
      <c r="D39" s="37" t="str">
        <f t="shared" si="6"/>
        <v/>
      </c>
      <c r="E39" s="27" t="str">
        <f t="shared" si="8"/>
        <v/>
      </c>
      <c r="F39" s="33" t="str">
        <f t="shared" si="9"/>
        <v/>
      </c>
      <c r="G39" s="34" t="str">
        <f t="shared" si="10"/>
        <v/>
      </c>
      <c r="H39" s="30" t="str">
        <f t="shared" si="11"/>
        <v/>
      </c>
    </row>
    <row r="40" spans="1:10">
      <c r="A40" s="69" t="s">
        <v>754</v>
      </c>
      <c r="C40" s="109" t="str">
        <f t="shared" si="7"/>
        <v xml:space="preserve">   8871  NOV47  48</v>
      </c>
      <c r="D40" s="37" t="str">
        <f t="shared" si="6"/>
        <v>NOV47</v>
      </c>
      <c r="E40" s="27">
        <f t="shared" si="8"/>
        <v>8871</v>
      </c>
      <c r="F40" s="33">
        <f t="shared" si="9"/>
        <v>8.9</v>
      </c>
      <c r="G40" s="34">
        <f t="shared" si="10"/>
        <v>8.7799999999999994</v>
      </c>
      <c r="H40" s="30">
        <f t="shared" si="11"/>
        <v>8.8800000000000008</v>
      </c>
    </row>
    <row r="41" spans="1:10">
      <c r="A41" s="69" t="s">
        <v>101</v>
      </c>
      <c r="C41" s="109" t="str">
        <f t="shared" si="7"/>
        <v xml:space="preserve">       CAMA  NOV47</v>
      </c>
      <c r="D41" s="37" t="str">
        <f t="shared" si="6"/>
        <v/>
      </c>
      <c r="E41" s="27" t="str">
        <f t="shared" si="8"/>
        <v/>
      </c>
      <c r="F41" s="33" t="str">
        <f t="shared" si="9"/>
        <v/>
      </c>
      <c r="G41" s="34" t="str">
        <f t="shared" si="10"/>
        <v/>
      </c>
      <c r="H41" s="30" t="str">
        <f t="shared" si="11"/>
        <v/>
      </c>
    </row>
    <row r="42" spans="1:10">
      <c r="A42" s="69" t="s">
        <v>750</v>
      </c>
      <c r="C42" s="109" t="str">
        <f t="shared" si="7"/>
        <v xml:space="preserve">  10964  JUL53  48</v>
      </c>
      <c r="D42" s="37" t="str">
        <f t="shared" si="6"/>
        <v>JUL53</v>
      </c>
      <c r="E42" s="27">
        <f t="shared" si="8"/>
        <v>10964</v>
      </c>
      <c r="F42" s="33">
        <f t="shared" si="9"/>
        <v>8.93</v>
      </c>
      <c r="G42" s="34">
        <f t="shared" si="10"/>
        <v>8.81</v>
      </c>
      <c r="H42" s="30">
        <f t="shared" si="11"/>
        <v>8.91</v>
      </c>
    </row>
    <row r="43" spans="1:10">
      <c r="A43" s="69" t="s">
        <v>102</v>
      </c>
      <c r="C43" s="109" t="str">
        <f t="shared" si="7"/>
        <v xml:space="preserve">       CAMA  JUL53</v>
      </c>
      <c r="D43" s="37" t="str">
        <f t="shared" si="6"/>
        <v/>
      </c>
      <c r="E43" s="27" t="str">
        <f t="shared" si="8"/>
        <v/>
      </c>
      <c r="F43" s="33" t="str">
        <f t="shared" si="9"/>
        <v/>
      </c>
      <c r="G43" s="34" t="str">
        <f t="shared" si="10"/>
        <v/>
      </c>
      <c r="H43" s="30" t="str">
        <f t="shared" si="11"/>
        <v/>
      </c>
    </row>
    <row r="44" spans="1:10">
      <c r="A44" t="s">
        <v>719</v>
      </c>
      <c r="G44"/>
      <c r="H44"/>
      <c r="I44"/>
      <c r="J44"/>
    </row>
    <row r="45" spans="1:10">
      <c r="A45" t="s">
        <v>52</v>
      </c>
      <c r="G45"/>
      <c r="H45"/>
      <c r="I45"/>
      <c r="J45"/>
    </row>
    <row r="46" spans="1:10">
      <c r="A46" t="s">
        <v>52</v>
      </c>
      <c r="G46"/>
      <c r="H46"/>
      <c r="I46"/>
      <c r="J46"/>
    </row>
    <row r="47" spans="1:10">
      <c r="A47" t="s">
        <v>52</v>
      </c>
      <c r="G47"/>
      <c r="H47"/>
      <c r="I47"/>
      <c r="J47"/>
    </row>
    <row r="48" spans="1:10">
      <c r="A48" t="s">
        <v>52</v>
      </c>
      <c r="G48"/>
      <c r="H48"/>
      <c r="I48"/>
      <c r="J48"/>
    </row>
    <row r="49" spans="1:16">
      <c r="A49" t="s">
        <v>52</v>
      </c>
      <c r="G49"/>
      <c r="H49"/>
      <c r="I49"/>
      <c r="J49"/>
    </row>
    <row r="50" spans="1:16">
      <c r="A50" t="s">
        <v>52</v>
      </c>
      <c r="G50"/>
      <c r="H50"/>
      <c r="I50"/>
      <c r="J50"/>
    </row>
    <row r="51" spans="1:16">
      <c r="A51" t="s">
        <v>52</v>
      </c>
      <c r="G51"/>
      <c r="H51"/>
      <c r="I51"/>
      <c r="J51"/>
    </row>
    <row r="52" spans="1:16">
      <c r="A52" t="s">
        <v>52</v>
      </c>
      <c r="G52"/>
      <c r="H52"/>
      <c r="I52"/>
      <c r="J52"/>
    </row>
    <row r="53" spans="1:16">
      <c r="A53" t="s">
        <v>52</v>
      </c>
      <c r="G53"/>
      <c r="H53"/>
      <c r="I53"/>
      <c r="J53"/>
    </row>
    <row r="54" spans="1:16">
      <c r="A54" t="s">
        <v>52</v>
      </c>
      <c r="G54"/>
      <c r="H54"/>
      <c r="I54"/>
      <c r="J54"/>
    </row>
    <row r="55" spans="1:16">
      <c r="A55" t="s">
        <v>52</v>
      </c>
    </row>
    <row r="56" spans="1:16" s="21" customFormat="1">
      <c r="A56" s="21" t="e">
        <f ca="1">_xll.BPGE("1595/5/1",,"cols=1;rows=26")</f>
        <v>#NAME?</v>
      </c>
      <c r="G56" s="22"/>
      <c r="H56" s="22"/>
      <c r="I56" s="22"/>
      <c r="J56" s="22"/>
    </row>
    <row r="57" spans="1:16">
      <c r="A57" t="s">
        <v>868</v>
      </c>
      <c r="D57">
        <v>16</v>
      </c>
      <c r="E57">
        <v>6</v>
      </c>
      <c r="F57">
        <v>38</v>
      </c>
      <c r="G57" s="20">
        <v>48</v>
      </c>
      <c r="H57" s="20">
        <v>70</v>
      </c>
    </row>
    <row r="58" spans="1:16">
      <c r="A58" t="s">
        <v>52</v>
      </c>
      <c r="D58" s="23" t="s">
        <v>28</v>
      </c>
      <c r="E58" s="24" t="s">
        <v>72</v>
      </c>
      <c r="F58" s="25" t="s">
        <v>29</v>
      </c>
      <c r="G58" s="26" t="s">
        <v>30</v>
      </c>
      <c r="H58" s="24" t="s">
        <v>58</v>
      </c>
      <c r="I58"/>
      <c r="J58" s="24" t="s">
        <v>28</v>
      </c>
      <c r="K58" s="24" t="s">
        <v>32</v>
      </c>
      <c r="L58" s="24" t="s">
        <v>14</v>
      </c>
      <c r="M58" s="24" t="s">
        <v>33</v>
      </c>
    </row>
    <row r="59" spans="1:16">
      <c r="A59" s="69" t="s">
        <v>734</v>
      </c>
      <c r="D59" s="39" t="str">
        <f>MID(A59,$D$57,5)</f>
        <v>NOV23</v>
      </c>
      <c r="E59" s="29">
        <f>VALUE(MID(A59,$E$57,5))</f>
        <v>114</v>
      </c>
      <c r="F59" s="110" t="str">
        <f>IFERROR(VALUE(MID(A59,$F$57,6)),"")</f>
        <v/>
      </c>
      <c r="G59" s="111" t="str">
        <f>IFERROR(VALUE(MID(A59,$G$57,6)),"")</f>
        <v/>
      </c>
      <c r="H59" s="112">
        <f>VALUE(MID(A59,$H$57,6))</f>
        <v>6.37</v>
      </c>
      <c r="I59"/>
      <c r="J59" s="95" t="str" cm="1">
        <f t="array" ref="J59:J68">+TRANSPOSE(_xlfn.TEXTSPLIT(_xlfn.TEXTJOIN(",",TRUE,D59:D82),","))</f>
        <v>NOV23</v>
      </c>
      <c r="K59" s="135" t="str" cm="1">
        <f t="array" ref="K59:K68">+VLOOKUP(LEFT(_xlfn.ANCHORARRAY(J59),3),$O$3:$P$14,2,FALSE)&amp;RIGHT(_xlfn.ANCHORARRAY(J59),2)</f>
        <v>nv23</v>
      </c>
      <c r="L59" s="98" t="str" cm="1">
        <f t="array" ref="L59:L68">+IF(VLOOKUP(_xlfn.ANCHORARRAY($J59),$D$59:$H$68,3,0)=0,"",VLOOKUP(_xlfn.ANCHORARRAY($J59),$D$59:$H$68,3,0))</f>
        <v/>
      </c>
      <c r="M59" s="98" t="str" cm="1">
        <f t="array" ref="M59:M68">+IF(VLOOKUP(_xlfn.ANCHORARRAY($J59),$D$59:$H$68,4,0)=0,"",VLOOKUP(_xlfn.ANCHORARRAY($J59),$D$59:$H$68,4,0))</f>
        <v/>
      </c>
      <c r="O59" s="136" t="s">
        <v>73</v>
      </c>
      <c r="P59" t="s">
        <v>34</v>
      </c>
    </row>
    <row r="60" spans="1:16">
      <c r="A60" s="69" t="s">
        <v>843</v>
      </c>
      <c r="D60" s="39" t="str">
        <f t="shared" ref="D60:D68" si="12">MID(A60,$D$57,5)</f>
        <v>DIC25</v>
      </c>
      <c r="E60" s="29">
        <f t="shared" ref="E60:E68" si="13">VALUE(MID(A60,$E$57,5))</f>
        <v>863</v>
      </c>
      <c r="F60" s="110">
        <f t="shared" ref="F60:F68" si="14">IFERROR(VALUE(MID(A60,$F$57,6)),"")</f>
        <v>5.67</v>
      </c>
      <c r="G60" s="111">
        <f t="shared" ref="G60:G68" si="15">IFERROR(VALUE(MID(A60,$G$57,6)),"")</f>
        <v>5.47</v>
      </c>
      <c r="H60" s="112">
        <f t="shared" ref="H60:H68" si="16">VALUE(MID(A60,$H$57,6))</f>
        <v>5.57</v>
      </c>
      <c r="I60"/>
      <c r="J60" s="95" t="str">
        <v>DIC25</v>
      </c>
      <c r="K60" s="135" t="str">
        <v>dc25</v>
      </c>
      <c r="L60" s="98">
        <v>5.67</v>
      </c>
      <c r="M60" s="98">
        <v>5.47</v>
      </c>
      <c r="O60" s="66" t="s">
        <v>76</v>
      </c>
      <c r="P60" t="s">
        <v>36</v>
      </c>
    </row>
    <row r="61" spans="1:16">
      <c r="A61" s="69" t="s">
        <v>844</v>
      </c>
      <c r="D61" s="39" t="str">
        <f t="shared" si="12"/>
        <v>DIC26</v>
      </c>
      <c r="E61" s="29">
        <f t="shared" si="13"/>
        <v>1227</v>
      </c>
      <c r="F61" s="110">
        <f t="shared" si="14"/>
        <v>5.47</v>
      </c>
      <c r="G61" s="111">
        <f t="shared" si="15"/>
        <v>5.27</v>
      </c>
      <c r="H61" s="112">
        <f t="shared" si="16"/>
        <v>5.37</v>
      </c>
      <c r="I61"/>
      <c r="J61" s="95" t="str">
        <v>DIC26</v>
      </c>
      <c r="K61" s="135" t="str">
        <v>dc26</v>
      </c>
      <c r="L61" s="98">
        <v>5.47</v>
      </c>
      <c r="M61" s="98">
        <v>5.27</v>
      </c>
      <c r="O61" s="66" t="s">
        <v>77</v>
      </c>
      <c r="P61" t="s">
        <v>37</v>
      </c>
    </row>
    <row r="62" spans="1:16">
      <c r="A62" s="69" t="s">
        <v>842</v>
      </c>
      <c r="D62" s="39" t="str">
        <f t="shared" si="12"/>
        <v>NOV28</v>
      </c>
      <c r="E62" s="29">
        <f t="shared" si="13"/>
        <v>1955</v>
      </c>
      <c r="F62" s="110">
        <f t="shared" si="14"/>
        <v>4.68</v>
      </c>
      <c r="G62" s="111">
        <f t="shared" si="15"/>
        <v>4.4800000000000004</v>
      </c>
      <c r="H62" s="112">
        <f t="shared" si="16"/>
        <v>4.58</v>
      </c>
      <c r="I62"/>
      <c r="J62" s="95" t="str">
        <v>NOV28</v>
      </c>
      <c r="K62" s="135" t="str">
        <v>nv28</v>
      </c>
      <c r="L62" s="98">
        <v>4.68</v>
      </c>
      <c r="M62" s="98">
        <v>4.4800000000000004</v>
      </c>
      <c r="O62" t="s">
        <v>79</v>
      </c>
      <c r="P62" t="s">
        <v>39</v>
      </c>
    </row>
    <row r="63" spans="1:16">
      <c r="A63" s="69" t="s">
        <v>841</v>
      </c>
      <c r="D63" s="39" t="str">
        <f t="shared" si="12"/>
        <v>NOV31</v>
      </c>
      <c r="E63" s="29">
        <f t="shared" si="13"/>
        <v>3047</v>
      </c>
      <c r="F63" s="110">
        <f t="shared" si="14"/>
        <v>4.55</v>
      </c>
      <c r="G63" s="111">
        <f t="shared" si="15"/>
        <v>4.3499999999999996</v>
      </c>
      <c r="H63" s="112">
        <f t="shared" si="16"/>
        <v>4.45</v>
      </c>
      <c r="I63"/>
      <c r="J63" s="95" t="str">
        <v>NOV31</v>
      </c>
      <c r="K63" s="135" t="str">
        <v>nv31</v>
      </c>
      <c r="L63" s="98">
        <v>4.55</v>
      </c>
      <c r="M63" s="98">
        <v>4.3499999999999996</v>
      </c>
      <c r="O63" t="s">
        <v>80</v>
      </c>
      <c r="P63" t="s">
        <v>40</v>
      </c>
    </row>
    <row r="64" spans="1:16">
      <c r="A64" s="69" t="s">
        <v>840</v>
      </c>
      <c r="D64" s="39" t="str">
        <f t="shared" si="12"/>
        <v>NOV35</v>
      </c>
      <c r="E64" s="29">
        <f t="shared" si="13"/>
        <v>4503</v>
      </c>
      <c r="F64" s="110">
        <f t="shared" si="14"/>
        <v>4.37</v>
      </c>
      <c r="G64" s="111">
        <f t="shared" si="15"/>
        <v>4.17</v>
      </c>
      <c r="H64" s="112">
        <f t="shared" si="16"/>
        <v>4.2699999999999996</v>
      </c>
      <c r="I64"/>
      <c r="J64" s="95" t="str">
        <v>NOV35</v>
      </c>
      <c r="K64" s="135" t="str">
        <v>nv35</v>
      </c>
      <c r="L64" s="98">
        <v>4.37</v>
      </c>
      <c r="M64" s="98">
        <v>4.17</v>
      </c>
      <c r="O64" t="s">
        <v>82</v>
      </c>
      <c r="P64" t="s">
        <v>41</v>
      </c>
    </row>
    <row r="65" spans="1:16">
      <c r="A65" s="69" t="s">
        <v>839</v>
      </c>
      <c r="D65" s="39" t="str">
        <f t="shared" si="12"/>
        <v>NOV40</v>
      </c>
      <c r="E65" s="29">
        <f t="shared" si="13"/>
        <v>6323</v>
      </c>
      <c r="F65" s="110">
        <f t="shared" si="14"/>
        <v>4.4400000000000004</v>
      </c>
      <c r="G65" s="111">
        <f t="shared" si="15"/>
        <v>4.24</v>
      </c>
      <c r="H65" s="112">
        <f t="shared" si="16"/>
        <v>4.34</v>
      </c>
      <c r="I65"/>
      <c r="J65" s="95" t="str">
        <v>NOV40</v>
      </c>
      <c r="K65" s="135" t="str">
        <v>nv40</v>
      </c>
      <c r="L65" s="98">
        <v>4.4400000000000004</v>
      </c>
      <c r="M65" s="98">
        <v>4.24</v>
      </c>
      <c r="O65" t="s">
        <v>83</v>
      </c>
      <c r="P65" t="s">
        <v>42</v>
      </c>
    </row>
    <row r="66" spans="1:16">
      <c r="A66" s="69" t="s">
        <v>838</v>
      </c>
      <c r="D66" s="39" t="str">
        <f t="shared" si="12"/>
        <v>NOV43</v>
      </c>
      <c r="E66" s="29">
        <f t="shared" si="13"/>
        <v>7415</v>
      </c>
      <c r="F66" s="110">
        <f t="shared" si="14"/>
        <v>4.53</v>
      </c>
      <c r="G66" s="111">
        <f t="shared" si="15"/>
        <v>4.33</v>
      </c>
      <c r="H66" s="112">
        <f t="shared" si="16"/>
        <v>4.43</v>
      </c>
      <c r="I66"/>
      <c r="J66" s="95" t="str">
        <v>NOV43</v>
      </c>
      <c r="K66" s="135" t="str">
        <v>nv43</v>
      </c>
      <c r="L66" s="98">
        <v>4.53</v>
      </c>
      <c r="M66" s="98">
        <v>4.33</v>
      </c>
      <c r="O66" t="s">
        <v>85</v>
      </c>
      <c r="P66" t="s">
        <v>43</v>
      </c>
    </row>
    <row r="67" spans="1:16">
      <c r="A67" s="69" t="s">
        <v>837</v>
      </c>
      <c r="D67" s="39" t="str">
        <f t="shared" si="12"/>
        <v>NOV46</v>
      </c>
      <c r="E67" s="29">
        <f t="shared" si="13"/>
        <v>8507</v>
      </c>
      <c r="F67" s="110">
        <f t="shared" si="14"/>
        <v>4.5199999999999996</v>
      </c>
      <c r="G67" s="111">
        <f t="shared" si="15"/>
        <v>4.32</v>
      </c>
      <c r="H67" s="112">
        <f t="shared" si="16"/>
        <v>4.42</v>
      </c>
      <c r="I67"/>
      <c r="J67" s="95" t="str">
        <v>NOV46</v>
      </c>
      <c r="K67" s="135" t="str">
        <v>nv46</v>
      </c>
      <c r="L67" s="98">
        <v>4.5199999999999996</v>
      </c>
      <c r="M67" s="98">
        <v>4.32</v>
      </c>
      <c r="O67" t="s">
        <v>86</v>
      </c>
      <c r="P67" t="s">
        <v>44</v>
      </c>
    </row>
    <row r="68" spans="1:16">
      <c r="A68" s="69" t="s">
        <v>836</v>
      </c>
      <c r="D68" s="39" t="str">
        <f t="shared" si="12"/>
        <v>NOV50</v>
      </c>
      <c r="E68" s="29">
        <f t="shared" si="13"/>
        <v>9963</v>
      </c>
      <c r="F68" s="110">
        <f t="shared" si="14"/>
        <v>4.55</v>
      </c>
      <c r="G68" s="111">
        <f t="shared" si="15"/>
        <v>4.3499999999999996</v>
      </c>
      <c r="H68" s="112">
        <f t="shared" si="16"/>
        <v>4.45</v>
      </c>
      <c r="I68"/>
      <c r="J68" s="95" t="str">
        <v>NOV50</v>
      </c>
      <c r="K68" s="135" t="str">
        <v>nv50</v>
      </c>
      <c r="L68" s="98">
        <v>4.55</v>
      </c>
      <c r="M68" s="98">
        <v>4.3499999999999996</v>
      </c>
      <c r="O68" t="s">
        <v>88</v>
      </c>
      <c r="P68" t="s">
        <v>46</v>
      </c>
    </row>
    <row r="69" spans="1:16">
      <c r="A69" s="69" t="s">
        <v>744</v>
      </c>
      <c r="J69" s="95"/>
      <c r="K69" s="135"/>
      <c r="L69" s="98"/>
      <c r="M69" s="98"/>
      <c r="O69" t="s">
        <v>89</v>
      </c>
      <c r="P69" t="s">
        <v>47</v>
      </c>
    </row>
    <row r="70" spans="1:16">
      <c r="A70" s="69" t="s">
        <v>745</v>
      </c>
      <c r="J70" s="95"/>
      <c r="K70" s="135"/>
      <c r="L70" s="98"/>
      <c r="M70" s="98"/>
      <c r="O70" t="s">
        <v>91</v>
      </c>
      <c r="P70" t="s">
        <v>48</v>
      </c>
    </row>
    <row r="71" spans="1:16">
      <c r="A71" s="69" t="s">
        <v>746</v>
      </c>
      <c r="J71" s="95"/>
      <c r="K71" s="135"/>
      <c r="L71" s="98"/>
      <c r="M71" s="98"/>
    </row>
    <row r="72" spans="1:16">
      <c r="A72" s="69" t="s">
        <v>747</v>
      </c>
      <c r="J72" s="95"/>
      <c r="K72" s="135"/>
      <c r="L72" s="98"/>
      <c r="M72" s="98"/>
    </row>
    <row r="73" spans="1:16">
      <c r="A73" s="69" t="s">
        <v>748</v>
      </c>
      <c r="J73" s="95"/>
      <c r="K73" s="135"/>
      <c r="L73" s="98"/>
      <c r="M73" s="98"/>
    </row>
    <row r="74" spans="1:16">
      <c r="A74" t="s">
        <v>813</v>
      </c>
      <c r="J74" s="95"/>
      <c r="K74" s="135"/>
      <c r="L74" s="98"/>
      <c r="M74" s="98"/>
    </row>
    <row r="75" spans="1:16">
      <c r="A75" t="s">
        <v>814</v>
      </c>
      <c r="J75" s="95"/>
      <c r="K75" s="135"/>
      <c r="L75" s="98"/>
      <c r="M75" s="98"/>
    </row>
    <row r="76" spans="1:16">
      <c r="A76" t="s">
        <v>815</v>
      </c>
    </row>
    <row r="77" spans="1:16">
      <c r="A77" t="s">
        <v>817</v>
      </c>
    </row>
    <row r="78" spans="1:16">
      <c r="A78" t="s">
        <v>818</v>
      </c>
    </row>
    <row r="79" spans="1:16">
      <c r="A79" t="s">
        <v>819</v>
      </c>
    </row>
    <row r="80" spans="1:16">
      <c r="A80" t="s">
        <v>820</v>
      </c>
    </row>
    <row r="81" spans="1:30">
      <c r="A81" t="s">
        <v>821</v>
      </c>
    </row>
    <row r="87" spans="1:30">
      <c r="A87" t="s">
        <v>52</v>
      </c>
    </row>
    <row r="88" spans="1:30" s="21" customFormat="1">
      <c r="A88" s="21" t="e">
        <f ca="1">_xll.BPGE(" 1595/11/1",,"cols=1;rows=26")</f>
        <v>#NAME?</v>
      </c>
      <c r="G88" s="22"/>
      <c r="H88" s="22"/>
      <c r="I88" s="22"/>
      <c r="J88" s="22"/>
    </row>
    <row r="89" spans="1:30">
      <c r="A89" s="69" t="s">
        <v>868</v>
      </c>
      <c r="D89" s="299" t="s">
        <v>57</v>
      </c>
      <c r="E89" s="300"/>
      <c r="F89" s="300"/>
      <c r="G89" s="301"/>
      <c r="H89"/>
      <c r="I89"/>
      <c r="J89"/>
      <c r="W89" s="84" t="s">
        <v>176</v>
      </c>
      <c r="X89" s="84" t="s">
        <v>70</v>
      </c>
      <c r="Y89" s="84" t="s">
        <v>64</v>
      </c>
      <c r="Z89" s="84" t="s">
        <v>65</v>
      </c>
      <c r="AA89" s="84" t="s">
        <v>66</v>
      </c>
      <c r="AB89" s="84" t="s">
        <v>67</v>
      </c>
      <c r="AC89" s="84" t="s">
        <v>68</v>
      </c>
      <c r="AD89" s="84" t="s">
        <v>69</v>
      </c>
    </row>
    <row r="90" spans="1:30">
      <c r="A90" s="69" t="s">
        <v>52</v>
      </c>
      <c r="D90" s="24" t="s">
        <v>55</v>
      </c>
      <c r="E90" s="24" t="s">
        <v>29</v>
      </c>
      <c r="F90" s="24" t="s">
        <v>30</v>
      </c>
      <c r="G90" s="24" t="s">
        <v>58</v>
      </c>
      <c r="I90" s="82" t="s">
        <v>59</v>
      </c>
      <c r="J90" s="24" t="s">
        <v>14</v>
      </c>
      <c r="K90" s="24" t="s">
        <v>33</v>
      </c>
      <c r="W90" t="s">
        <v>342</v>
      </c>
      <c r="X90" t="s">
        <v>196</v>
      </c>
      <c r="Y90" t="str">
        <f t="shared" ref="Y90:Y108" si="17">MID($X90,1,IFERROR(FIND("M",$X90),FIND("Y",$X90)))</f>
        <v>3M</v>
      </c>
      <c r="Z90" t="str">
        <f t="shared" ref="Z90:Z106" si="18">MID($X90,LEN(Y90)+2,IFERROR(FIND("M",$X90,LEN(Y90)+1),FIND("Y",$X90,LEN(Y90)+1))-LEN(Y90)-1)</f>
        <v>6M</v>
      </c>
      <c r="AA90" t="str">
        <f t="shared" ref="AA90:AA100" si="19">MID($X90,LEN(Z90)+LEN(Y90)+3,LEN(X90)-(LEN(Z90)+LEN(Y90)+1))</f>
        <v/>
      </c>
      <c r="AB90">
        <f>IFERROR(IF(IFERROR(FIND("M",Y90)&gt;0,FALSE),_xlfn.NUMBERVALUE(MID(Y90,1,LEN(Y90)-1)),MID(Y90,1,LEN(Y90)-1)*13),"")</f>
        <v>3</v>
      </c>
      <c r="AC90">
        <f>IFERROR(IF(IFERROR(FIND("M",Z90)&gt;0,FALSE),_xlfn.NUMBERVALUE(MID(Z90,1,LEN(Z90)-1)),MID(Z90,1,LEN(Z90)-1)*13),"")</f>
        <v>6</v>
      </c>
      <c r="AD90" t="str">
        <f>IFERROR(IF(IFERROR(FIND("M",AA90)&gt;0,FALSE),_xlfn.NUMBERVALUE(MID(AA90,1,LEN(AA90)-1)),MID(AA90,1,LEN(AA90)-1)*13),"")</f>
        <v/>
      </c>
    </row>
    <row r="91" spans="1:30">
      <c r="A91" s="69" t="s">
        <v>826</v>
      </c>
      <c r="D91" t="str">
        <f>+TRIM(MID(A91,1,IF(FIND("X",A91)&gt;8,FIND("*",A91)+1,FIND("X",A91)+2)))</f>
        <v>3 X 1</v>
      </c>
      <c r="E91" s="83">
        <f>+IFERROR(_xlfn.NUMBERVALUE(MID($A91,25,7)),0)</f>
        <v>11.48</v>
      </c>
      <c r="F91" s="83">
        <f>+IFERROR(_xlfn.NUMBERVALUE(MID($A91,32,7)),0)</f>
        <v>11.52</v>
      </c>
      <c r="G91">
        <f t="shared" ref="G91:G95" si="20">_xlfn.NUMBERVALUE(MID(TRIM(A91),LEN(TRIM(A91))-6,6))</f>
        <v>11.505000000000001</v>
      </c>
      <c r="I91" s="83" cm="1">
        <f t="array" ref="I91:I103">+_xlfn.NUMBERVALUE(MID(D91:D103,1,FIND("X",D91:D103)-1))</f>
        <v>3</v>
      </c>
      <c r="J91" cm="1">
        <f t="array" ref="J91:J105">+IF(E91:E105=0,"",E91:E105)</f>
        <v>11.48</v>
      </c>
      <c r="K91" cm="1">
        <f t="array" ref="K91:K105">+IF(F91:F105=0,"",F91:F105)</f>
        <v>11.52</v>
      </c>
      <c r="W91" t="s">
        <v>343</v>
      </c>
      <c r="X91" t="s">
        <v>198</v>
      </c>
      <c r="Y91" t="str">
        <f t="shared" si="17"/>
        <v>6M</v>
      </c>
      <c r="Z91" t="str">
        <f t="shared" si="18"/>
        <v>9M</v>
      </c>
      <c r="AA91" t="str">
        <f t="shared" si="19"/>
        <v/>
      </c>
      <c r="AB91">
        <f t="shared" ref="AB91:AD100" si="21">IFERROR(IF(IFERROR(FIND("M",Y91)&gt;0,FALSE),_xlfn.NUMBERVALUE(MID(Y91,1,LEN(Y91)-1)),MID(Y91,1,LEN(Y91)-1)*13),"")</f>
        <v>6</v>
      </c>
      <c r="AC91">
        <f t="shared" si="21"/>
        <v>9</v>
      </c>
      <c r="AD91" t="str">
        <f t="shared" si="21"/>
        <v/>
      </c>
    </row>
    <row r="92" spans="1:30">
      <c r="A92" s="69" t="s">
        <v>478</v>
      </c>
      <c r="D92" t="str">
        <f t="shared" ref="D92:D103" si="22">+TRIM(MID(A92,1,IF(FIND("X",A92)&gt;8,FIND("*",A92)+1,FIND("X",A92)+2)))</f>
        <v>6 X 1</v>
      </c>
      <c r="E92" s="83">
        <f t="shared" ref="E92:E103" si="23">+IFERROR(_xlfn.NUMBERVALUE(MID($A92,25,7)),0)</f>
        <v>0</v>
      </c>
      <c r="F92" s="83">
        <f t="shared" ref="F92:F103" si="24">+IFERROR(_xlfn.NUMBERVALUE(MID($A92,32,7)),0)</f>
        <v>0</v>
      </c>
      <c r="G92">
        <f t="shared" si="20"/>
        <v>11.445</v>
      </c>
      <c r="I92" s="83">
        <v>6</v>
      </c>
      <c r="J92" t="str">
        <v/>
      </c>
      <c r="K92" t="str">
        <v/>
      </c>
      <c r="W92" t="s">
        <v>344</v>
      </c>
      <c r="X92" t="s">
        <v>200</v>
      </c>
      <c r="Y92" t="str">
        <f t="shared" si="17"/>
        <v>9M</v>
      </c>
      <c r="Z92" t="str">
        <f t="shared" si="18"/>
        <v>1Y</v>
      </c>
      <c r="AA92" t="str">
        <f t="shared" si="19"/>
        <v/>
      </c>
      <c r="AB92">
        <f t="shared" si="21"/>
        <v>9</v>
      </c>
      <c r="AC92">
        <f t="shared" si="21"/>
        <v>13</v>
      </c>
      <c r="AD92" t="str">
        <f t="shared" si="21"/>
        <v/>
      </c>
    </row>
    <row r="93" spans="1:30">
      <c r="A93" s="69" t="s">
        <v>822</v>
      </c>
      <c r="D93" t="str">
        <f t="shared" si="22"/>
        <v>9 X 1</v>
      </c>
      <c r="E93" s="83">
        <f t="shared" si="23"/>
        <v>0</v>
      </c>
      <c r="F93" s="83">
        <f t="shared" si="24"/>
        <v>11.29</v>
      </c>
      <c r="G93">
        <f t="shared" si="20"/>
        <v>11.265000000000001</v>
      </c>
      <c r="I93" s="83">
        <v>9</v>
      </c>
      <c r="J93" t="str">
        <v/>
      </c>
      <c r="K93">
        <v>11.29</v>
      </c>
      <c r="W93" t="s">
        <v>345</v>
      </c>
      <c r="X93" t="s">
        <v>346</v>
      </c>
      <c r="Y93" t="str">
        <f t="shared" si="17"/>
        <v>1Y</v>
      </c>
      <c r="Z93" t="str">
        <f t="shared" si="18"/>
        <v>1Y</v>
      </c>
      <c r="AA93" t="str">
        <f t="shared" si="19"/>
        <v/>
      </c>
      <c r="AB93">
        <f t="shared" si="21"/>
        <v>13</v>
      </c>
      <c r="AC93">
        <f t="shared" si="21"/>
        <v>13</v>
      </c>
      <c r="AD93" t="str">
        <f t="shared" si="21"/>
        <v/>
      </c>
    </row>
    <row r="94" spans="1:30">
      <c r="A94" s="69" t="s">
        <v>804</v>
      </c>
      <c r="D94" t="str">
        <f t="shared" si="22"/>
        <v>13 X 1</v>
      </c>
      <c r="E94" s="83">
        <f t="shared" si="23"/>
        <v>0</v>
      </c>
      <c r="F94" s="83">
        <f t="shared" si="24"/>
        <v>10.91</v>
      </c>
      <c r="G94">
        <f t="shared" si="20"/>
        <v>10.93</v>
      </c>
      <c r="I94" s="83">
        <v>13</v>
      </c>
      <c r="J94" t="str">
        <v/>
      </c>
      <c r="K94">
        <v>10.91</v>
      </c>
      <c r="W94" t="s">
        <v>347</v>
      </c>
      <c r="X94" t="s">
        <v>206</v>
      </c>
      <c r="Y94" t="str">
        <f t="shared" si="17"/>
        <v>2Y</v>
      </c>
      <c r="Z94" t="str">
        <f t="shared" si="18"/>
        <v>3Y</v>
      </c>
      <c r="AA94" t="str">
        <f t="shared" si="19"/>
        <v/>
      </c>
      <c r="AB94">
        <f t="shared" si="21"/>
        <v>26</v>
      </c>
      <c r="AC94">
        <f t="shared" si="21"/>
        <v>39</v>
      </c>
      <c r="AD94" t="str">
        <f t="shared" si="21"/>
        <v/>
      </c>
    </row>
    <row r="95" spans="1:30">
      <c r="A95" s="69" t="s">
        <v>802</v>
      </c>
      <c r="D95" t="str">
        <f t="shared" si="22"/>
        <v>26 X 1</v>
      </c>
      <c r="E95" s="83">
        <f t="shared" si="23"/>
        <v>0</v>
      </c>
      <c r="F95" s="83">
        <f t="shared" si="24"/>
        <v>9.67</v>
      </c>
      <c r="G95">
        <f t="shared" si="20"/>
        <v>9.6750000000000007</v>
      </c>
      <c r="I95" s="83">
        <v>26</v>
      </c>
      <c r="J95" t="str">
        <v/>
      </c>
      <c r="K95">
        <v>9.67</v>
      </c>
      <c r="W95" t="s">
        <v>348</v>
      </c>
      <c r="X95" t="s">
        <v>214</v>
      </c>
      <c r="Y95" t="str">
        <f t="shared" si="17"/>
        <v>3Y</v>
      </c>
      <c r="Z95" t="str">
        <f t="shared" si="18"/>
        <v>4Y</v>
      </c>
      <c r="AA95" t="str">
        <f t="shared" si="19"/>
        <v/>
      </c>
      <c r="AB95">
        <f t="shared" si="21"/>
        <v>39</v>
      </c>
      <c r="AC95">
        <f t="shared" si="21"/>
        <v>52</v>
      </c>
      <c r="AD95" t="str">
        <f t="shared" si="21"/>
        <v/>
      </c>
    </row>
    <row r="96" spans="1:30">
      <c r="A96" s="69" t="s">
        <v>481</v>
      </c>
      <c r="D96" t="str">
        <f t="shared" si="22"/>
        <v>39 X 1</v>
      </c>
      <c r="E96" s="83">
        <f t="shared" si="23"/>
        <v>0</v>
      </c>
      <c r="F96" s="83">
        <f t="shared" si="24"/>
        <v>0</v>
      </c>
      <c r="G96">
        <f>_xlfn.NUMBERVALUE(MID(TRIM(A96),LEN(TRIM(A96))-6,6))</f>
        <v>8.9600000000000009</v>
      </c>
      <c r="I96" s="83">
        <v>39</v>
      </c>
      <c r="J96" t="str">
        <v/>
      </c>
      <c r="K96" t="str">
        <v/>
      </c>
      <c r="W96" t="s">
        <v>349</v>
      </c>
      <c r="X96" t="s">
        <v>333</v>
      </c>
      <c r="Y96" t="str">
        <f t="shared" si="17"/>
        <v>4Y</v>
      </c>
      <c r="Z96" t="str">
        <f t="shared" si="18"/>
        <v>5Y</v>
      </c>
      <c r="AA96" t="str">
        <f t="shared" si="19"/>
        <v/>
      </c>
      <c r="AB96">
        <f t="shared" si="21"/>
        <v>52</v>
      </c>
      <c r="AC96">
        <f t="shared" si="21"/>
        <v>65</v>
      </c>
      <c r="AD96" t="str">
        <f t="shared" si="21"/>
        <v/>
      </c>
    </row>
    <row r="97" spans="1:30">
      <c r="A97" s="69" t="s">
        <v>637</v>
      </c>
      <c r="D97" t="str">
        <f t="shared" si="22"/>
        <v>52 X 1</v>
      </c>
      <c r="E97" s="83">
        <f t="shared" si="23"/>
        <v>0</v>
      </c>
      <c r="F97" s="83">
        <f t="shared" si="24"/>
        <v>0</v>
      </c>
      <c r="G97">
        <f t="shared" ref="G97:G103" si="25">_xlfn.NUMBERVALUE(MID(TRIM(A97),LEN(TRIM(A97))-6,6))</f>
        <v>8.5950000000000006</v>
      </c>
      <c r="I97" s="83">
        <v>52</v>
      </c>
      <c r="J97" t="str">
        <v/>
      </c>
      <c r="K97" t="str">
        <v/>
      </c>
      <c r="W97" t="s">
        <v>350</v>
      </c>
      <c r="X97" t="s">
        <v>223</v>
      </c>
      <c r="Y97" t="str">
        <f t="shared" si="17"/>
        <v>5Y</v>
      </c>
      <c r="Z97" t="str">
        <f t="shared" si="18"/>
        <v>7Y</v>
      </c>
      <c r="AA97" t="str">
        <f t="shared" si="19"/>
        <v/>
      </c>
      <c r="AB97">
        <f t="shared" si="21"/>
        <v>65</v>
      </c>
      <c r="AC97">
        <f t="shared" si="21"/>
        <v>91</v>
      </c>
      <c r="AD97" t="str">
        <f t="shared" si="21"/>
        <v/>
      </c>
    </row>
    <row r="98" spans="1:30">
      <c r="A98" s="69" t="s">
        <v>835</v>
      </c>
      <c r="D98" t="str">
        <f t="shared" si="22"/>
        <v>65 X 1</v>
      </c>
      <c r="E98" s="83">
        <f t="shared" si="23"/>
        <v>8.35</v>
      </c>
      <c r="F98" s="83">
        <f t="shared" si="24"/>
        <v>8.39</v>
      </c>
      <c r="G98">
        <f t="shared" si="25"/>
        <v>8.39</v>
      </c>
      <c r="I98" s="83">
        <v>65</v>
      </c>
      <c r="J98">
        <v>8.35</v>
      </c>
      <c r="K98">
        <v>8.39</v>
      </c>
      <c r="W98" t="s">
        <v>351</v>
      </c>
      <c r="X98" t="s">
        <v>229</v>
      </c>
      <c r="Y98" t="str">
        <f t="shared" si="17"/>
        <v>7Y</v>
      </c>
      <c r="Z98" t="str">
        <f t="shared" si="18"/>
        <v>10Y</v>
      </c>
      <c r="AA98" t="str">
        <f t="shared" si="19"/>
        <v/>
      </c>
      <c r="AB98">
        <f t="shared" si="21"/>
        <v>91</v>
      </c>
      <c r="AC98">
        <f t="shared" si="21"/>
        <v>130</v>
      </c>
      <c r="AD98" t="str">
        <f t="shared" si="21"/>
        <v/>
      </c>
    </row>
    <row r="99" spans="1:30">
      <c r="A99" s="69" t="s">
        <v>638</v>
      </c>
      <c r="D99" t="str">
        <f t="shared" si="22"/>
        <v>91 X 1</v>
      </c>
      <c r="E99" s="83">
        <f t="shared" si="23"/>
        <v>0</v>
      </c>
      <c r="F99" s="83">
        <f t="shared" si="24"/>
        <v>0</v>
      </c>
      <c r="G99">
        <f t="shared" si="25"/>
        <v>8.23</v>
      </c>
      <c r="I99" s="83">
        <v>91</v>
      </c>
      <c r="J99" t="str">
        <v/>
      </c>
      <c r="K99" t="str">
        <v/>
      </c>
      <c r="W99" t="s">
        <v>352</v>
      </c>
      <c r="X99" t="s">
        <v>225</v>
      </c>
      <c r="Y99" t="str">
        <f t="shared" si="17"/>
        <v>5Y</v>
      </c>
      <c r="Z99" t="str">
        <f t="shared" si="18"/>
        <v>10Y</v>
      </c>
      <c r="AA99" t="str">
        <f t="shared" si="19"/>
        <v/>
      </c>
      <c r="AB99">
        <f t="shared" si="21"/>
        <v>65</v>
      </c>
      <c r="AC99">
        <f t="shared" si="21"/>
        <v>130</v>
      </c>
      <c r="AD99" t="str">
        <f t="shared" si="21"/>
        <v/>
      </c>
    </row>
    <row r="100" spans="1:30">
      <c r="A100" s="69" t="s">
        <v>830</v>
      </c>
      <c r="D100" t="str">
        <f t="shared" si="22"/>
        <v>130 X 1</v>
      </c>
      <c r="E100" s="83">
        <f t="shared" si="23"/>
        <v>8.1300000000000008</v>
      </c>
      <c r="F100" s="83">
        <f t="shared" si="24"/>
        <v>8.18</v>
      </c>
      <c r="G100">
        <f t="shared" si="25"/>
        <v>8.19</v>
      </c>
      <c r="I100" s="83">
        <v>130</v>
      </c>
      <c r="J100">
        <v>8.1300000000000008</v>
      </c>
      <c r="K100">
        <v>8.18</v>
      </c>
      <c r="W100" t="s">
        <v>353</v>
      </c>
      <c r="X100" t="s">
        <v>354</v>
      </c>
      <c r="Y100" t="str">
        <f t="shared" si="17"/>
        <v>15Y</v>
      </c>
      <c r="Z100" t="str">
        <f t="shared" si="18"/>
        <v>20Y</v>
      </c>
      <c r="AA100" t="str">
        <f t="shared" si="19"/>
        <v>30Y</v>
      </c>
      <c r="AB100">
        <f t="shared" si="21"/>
        <v>195</v>
      </c>
      <c r="AC100">
        <f t="shared" si="21"/>
        <v>260</v>
      </c>
      <c r="AD100">
        <f t="shared" si="21"/>
        <v>390</v>
      </c>
    </row>
    <row r="101" spans="1:30">
      <c r="A101" s="69" t="s">
        <v>639</v>
      </c>
      <c r="D101" t="str">
        <f t="shared" si="22"/>
        <v>156 X 1</v>
      </c>
      <c r="E101" s="83">
        <f t="shared" si="23"/>
        <v>0</v>
      </c>
      <c r="F101" s="83">
        <f t="shared" si="24"/>
        <v>0</v>
      </c>
      <c r="G101">
        <f t="shared" si="25"/>
        <v>8.2100000000000009</v>
      </c>
      <c r="I101" s="83">
        <v>156</v>
      </c>
      <c r="J101" t="str">
        <v/>
      </c>
      <c r="K101" t="str">
        <v/>
      </c>
      <c r="W101" t="s">
        <v>373</v>
      </c>
      <c r="X101" t="s">
        <v>239</v>
      </c>
      <c r="Y101" t="str">
        <f t="shared" si="17"/>
        <v>15Y</v>
      </c>
      <c r="Z101" t="str">
        <f t="shared" si="18"/>
        <v>20Y</v>
      </c>
      <c r="AA101" t="str">
        <f t="shared" ref="AA101:AA106" si="26">MID($X101,LEN(Z101)+LEN(Y101)+3,LEN(X101)-(LEN(Z101)+LEN(Y101)+1))</f>
        <v/>
      </c>
      <c r="AB101">
        <f t="shared" ref="AB101:AB106" si="27">IFERROR(IF(IFERROR(FIND("M",Y101)&gt;0,FALSE),_xlfn.NUMBERVALUE(MID(Y101,1,LEN(Y101)-1)),MID(Y101,1,LEN(Y101)-1)*13),"")</f>
        <v>195</v>
      </c>
      <c r="AC101">
        <f t="shared" ref="AC101:AC106" si="28">IFERROR(IF(IFERROR(FIND("M",Z101)&gt;0,FALSE),_xlfn.NUMBERVALUE(MID(Z101,1,LEN(Z101)-1)),MID(Z101,1,LEN(Z101)-1)*13),"")</f>
        <v>260</v>
      </c>
      <c r="AD101" t="str">
        <f t="shared" ref="AD101:AD106" si="29">IFERROR(IF(IFERROR(FIND("M",AA101)&gt;0,FALSE),_xlfn.NUMBERVALUE(MID(AA101,1,LEN(AA101)-1)),MID(AA101,1,LEN(AA101)-1)*13),"")</f>
        <v/>
      </c>
    </row>
    <row r="102" spans="1:30">
      <c r="A102" s="69" t="s">
        <v>640</v>
      </c>
      <c r="D102" t="str">
        <f t="shared" si="22"/>
        <v>195 X 1</v>
      </c>
      <c r="E102" s="83">
        <f t="shared" si="23"/>
        <v>0</v>
      </c>
      <c r="F102" s="83">
        <f t="shared" si="24"/>
        <v>0</v>
      </c>
      <c r="G102">
        <f t="shared" si="25"/>
        <v>8.2750000000000004</v>
      </c>
      <c r="I102" s="83">
        <v>195</v>
      </c>
      <c r="J102" t="str">
        <v/>
      </c>
      <c r="K102" t="str">
        <v/>
      </c>
      <c r="W102" t="s">
        <v>374</v>
      </c>
      <c r="X102" t="s">
        <v>375</v>
      </c>
      <c r="Y102" t="str">
        <f t="shared" si="17"/>
        <v>20Y</v>
      </c>
      <c r="Z102" t="str">
        <f t="shared" si="18"/>
        <v>30Y</v>
      </c>
      <c r="AA102" t="str">
        <f t="shared" si="26"/>
        <v/>
      </c>
      <c r="AB102">
        <f t="shared" si="27"/>
        <v>260</v>
      </c>
      <c r="AC102">
        <f t="shared" si="28"/>
        <v>390</v>
      </c>
      <c r="AD102" t="str">
        <f t="shared" si="29"/>
        <v/>
      </c>
    </row>
    <row r="103" spans="1:30">
      <c r="A103" s="69" t="s">
        <v>641</v>
      </c>
      <c r="D103" t="str">
        <f t="shared" si="22"/>
        <v>260 X 1</v>
      </c>
      <c r="E103" s="83">
        <f t="shared" si="23"/>
        <v>0</v>
      </c>
      <c r="F103" s="83">
        <f t="shared" si="24"/>
        <v>0</v>
      </c>
      <c r="G103">
        <f t="shared" si="25"/>
        <v>8.2750000000000004</v>
      </c>
      <c r="I103" s="83">
        <v>260</v>
      </c>
      <c r="J103" t="str">
        <v/>
      </c>
      <c r="K103" t="str">
        <v/>
      </c>
      <c r="W103" t="s">
        <v>376</v>
      </c>
      <c r="X103" t="s">
        <v>237</v>
      </c>
      <c r="Y103" t="str">
        <f t="shared" si="17"/>
        <v>12Y</v>
      </c>
      <c r="Z103" t="str">
        <f t="shared" si="18"/>
        <v>15Y</v>
      </c>
      <c r="AA103" t="str">
        <f t="shared" si="26"/>
        <v/>
      </c>
      <c r="AB103">
        <f t="shared" si="27"/>
        <v>156</v>
      </c>
      <c r="AC103">
        <f t="shared" si="28"/>
        <v>195</v>
      </c>
      <c r="AD103" t="str">
        <f t="shared" si="29"/>
        <v/>
      </c>
    </row>
    <row r="104" spans="1:30">
      <c r="A104" s="69" t="s">
        <v>642</v>
      </c>
      <c r="G104"/>
      <c r="H104"/>
      <c r="I104"/>
      <c r="J104" t="str">
        <v/>
      </c>
      <c r="K104" t="str">
        <v/>
      </c>
      <c r="W104" t="s">
        <v>418</v>
      </c>
      <c r="X104" t="s">
        <v>233</v>
      </c>
      <c r="Y104" t="str">
        <f t="shared" si="17"/>
        <v>10Y</v>
      </c>
      <c r="Z104" t="str">
        <f t="shared" si="18"/>
        <v>12Y</v>
      </c>
      <c r="AA104" t="str">
        <f t="shared" si="26"/>
        <v/>
      </c>
      <c r="AB104">
        <f t="shared" si="27"/>
        <v>130</v>
      </c>
      <c r="AC104">
        <f t="shared" si="28"/>
        <v>156</v>
      </c>
      <c r="AD104" t="str">
        <f t="shared" si="29"/>
        <v/>
      </c>
    </row>
    <row r="105" spans="1:30">
      <c r="A105" s="69" t="s">
        <v>482</v>
      </c>
      <c r="G105"/>
      <c r="H105"/>
      <c r="I105"/>
      <c r="J105" t="str">
        <v/>
      </c>
      <c r="K105" t="str">
        <v/>
      </c>
      <c r="W105" t="s">
        <v>426</v>
      </c>
      <c r="X105" t="s">
        <v>186</v>
      </c>
      <c r="Y105" t="str">
        <f t="shared" si="17"/>
        <v>1Y</v>
      </c>
      <c r="Z105" t="str">
        <f t="shared" si="18"/>
        <v>2Y</v>
      </c>
      <c r="AA105" t="str">
        <f t="shared" si="26"/>
        <v>3Y</v>
      </c>
      <c r="AB105">
        <f t="shared" si="27"/>
        <v>13</v>
      </c>
      <c r="AC105">
        <f t="shared" si="28"/>
        <v>26</v>
      </c>
      <c r="AD105">
        <f t="shared" si="29"/>
        <v>39</v>
      </c>
    </row>
    <row r="106" spans="1:30">
      <c r="A106" s="69" t="s">
        <v>829</v>
      </c>
      <c r="G106"/>
      <c r="H106"/>
      <c r="I106"/>
      <c r="J106"/>
      <c r="W106" t="s">
        <v>427</v>
      </c>
      <c r="X106" t="s">
        <v>216</v>
      </c>
      <c r="Y106" t="str">
        <f t="shared" si="17"/>
        <v>3Y</v>
      </c>
      <c r="Z106" t="str">
        <f t="shared" si="18"/>
        <v>5Y</v>
      </c>
      <c r="AA106" t="str">
        <f t="shared" si="26"/>
        <v/>
      </c>
      <c r="AB106">
        <f t="shared" si="27"/>
        <v>39</v>
      </c>
      <c r="AC106">
        <f t="shared" si="28"/>
        <v>65</v>
      </c>
      <c r="AD106" t="str">
        <f t="shared" si="29"/>
        <v/>
      </c>
    </row>
    <row r="107" spans="1:30">
      <c r="A107" s="69" t="s">
        <v>675</v>
      </c>
      <c r="D107" s="299" t="s">
        <v>62</v>
      </c>
      <c r="E107" s="300"/>
      <c r="F107" s="300"/>
      <c r="G107" s="301"/>
      <c r="H107"/>
      <c r="I107"/>
      <c r="J107"/>
      <c r="R107" s="93"/>
      <c r="W107" t="s">
        <v>431</v>
      </c>
      <c r="X107" t="s">
        <v>190</v>
      </c>
      <c r="Y107" t="str">
        <f t="shared" si="17"/>
        <v>2Y</v>
      </c>
      <c r="Z107" t="str">
        <f t="shared" ref="Z107:Z108" si="30">MID($X107,LEN(Y107)+2,IFERROR(FIND("M",$X107,LEN(Y107)+1),FIND("Y",$X107,LEN(Y107)+1))-LEN(Y107)-1)</f>
        <v>5Y</v>
      </c>
      <c r="AA107" t="str">
        <f t="shared" ref="AA107:AA108" si="31">MID($X107,LEN(Z107)+LEN(Y107)+3,LEN(X107)-(LEN(Z107)+LEN(Y107)+1))</f>
        <v>10Y</v>
      </c>
      <c r="AB107">
        <f t="shared" ref="AB107:AB108" si="32">IFERROR(IF(IFERROR(FIND("M",Y107)&gt;0,FALSE),_xlfn.NUMBERVALUE(MID(Y107,1,LEN(Y107)-1)),MID(Y107,1,LEN(Y107)-1)*13),"")</f>
        <v>26</v>
      </c>
      <c r="AC107">
        <f t="shared" ref="AC107:AC108" si="33">IFERROR(IF(IFERROR(FIND("M",Z107)&gt;0,FALSE),_xlfn.NUMBERVALUE(MID(Z107,1,LEN(Z107)-1)),MID(Z107,1,LEN(Z107)-1)*13),"")</f>
        <v>65</v>
      </c>
      <c r="AD107">
        <f t="shared" ref="AD107:AD108" si="34">IFERROR(IF(IFERROR(FIND("M",AA107)&gt;0,FALSE),_xlfn.NUMBERVALUE(MID(AA107,1,LEN(AA107)-1)),MID(AA107,1,LEN(AA107)-1)*13),"")</f>
        <v>130</v>
      </c>
    </row>
    <row r="108" spans="1:30">
      <c r="A108" s="69" t="s">
        <v>682</v>
      </c>
      <c r="D108" s="24" t="s">
        <v>55</v>
      </c>
      <c r="E108" s="24" t="s">
        <v>29</v>
      </c>
      <c r="F108" s="24" t="s">
        <v>30</v>
      </c>
      <c r="G108" s="24" t="s">
        <v>58</v>
      </c>
      <c r="H108" s="84" t="s">
        <v>63</v>
      </c>
      <c r="I108" s="84" t="s">
        <v>64</v>
      </c>
      <c r="J108" s="84" t="s">
        <v>65</v>
      </c>
      <c r="K108" s="84" t="s">
        <v>66</v>
      </c>
      <c r="L108" s="84" t="s">
        <v>67</v>
      </c>
      <c r="M108" s="84" t="s">
        <v>68</v>
      </c>
      <c r="N108" s="84" t="s">
        <v>69</v>
      </c>
      <c r="O108" s="84" t="s">
        <v>70</v>
      </c>
      <c r="P108" s="24" t="s">
        <v>29</v>
      </c>
      <c r="Q108" s="79" t="s">
        <v>30</v>
      </c>
      <c r="R108" s="124" t="s">
        <v>64</v>
      </c>
      <c r="S108" s="124" t="s">
        <v>65</v>
      </c>
      <c r="W108" t="s">
        <v>444</v>
      </c>
      <c r="X108" t="s">
        <v>212</v>
      </c>
      <c r="Y108" t="str">
        <f t="shared" si="17"/>
        <v>2Y</v>
      </c>
      <c r="Z108" t="str">
        <f t="shared" si="30"/>
        <v>10Y</v>
      </c>
      <c r="AA108" t="str">
        <f t="shared" si="31"/>
        <v/>
      </c>
      <c r="AB108">
        <f t="shared" si="32"/>
        <v>26</v>
      </c>
      <c r="AC108">
        <f t="shared" si="33"/>
        <v>130</v>
      </c>
      <c r="AD108" t="str">
        <f t="shared" si="34"/>
        <v/>
      </c>
    </row>
    <row r="109" spans="1:30">
      <c r="A109" s="69" t="s">
        <v>687</v>
      </c>
      <c r="C109" s="127" t="str">
        <f>+IFERROR(IFERROR(MID(A104,1,IFERROR(FIND("Y",A104,FIND("VS",A104)),FIND("M",A104,FIND("VS",A104)))),MID(A104, 1, FIND("VS", A104, FIND("VS", A104, FIND("VS", A104)+2))+4)), "")</f>
        <v/>
      </c>
      <c r="D109" s="69" t="str">
        <f>+TRIM(C109)</f>
        <v/>
      </c>
      <c r="E109" s="125" t="str">
        <f t="shared" ref="E109:E118" si="35">+IF(D109&lt;&gt;"", IFERROR(_xlfn.NUMBERVALUE(MID(A104,24,8))*100,0), "")</f>
        <v/>
      </c>
      <c r="F109" s="126" t="str">
        <f>+IF(D109&lt;&gt;"", IFERROR(_xlfn.NUMBERVALUE(MID(A104,33,5))*100,0), "")</f>
        <v/>
      </c>
      <c r="G109" s="126" t="str">
        <f>+IF(D109&lt;&gt;"", IFERROR(_xlfn.NUMBERVALUE(MID(A104,52,9)),0), "")</f>
        <v/>
      </c>
      <c r="H109" s="83" t="str">
        <f>+IF(D109&lt;&gt;"",IF(IFERROR(FIND("VS",D109)&gt;0,FALSE),"Spread","Fly"), "")</f>
        <v/>
      </c>
      <c r="I109" s="83" t="str">
        <f t="shared" ref="I109:I122" si="36">IF(D109&lt;&gt;"",IFERROR(VLOOKUP(D109,$W$89:$AD$120, 3, 0), "-"), "")</f>
        <v/>
      </c>
      <c r="J109" s="83" t="str">
        <f t="shared" ref="J109:J122" si="37">IF(D109&lt;&gt;"",IFERROR(VLOOKUP(D109,$W$89:$AD$120, 4, 0), "-"), "")</f>
        <v/>
      </c>
      <c r="K109" s="83" t="str">
        <f t="shared" ref="K109:K122" si="38">IF(D109&lt;&gt;"",IFERROR(VLOOKUP(D109,$W$89:$AD$120, 5, 0), "-"),  "")</f>
        <v/>
      </c>
      <c r="L109" s="85" t="str">
        <f t="shared" ref="L109:N118" si="39">+IFERROR(IF(IFERROR(FIND("M",I109)&gt;0,FALSE),_xlfn.NUMBERVALUE(MID(I109,1,LEN(I109)-1)),MID(I109,1,LEN(I109)-1)*13),"")</f>
        <v/>
      </c>
      <c r="M109" s="85" t="str">
        <f t="shared" si="39"/>
        <v/>
      </c>
      <c r="N109" s="85" t="str">
        <f t="shared" si="39"/>
        <v/>
      </c>
      <c r="O109" t="str">
        <f t="shared" ref="O109:O122" si="40">IF(D109&lt;&gt;"",IFERROR(VLOOKUP(D109,$W$89:$AD$120, 2, 0), "-"), "")</f>
        <v/>
      </c>
      <c r="P109" s="88" t="str">
        <f t="shared" ref="P109:Q118" si="41">+E109</f>
        <v/>
      </c>
      <c r="Q109" s="88" t="str">
        <f t="shared" si="41"/>
        <v/>
      </c>
      <c r="R109" s="88" t="str">
        <f>+L109</f>
        <v/>
      </c>
      <c r="S109" s="88" t="str">
        <f>+M109</f>
        <v/>
      </c>
    </row>
    <row r="110" spans="1:30">
      <c r="A110" s="69" t="s">
        <v>688</v>
      </c>
      <c r="C110" s="127" t="str">
        <f t="shared" ref="C110:C118" si="42">+IFERROR(IFERROR(MID(A105,1,IFERROR(FIND("Y",A105,FIND("VS",A105)),FIND("M",A105,FIND("VS",A105)))),MID(A105, 1, FIND("VS", A105, FIND("VS", A105, FIND("VS", A105)+2))+4)), "")</f>
        <v xml:space="preserve">       6M VS 9M</v>
      </c>
      <c r="D110" s="69" t="str">
        <f>+TRIM(C110)</f>
        <v>6M VS 9M</v>
      </c>
      <c r="E110" s="125">
        <f t="shared" si="35"/>
        <v>0</v>
      </c>
      <c r="F110" s="126">
        <f t="shared" ref="F110:F122" si="43">+IF(D110&lt;&gt;"", IFERROR(_xlfn.NUMBERVALUE(MID(A105,33,5))*100,0), "")</f>
        <v>0</v>
      </c>
      <c r="G110" s="126">
        <f t="shared" ref="G110:G122" si="44">+IF(D110&lt;&gt;"", IFERROR(_xlfn.NUMBERVALUE(MID(A105,52,9)),0), "")</f>
        <v>-0.185</v>
      </c>
      <c r="H110" s="83" t="str">
        <f t="shared" ref="H110:H122" si="45">+IF(D110&lt;&gt;"",IF(IFERROR(FIND("VS",D110)&gt;0,FALSE),"Spread","Fly"), "")</f>
        <v>Spread</v>
      </c>
      <c r="I110" s="83" t="str">
        <f t="shared" si="36"/>
        <v>6M</v>
      </c>
      <c r="J110" s="83" t="str">
        <f t="shared" si="37"/>
        <v>9M</v>
      </c>
      <c r="K110" s="83" t="str">
        <f t="shared" si="38"/>
        <v/>
      </c>
      <c r="L110" s="85">
        <f t="shared" si="39"/>
        <v>6</v>
      </c>
      <c r="M110" s="85">
        <f t="shared" si="39"/>
        <v>9</v>
      </c>
      <c r="N110" s="85" t="str">
        <f t="shared" si="39"/>
        <v/>
      </c>
      <c r="O110" t="str">
        <f t="shared" si="40"/>
        <v>6M-9M</v>
      </c>
      <c r="P110" s="88">
        <f t="shared" si="41"/>
        <v>0</v>
      </c>
      <c r="Q110" s="88">
        <f t="shared" si="41"/>
        <v>0</v>
      </c>
      <c r="R110" s="88">
        <f t="shared" ref="R110:S118" si="46">+L110</f>
        <v>6</v>
      </c>
      <c r="S110" s="88">
        <f t="shared" si="46"/>
        <v>9</v>
      </c>
    </row>
    <row r="111" spans="1:30">
      <c r="A111" s="69" t="s">
        <v>689</v>
      </c>
      <c r="C111" s="127" t="str">
        <f t="shared" si="42"/>
        <v xml:space="preserve">      9M VS 1 Y</v>
      </c>
      <c r="D111" s="69" t="str">
        <f t="shared" ref="D111:D118" si="47">+TRIM(C111)</f>
        <v>9M VS 1 Y</v>
      </c>
      <c r="E111" s="125">
        <f t="shared" si="35"/>
        <v>-38</v>
      </c>
      <c r="F111" s="126">
        <f t="shared" si="43"/>
        <v>-35</v>
      </c>
      <c r="G111" s="126">
        <f t="shared" si="44"/>
        <v>-0.33500000000000002</v>
      </c>
      <c r="H111" s="83" t="str">
        <f t="shared" si="45"/>
        <v>Spread</v>
      </c>
      <c r="I111" s="83" t="str">
        <f t="shared" si="36"/>
        <v>9M</v>
      </c>
      <c r="J111" s="83" t="str">
        <f t="shared" si="37"/>
        <v>1Y</v>
      </c>
      <c r="K111" s="83" t="str">
        <f t="shared" si="38"/>
        <v/>
      </c>
      <c r="L111" s="85">
        <f t="shared" si="39"/>
        <v>9</v>
      </c>
      <c r="M111" s="85">
        <f t="shared" si="39"/>
        <v>13</v>
      </c>
      <c r="N111" s="85" t="str">
        <f t="shared" si="39"/>
        <v/>
      </c>
      <c r="O111" t="str">
        <f t="shared" si="40"/>
        <v>9M-1Y</v>
      </c>
      <c r="P111" s="88">
        <f t="shared" si="41"/>
        <v>-38</v>
      </c>
      <c r="Q111" s="88">
        <f t="shared" si="41"/>
        <v>-35</v>
      </c>
      <c r="R111" s="88">
        <f t="shared" si="46"/>
        <v>9</v>
      </c>
      <c r="S111" s="88">
        <f t="shared" si="46"/>
        <v>13</v>
      </c>
    </row>
    <row r="112" spans="1:30">
      <c r="A112" s="69" t="s">
        <v>690</v>
      </c>
      <c r="C112" s="127" t="str">
        <f t="shared" si="42"/>
        <v xml:space="preserve">       1 VS 2 Y</v>
      </c>
      <c r="D112" s="69" t="str">
        <f t="shared" si="47"/>
        <v>1 VS 2 Y</v>
      </c>
      <c r="E112" s="125">
        <f t="shared" si="35"/>
        <v>0</v>
      </c>
      <c r="F112" s="126">
        <f t="shared" si="43"/>
        <v>0</v>
      </c>
      <c r="G112" s="126">
        <f t="shared" si="44"/>
        <v>-1.2549999999999999</v>
      </c>
      <c r="H112" s="83" t="str">
        <f t="shared" si="45"/>
        <v>Spread</v>
      </c>
      <c r="I112" s="83" t="str">
        <f t="shared" si="36"/>
        <v>1Y</v>
      </c>
      <c r="J112" s="83" t="str">
        <f t="shared" si="37"/>
        <v>1Y</v>
      </c>
      <c r="K112" s="83" t="str">
        <f t="shared" si="38"/>
        <v/>
      </c>
      <c r="L112" s="85">
        <f t="shared" si="39"/>
        <v>13</v>
      </c>
      <c r="M112" s="85">
        <f t="shared" si="39"/>
        <v>13</v>
      </c>
      <c r="N112" s="85" t="str">
        <f t="shared" si="39"/>
        <v/>
      </c>
      <c r="O112" t="str">
        <f t="shared" si="40"/>
        <v>1Y-1Y</v>
      </c>
      <c r="P112" s="88">
        <f t="shared" si="41"/>
        <v>0</v>
      </c>
      <c r="Q112" s="88">
        <f t="shared" si="41"/>
        <v>0</v>
      </c>
      <c r="R112" s="88">
        <f t="shared" si="46"/>
        <v>13</v>
      </c>
      <c r="S112" s="88">
        <f t="shared" si="46"/>
        <v>13</v>
      </c>
    </row>
    <row r="113" spans="1:19">
      <c r="A113" s="69" t="s">
        <v>483</v>
      </c>
      <c r="C113" s="127" t="str">
        <f t="shared" si="42"/>
        <v xml:space="preserve">       2 VS 3 Y</v>
      </c>
      <c r="D113" s="69" t="str">
        <f t="shared" si="47"/>
        <v>2 VS 3 Y</v>
      </c>
      <c r="E113" s="125">
        <f t="shared" si="35"/>
        <v>0</v>
      </c>
      <c r="F113" s="126">
        <f t="shared" si="43"/>
        <v>0</v>
      </c>
      <c r="G113" s="126">
        <f t="shared" si="44"/>
        <v>-0.71499999999999997</v>
      </c>
      <c r="H113" s="83" t="str">
        <f t="shared" si="45"/>
        <v>Spread</v>
      </c>
      <c r="I113" s="83" t="str">
        <f t="shared" si="36"/>
        <v>2Y</v>
      </c>
      <c r="J113" s="83" t="str">
        <f t="shared" si="37"/>
        <v>3Y</v>
      </c>
      <c r="K113" s="83" t="str">
        <f t="shared" si="38"/>
        <v/>
      </c>
      <c r="L113" s="85">
        <f t="shared" si="39"/>
        <v>26</v>
      </c>
      <c r="M113" s="85">
        <f t="shared" si="39"/>
        <v>39</v>
      </c>
      <c r="N113" s="85" t="str">
        <f t="shared" si="39"/>
        <v/>
      </c>
      <c r="O113" t="str">
        <f t="shared" si="40"/>
        <v>2Y-3Y</v>
      </c>
      <c r="P113" s="88">
        <f t="shared" si="41"/>
        <v>0</v>
      </c>
      <c r="Q113" s="88">
        <f t="shared" si="41"/>
        <v>0</v>
      </c>
      <c r="R113" s="88">
        <f t="shared" si="46"/>
        <v>26</v>
      </c>
      <c r="S113" s="88">
        <f t="shared" si="46"/>
        <v>39</v>
      </c>
    </row>
    <row r="114" spans="1:19">
      <c r="C114" s="127" t="str">
        <f t="shared" si="42"/>
        <v xml:space="preserve">       3 VS 4 Y</v>
      </c>
      <c r="D114" s="69" t="str">
        <f t="shared" si="47"/>
        <v>3 VS 4 Y</v>
      </c>
      <c r="E114" s="125">
        <f t="shared" si="35"/>
        <v>0</v>
      </c>
      <c r="F114" s="126">
        <f t="shared" si="43"/>
        <v>0</v>
      </c>
      <c r="G114" s="126">
        <f t="shared" si="44"/>
        <v>-0.36499999999999999</v>
      </c>
      <c r="H114" s="83" t="str">
        <f t="shared" si="45"/>
        <v>Spread</v>
      </c>
      <c r="I114" s="83" t="str">
        <f t="shared" si="36"/>
        <v>3Y</v>
      </c>
      <c r="J114" s="83" t="str">
        <f t="shared" si="37"/>
        <v>4Y</v>
      </c>
      <c r="K114" s="83" t="str">
        <f t="shared" si="38"/>
        <v/>
      </c>
      <c r="L114" s="85">
        <f t="shared" si="39"/>
        <v>39</v>
      </c>
      <c r="M114" s="85">
        <f t="shared" si="39"/>
        <v>52</v>
      </c>
      <c r="N114" s="85" t="str">
        <f t="shared" si="39"/>
        <v/>
      </c>
      <c r="O114" t="str">
        <f t="shared" si="40"/>
        <v>3Y-4Y</v>
      </c>
      <c r="P114" s="88">
        <f t="shared" si="41"/>
        <v>0</v>
      </c>
      <c r="Q114" s="88">
        <f t="shared" si="41"/>
        <v>0</v>
      </c>
      <c r="R114" s="88">
        <f t="shared" si="46"/>
        <v>39</v>
      </c>
      <c r="S114" s="88">
        <f t="shared" si="46"/>
        <v>52</v>
      </c>
    </row>
    <row r="115" spans="1:19">
      <c r="C115" s="127" t="str">
        <f t="shared" si="42"/>
        <v xml:space="preserve">       4 VS 5 Y</v>
      </c>
      <c r="D115" s="69" t="str">
        <f t="shared" si="47"/>
        <v>4 VS 5 Y</v>
      </c>
      <c r="E115" s="125">
        <f t="shared" si="35"/>
        <v>0</v>
      </c>
      <c r="F115" s="126">
        <f t="shared" si="43"/>
        <v>0</v>
      </c>
      <c r="G115" s="126">
        <f t="shared" si="44"/>
        <v>-0.20499999999999999</v>
      </c>
      <c r="H115" s="83" t="str">
        <f t="shared" si="45"/>
        <v>Spread</v>
      </c>
      <c r="I115" s="83" t="str">
        <f t="shared" si="36"/>
        <v>4Y</v>
      </c>
      <c r="J115" s="83" t="str">
        <f t="shared" si="37"/>
        <v>5Y</v>
      </c>
      <c r="K115" s="83" t="str">
        <f t="shared" si="38"/>
        <v/>
      </c>
      <c r="L115" s="85">
        <f t="shared" si="39"/>
        <v>52</v>
      </c>
      <c r="M115" s="85">
        <f t="shared" si="39"/>
        <v>65</v>
      </c>
      <c r="N115" s="85" t="str">
        <f t="shared" si="39"/>
        <v/>
      </c>
      <c r="O115" t="str">
        <f t="shared" si="40"/>
        <v>4Y-5Y</v>
      </c>
      <c r="P115" s="88">
        <f t="shared" si="41"/>
        <v>0</v>
      </c>
      <c r="Q115" s="88">
        <f t="shared" si="41"/>
        <v>0</v>
      </c>
      <c r="R115" s="88">
        <f t="shared" si="46"/>
        <v>52</v>
      </c>
      <c r="S115" s="88">
        <f t="shared" si="46"/>
        <v>65</v>
      </c>
    </row>
    <row r="116" spans="1:19">
      <c r="A116" s="21" t="e">
        <f ca="1">_xll.BPGE(" 1595/11/1",,"cols=1;rows=26")</f>
        <v>#NAME?</v>
      </c>
      <c r="C116" s="127" t="str">
        <f t="shared" si="42"/>
        <v xml:space="preserve">       5 VS 7 Y</v>
      </c>
      <c r="D116" s="69" t="str">
        <f t="shared" si="47"/>
        <v>5 VS 7 Y</v>
      </c>
      <c r="E116" s="125">
        <f t="shared" si="35"/>
        <v>0</v>
      </c>
      <c r="F116" s="126">
        <f t="shared" si="43"/>
        <v>0</v>
      </c>
      <c r="G116" s="126">
        <f t="shared" si="44"/>
        <v>-0.16</v>
      </c>
      <c r="H116" s="83" t="str">
        <f t="shared" si="45"/>
        <v>Spread</v>
      </c>
      <c r="I116" s="83" t="str">
        <f t="shared" si="36"/>
        <v>5Y</v>
      </c>
      <c r="J116" s="83" t="str">
        <f t="shared" si="37"/>
        <v>7Y</v>
      </c>
      <c r="K116" s="83" t="str">
        <f t="shared" si="38"/>
        <v/>
      </c>
      <c r="L116" s="85">
        <f t="shared" si="39"/>
        <v>65</v>
      </c>
      <c r="M116" s="85">
        <f t="shared" si="39"/>
        <v>91</v>
      </c>
      <c r="N116" s="85" t="str">
        <f t="shared" si="39"/>
        <v/>
      </c>
      <c r="O116" t="str">
        <f t="shared" si="40"/>
        <v>5Y-7Y</v>
      </c>
      <c r="P116" s="88">
        <f t="shared" si="41"/>
        <v>0</v>
      </c>
      <c r="Q116" s="88">
        <f t="shared" si="41"/>
        <v>0</v>
      </c>
      <c r="R116" s="88">
        <f t="shared" si="46"/>
        <v>65</v>
      </c>
      <c r="S116" s="88">
        <f t="shared" si="46"/>
        <v>91</v>
      </c>
    </row>
    <row r="117" spans="1:19">
      <c r="A117" t="s">
        <v>868</v>
      </c>
      <c r="C117" s="127" t="str">
        <f t="shared" si="42"/>
        <v xml:space="preserve">      2 VS 10 Y</v>
      </c>
      <c r="D117" s="69" t="str">
        <f t="shared" si="47"/>
        <v>2 VS 10 Y</v>
      </c>
      <c r="E117" s="125">
        <f t="shared" si="35"/>
        <v>0</v>
      </c>
      <c r="F117" s="126">
        <f t="shared" si="43"/>
        <v>0</v>
      </c>
      <c r="G117" s="126">
        <f t="shared" si="44"/>
        <v>-1.4850000000000001</v>
      </c>
      <c r="H117" s="83" t="str">
        <f t="shared" si="45"/>
        <v>Spread</v>
      </c>
      <c r="I117" s="83" t="str">
        <f t="shared" si="36"/>
        <v>2Y</v>
      </c>
      <c r="J117" s="83" t="str">
        <f t="shared" si="37"/>
        <v>10Y</v>
      </c>
      <c r="K117" s="83" t="str">
        <f t="shared" si="38"/>
        <v/>
      </c>
      <c r="L117" s="85">
        <f t="shared" si="39"/>
        <v>26</v>
      </c>
      <c r="M117" s="85">
        <f t="shared" si="39"/>
        <v>130</v>
      </c>
      <c r="N117" s="85" t="str">
        <f t="shared" si="39"/>
        <v/>
      </c>
      <c r="O117" t="str">
        <f t="shared" si="40"/>
        <v>2Y-10Y</v>
      </c>
      <c r="P117" s="88">
        <f t="shared" si="41"/>
        <v>0</v>
      </c>
      <c r="Q117" s="88">
        <f t="shared" si="41"/>
        <v>0</v>
      </c>
      <c r="R117" s="88">
        <f t="shared" si="46"/>
        <v>26</v>
      </c>
      <c r="S117" s="88">
        <f t="shared" si="46"/>
        <v>130</v>
      </c>
    </row>
    <row r="118" spans="1:19">
      <c r="A118" t="s">
        <v>52</v>
      </c>
      <c r="C118" s="127" t="str">
        <f t="shared" si="42"/>
        <v xml:space="preserve">     10 VS 12 Y</v>
      </c>
      <c r="D118" s="69" t="str">
        <f t="shared" si="47"/>
        <v>10 VS 12 Y</v>
      </c>
      <c r="E118" s="125">
        <f t="shared" si="35"/>
        <v>0</v>
      </c>
      <c r="F118" s="126">
        <f t="shared" si="43"/>
        <v>0</v>
      </c>
      <c r="G118" s="126">
        <f t="shared" si="44"/>
        <v>0.02</v>
      </c>
      <c r="H118" s="83" t="str">
        <f t="shared" si="45"/>
        <v>Spread</v>
      </c>
      <c r="I118" s="83" t="str">
        <f t="shared" si="36"/>
        <v>10Y</v>
      </c>
      <c r="J118" s="83" t="str">
        <f t="shared" si="37"/>
        <v>12Y</v>
      </c>
      <c r="K118" s="83" t="str">
        <f t="shared" si="38"/>
        <v/>
      </c>
      <c r="L118" s="85">
        <f t="shared" si="39"/>
        <v>130</v>
      </c>
      <c r="M118" s="85">
        <f t="shared" si="39"/>
        <v>156</v>
      </c>
      <c r="N118" s="85" t="str">
        <f t="shared" si="39"/>
        <v/>
      </c>
      <c r="O118" t="str">
        <f t="shared" si="40"/>
        <v>10Y-12Y</v>
      </c>
      <c r="P118" s="88">
        <f t="shared" si="41"/>
        <v>0</v>
      </c>
      <c r="Q118" s="88">
        <f t="shared" si="41"/>
        <v>0</v>
      </c>
      <c r="R118" s="88">
        <f t="shared" si="46"/>
        <v>130</v>
      </c>
      <c r="S118" s="88">
        <f t="shared" si="46"/>
        <v>156</v>
      </c>
    </row>
    <row r="119" spans="1:19">
      <c r="A119" t="s">
        <v>826</v>
      </c>
      <c r="C119" s="127" t="str">
        <f t="shared" ref="C119:C122" si="48">+IFERROR(IFERROR(MID(A114,1,IFERROR(FIND("Y",A114,FIND("VS",A114)),FIND("M",A114,FIND("VS",A114)))),MID(A114, 1, FIND("VS", A114, FIND("VS", A114, FIND("VS", A114)+2))+4)), "")</f>
        <v/>
      </c>
      <c r="D119" s="69" t="str">
        <f t="shared" ref="D119:D122" si="49">+TRIM(C119)</f>
        <v/>
      </c>
      <c r="E119" s="125" t="str">
        <f>+IF(D119&lt;&gt;"", IFERROR(_xlfn.NUMBERVALUE(MID(A114,24,8))*100,0), "")</f>
        <v/>
      </c>
      <c r="F119" s="126" t="str">
        <f t="shared" si="43"/>
        <v/>
      </c>
      <c r="G119" s="126" t="str">
        <f t="shared" si="44"/>
        <v/>
      </c>
      <c r="H119" s="83" t="str">
        <f t="shared" si="45"/>
        <v/>
      </c>
      <c r="I119" s="83" t="str">
        <f t="shared" si="36"/>
        <v/>
      </c>
      <c r="J119" s="83" t="str">
        <f t="shared" si="37"/>
        <v/>
      </c>
      <c r="K119" s="83" t="str">
        <f t="shared" si="38"/>
        <v/>
      </c>
      <c r="L119" s="85" t="str">
        <f t="shared" ref="L119:L122" si="50">+IFERROR(IF(IFERROR(FIND("M",I119)&gt;0,FALSE),_xlfn.NUMBERVALUE(MID(I119,1,LEN(I119)-1)),MID(I119,1,LEN(I119)-1)*13),"")</f>
        <v/>
      </c>
      <c r="M119" s="85" t="str">
        <f t="shared" ref="M119:M122" si="51">+IFERROR(IF(IFERROR(FIND("M",J119)&gt;0,FALSE),_xlfn.NUMBERVALUE(MID(J119,1,LEN(J119)-1)),MID(J119,1,LEN(J119)-1)*13),"")</f>
        <v/>
      </c>
      <c r="N119" s="85" t="str">
        <f t="shared" ref="N119:N122" si="52">+IFERROR(IF(IFERROR(FIND("M",K119)&gt;0,FALSE),_xlfn.NUMBERVALUE(MID(K119,1,LEN(K119)-1)),MID(K119,1,LEN(K119)-1)*13),"")</f>
        <v/>
      </c>
      <c r="O119" t="str">
        <f t="shared" si="40"/>
        <v/>
      </c>
      <c r="P119" s="88" t="str">
        <f t="shared" ref="P119:P122" si="53">+E119</f>
        <v/>
      </c>
      <c r="Q119" s="88" t="str">
        <f t="shared" ref="Q119:Q122" si="54">+F119</f>
        <v/>
      </c>
      <c r="R119" s="88" t="str">
        <f t="shared" ref="R119:R122" si="55">+L119</f>
        <v/>
      </c>
      <c r="S119" s="88" t="str">
        <f t="shared" ref="S119:S122" si="56">+M119</f>
        <v/>
      </c>
    </row>
    <row r="120" spans="1:19">
      <c r="A120" t="s">
        <v>478</v>
      </c>
      <c r="C120" s="127" t="str">
        <f t="shared" si="48"/>
        <v/>
      </c>
      <c r="D120" s="69" t="str">
        <f t="shared" si="49"/>
        <v/>
      </c>
      <c r="E120" s="125" t="str">
        <f t="shared" ref="E120:E122" si="57">+IF(D120&lt;&gt;"", IFERROR(_xlfn.NUMBERVALUE(MID(A115,24,8))*100,0), "")</f>
        <v/>
      </c>
      <c r="F120" s="126" t="str">
        <f t="shared" si="43"/>
        <v/>
      </c>
      <c r="G120" s="126" t="str">
        <f t="shared" si="44"/>
        <v/>
      </c>
      <c r="H120" s="83" t="str">
        <f t="shared" si="45"/>
        <v/>
      </c>
      <c r="I120" s="83" t="str">
        <f t="shared" si="36"/>
        <v/>
      </c>
      <c r="J120" s="83" t="str">
        <f t="shared" si="37"/>
        <v/>
      </c>
      <c r="K120" s="83" t="str">
        <f t="shared" si="38"/>
        <v/>
      </c>
      <c r="L120" s="85" t="str">
        <f t="shared" si="50"/>
        <v/>
      </c>
      <c r="M120" s="85" t="str">
        <f t="shared" si="51"/>
        <v/>
      </c>
      <c r="N120" s="85" t="str">
        <f t="shared" si="52"/>
        <v/>
      </c>
      <c r="O120" t="str">
        <f t="shared" si="40"/>
        <v/>
      </c>
      <c r="P120" s="88" t="str">
        <f t="shared" si="53"/>
        <v/>
      </c>
      <c r="Q120" s="88" t="str">
        <f t="shared" si="54"/>
        <v/>
      </c>
      <c r="R120" s="88" t="str">
        <f t="shared" si="55"/>
        <v/>
      </c>
      <c r="S120" s="88" t="str">
        <f t="shared" si="56"/>
        <v/>
      </c>
    </row>
    <row r="121" spans="1:19">
      <c r="A121" t="s">
        <v>822</v>
      </c>
      <c r="C121" s="127" t="str">
        <f t="shared" ca="1" si="48"/>
        <v/>
      </c>
      <c r="D121" s="69" t="str">
        <f t="shared" ca="1" si="49"/>
        <v/>
      </c>
      <c r="E121" s="125" t="str">
        <f t="shared" ca="1" si="57"/>
        <v/>
      </c>
      <c r="F121" s="126" t="str">
        <f t="shared" ca="1" si="43"/>
        <v/>
      </c>
      <c r="G121" s="126" t="str">
        <f t="shared" ca="1" si="44"/>
        <v/>
      </c>
      <c r="H121" s="83" t="str">
        <f t="shared" ca="1" si="45"/>
        <v/>
      </c>
      <c r="I121" s="83" t="str">
        <f t="shared" ca="1" si="36"/>
        <v/>
      </c>
      <c r="J121" s="83" t="str">
        <f t="shared" ca="1" si="37"/>
        <v/>
      </c>
      <c r="K121" s="83" t="str">
        <f t="shared" ca="1" si="38"/>
        <v/>
      </c>
      <c r="L121" s="85" t="str">
        <f t="shared" ca="1" si="50"/>
        <v/>
      </c>
      <c r="M121" s="85" t="str">
        <f t="shared" ca="1" si="51"/>
        <v/>
      </c>
      <c r="N121" s="85" t="str">
        <f t="shared" ca="1" si="52"/>
        <v/>
      </c>
      <c r="O121" t="str">
        <f t="shared" ca="1" si="40"/>
        <v/>
      </c>
      <c r="P121" s="88" t="str">
        <f t="shared" ca="1" si="53"/>
        <v/>
      </c>
      <c r="Q121" s="88" t="str">
        <f t="shared" ca="1" si="54"/>
        <v/>
      </c>
      <c r="R121" s="88" t="str">
        <f t="shared" ca="1" si="55"/>
        <v/>
      </c>
      <c r="S121" s="88" t="str">
        <f t="shared" ca="1" si="56"/>
        <v/>
      </c>
    </row>
    <row r="122" spans="1:19">
      <c r="A122" t="s">
        <v>804</v>
      </c>
      <c r="C122" s="127" t="str">
        <f t="shared" si="48"/>
        <v/>
      </c>
      <c r="D122" s="69" t="str">
        <f t="shared" si="49"/>
        <v/>
      </c>
      <c r="E122" s="125" t="str">
        <f t="shared" si="57"/>
        <v/>
      </c>
      <c r="F122" s="126" t="str">
        <f t="shared" si="43"/>
        <v/>
      </c>
      <c r="G122" s="126" t="str">
        <f t="shared" si="44"/>
        <v/>
      </c>
      <c r="H122" s="83" t="str">
        <f t="shared" si="45"/>
        <v/>
      </c>
      <c r="I122" s="83" t="str">
        <f t="shared" si="36"/>
        <v/>
      </c>
      <c r="J122" s="83" t="str">
        <f t="shared" si="37"/>
        <v/>
      </c>
      <c r="K122" s="83" t="str">
        <f t="shared" si="38"/>
        <v/>
      </c>
      <c r="L122" s="85" t="str">
        <f t="shared" si="50"/>
        <v/>
      </c>
      <c r="M122" s="85" t="str">
        <f t="shared" si="51"/>
        <v/>
      </c>
      <c r="N122" s="85" t="str">
        <f t="shared" si="52"/>
        <v/>
      </c>
      <c r="O122" t="str">
        <f t="shared" si="40"/>
        <v/>
      </c>
      <c r="P122" s="88" t="str">
        <f t="shared" si="53"/>
        <v/>
      </c>
      <c r="Q122" s="88" t="str">
        <f t="shared" si="54"/>
        <v/>
      </c>
      <c r="R122" s="88" t="str">
        <f t="shared" si="55"/>
        <v/>
      </c>
      <c r="S122" s="88" t="str">
        <f t="shared" si="56"/>
        <v/>
      </c>
    </row>
    <row r="123" spans="1:19">
      <c r="A123" t="s">
        <v>802</v>
      </c>
    </row>
    <row r="124" spans="1:19">
      <c r="A124" t="s">
        <v>481</v>
      </c>
    </row>
    <row r="125" spans="1:19">
      <c r="A125" t="s">
        <v>637</v>
      </c>
    </row>
    <row r="126" spans="1:19">
      <c r="A126" t="s">
        <v>835</v>
      </c>
    </row>
    <row r="127" spans="1:19">
      <c r="A127" t="s">
        <v>638</v>
      </c>
    </row>
    <row r="128" spans="1:19">
      <c r="A128" t="s">
        <v>830</v>
      </c>
    </row>
    <row r="129" spans="1:1">
      <c r="A129" t="s">
        <v>639</v>
      </c>
    </row>
    <row r="130" spans="1:1">
      <c r="A130" t="s">
        <v>640</v>
      </c>
    </row>
    <row r="131" spans="1:1">
      <c r="A131" t="s">
        <v>641</v>
      </c>
    </row>
    <row r="132" spans="1:1">
      <c r="A132" t="s">
        <v>642</v>
      </c>
    </row>
    <row r="133" spans="1:1">
      <c r="A133" t="s">
        <v>482</v>
      </c>
    </row>
    <row r="134" spans="1:1">
      <c r="A134" t="s">
        <v>829</v>
      </c>
    </row>
    <row r="135" spans="1:1">
      <c r="A135" t="s">
        <v>675</v>
      </c>
    </row>
    <row r="136" spans="1:1">
      <c r="A136" t="s">
        <v>682</v>
      </c>
    </row>
    <row r="137" spans="1:1">
      <c r="A137" t="s">
        <v>687</v>
      </c>
    </row>
    <row r="138" spans="1:1">
      <c r="A138" t="s">
        <v>688</v>
      </c>
    </row>
    <row r="139" spans="1:1">
      <c r="A139" t="s">
        <v>689</v>
      </c>
    </row>
    <row r="140" spans="1:1">
      <c r="A140" t="s">
        <v>690</v>
      </c>
    </row>
    <row r="141" spans="1:1">
      <c r="A141" t="s">
        <v>483</v>
      </c>
    </row>
  </sheetData>
  <mergeCells count="2">
    <mergeCell ref="D89:G89"/>
    <mergeCell ref="D107:G10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8" tint="0.79998168889431442"/>
  </sheetPr>
  <dimension ref="A1:AD179"/>
  <sheetViews>
    <sheetView zoomScale="80" zoomScaleNormal="80" workbookViewId="0">
      <pane xSplit="1" ySplit="3" topLeftCell="B4" activePane="bottomRight" state="frozen"/>
      <selection pane="topRight" activeCell="C68" sqref="C68:F68"/>
      <selection pane="bottomLeft" activeCell="C68" sqref="C68:F68"/>
      <selection pane="bottomRight" activeCell="E5" sqref="E5"/>
    </sheetView>
  </sheetViews>
  <sheetFormatPr baseColWidth="10" defaultColWidth="9.140625" defaultRowHeight="12.75"/>
  <cols>
    <col min="1" max="1" width="94.7109375" style="1" bestFit="1" customWidth="1"/>
    <col min="2" max="2" width="36.140625" style="2" bestFit="1" customWidth="1"/>
    <col min="3" max="11" width="11.42578125" style="2" customWidth="1"/>
    <col min="12" max="16384" width="9.140625" style="1"/>
  </cols>
  <sheetData>
    <row r="1" spans="1:15">
      <c r="A1" s="90" t="s">
        <v>103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5" s="62" customFormat="1">
      <c r="A2" s="91" t="e">
        <f ca="1">_xll.BPGE(" 973/13/1",,"cols=1;rows=26")</f>
        <v>#NAME?</v>
      </c>
      <c r="C2" s="62">
        <v>16</v>
      </c>
      <c r="D2" s="62">
        <v>5</v>
      </c>
      <c r="E2" s="62">
        <v>46</v>
      </c>
      <c r="F2" s="62">
        <v>53</v>
      </c>
      <c r="G2" s="62">
        <v>70</v>
      </c>
    </row>
    <row r="3" spans="1:15" ht="15">
      <c r="A3" s="70" t="s">
        <v>104</v>
      </c>
      <c r="B3" s="1"/>
      <c r="C3" s="23" t="s">
        <v>55</v>
      </c>
      <c r="D3" s="24" t="s">
        <v>72</v>
      </c>
      <c r="E3" s="25" t="s">
        <v>29</v>
      </c>
      <c r="F3" s="26" t="s">
        <v>30</v>
      </c>
      <c r="G3" s="24" t="s">
        <v>58</v>
      </c>
      <c r="H3" s="1"/>
      <c r="I3" s="24" t="s">
        <v>28</v>
      </c>
      <c r="J3" s="24" t="s">
        <v>32</v>
      </c>
      <c r="K3" s="24" t="s">
        <v>14</v>
      </c>
      <c r="L3" s="24" t="s">
        <v>33</v>
      </c>
    </row>
    <row r="4" spans="1:15" ht="15">
      <c r="A4" s="70" t="s">
        <v>635</v>
      </c>
      <c r="B4" s="1"/>
      <c r="C4" s="37" t="str">
        <f>IF(IFERROR(FIND(MID(A4,$C$2,5),A3),-1)&lt;0,MID(A4,$C$2,5),"")</f>
        <v xml:space="preserve">DC23 </v>
      </c>
      <c r="D4" s="27">
        <f>IF(C4="","",VALUE(MID(A4,$D$2,4)))</f>
        <v>135</v>
      </c>
      <c r="E4" s="113" t="e">
        <f>IF(D4="","",VALUE(MID($A4,E$2,6)))</f>
        <v>#VALUE!</v>
      </c>
      <c r="F4" s="114" t="e">
        <f t="shared" ref="F4:F30" si="0">IF(C4="","",VALUE(MID($A4,F$2,5)))</f>
        <v>#VALUE!</v>
      </c>
      <c r="G4" s="30">
        <f>IFERROR(VALUE(MID($A4,G$2,6)),"")</f>
        <v>11.42</v>
      </c>
      <c r="H4" s="1"/>
      <c r="I4" s="95" t="str" cm="1">
        <f t="array" ref="I4:I21">+TRANSPOSE(_xlfn.TEXTSPLIT(_xlfn.TEXTJOIN(",",TRUE,C4:C27,C33:C48),","))</f>
        <v xml:space="preserve">DC23 </v>
      </c>
      <c r="J4" s="135" t="str" cm="1">
        <f t="array" ref="J4:J21">+IFERROR(LOWER(LEFT(TRIM(_xlfn.ANCHORARRAY(I4)),2))&amp;VALUE(RIGHT(TRIM(_xlfn.ANCHORARRAY(I4)),2)),VLOOKUP(TRIM(_xlfn.ANCHORARRAY(I4)),N4:O7,2,-1))</f>
        <v>dc23</v>
      </c>
      <c r="K4" s="98" t="str" cm="1">
        <f t="array" ref="K4:K21">+IFERROR(IF(VLOOKUP(_xlfn.ANCHORARRAY(I4),$C$3:$G$45,3,0)=0,"",VLOOKUP(_xlfn.ANCHORARRAY($I4),$C$3:$G$45,3,0)),"")</f>
        <v/>
      </c>
      <c r="L4" s="98" t="str" cm="1">
        <f t="array" ref="L4:L21">+IFERROR(IF(VLOOKUP(_xlfn.ANCHORARRAY($I4),$C$3:$G$45,4,0)=0,"",VLOOKUP(_xlfn.ANCHORARRAY($I4),$C$3:$G$45,4,0)),"")</f>
        <v/>
      </c>
      <c r="N4" s="1" t="s">
        <v>105</v>
      </c>
      <c r="O4" s="1" t="s">
        <v>106</v>
      </c>
    </row>
    <row r="5" spans="1:15" ht="15">
      <c r="A5" s="70" t="s">
        <v>589</v>
      </c>
      <c r="B5" s="1"/>
      <c r="C5" s="37" t="str">
        <f t="shared" ref="C5:C27" si="1">IF(IFERROR(FIND(MID(A5,$C$2,5),A4),-1)&lt;0,MID(A5,$C$2,5),"")</f>
        <v/>
      </c>
      <c r="D5" s="27" t="str">
        <f t="shared" ref="D5:D18" si="2">IF(C5="","",VALUE(MID(A5,$D$2,4)))</f>
        <v/>
      </c>
      <c r="E5" s="113" t="str">
        <f t="shared" ref="E5:E27" si="3">IF(D5="","",VALUE(MID($A5,E$2,6)))</f>
        <v/>
      </c>
      <c r="F5" s="114" t="str">
        <f t="shared" si="0"/>
        <v/>
      </c>
      <c r="G5" s="30" t="str">
        <f t="shared" ref="G5:G27" si="4">IFERROR(VALUE(MID($A5,G$2,6)),"")</f>
        <v/>
      </c>
      <c r="H5" s="1"/>
      <c r="I5" s="95" t="str">
        <v xml:space="preserve">DOS  </v>
      </c>
      <c r="J5" s="135" t="str">
        <v>sp24</v>
      </c>
      <c r="K5" s="98">
        <v>11</v>
      </c>
      <c r="L5" s="98" t="str">
        <v/>
      </c>
      <c r="N5" s="1" t="s">
        <v>107</v>
      </c>
      <c r="O5" s="1" t="s">
        <v>108</v>
      </c>
    </row>
    <row r="6" spans="1:15" ht="15">
      <c r="A6" s="70" t="s">
        <v>781</v>
      </c>
      <c r="B6" s="1"/>
      <c r="C6" s="37" t="str">
        <f t="shared" si="1"/>
        <v xml:space="preserve">DOS  </v>
      </c>
      <c r="D6" s="27">
        <f t="shared" si="2"/>
        <v>408</v>
      </c>
      <c r="E6" s="113">
        <f t="shared" si="3"/>
        <v>11</v>
      </c>
      <c r="F6" s="114" t="e">
        <f t="shared" si="0"/>
        <v>#VALUE!</v>
      </c>
      <c r="G6" s="30">
        <f t="shared" si="4"/>
        <v>10.99</v>
      </c>
      <c r="H6" s="1"/>
      <c r="I6" s="95" t="str">
        <v xml:space="preserve">DC24 </v>
      </c>
      <c r="J6" s="135" t="str">
        <v>dc24</v>
      </c>
      <c r="K6" s="98" t="str">
        <v/>
      </c>
      <c r="L6" s="98" t="str">
        <v/>
      </c>
      <c r="N6" s="1" t="s">
        <v>109</v>
      </c>
    </row>
    <row r="7" spans="1:15" ht="15">
      <c r="A7" s="70" t="s">
        <v>590</v>
      </c>
      <c r="B7" s="1"/>
      <c r="C7" s="37" t="str">
        <f t="shared" si="1"/>
        <v/>
      </c>
      <c r="D7" s="27" t="str">
        <f t="shared" si="2"/>
        <v/>
      </c>
      <c r="E7" s="113" t="str">
        <f t="shared" si="3"/>
        <v/>
      </c>
      <c r="F7" s="114" t="str">
        <f t="shared" si="0"/>
        <v/>
      </c>
      <c r="G7" s="30" t="str">
        <f t="shared" si="4"/>
        <v/>
      </c>
      <c r="H7" s="1"/>
      <c r="I7" s="95" t="str">
        <v xml:space="preserve">MZ25 </v>
      </c>
      <c r="J7" s="135" t="str">
        <v>mz25</v>
      </c>
      <c r="K7" s="98" t="str">
        <v/>
      </c>
      <c r="L7" s="98">
        <v>10</v>
      </c>
      <c r="N7" s="1" t="s">
        <v>110</v>
      </c>
    </row>
    <row r="8" spans="1:15" ht="15">
      <c r="A8" s="70" t="s">
        <v>591</v>
      </c>
      <c r="B8" s="1"/>
      <c r="C8" s="37" t="str">
        <f t="shared" si="1"/>
        <v xml:space="preserve">DC24 </v>
      </c>
      <c r="D8" s="27">
        <f t="shared" si="2"/>
        <v>499</v>
      </c>
      <c r="E8" s="113" t="e">
        <f t="shared" si="3"/>
        <v>#VALUE!</v>
      </c>
      <c r="F8" s="114" t="e">
        <f t="shared" si="0"/>
        <v>#VALUE!</v>
      </c>
      <c r="G8" s="30">
        <f t="shared" si="4"/>
        <v>10.58</v>
      </c>
      <c r="H8" s="1"/>
      <c r="I8" s="95" t="str">
        <v xml:space="preserve">MZ26 </v>
      </c>
      <c r="J8" s="135" t="str">
        <v>mz26</v>
      </c>
      <c r="K8" s="98" t="str">
        <v/>
      </c>
      <c r="L8" s="98">
        <v>9.4700000000000006</v>
      </c>
    </row>
    <row r="9" spans="1:15" ht="15">
      <c r="A9" s="70" t="s">
        <v>592</v>
      </c>
      <c r="B9" s="1"/>
      <c r="C9" s="37" t="str">
        <f t="shared" si="1"/>
        <v/>
      </c>
      <c r="D9" s="27" t="str">
        <f t="shared" si="2"/>
        <v/>
      </c>
      <c r="E9" s="113" t="str">
        <f t="shared" si="3"/>
        <v/>
      </c>
      <c r="F9" s="114" t="str">
        <f t="shared" si="0"/>
        <v/>
      </c>
      <c r="G9" s="30" t="str">
        <f t="shared" si="4"/>
        <v/>
      </c>
      <c r="H9" s="1"/>
      <c r="I9" s="95" t="str">
        <v xml:space="preserve">SP26 </v>
      </c>
      <c r="J9" s="135" t="str">
        <v>sp26</v>
      </c>
      <c r="K9" s="98" t="str">
        <v/>
      </c>
      <c r="L9" s="98">
        <v>9.4600000000000009</v>
      </c>
    </row>
    <row r="10" spans="1:15" ht="15">
      <c r="A10" s="70" t="s">
        <v>766</v>
      </c>
      <c r="B10" s="1"/>
      <c r="C10" s="37" t="str">
        <f t="shared" si="1"/>
        <v xml:space="preserve">MZ25 </v>
      </c>
      <c r="D10" s="27">
        <f t="shared" si="2"/>
        <v>590</v>
      </c>
      <c r="E10" s="113" t="e">
        <f t="shared" si="3"/>
        <v>#VALUE!</v>
      </c>
      <c r="F10" s="114">
        <f t="shared" si="0"/>
        <v>10</v>
      </c>
      <c r="G10" s="30">
        <f t="shared" si="4"/>
        <v>10.1</v>
      </c>
      <c r="H10" s="1"/>
      <c r="I10" s="95" t="str">
        <v xml:space="preserve">TRES </v>
      </c>
      <c r="J10" s="135" t="str">
        <v>mz27</v>
      </c>
      <c r="K10" s="98" t="str">
        <v/>
      </c>
      <c r="L10" s="98">
        <v>9.23</v>
      </c>
    </row>
    <row r="11" spans="1:15" ht="15">
      <c r="A11" s="70" t="s">
        <v>581</v>
      </c>
      <c r="B11" s="1"/>
      <c r="C11" s="37" t="str">
        <f t="shared" si="1"/>
        <v/>
      </c>
      <c r="D11" s="27" t="str">
        <f t="shared" si="2"/>
        <v/>
      </c>
      <c r="E11" s="113" t="str">
        <f t="shared" si="3"/>
        <v/>
      </c>
      <c r="F11" s="114" t="str">
        <f t="shared" si="0"/>
        <v/>
      </c>
      <c r="G11" s="30" t="str">
        <f t="shared" si="4"/>
        <v/>
      </c>
      <c r="H11" s="1"/>
      <c r="I11" s="95" t="str">
        <v xml:space="preserve">JN27 </v>
      </c>
      <c r="J11" s="135" t="str">
        <v>jn27</v>
      </c>
      <c r="K11" s="98" t="str">
        <v/>
      </c>
      <c r="L11" s="98">
        <v>9.1199999999999992</v>
      </c>
    </row>
    <row r="12" spans="1:15" ht="15">
      <c r="A12" s="70" t="s">
        <v>769</v>
      </c>
      <c r="B12" s="1"/>
      <c r="C12" s="37" t="str">
        <f t="shared" si="1"/>
        <v xml:space="preserve">MZ26 </v>
      </c>
      <c r="D12" s="27">
        <f t="shared" si="2"/>
        <v>954</v>
      </c>
      <c r="E12" s="113" t="e">
        <f t="shared" si="3"/>
        <v>#VALUE!</v>
      </c>
      <c r="F12" s="114">
        <f t="shared" si="0"/>
        <v>9.4700000000000006</v>
      </c>
      <c r="G12" s="30">
        <f t="shared" si="4"/>
        <v>9.57</v>
      </c>
      <c r="H12" s="1"/>
      <c r="I12" s="95" t="str">
        <v xml:space="preserve">MY29 </v>
      </c>
      <c r="J12" s="135" t="str">
        <v>my29</v>
      </c>
      <c r="K12" s="98" t="str">
        <v/>
      </c>
      <c r="L12" s="98">
        <v>8.74</v>
      </c>
    </row>
    <row r="13" spans="1:15" ht="15">
      <c r="A13" s="70" t="s">
        <v>594</v>
      </c>
      <c r="B13" s="1"/>
      <c r="C13" s="37" t="str">
        <f t="shared" si="1"/>
        <v/>
      </c>
      <c r="D13" s="27" t="str">
        <f t="shared" si="2"/>
        <v/>
      </c>
      <c r="E13" s="113" t="str">
        <f t="shared" si="3"/>
        <v/>
      </c>
      <c r="F13" s="114" t="str">
        <f t="shared" si="0"/>
        <v/>
      </c>
      <c r="G13" s="30" t="str">
        <f t="shared" si="4"/>
        <v/>
      </c>
      <c r="H13" s="1"/>
      <c r="I13" s="95" t="str">
        <v xml:space="preserve">MY31 </v>
      </c>
      <c r="J13" s="135" t="str">
        <v>my31</v>
      </c>
      <c r="K13" s="98">
        <v>8.84</v>
      </c>
      <c r="L13" s="98">
        <v>8.7200000000000006</v>
      </c>
    </row>
    <row r="14" spans="1:15" ht="15">
      <c r="A14" s="70" t="s">
        <v>771</v>
      </c>
      <c r="B14" s="1"/>
      <c r="C14" s="37" t="str">
        <f t="shared" si="1"/>
        <v xml:space="preserve">SP26 </v>
      </c>
      <c r="D14" s="27">
        <f t="shared" si="2"/>
        <v>1136</v>
      </c>
      <c r="E14" s="113" t="e">
        <f t="shared" si="3"/>
        <v>#VALUE!</v>
      </c>
      <c r="F14" s="114">
        <f t="shared" si="0"/>
        <v>9.4600000000000009</v>
      </c>
      <c r="G14" s="30">
        <f t="shared" si="4"/>
        <v>9.56</v>
      </c>
      <c r="H14" s="1"/>
      <c r="I14" s="95" t="str">
        <v xml:space="preserve">MY33 </v>
      </c>
      <c r="J14" s="135" t="str">
        <v>my33</v>
      </c>
      <c r="K14" s="98">
        <v>8.83</v>
      </c>
      <c r="L14" s="98">
        <v>8.7200000000000006</v>
      </c>
    </row>
    <row r="15" spans="1:15" ht="15">
      <c r="A15" s="70" t="s">
        <v>588</v>
      </c>
      <c r="B15" s="1"/>
      <c r="C15" s="37" t="str">
        <f t="shared" si="1"/>
        <v/>
      </c>
      <c r="D15" s="27" t="str">
        <f t="shared" si="2"/>
        <v/>
      </c>
      <c r="E15" s="113" t="str">
        <f t="shared" si="3"/>
        <v/>
      </c>
      <c r="F15" s="114" t="str">
        <f t="shared" si="0"/>
        <v/>
      </c>
      <c r="G15" s="30" t="str">
        <f t="shared" si="4"/>
        <v/>
      </c>
      <c r="H15" s="1"/>
      <c r="I15" s="95" t="str">
        <v xml:space="preserve">NV34 </v>
      </c>
      <c r="J15" s="135" t="str">
        <v>nv34</v>
      </c>
      <c r="K15" s="98">
        <v>8.83</v>
      </c>
      <c r="L15" s="98">
        <v>8.7200000000000006</v>
      </c>
    </row>
    <row r="16" spans="1:15" ht="15">
      <c r="A16" s="70" t="s">
        <v>774</v>
      </c>
      <c r="B16" s="1"/>
      <c r="C16" s="37" t="str">
        <f t="shared" si="1"/>
        <v xml:space="preserve">TRES </v>
      </c>
      <c r="D16" s="27">
        <f t="shared" si="2"/>
        <v>1318</v>
      </c>
      <c r="E16" s="113" t="e">
        <f t="shared" si="3"/>
        <v>#VALUE!</v>
      </c>
      <c r="F16" s="114">
        <f t="shared" si="0"/>
        <v>9.23</v>
      </c>
      <c r="G16" s="30">
        <f t="shared" si="4"/>
        <v>9.33</v>
      </c>
      <c r="H16" s="1"/>
      <c r="I16" s="95" t="str">
        <v xml:space="preserve">NV36 </v>
      </c>
      <c r="J16" s="135" t="str">
        <v>nv36</v>
      </c>
      <c r="K16" s="98">
        <v>8.82</v>
      </c>
      <c r="L16" s="98">
        <v>8.7100000000000009</v>
      </c>
    </row>
    <row r="17" spans="1:12" ht="15">
      <c r="A17" s="70" t="s">
        <v>582</v>
      </c>
      <c r="B17" s="1"/>
      <c r="C17" s="37" t="str">
        <f t="shared" si="1"/>
        <v/>
      </c>
      <c r="D17" s="27" t="str">
        <f t="shared" si="2"/>
        <v/>
      </c>
      <c r="E17" s="113" t="str">
        <f>IF(D17="","",VALUE(MID($A17,E$2,6)))</f>
        <v/>
      </c>
      <c r="F17" s="114" t="str">
        <f t="shared" si="0"/>
        <v/>
      </c>
      <c r="G17" s="30" t="str">
        <f t="shared" si="4"/>
        <v/>
      </c>
      <c r="H17" s="1"/>
      <c r="I17" s="95" t="str">
        <v xml:space="preserve">NV38 </v>
      </c>
      <c r="J17" s="135" t="str">
        <v>nv38</v>
      </c>
      <c r="K17" s="98" t="str">
        <v/>
      </c>
      <c r="L17" s="98" t="str">
        <v/>
      </c>
    </row>
    <row r="18" spans="1:12" ht="15">
      <c r="A18" s="70" t="s">
        <v>776</v>
      </c>
      <c r="B18" s="1"/>
      <c r="C18" s="37" t="str">
        <f t="shared" si="1"/>
        <v xml:space="preserve">JN27 </v>
      </c>
      <c r="D18" s="27">
        <f t="shared" si="2"/>
        <v>1409</v>
      </c>
      <c r="E18" s="113" t="e">
        <f t="shared" si="3"/>
        <v>#VALUE!</v>
      </c>
      <c r="F18" s="114">
        <f t="shared" si="0"/>
        <v>9.1199999999999992</v>
      </c>
      <c r="G18" s="30">
        <f t="shared" si="4"/>
        <v>9.2200000000000006</v>
      </c>
      <c r="H18" s="1"/>
      <c r="I18" s="95" t="str">
        <v xml:space="preserve">NV42 </v>
      </c>
      <c r="J18" s="135" t="str">
        <v>nv42</v>
      </c>
      <c r="K18" s="98" t="str">
        <v/>
      </c>
      <c r="L18" s="98" t="str">
        <v/>
      </c>
    </row>
    <row r="19" spans="1:12" ht="15">
      <c r="A19" s="70" t="s">
        <v>593</v>
      </c>
      <c r="B19" s="1"/>
      <c r="C19" s="37" t="str">
        <f t="shared" si="1"/>
        <v/>
      </c>
      <c r="D19" s="27" t="str">
        <f>IF(C19="","",VALUE(MID(A19,$D$2,5)))</f>
        <v/>
      </c>
      <c r="E19" s="113" t="str">
        <f t="shared" si="3"/>
        <v/>
      </c>
      <c r="F19" s="114" t="str">
        <f t="shared" si="0"/>
        <v/>
      </c>
      <c r="G19" s="30" t="str">
        <f t="shared" si="4"/>
        <v/>
      </c>
      <c r="H19" s="1"/>
      <c r="I19" s="95" t="str">
        <v xml:space="preserve">NV47 </v>
      </c>
      <c r="J19" s="135" t="str">
        <v>nv47</v>
      </c>
      <c r="K19" s="98" t="str">
        <v/>
      </c>
      <c r="L19" s="98" t="str">
        <v/>
      </c>
    </row>
    <row r="20" spans="1:12" ht="15">
      <c r="A20" s="70" t="s">
        <v>778</v>
      </c>
      <c r="B20" s="1"/>
      <c r="C20" s="37" t="str">
        <f>IF(IFERROR(FIND(MID(A20,$C$2,5),A19),-1)&lt;0,MID(A20,$C$2,5),"")</f>
        <v xml:space="preserve">MY29 </v>
      </c>
      <c r="D20" s="27">
        <f t="shared" ref="D20:D27" si="5">IF(C20="","",VALUE(MID(A20,$D$2,5)))</f>
        <v>2137</v>
      </c>
      <c r="E20" s="113" t="e">
        <f t="shared" si="3"/>
        <v>#VALUE!</v>
      </c>
      <c r="F20" s="114">
        <f t="shared" si="0"/>
        <v>8.74</v>
      </c>
      <c r="G20" s="30">
        <f t="shared" si="4"/>
        <v>8.84</v>
      </c>
      <c r="H20" s="1"/>
      <c r="I20" s="95" t="str">
        <v xml:space="preserve">JL53 </v>
      </c>
      <c r="J20" s="135" t="str">
        <v>jl53</v>
      </c>
      <c r="K20" s="98" t="str">
        <v/>
      </c>
      <c r="L20" s="98" t="str">
        <v/>
      </c>
    </row>
    <row r="21" spans="1:12" ht="15">
      <c r="A21" s="70" t="s">
        <v>595</v>
      </c>
      <c r="B21" s="1"/>
      <c r="C21" s="37" t="str">
        <f t="shared" si="1"/>
        <v/>
      </c>
      <c r="D21" s="27" t="str">
        <f t="shared" si="5"/>
        <v/>
      </c>
      <c r="E21" s="113" t="str">
        <f t="shared" si="3"/>
        <v/>
      </c>
      <c r="F21" s="114" t="str">
        <f t="shared" si="0"/>
        <v/>
      </c>
      <c r="G21" s="30" t="str">
        <f t="shared" si="4"/>
        <v/>
      </c>
      <c r="H21" s="1"/>
      <c r="I21" s="1" t="str">
        <v xml:space="preserve">MY35 </v>
      </c>
      <c r="J21" s="1" t="str">
        <v>my35</v>
      </c>
      <c r="K21" s="1">
        <v>8.85</v>
      </c>
      <c r="L21" t="str">
        <v/>
      </c>
    </row>
    <row r="22" spans="1:12" ht="15">
      <c r="A22" s="70" t="s">
        <v>791</v>
      </c>
      <c r="B22" s="1"/>
      <c r="C22" s="37" t="str">
        <f t="shared" si="1"/>
        <v xml:space="preserve">MY31 </v>
      </c>
      <c r="D22" s="27">
        <f t="shared" si="5"/>
        <v>2865</v>
      </c>
      <c r="E22" s="113">
        <f t="shared" si="3"/>
        <v>8.84</v>
      </c>
      <c r="F22" s="114">
        <f t="shared" si="0"/>
        <v>8.7200000000000006</v>
      </c>
      <c r="G22" s="30">
        <f t="shared" si="4"/>
        <v>8.82</v>
      </c>
      <c r="H22" s="1"/>
      <c r="I22" s="1"/>
      <c r="J22" s="1"/>
      <c r="K22" s="1"/>
      <c r="L22"/>
    </row>
    <row r="23" spans="1:12" ht="15">
      <c r="A23" s="70" t="s">
        <v>596</v>
      </c>
      <c r="B23" s="1"/>
      <c r="C23" s="37" t="str">
        <f t="shared" si="1"/>
        <v/>
      </c>
      <c r="D23" s="27" t="str">
        <f t="shared" si="5"/>
        <v/>
      </c>
      <c r="E23" s="113" t="str">
        <f t="shared" si="3"/>
        <v/>
      </c>
      <c r="F23" s="114" t="str">
        <f t="shared" si="0"/>
        <v/>
      </c>
      <c r="G23" s="30" t="str">
        <f t="shared" si="4"/>
        <v/>
      </c>
      <c r="H23" s="1"/>
      <c r="I23" s="1"/>
      <c r="J23" s="1"/>
      <c r="K23" s="1"/>
      <c r="L23"/>
    </row>
    <row r="24" spans="1:12" ht="15">
      <c r="A24" s="70" t="s">
        <v>793</v>
      </c>
      <c r="B24" s="1"/>
      <c r="C24" s="37" t="str">
        <f t="shared" si="1"/>
        <v xml:space="preserve">MY33 </v>
      </c>
      <c r="D24" s="27">
        <f t="shared" si="5"/>
        <v>3593</v>
      </c>
      <c r="E24" s="113">
        <f t="shared" si="3"/>
        <v>8.83</v>
      </c>
      <c r="F24" s="114">
        <f t="shared" si="0"/>
        <v>8.7200000000000006</v>
      </c>
      <c r="G24" s="30">
        <f t="shared" si="4"/>
        <v>8.82</v>
      </c>
      <c r="H24" s="1"/>
      <c r="I24" s="1"/>
      <c r="J24" s="1"/>
      <c r="K24" s="1"/>
      <c r="L24"/>
    </row>
    <row r="25" spans="1:12" ht="15">
      <c r="A25" s="70" t="s">
        <v>583</v>
      </c>
      <c r="B25" s="1"/>
      <c r="C25" s="37" t="str">
        <f t="shared" si="1"/>
        <v/>
      </c>
      <c r="D25" s="27" t="str">
        <f t="shared" si="5"/>
        <v/>
      </c>
      <c r="E25" s="113" t="str">
        <f t="shared" si="3"/>
        <v/>
      </c>
      <c r="F25" s="114" t="str">
        <f t="shared" si="0"/>
        <v/>
      </c>
      <c r="G25" s="30" t="str">
        <f t="shared" si="4"/>
        <v/>
      </c>
      <c r="H25" s="1"/>
      <c r="I25" s="1"/>
      <c r="J25" s="1"/>
      <c r="K25" s="1"/>
      <c r="L25"/>
    </row>
    <row r="26" spans="1:12" ht="15">
      <c r="A26" s="70" t="s">
        <v>794</v>
      </c>
      <c r="B26" s="1"/>
      <c r="C26" s="37" t="str">
        <f t="shared" si="1"/>
        <v xml:space="preserve">NV34 </v>
      </c>
      <c r="D26" s="27">
        <f t="shared" si="5"/>
        <v>4139</v>
      </c>
      <c r="E26" s="113">
        <f t="shared" si="3"/>
        <v>8.83</v>
      </c>
      <c r="F26" s="114">
        <f t="shared" si="0"/>
        <v>8.7200000000000006</v>
      </c>
      <c r="G26" s="30">
        <f t="shared" si="4"/>
        <v>8.82</v>
      </c>
      <c r="H26" s="1"/>
      <c r="I26" s="1"/>
      <c r="J26" s="1"/>
      <c r="K26" s="1"/>
      <c r="L26"/>
    </row>
    <row r="27" spans="1:12" ht="15">
      <c r="A27" s="70" t="s">
        <v>597</v>
      </c>
      <c r="B27" s="1"/>
      <c r="C27" s="37" t="str">
        <f t="shared" si="1"/>
        <v/>
      </c>
      <c r="D27" s="27" t="str">
        <f t="shared" si="5"/>
        <v/>
      </c>
      <c r="E27" s="113" t="str">
        <f t="shared" si="3"/>
        <v/>
      </c>
      <c r="F27" s="114" t="str">
        <f t="shared" si="0"/>
        <v/>
      </c>
      <c r="G27" s="30" t="str">
        <f t="shared" si="4"/>
        <v/>
      </c>
      <c r="H27" s="1"/>
      <c r="I27" s="1"/>
      <c r="J27" s="1"/>
      <c r="K27" s="1"/>
      <c r="L27"/>
    </row>
    <row r="28" spans="1:12" ht="15">
      <c r="A28" s="70"/>
      <c r="B28" s="1"/>
      <c r="C28" s="38"/>
      <c r="D28" s="28"/>
      <c r="E28" s="33"/>
      <c r="F28" s="34" t="str">
        <f t="shared" si="0"/>
        <v/>
      </c>
      <c r="G28" s="30"/>
      <c r="H28" s="1"/>
      <c r="I28" s="1"/>
      <c r="J28" s="1"/>
      <c r="K28" s="1"/>
      <c r="L28"/>
    </row>
    <row r="29" spans="1:12" ht="15">
      <c r="A29" s="70"/>
      <c r="B29" s="1"/>
      <c r="C29" s="38"/>
      <c r="D29" s="28"/>
      <c r="E29" s="33"/>
      <c r="F29" s="34" t="str">
        <f t="shared" si="0"/>
        <v/>
      </c>
      <c r="G29" s="30"/>
      <c r="H29" s="1"/>
      <c r="I29" s="1"/>
      <c r="J29" s="1"/>
      <c r="K29" s="1"/>
      <c r="L29"/>
    </row>
    <row r="30" spans="1:12" ht="15">
      <c r="A30" s="70"/>
      <c r="B30" s="1"/>
      <c r="C30" s="38"/>
      <c r="D30" s="28"/>
      <c r="E30" s="33"/>
      <c r="F30" s="34" t="str">
        <f t="shared" si="0"/>
        <v/>
      </c>
      <c r="G30" s="30"/>
      <c r="H30" s="1"/>
      <c r="I30" s="1"/>
      <c r="J30" s="1"/>
      <c r="K30" s="1"/>
      <c r="L30"/>
    </row>
    <row r="31" spans="1:12" s="49" customFormat="1" ht="15">
      <c r="A31" s="92" t="e">
        <f ca="1">_xll.BPGE(" 973/13/2",,"cols=1;rows=26")</f>
        <v>#NAME?</v>
      </c>
      <c r="C31" s="57"/>
      <c r="D31" s="58" t="str">
        <f t="shared" ref="D31:D32" si="6">IF(C31="","",VALUE(MID(A31,5,5)))</f>
        <v/>
      </c>
      <c r="E31" s="59"/>
      <c r="F31" s="60"/>
      <c r="G31" s="61"/>
      <c r="L31" s="21"/>
    </row>
    <row r="32" spans="1:12" ht="15">
      <c r="A32" s="70" t="s">
        <v>104</v>
      </c>
      <c r="B32" s="1"/>
      <c r="C32" s="38"/>
      <c r="D32" s="28" t="str">
        <f t="shared" si="6"/>
        <v/>
      </c>
      <c r="E32" s="33"/>
      <c r="F32" s="34"/>
      <c r="G32" s="30"/>
      <c r="H32" s="1"/>
      <c r="I32" s="1"/>
      <c r="J32" s="1"/>
      <c r="K32" s="1"/>
      <c r="L32"/>
    </row>
    <row r="33" spans="1:12" ht="15">
      <c r="A33" s="70" t="s">
        <v>798</v>
      </c>
      <c r="B33" s="1"/>
      <c r="C33" s="38" t="str">
        <f>IF(IFERROR(FIND(MID(A33,$C$2,5),A32),-1)&lt;0,MID(A33,$C$2,5),"")</f>
        <v xml:space="preserve">NV36 </v>
      </c>
      <c r="D33" s="28">
        <f>IF(C33="","",VALUE(MID(A33,$D$2,5)))</f>
        <v>4867</v>
      </c>
      <c r="E33" s="113">
        <f t="shared" ref="E33:E46" si="7">IF(D33="","",VALUE(MID($A33,E$2,6)))</f>
        <v>8.82</v>
      </c>
      <c r="F33" s="114">
        <f t="shared" ref="F33:F46" si="8">IF(E33="","",VALUE(MID($A33,F$2,5)))</f>
        <v>8.7100000000000009</v>
      </c>
      <c r="G33" s="30">
        <f t="shared" ref="G33:G41" si="9">IFERROR(VALUE(MID($A33,G$2,6)),"")</f>
        <v>8.81</v>
      </c>
      <c r="H33" s="1"/>
      <c r="I33" s="1"/>
      <c r="J33" s="1"/>
      <c r="K33" s="1"/>
      <c r="L33"/>
    </row>
    <row r="34" spans="1:12" ht="15">
      <c r="A34" s="70" t="s">
        <v>598</v>
      </c>
      <c r="B34" s="1"/>
      <c r="C34" s="38" t="str">
        <f t="shared" ref="C34:C46" si="10">IF(IFERROR(FIND(MID(A34,$C$2,5),A33),-1)&lt;0,MID(A34,$C$2,5),"")</f>
        <v/>
      </c>
      <c r="D34" s="28" t="str">
        <f t="shared" ref="D34:D46" si="11">IF(C34="","",VALUE(MID(A34,$D$2,5)))</f>
        <v/>
      </c>
      <c r="E34" s="113" t="str">
        <f t="shared" si="7"/>
        <v/>
      </c>
      <c r="F34" s="114" t="str">
        <f t="shared" si="8"/>
        <v/>
      </c>
      <c r="G34" s="30" t="str">
        <f t="shared" si="9"/>
        <v/>
      </c>
      <c r="H34" s="1"/>
      <c r="I34" s="1"/>
      <c r="J34" s="1"/>
      <c r="K34" s="1"/>
      <c r="L34"/>
    </row>
    <row r="35" spans="1:12" ht="15">
      <c r="A35" s="70" t="s">
        <v>773</v>
      </c>
      <c r="B35" s="1"/>
      <c r="C35" s="38" t="str">
        <f t="shared" si="10"/>
        <v xml:space="preserve">NV38 </v>
      </c>
      <c r="D35" s="28">
        <f t="shared" si="11"/>
        <v>5595</v>
      </c>
      <c r="E35" s="113" t="e">
        <f t="shared" si="7"/>
        <v>#VALUE!</v>
      </c>
      <c r="F35" s="114" t="e">
        <f t="shared" si="8"/>
        <v>#VALUE!</v>
      </c>
      <c r="G35" s="30">
        <f t="shared" si="9"/>
        <v>8.8800000000000008</v>
      </c>
      <c r="H35" s="1"/>
      <c r="I35" s="1"/>
      <c r="J35" s="1"/>
      <c r="K35" s="1"/>
      <c r="L35"/>
    </row>
    <row r="36" spans="1:12" ht="15">
      <c r="A36" s="70" t="s">
        <v>599</v>
      </c>
      <c r="B36" s="1"/>
      <c r="C36" s="38" t="str">
        <f t="shared" si="10"/>
        <v/>
      </c>
      <c r="D36" s="28" t="str">
        <f t="shared" si="11"/>
        <v/>
      </c>
      <c r="E36" s="113" t="str">
        <f t="shared" si="7"/>
        <v/>
      </c>
      <c r="F36" s="114" t="str">
        <f t="shared" si="8"/>
        <v/>
      </c>
      <c r="G36" s="30" t="str">
        <f t="shared" si="9"/>
        <v/>
      </c>
      <c r="H36" s="1"/>
      <c r="I36" s="1"/>
      <c r="J36" s="1"/>
      <c r="K36" s="1"/>
      <c r="L36"/>
    </row>
    <row r="37" spans="1:12" ht="15">
      <c r="A37" s="70" t="s">
        <v>768</v>
      </c>
      <c r="B37" s="1"/>
      <c r="C37" s="38" t="str">
        <f t="shared" si="10"/>
        <v xml:space="preserve">NV42 </v>
      </c>
      <c r="D37" s="28">
        <f t="shared" si="11"/>
        <v>7051</v>
      </c>
      <c r="E37" s="113" t="e">
        <f t="shared" si="7"/>
        <v>#VALUE!</v>
      </c>
      <c r="F37" s="114" t="e">
        <f t="shared" si="8"/>
        <v>#VALUE!</v>
      </c>
      <c r="G37" s="30">
        <f t="shared" si="9"/>
        <v>8.91</v>
      </c>
      <c r="H37" s="1"/>
      <c r="I37" s="1"/>
      <c r="J37" s="1"/>
      <c r="K37" s="1"/>
      <c r="L37"/>
    </row>
    <row r="38" spans="1:12" ht="15">
      <c r="A38" s="70" t="s">
        <v>600</v>
      </c>
      <c r="B38" s="1"/>
      <c r="C38" s="38" t="str">
        <f t="shared" si="10"/>
        <v/>
      </c>
      <c r="D38" s="28" t="str">
        <f t="shared" si="11"/>
        <v/>
      </c>
      <c r="E38" s="113" t="str">
        <f t="shared" si="7"/>
        <v/>
      </c>
      <c r="F38" s="114" t="str">
        <f t="shared" si="8"/>
        <v/>
      </c>
      <c r="G38" s="30" t="str">
        <f t="shared" si="9"/>
        <v/>
      </c>
      <c r="H38" s="1"/>
      <c r="I38" s="1"/>
      <c r="J38" s="1"/>
      <c r="K38" s="1"/>
      <c r="L38"/>
    </row>
    <row r="39" spans="1:12" ht="15">
      <c r="A39" s="70" t="s">
        <v>763</v>
      </c>
      <c r="B39" s="1"/>
      <c r="C39" s="38" t="str">
        <f t="shared" si="10"/>
        <v xml:space="preserve">NV47 </v>
      </c>
      <c r="D39" s="28">
        <f t="shared" si="11"/>
        <v>8871</v>
      </c>
      <c r="E39" s="113" t="e">
        <f t="shared" si="7"/>
        <v>#VALUE!</v>
      </c>
      <c r="F39" s="114" t="e">
        <f t="shared" si="8"/>
        <v>#VALUE!</v>
      </c>
      <c r="G39" s="30">
        <f t="shared" si="9"/>
        <v>8.8699999999999992</v>
      </c>
      <c r="H39" s="1"/>
      <c r="I39" s="1"/>
      <c r="J39" s="1"/>
      <c r="K39" s="1"/>
      <c r="L39"/>
    </row>
    <row r="40" spans="1:12" ht="15">
      <c r="A40" s="70" t="s">
        <v>601</v>
      </c>
      <c r="B40" s="1"/>
      <c r="C40" s="38" t="str">
        <f t="shared" si="10"/>
        <v/>
      </c>
      <c r="D40" s="28" t="str">
        <f t="shared" si="11"/>
        <v/>
      </c>
      <c r="E40" s="113" t="str">
        <f t="shared" si="7"/>
        <v/>
      </c>
      <c r="F40" s="114" t="str">
        <f t="shared" si="8"/>
        <v/>
      </c>
      <c r="G40" s="30" t="str">
        <f t="shared" si="9"/>
        <v/>
      </c>
      <c r="H40" s="1"/>
      <c r="I40" s="1"/>
      <c r="J40" s="1"/>
      <c r="K40" s="1"/>
      <c r="L40"/>
    </row>
    <row r="41" spans="1:12" ht="15">
      <c r="A41" s="70" t="s">
        <v>757</v>
      </c>
      <c r="B41" s="1"/>
      <c r="C41" s="38" t="str">
        <f t="shared" si="10"/>
        <v xml:space="preserve">JL53 </v>
      </c>
      <c r="D41" s="28">
        <f t="shared" si="11"/>
        <v>10964</v>
      </c>
      <c r="E41" s="113" t="e">
        <f t="shared" si="7"/>
        <v>#VALUE!</v>
      </c>
      <c r="F41" s="114" t="e">
        <f t="shared" si="8"/>
        <v>#VALUE!</v>
      </c>
      <c r="G41" s="30">
        <f t="shared" si="9"/>
        <v>8.9</v>
      </c>
      <c r="H41" s="1"/>
      <c r="I41" s="1"/>
      <c r="J41" s="1"/>
      <c r="K41" s="1"/>
      <c r="L41"/>
    </row>
    <row r="42" spans="1:12" ht="15">
      <c r="A42" s="70" t="s">
        <v>584</v>
      </c>
      <c r="B42" s="1"/>
      <c r="C42" s="38" t="str">
        <f t="shared" si="10"/>
        <v/>
      </c>
      <c r="D42" s="28" t="str">
        <f t="shared" si="11"/>
        <v/>
      </c>
      <c r="E42" s="113" t="str">
        <f t="shared" si="7"/>
        <v/>
      </c>
      <c r="F42" s="114" t="str">
        <f>IF(E42="","",VALUE(MID($A42,F$2,5)))</f>
        <v/>
      </c>
      <c r="G42" s="30" t="str">
        <f t="shared" ref="G42:G46" si="12">MID($A42,G$2,5)</f>
        <v xml:space="preserve">     </v>
      </c>
      <c r="H42" s="1"/>
      <c r="I42" s="1"/>
      <c r="J42" s="1"/>
      <c r="K42" s="1"/>
      <c r="L42"/>
    </row>
    <row r="43" spans="1:12" ht="15">
      <c r="A43" s="70" t="s">
        <v>831</v>
      </c>
      <c r="B43" s="1"/>
      <c r="C43" s="38" t="str">
        <f t="shared" si="10"/>
        <v xml:space="preserve">MY35 </v>
      </c>
      <c r="D43" s="28">
        <f t="shared" si="11"/>
        <v>19999</v>
      </c>
      <c r="E43" s="113">
        <f t="shared" si="7"/>
        <v>8.85</v>
      </c>
      <c r="F43" s="114" t="e">
        <f t="shared" si="8"/>
        <v>#VALUE!</v>
      </c>
      <c r="G43" s="30" t="str">
        <f t="shared" si="12"/>
        <v xml:space="preserve">     </v>
      </c>
      <c r="H43" s="1"/>
      <c r="I43" s="1"/>
      <c r="J43" s="1"/>
      <c r="K43" s="1"/>
      <c r="L43"/>
    </row>
    <row r="44" spans="1:12" ht="15">
      <c r="A44" s="70" t="s">
        <v>52</v>
      </c>
      <c r="B44" s="1"/>
      <c r="C44" s="38" t="str">
        <f t="shared" si="10"/>
        <v/>
      </c>
      <c r="D44" s="28" t="str">
        <f t="shared" si="11"/>
        <v/>
      </c>
      <c r="E44" s="113" t="str">
        <f t="shared" si="7"/>
        <v/>
      </c>
      <c r="F44" s="114" t="str">
        <f t="shared" si="8"/>
        <v/>
      </c>
      <c r="G44" s="30" t="str">
        <f t="shared" si="12"/>
        <v xml:space="preserve">     </v>
      </c>
      <c r="H44" s="1"/>
      <c r="I44" s="1"/>
      <c r="J44" s="1"/>
      <c r="K44" s="1"/>
    </row>
    <row r="45" spans="1:12" ht="15">
      <c r="A45" s="70" t="s">
        <v>52</v>
      </c>
      <c r="B45" s="1"/>
      <c r="C45" s="38" t="str">
        <f t="shared" si="10"/>
        <v/>
      </c>
      <c r="D45" s="28" t="str">
        <f t="shared" si="11"/>
        <v/>
      </c>
      <c r="E45" s="113" t="str">
        <f t="shared" si="7"/>
        <v/>
      </c>
      <c r="F45" s="114" t="str">
        <f t="shared" si="8"/>
        <v/>
      </c>
      <c r="G45" s="30" t="str">
        <f t="shared" si="12"/>
        <v xml:space="preserve">     </v>
      </c>
      <c r="H45" s="1"/>
      <c r="I45" s="1"/>
      <c r="J45" s="1"/>
      <c r="K45" s="1"/>
    </row>
    <row r="46" spans="1:12" ht="15">
      <c r="A46" s="70" t="s">
        <v>52</v>
      </c>
      <c r="B46" s="1"/>
      <c r="C46" s="38" t="str">
        <f t="shared" si="10"/>
        <v/>
      </c>
      <c r="D46" s="28" t="str">
        <f t="shared" si="11"/>
        <v/>
      </c>
      <c r="E46" s="113" t="str">
        <f t="shared" si="7"/>
        <v/>
      </c>
      <c r="F46" s="114" t="str">
        <f t="shared" si="8"/>
        <v/>
      </c>
      <c r="G46" s="30" t="str">
        <f t="shared" si="12"/>
        <v xml:space="preserve">     </v>
      </c>
      <c r="H46" s="1"/>
      <c r="I46" s="1"/>
      <c r="J46" s="1"/>
      <c r="K46" s="1"/>
    </row>
    <row r="47" spans="1:12">
      <c r="A47" s="70" t="s">
        <v>52</v>
      </c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2">
      <c r="A48" s="70" t="s">
        <v>52</v>
      </c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5">
      <c r="A49" s="70" t="s">
        <v>52</v>
      </c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5">
      <c r="A50" s="70" t="s">
        <v>52</v>
      </c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5">
      <c r="A51" s="70" t="s">
        <v>52</v>
      </c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5">
      <c r="A52" s="70" t="s">
        <v>52</v>
      </c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5">
      <c r="A53" s="70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5">
      <c r="A54" s="70" t="s">
        <v>52</v>
      </c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5">
      <c r="A55" s="70" t="s">
        <v>52</v>
      </c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5">
      <c r="A56" s="70" t="s">
        <v>52</v>
      </c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1:15">
      <c r="A57" s="70" t="s">
        <v>52</v>
      </c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1:15" ht="15.75" thickBot="1">
      <c r="A58" s="71" t="s">
        <v>6</v>
      </c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5" s="62" customFormat="1" ht="13.5" thickTop="1">
      <c r="A59" s="91" t="e">
        <f ca="1">_xll.BPGE("  973/     25/           1",,"cols=1;rows=26")</f>
        <v>#NAME?</v>
      </c>
    </row>
    <row r="60" spans="1:15" ht="15">
      <c r="A60" s="69" t="s">
        <v>104</v>
      </c>
      <c r="B60"/>
      <c r="C60" s="23" t="s">
        <v>55</v>
      </c>
      <c r="D60" s="24" t="s">
        <v>72</v>
      </c>
      <c r="E60" s="25" t="s">
        <v>29</v>
      </c>
      <c r="F60" s="26" t="s">
        <v>30</v>
      </c>
      <c r="G60" s="24" t="s">
        <v>58</v>
      </c>
      <c r="H60"/>
      <c r="I60" s="24" t="s">
        <v>28</v>
      </c>
      <c r="J60" s="24" t="s">
        <v>32</v>
      </c>
      <c r="K60" s="24" t="s">
        <v>14</v>
      </c>
      <c r="L60" s="24" t="s">
        <v>33</v>
      </c>
    </row>
    <row r="61" spans="1:15" ht="15">
      <c r="A61" s="69" t="s">
        <v>580</v>
      </c>
      <c r="B61"/>
      <c r="C61" s="38" t="str">
        <f>MID(A61,19,4)</f>
        <v>NV23</v>
      </c>
      <c r="D61" s="28">
        <f>VALUE(MID(A61,$D$2,5))</f>
        <v>114</v>
      </c>
      <c r="E61" s="113" t="str">
        <f>+IFERROR(IF(D61="","",VALUE(MID($A61,E$2,6))),"")</f>
        <v/>
      </c>
      <c r="F61" s="114" t="str">
        <f>IFERROR(IF(D61="","",VALUE(MID($A61,F$2,5))),"")</f>
        <v/>
      </c>
      <c r="G61" s="30">
        <f t="shared" ref="G61:G79" si="13">IFERROR(VALUE(MID($A61,G$2,6)),"")</f>
        <v>6.37</v>
      </c>
      <c r="H61"/>
      <c r="I61" s="95" t="str" cm="1">
        <f t="array" ref="I61:I79">+TRANSPOSE(_xlfn.TEXTSPLIT(_xlfn.TEXTJOIN(",",TRUE,C61:C84),","))</f>
        <v>NV23</v>
      </c>
      <c r="J61" s="135" t="str" cm="1">
        <f t="array" ref="J61:J79">+IFERROR(LOWER(LEFT(TRIM(_xlfn.ANCHORARRAY(I61)),2))&amp;VALUE(RIGHT(TRIM(_xlfn.ANCHORARRAY(I61)),2)),VLOOKUP(TRIM(_xlfn.ANCHORARRAY(I61)),N61:O64,2,-1))</f>
        <v>nv23</v>
      </c>
      <c r="K61" s="98" t="str" cm="1">
        <f t="array" ref="K61:K79">+IF(VLOOKUP(_xlfn.ANCHORARRAY(I61),$C$61:$G$79,3,0)=0,"",VLOOKUP(_xlfn.ANCHORARRAY($I61),$C$61:$G$79,3,0))</f>
        <v/>
      </c>
      <c r="L61" s="98" t="str" cm="1">
        <f t="array" ref="L61:L79">+IF(VLOOKUP(_xlfn.ANCHORARRAY(J61),$C$61:$G$79,4,0)=0,"",VLOOKUP(_xlfn.ANCHORARRAY($I61),$C$61:$G$79,4,0))</f>
        <v/>
      </c>
      <c r="N61" s="1" t="s">
        <v>105</v>
      </c>
      <c r="O61" s="1" t="s">
        <v>106</v>
      </c>
    </row>
    <row r="62" spans="1:15" ht="15">
      <c r="A62" s="69" t="s">
        <v>602</v>
      </c>
      <c r="B62"/>
      <c r="C62" s="38" t="str">
        <f t="shared" ref="C62:C69" si="14">MID(A62,19,4)</f>
        <v>NV23</v>
      </c>
      <c r="D62" s="28">
        <f t="shared" ref="D62:D79" si="15">VALUE(MID(A62,$D$2,5))</f>
        <v>114</v>
      </c>
      <c r="E62" s="113" t="str">
        <f t="shared" ref="E62:E79" si="16">+IFERROR(IF(D62="","",VALUE(MID($A62,E$2,6))),"")</f>
        <v/>
      </c>
      <c r="F62" s="114" t="str">
        <f t="shared" ref="F62:F79" si="17">IFERROR(IF(D62="","",VALUE(MID($A62,F$2,5))),"")</f>
        <v/>
      </c>
      <c r="G62" s="30" t="str">
        <f t="shared" si="13"/>
        <v/>
      </c>
      <c r="H62"/>
      <c r="I62" s="95" t="str">
        <v>NV23</v>
      </c>
      <c r="J62" s="135" t="str">
        <v>nv23</v>
      </c>
      <c r="K62" s="98" t="str">
        <v/>
      </c>
      <c r="L62" s="98" t="str">
        <v/>
      </c>
      <c r="N62" s="1" t="s">
        <v>107</v>
      </c>
      <c r="O62" s="1" t="s">
        <v>108</v>
      </c>
    </row>
    <row r="63" spans="1:15" ht="15">
      <c r="A63" s="69" t="s">
        <v>603</v>
      </c>
      <c r="B63"/>
      <c r="C63" s="38" t="str">
        <f t="shared" si="14"/>
        <v>DC25</v>
      </c>
      <c r="D63" s="28">
        <f t="shared" si="15"/>
        <v>863</v>
      </c>
      <c r="E63" s="113" t="str">
        <f t="shared" si="16"/>
        <v/>
      </c>
      <c r="F63" s="114" t="str">
        <f t="shared" si="17"/>
        <v/>
      </c>
      <c r="G63" s="30">
        <f t="shared" si="13"/>
        <v>5.56</v>
      </c>
      <c r="H63"/>
      <c r="I63" s="95" t="str">
        <v>DC25</v>
      </c>
      <c r="J63" s="135" t="str">
        <v>dc25</v>
      </c>
      <c r="K63" s="98" t="str">
        <v/>
      </c>
      <c r="L63" s="98" t="str">
        <v/>
      </c>
      <c r="N63" s="1" t="s">
        <v>109</v>
      </c>
    </row>
    <row r="64" spans="1:15" ht="15">
      <c r="A64" s="69" t="s">
        <v>604</v>
      </c>
      <c r="B64"/>
      <c r="C64" s="38" t="str">
        <f t="shared" si="14"/>
        <v>DC25</v>
      </c>
      <c r="D64" s="28">
        <f t="shared" si="15"/>
        <v>863</v>
      </c>
      <c r="E64" s="113" t="str">
        <f t="shared" si="16"/>
        <v/>
      </c>
      <c r="F64" s="114" t="str">
        <f t="shared" si="17"/>
        <v/>
      </c>
      <c r="G64" s="30" t="str">
        <f t="shared" si="13"/>
        <v/>
      </c>
      <c r="H64"/>
      <c r="I64" s="95" t="str">
        <v>DC25</v>
      </c>
      <c r="J64" s="135" t="str">
        <v>dc25</v>
      </c>
      <c r="K64" s="98" t="str">
        <v/>
      </c>
      <c r="L64" s="98" t="str">
        <v/>
      </c>
      <c r="N64" s="1" t="s">
        <v>110</v>
      </c>
    </row>
    <row r="65" spans="1:12" ht="15">
      <c r="A65" s="69" t="s">
        <v>628</v>
      </c>
      <c r="B65"/>
      <c r="C65" s="38" t="str">
        <f t="shared" si="14"/>
        <v>DC26</v>
      </c>
      <c r="D65" s="28">
        <f t="shared" si="15"/>
        <v>1227</v>
      </c>
      <c r="E65" s="113" t="str">
        <f t="shared" si="16"/>
        <v/>
      </c>
      <c r="F65" s="114" t="str">
        <f t="shared" si="17"/>
        <v/>
      </c>
      <c r="G65" s="30">
        <f t="shared" si="13"/>
        <v>5.37</v>
      </c>
      <c r="H65"/>
      <c r="I65" s="95" t="str">
        <v>DC26</v>
      </c>
      <c r="J65" s="135" t="str">
        <v>dc26</v>
      </c>
      <c r="K65" s="98" t="str">
        <v/>
      </c>
      <c r="L65" s="98" t="str">
        <v/>
      </c>
    </row>
    <row r="66" spans="1:12" ht="15">
      <c r="A66" s="69" t="s">
        <v>579</v>
      </c>
      <c r="B66"/>
      <c r="C66" s="38" t="str">
        <f t="shared" si="14"/>
        <v>DC26</v>
      </c>
      <c r="D66" s="28">
        <f t="shared" si="15"/>
        <v>1227</v>
      </c>
      <c r="E66" s="113" t="str">
        <f t="shared" si="16"/>
        <v/>
      </c>
      <c r="F66" s="114" t="str">
        <f t="shared" si="17"/>
        <v/>
      </c>
      <c r="G66" s="30" t="str">
        <f t="shared" si="13"/>
        <v/>
      </c>
      <c r="H66"/>
      <c r="I66" s="95" t="str">
        <v>DC26</v>
      </c>
      <c r="J66" s="135" t="str">
        <v>dc26</v>
      </c>
      <c r="K66" s="98" t="str">
        <v/>
      </c>
      <c r="L66" s="98" t="str">
        <v/>
      </c>
    </row>
    <row r="67" spans="1:12" ht="15">
      <c r="A67" s="69" t="s">
        <v>629</v>
      </c>
      <c r="B67"/>
      <c r="C67" s="38" t="str">
        <f t="shared" si="14"/>
        <v>NV28</v>
      </c>
      <c r="D67" s="28">
        <f t="shared" si="15"/>
        <v>1955</v>
      </c>
      <c r="E67" s="113" t="str">
        <f t="shared" si="16"/>
        <v/>
      </c>
      <c r="F67" s="114" t="str">
        <f t="shared" si="17"/>
        <v/>
      </c>
      <c r="G67" s="30">
        <f t="shared" si="13"/>
        <v>4.58</v>
      </c>
      <c r="H67"/>
      <c r="I67" s="95" t="str">
        <v>NV28</v>
      </c>
      <c r="J67" s="135" t="str">
        <v>nv28</v>
      </c>
      <c r="K67" s="98" t="str">
        <v/>
      </c>
      <c r="L67" s="98" t="str">
        <v/>
      </c>
    </row>
    <row r="68" spans="1:12" ht="15">
      <c r="A68" s="69" t="s">
        <v>605</v>
      </c>
      <c r="B68"/>
      <c r="C68" s="38" t="str">
        <f t="shared" si="14"/>
        <v>NV28</v>
      </c>
      <c r="D68" s="28">
        <f t="shared" si="15"/>
        <v>1955</v>
      </c>
      <c r="E68" s="113" t="str">
        <f t="shared" si="16"/>
        <v/>
      </c>
      <c r="F68" s="114" t="str">
        <f t="shared" si="17"/>
        <v/>
      </c>
      <c r="G68" s="30" t="str">
        <f t="shared" si="13"/>
        <v/>
      </c>
      <c r="H68"/>
      <c r="I68" s="95" t="str">
        <v>NV28</v>
      </c>
      <c r="J68" s="135" t="str">
        <v>nv28</v>
      </c>
      <c r="K68" s="98" t="str">
        <v/>
      </c>
      <c r="L68" s="98" t="str">
        <v/>
      </c>
    </row>
    <row r="69" spans="1:12" ht="15">
      <c r="A69" s="69" t="s">
        <v>630</v>
      </c>
      <c r="B69"/>
      <c r="C69" s="38" t="str">
        <f t="shared" si="14"/>
        <v>NV31</v>
      </c>
      <c r="D69" s="28">
        <f t="shared" si="15"/>
        <v>3047</v>
      </c>
      <c r="E69" s="113" t="str">
        <f t="shared" si="16"/>
        <v/>
      </c>
      <c r="F69" s="114" t="str">
        <f t="shared" si="17"/>
        <v/>
      </c>
      <c r="G69" s="30">
        <f t="shared" si="13"/>
        <v>4.45</v>
      </c>
      <c r="H69"/>
      <c r="I69" s="95" t="str">
        <v>NV31</v>
      </c>
      <c r="J69" s="135" t="str">
        <v>nv31</v>
      </c>
      <c r="K69" s="98" t="str">
        <v/>
      </c>
      <c r="L69" s="98" t="str">
        <v/>
      </c>
    </row>
    <row r="70" spans="1:12" ht="15">
      <c r="A70" s="70" t="s">
        <v>585</v>
      </c>
      <c r="C70" s="38" t="str">
        <f t="shared" ref="C70:C76" si="18">MID(A70,19,4)</f>
        <v>NV31</v>
      </c>
      <c r="D70" s="28">
        <f t="shared" si="15"/>
        <v>3047</v>
      </c>
      <c r="E70" s="113" t="str">
        <f t="shared" si="16"/>
        <v/>
      </c>
      <c r="F70" s="114" t="str">
        <f t="shared" si="17"/>
        <v/>
      </c>
      <c r="G70" s="30" t="str">
        <f t="shared" si="13"/>
        <v/>
      </c>
      <c r="I70" s="95" t="str">
        <v>NV31</v>
      </c>
      <c r="J70" s="135" t="str">
        <v>nv31</v>
      </c>
      <c r="K70" s="98" t="str">
        <v/>
      </c>
      <c r="L70" s="98" t="str">
        <v/>
      </c>
    </row>
    <row r="71" spans="1:12" ht="15">
      <c r="A71" s="70" t="s">
        <v>631</v>
      </c>
      <c r="C71" s="38" t="str">
        <f t="shared" si="18"/>
        <v>NV35</v>
      </c>
      <c r="D71" s="28">
        <f t="shared" si="15"/>
        <v>4503</v>
      </c>
      <c r="E71" s="113" t="str">
        <f t="shared" si="16"/>
        <v/>
      </c>
      <c r="F71" s="114" t="str">
        <f t="shared" si="17"/>
        <v/>
      </c>
      <c r="G71" s="30">
        <f t="shared" si="13"/>
        <v>4.2699999999999996</v>
      </c>
      <c r="I71" s="95" t="str">
        <v>NV35</v>
      </c>
      <c r="J71" s="135" t="str">
        <v>nv35</v>
      </c>
      <c r="K71" s="98" t="str">
        <v/>
      </c>
      <c r="L71" s="98" t="str">
        <v/>
      </c>
    </row>
    <row r="72" spans="1:12" ht="15">
      <c r="A72" s="70" t="s">
        <v>606</v>
      </c>
      <c r="C72" s="38" t="str">
        <f t="shared" si="18"/>
        <v>NV35</v>
      </c>
      <c r="D72" s="28">
        <f t="shared" si="15"/>
        <v>4503</v>
      </c>
      <c r="E72" s="113" t="str">
        <f t="shared" si="16"/>
        <v/>
      </c>
      <c r="F72" s="114" t="str">
        <f t="shared" si="17"/>
        <v/>
      </c>
      <c r="G72" s="30" t="str">
        <f t="shared" si="13"/>
        <v/>
      </c>
      <c r="I72" s="95" t="str">
        <v>NV35</v>
      </c>
      <c r="J72" s="135" t="str">
        <v>nv35</v>
      </c>
      <c r="K72" s="98" t="str">
        <v/>
      </c>
      <c r="L72" s="98" t="str">
        <v/>
      </c>
    </row>
    <row r="73" spans="1:12" ht="15">
      <c r="A73" s="70" t="s">
        <v>607</v>
      </c>
      <c r="C73" s="38" t="str">
        <f t="shared" si="18"/>
        <v>NV40</v>
      </c>
      <c r="D73" s="28">
        <f t="shared" si="15"/>
        <v>6323</v>
      </c>
      <c r="E73" s="113" t="str">
        <f t="shared" si="16"/>
        <v/>
      </c>
      <c r="F73" s="114" t="str">
        <f t="shared" si="17"/>
        <v/>
      </c>
      <c r="G73" s="30">
        <f t="shared" si="13"/>
        <v>4.34</v>
      </c>
      <c r="I73" s="95" t="str">
        <v>NV40</v>
      </c>
      <c r="J73" s="135" t="str">
        <v>nv40</v>
      </c>
      <c r="K73" s="98" t="str">
        <v/>
      </c>
      <c r="L73" s="98" t="str">
        <v/>
      </c>
    </row>
    <row r="74" spans="1:12" ht="15">
      <c r="A74" s="70" t="s">
        <v>608</v>
      </c>
      <c r="C74" s="38" t="str">
        <f t="shared" si="18"/>
        <v>NV40</v>
      </c>
      <c r="D74" s="28">
        <f t="shared" si="15"/>
        <v>6323</v>
      </c>
      <c r="E74" s="113" t="str">
        <f t="shared" si="16"/>
        <v/>
      </c>
      <c r="F74" s="114" t="str">
        <f t="shared" si="17"/>
        <v/>
      </c>
      <c r="G74" s="30" t="str">
        <f t="shared" si="13"/>
        <v/>
      </c>
      <c r="I74" s="95" t="str">
        <v>NV40</v>
      </c>
      <c r="J74" s="135" t="str">
        <v>nv40</v>
      </c>
      <c r="K74" s="98" t="str">
        <v/>
      </c>
      <c r="L74" s="98" t="str">
        <v/>
      </c>
    </row>
    <row r="75" spans="1:12" ht="15">
      <c r="A75" s="70" t="s">
        <v>632</v>
      </c>
      <c r="C75" s="38" t="str">
        <f t="shared" si="18"/>
        <v>NV43</v>
      </c>
      <c r="D75" s="28">
        <f t="shared" si="15"/>
        <v>7415</v>
      </c>
      <c r="E75" s="113" t="str">
        <f t="shared" si="16"/>
        <v/>
      </c>
      <c r="F75" s="114" t="str">
        <f t="shared" si="17"/>
        <v/>
      </c>
      <c r="G75" s="30">
        <f t="shared" si="13"/>
        <v>4.43</v>
      </c>
      <c r="I75" s="95" t="str">
        <v>NV43</v>
      </c>
      <c r="J75" s="135" t="str">
        <v>nv43</v>
      </c>
      <c r="K75" s="98" t="str">
        <v/>
      </c>
      <c r="L75" s="98" t="str">
        <v/>
      </c>
    </row>
    <row r="76" spans="1:12" ht="15">
      <c r="A76" s="70" t="s">
        <v>586</v>
      </c>
      <c r="C76" s="38" t="str">
        <f t="shared" si="18"/>
        <v>NV43</v>
      </c>
      <c r="D76" s="28">
        <f t="shared" si="15"/>
        <v>7415</v>
      </c>
      <c r="E76" s="113" t="str">
        <f t="shared" si="16"/>
        <v/>
      </c>
      <c r="F76" s="114" t="str">
        <f t="shared" si="17"/>
        <v/>
      </c>
      <c r="G76" s="30" t="str">
        <f t="shared" si="13"/>
        <v/>
      </c>
      <c r="I76" s="95" t="str">
        <v>NV43</v>
      </c>
      <c r="J76" s="135" t="str">
        <v>nv43</v>
      </c>
      <c r="K76" s="98" t="str">
        <v/>
      </c>
      <c r="L76" s="98" t="str">
        <v/>
      </c>
    </row>
    <row r="77" spans="1:12" ht="15">
      <c r="A77" s="70" t="s">
        <v>633</v>
      </c>
      <c r="C77" s="38" t="str">
        <f>MID(A77,19,4)</f>
        <v>NV46</v>
      </c>
      <c r="D77" s="28">
        <f t="shared" si="15"/>
        <v>8507</v>
      </c>
      <c r="E77" s="113" t="str">
        <f t="shared" si="16"/>
        <v/>
      </c>
      <c r="F77" s="114" t="str">
        <f t="shared" si="17"/>
        <v/>
      </c>
      <c r="G77" s="30">
        <f t="shared" si="13"/>
        <v>4.42</v>
      </c>
      <c r="I77" s="95" t="str">
        <v>NV46</v>
      </c>
      <c r="J77" s="135" t="str">
        <v>nv46</v>
      </c>
      <c r="K77" s="98" t="str">
        <v/>
      </c>
      <c r="L77" s="98" t="str">
        <v/>
      </c>
    </row>
    <row r="78" spans="1:12" ht="15">
      <c r="A78" s="70" t="s">
        <v>609</v>
      </c>
      <c r="C78" s="38" t="str">
        <f>MID(A78,19,4)</f>
        <v>NV46</v>
      </c>
      <c r="D78" s="28">
        <f t="shared" si="15"/>
        <v>8507</v>
      </c>
      <c r="E78" s="113" t="str">
        <f t="shared" si="16"/>
        <v/>
      </c>
      <c r="F78" s="114" t="str">
        <f t="shared" si="17"/>
        <v/>
      </c>
      <c r="G78" s="30" t="str">
        <f t="shared" si="13"/>
        <v/>
      </c>
      <c r="I78" s="95" t="str">
        <v>NV46</v>
      </c>
      <c r="J78" s="135" t="str">
        <v>nv46</v>
      </c>
      <c r="K78" s="98" t="str">
        <v/>
      </c>
      <c r="L78" s="98" t="str">
        <v/>
      </c>
    </row>
    <row r="79" spans="1:12" ht="15">
      <c r="A79" s="70" t="s">
        <v>634</v>
      </c>
      <c r="C79" s="38" t="str">
        <f>MID(A79,19,4)</f>
        <v>NV50</v>
      </c>
      <c r="D79" s="28">
        <f t="shared" si="15"/>
        <v>9963</v>
      </c>
      <c r="E79" s="113" t="str">
        <f t="shared" si="16"/>
        <v/>
      </c>
      <c r="F79" s="114" t="str">
        <f t="shared" si="17"/>
        <v/>
      </c>
      <c r="G79" s="30">
        <f t="shared" si="13"/>
        <v>4.4400000000000004</v>
      </c>
      <c r="I79" s="95" t="str">
        <v>NV50</v>
      </c>
      <c r="J79" s="135" t="str">
        <v>nv50</v>
      </c>
      <c r="K79" s="98" t="str">
        <v/>
      </c>
      <c r="L79" s="98" t="str">
        <v/>
      </c>
    </row>
    <row r="80" spans="1:12">
      <c r="A80" s="70" t="s">
        <v>587</v>
      </c>
    </row>
    <row r="81" spans="1:30">
      <c r="A81" s="70" t="s">
        <v>52</v>
      </c>
    </row>
    <row r="82" spans="1:30">
      <c r="A82" s="70" t="s">
        <v>52</v>
      </c>
    </row>
    <row r="83" spans="1:30">
      <c r="A83" s="70" t="s">
        <v>52</v>
      </c>
    </row>
    <row r="84" spans="1:30">
      <c r="A84" s="70" t="s">
        <v>52</v>
      </c>
    </row>
    <row r="85" spans="1:30">
      <c r="A85" s="70"/>
      <c r="I85" s="62"/>
    </row>
    <row r="86" spans="1:30" ht="15">
      <c r="A86" s="70"/>
      <c r="I86"/>
    </row>
    <row r="87" spans="1:30" ht="15">
      <c r="A87" s="70" t="s">
        <v>111</v>
      </c>
      <c r="I87"/>
    </row>
    <row r="88" spans="1:30" s="62" customFormat="1" ht="15">
      <c r="A88" s="91" t="e">
        <f ca="1">_xll.BPGE("93/18/1",,"cols=1;rows=26")</f>
        <v>#NAME?</v>
      </c>
      <c r="B88" s="62">
        <f>+LEN(A89)/2</f>
        <v>40</v>
      </c>
      <c r="E88" s="62">
        <v>6</v>
      </c>
      <c r="F88" s="62">
        <v>6</v>
      </c>
      <c r="I88"/>
    </row>
    <row r="89" spans="1:30" ht="15">
      <c r="A89" s="70" t="s">
        <v>636</v>
      </c>
      <c r="B89" s="115">
        <f>+C89/2</f>
        <v>40</v>
      </c>
      <c r="C89" s="115">
        <f>+LEN(A89)</f>
        <v>80</v>
      </c>
      <c r="D89" s="299" t="s">
        <v>57</v>
      </c>
      <c r="E89" s="300"/>
      <c r="F89" s="300"/>
      <c r="G89" s="301"/>
      <c r="H89"/>
      <c r="I89"/>
      <c r="J89"/>
      <c r="K89"/>
      <c r="L89"/>
      <c r="M89"/>
      <c r="N89"/>
      <c r="O89"/>
      <c r="P89"/>
      <c r="Q89"/>
      <c r="R89"/>
      <c r="S89"/>
      <c r="W89" s="84" t="s">
        <v>176</v>
      </c>
      <c r="X89" s="84" t="s">
        <v>70</v>
      </c>
      <c r="Y89" s="84" t="s">
        <v>64</v>
      </c>
      <c r="Z89" s="84" t="s">
        <v>65</v>
      </c>
      <c r="AA89" s="84" t="s">
        <v>66</v>
      </c>
      <c r="AB89" s="84" t="s">
        <v>67</v>
      </c>
      <c r="AC89" s="84" t="s">
        <v>68</v>
      </c>
      <c r="AD89" s="84" t="s">
        <v>69</v>
      </c>
    </row>
    <row r="90" spans="1:30" ht="15">
      <c r="A90" s="70" t="s">
        <v>846</v>
      </c>
      <c r="B90" s="117" t="str">
        <f>+MID(A90,1,$B$89)</f>
        <v>3x1            11.475/ 11.505  1000X1000</v>
      </c>
      <c r="C90"/>
      <c r="D90" s="24" t="s">
        <v>55</v>
      </c>
      <c r="E90" s="24" t="s">
        <v>29</v>
      </c>
      <c r="F90" s="24" t="s">
        <v>30</v>
      </c>
      <c r="G90" s="24" t="s">
        <v>58</v>
      </c>
      <c r="I90" s="82" t="s">
        <v>28</v>
      </c>
      <c r="J90" s="24" t="s">
        <v>14</v>
      </c>
      <c r="K90" s="24" t="s">
        <v>33</v>
      </c>
      <c r="L90"/>
      <c r="M90"/>
      <c r="N90"/>
      <c r="O90"/>
      <c r="P90"/>
      <c r="Q90"/>
      <c r="R90"/>
      <c r="S90"/>
      <c r="W90" s="1" t="s">
        <v>355</v>
      </c>
      <c r="X90" s="1" t="s">
        <v>196</v>
      </c>
      <c r="Y90" s="1" t="str">
        <f>MID($X90,1,IFERROR(FIND("M",$X90),FIND("Y",$X90)))</f>
        <v>3M</v>
      </c>
      <c r="Z90" s="1" t="str">
        <f>MID($X90,LEN(Y90)+2,IFERROR(FIND("M",$X90,LEN(Y90)+1),FIND("Y",$X90,LEN(Y90)+1))-LEN(Y90)-1)</f>
        <v>6M</v>
      </c>
      <c r="AA90" s="1" t="str">
        <f>MID($X90,LEN(Z90)+LEN(Y90)+3,LEN(X90)-(LEN(Z90)+LEN(Y90)+1))</f>
        <v/>
      </c>
      <c r="AB90" s="85">
        <f t="shared" ref="AB90:AD105" si="19">+IFERROR(IF(IFERROR(FIND("M",Y90)&gt;0,FALSE),_xlfn.NUMBERVALUE(MID(Y90,1,LEN(Y90)-1)),MID(Y90,1,LEN(Y90)-1)*13),"")</f>
        <v>3</v>
      </c>
      <c r="AC90" s="85">
        <f t="shared" si="19"/>
        <v>6</v>
      </c>
      <c r="AD90" s="85" t="str">
        <f t="shared" si="19"/>
        <v/>
      </c>
    </row>
    <row r="91" spans="1:30" ht="15">
      <c r="A91" s="70" t="s">
        <v>845</v>
      </c>
      <c r="B91" s="117" t="str">
        <f t="shared" ref="B91:B111" si="20">+MID(A91,1,$B$89)</f>
        <v xml:space="preserve">6x1            11.38 / 11.43    500X500 </v>
      </c>
      <c r="C91"/>
      <c r="D91" t="str">
        <f t="shared" ref="D91:D103" si="21">+MID(B90,1,IF(FIND("x",B90)&gt;6,FIND("*",B90)+1,FIND("x",B90)+1))</f>
        <v>3x1</v>
      </c>
      <c r="E91" s="83">
        <f>+IFERROR(_xlfn.NUMBERVALUE(MID(B90,LEN(D91)+1,FIND("/",B90)-LEN(D91)-1)),0)</f>
        <v>11.475</v>
      </c>
      <c r="F91" s="83">
        <f>+IFERROR(_xlfn.NUMBERVALUE(MID(B90,FIND("/",B90)+1,8)),0)</f>
        <v>11.505000000000001</v>
      </c>
      <c r="G91">
        <f>+IFERROR(_xlfn.NUMBERVALUE(MID(B90,35,$E$2)),0)</f>
        <v>0</v>
      </c>
      <c r="I91" s="83" cm="1">
        <f t="array" ref="I91:I103">+_xlfn.NUMBERVALUE(MID(D91:D103,1,IF(FIND("x",B90:B102)&gt;6,FIND("*",B90:B102)-1,FIND("x",B90:B102)-1)))</f>
        <v>3</v>
      </c>
      <c r="J91" cm="1">
        <f t="array" ref="J91:J105">+IF(E91:E105=0,"",E91:E105)</f>
        <v>11.475</v>
      </c>
      <c r="K91" cm="1">
        <f t="array" ref="K91:K105">+IF(F91:F105=0,"",F91:F105)</f>
        <v>11.505000000000001</v>
      </c>
      <c r="L91"/>
      <c r="M91"/>
      <c r="N91"/>
      <c r="O91"/>
      <c r="P91"/>
      <c r="Q91"/>
      <c r="R91"/>
      <c r="S91"/>
      <c r="W91" s="1" t="s">
        <v>356</v>
      </c>
      <c r="X91" s="1" t="s">
        <v>198</v>
      </c>
      <c r="Y91" s="1" t="str">
        <f t="shared" ref="Y91:Y110" si="22">MID($X91,1,IFERROR(FIND("M",$X91),FIND("Y",$X91)))</f>
        <v>6M</v>
      </c>
      <c r="Z91" s="1" t="str">
        <f t="shared" ref="Z91:Z110" si="23">MID($X91,LEN(Y91)+2,IFERROR(FIND("M",$X91,LEN(Y91)+1),FIND("Y",$X91,LEN(Y91)+1))-LEN(Y91)-1)</f>
        <v>9M</v>
      </c>
      <c r="AA91" s="1" t="str">
        <f t="shared" ref="AA91:AA110" si="24">MID($X91,LEN(Z91)+LEN(Y91)+3,LEN(X91)-(LEN(Z91)+LEN(Y91)+1))</f>
        <v/>
      </c>
      <c r="AB91" s="85">
        <f t="shared" si="19"/>
        <v>6</v>
      </c>
      <c r="AC91" s="85">
        <f t="shared" si="19"/>
        <v>9</v>
      </c>
      <c r="AD91" s="85" t="str">
        <f t="shared" si="19"/>
        <v/>
      </c>
    </row>
    <row r="92" spans="1:30" ht="15">
      <c r="A92" s="70" t="s">
        <v>498</v>
      </c>
      <c r="B92" s="117" t="str">
        <f t="shared" si="20"/>
        <v xml:space="preserve">9x1                  /             X    </v>
      </c>
      <c r="C92"/>
      <c r="D92" t="str">
        <f t="shared" si="21"/>
        <v>6x1</v>
      </c>
      <c r="E92" s="83">
        <f t="shared" ref="E92:E103" si="25">+IFERROR(_xlfn.NUMBERVALUE(MID(B91,LEN(D92)+1,FIND("/",B91)-LEN(D92)-1)),0)</f>
        <v>11.38</v>
      </c>
      <c r="F92" s="83">
        <f t="shared" ref="F92:F103" si="26">+IFERROR(_xlfn.NUMBERVALUE(MID(B91,FIND("/",B91)+1,8)),0)</f>
        <v>11.43</v>
      </c>
      <c r="G92">
        <f t="shared" ref="G92:G103" si="27">+IFERROR(_xlfn.NUMBERVALUE(MID(B91,35,$E$2)),0)</f>
        <v>0</v>
      </c>
      <c r="I92" s="83">
        <v>6</v>
      </c>
      <c r="J92">
        <v>11.38</v>
      </c>
      <c r="K92">
        <v>11.43</v>
      </c>
      <c r="L92"/>
      <c r="M92"/>
      <c r="N92"/>
      <c r="O92"/>
      <c r="P92"/>
      <c r="Q92"/>
      <c r="R92"/>
      <c r="S92"/>
      <c r="W92" s="1" t="s">
        <v>357</v>
      </c>
      <c r="X92" s="1" t="s">
        <v>200</v>
      </c>
      <c r="Y92" s="1" t="str">
        <f t="shared" si="22"/>
        <v>9M</v>
      </c>
      <c r="Z92" s="1" t="str">
        <f t="shared" si="23"/>
        <v>1Y</v>
      </c>
      <c r="AA92" s="1" t="str">
        <f t="shared" si="24"/>
        <v/>
      </c>
      <c r="AB92" s="85">
        <f t="shared" si="19"/>
        <v>9</v>
      </c>
      <c r="AC92" s="85">
        <f t="shared" si="19"/>
        <v>13</v>
      </c>
      <c r="AD92" s="85" t="str">
        <f t="shared" si="19"/>
        <v/>
      </c>
    </row>
    <row r="93" spans="1:30" ht="15">
      <c r="A93" s="70" t="s">
        <v>487</v>
      </c>
      <c r="B93" s="117" t="str">
        <f t="shared" si="20"/>
        <v xml:space="preserve">13x1                 /             X    </v>
      </c>
      <c r="C93"/>
      <c r="D93" t="str">
        <f t="shared" si="21"/>
        <v>9x1</v>
      </c>
      <c r="E93" s="83">
        <f t="shared" si="25"/>
        <v>0</v>
      </c>
      <c r="F93" s="83">
        <f t="shared" si="26"/>
        <v>0</v>
      </c>
      <c r="G93">
        <f t="shared" si="27"/>
        <v>0</v>
      </c>
      <c r="I93" s="83">
        <v>9</v>
      </c>
      <c r="J93" t="str">
        <v/>
      </c>
      <c r="K93" t="str">
        <v/>
      </c>
      <c r="L93"/>
      <c r="M93"/>
      <c r="N93"/>
      <c r="O93"/>
      <c r="P93"/>
      <c r="Q93"/>
      <c r="R93"/>
      <c r="S93"/>
      <c r="W93" s="1" t="s">
        <v>358</v>
      </c>
      <c r="X93" s="1" t="s">
        <v>202</v>
      </c>
      <c r="Y93" s="1" t="str">
        <f t="shared" si="22"/>
        <v>1Y</v>
      </c>
      <c r="Z93" s="1" t="str">
        <f t="shared" si="23"/>
        <v>2Y</v>
      </c>
      <c r="AA93" s="1" t="str">
        <f t="shared" si="24"/>
        <v/>
      </c>
      <c r="AB93" s="85">
        <f t="shared" si="19"/>
        <v>13</v>
      </c>
      <c r="AC93" s="85">
        <f t="shared" si="19"/>
        <v>26</v>
      </c>
      <c r="AD93" s="85" t="str">
        <f t="shared" si="19"/>
        <v/>
      </c>
    </row>
    <row r="94" spans="1:30" ht="15">
      <c r="A94" s="70" t="s">
        <v>497</v>
      </c>
      <c r="B94" s="117" t="str">
        <f t="shared" si="20"/>
        <v xml:space="preserve">26x1                 /             X    </v>
      </c>
      <c r="C94"/>
      <c r="D94" t="str">
        <f t="shared" si="21"/>
        <v>13x1</v>
      </c>
      <c r="E94" s="83">
        <f t="shared" si="25"/>
        <v>0</v>
      </c>
      <c r="F94" s="83">
        <f t="shared" si="26"/>
        <v>0</v>
      </c>
      <c r="G94">
        <f t="shared" si="27"/>
        <v>0</v>
      </c>
      <c r="I94" s="83">
        <v>13</v>
      </c>
      <c r="J94" t="str">
        <v/>
      </c>
      <c r="K94" t="str">
        <v/>
      </c>
      <c r="L94"/>
      <c r="M94"/>
      <c r="N94"/>
      <c r="O94"/>
      <c r="P94"/>
      <c r="Q94"/>
      <c r="R94"/>
      <c r="S94"/>
      <c r="W94" s="1" t="s">
        <v>359</v>
      </c>
      <c r="X94" s="1" t="s">
        <v>206</v>
      </c>
      <c r="Y94" s="1" t="str">
        <f t="shared" si="22"/>
        <v>2Y</v>
      </c>
      <c r="Z94" s="1" t="str">
        <f t="shared" si="23"/>
        <v>3Y</v>
      </c>
      <c r="AA94" s="1" t="str">
        <f t="shared" si="24"/>
        <v/>
      </c>
      <c r="AB94" s="85">
        <f t="shared" si="19"/>
        <v>26</v>
      </c>
      <c r="AC94" s="85">
        <f t="shared" si="19"/>
        <v>39</v>
      </c>
      <c r="AD94" s="85" t="str">
        <f t="shared" si="19"/>
        <v/>
      </c>
    </row>
    <row r="95" spans="1:30" ht="15">
      <c r="A95" s="70" t="s">
        <v>484</v>
      </c>
      <c r="B95" s="117" t="str">
        <f t="shared" si="20"/>
        <v xml:space="preserve">39x1                 /             X    </v>
      </c>
      <c r="C95"/>
      <c r="D95" t="str">
        <f t="shared" si="21"/>
        <v>26x1</v>
      </c>
      <c r="E95" s="83">
        <f t="shared" si="25"/>
        <v>0</v>
      </c>
      <c r="F95" s="83">
        <f t="shared" si="26"/>
        <v>0</v>
      </c>
      <c r="G95">
        <f t="shared" si="27"/>
        <v>0</v>
      </c>
      <c r="I95" s="83">
        <v>26</v>
      </c>
      <c r="J95" t="str">
        <v/>
      </c>
      <c r="K95" t="str">
        <v/>
      </c>
      <c r="L95"/>
      <c r="M95"/>
      <c r="N95"/>
      <c r="O95"/>
      <c r="P95"/>
      <c r="Q95"/>
      <c r="R95"/>
      <c r="S95"/>
      <c r="W95" s="1" t="s">
        <v>360</v>
      </c>
      <c r="X95" s="1" t="s">
        <v>214</v>
      </c>
      <c r="Y95" s="1" t="str">
        <f t="shared" si="22"/>
        <v>3Y</v>
      </c>
      <c r="Z95" s="1" t="str">
        <f t="shared" si="23"/>
        <v>4Y</v>
      </c>
      <c r="AA95" s="1" t="str">
        <f t="shared" si="24"/>
        <v/>
      </c>
      <c r="AB95" s="85">
        <f t="shared" si="19"/>
        <v>39</v>
      </c>
      <c r="AC95" s="85">
        <f t="shared" si="19"/>
        <v>52</v>
      </c>
      <c r="AD95" s="85" t="str">
        <f t="shared" si="19"/>
        <v/>
      </c>
    </row>
    <row r="96" spans="1:30" ht="15">
      <c r="A96" s="70" t="s">
        <v>462</v>
      </c>
      <c r="B96" s="117" t="str">
        <f t="shared" si="20"/>
        <v xml:space="preserve">52x1                 /             X    </v>
      </c>
      <c r="C96"/>
      <c r="D96" t="str">
        <f t="shared" si="21"/>
        <v>39x1</v>
      </c>
      <c r="E96" s="83">
        <f t="shared" si="25"/>
        <v>0</v>
      </c>
      <c r="F96" s="83">
        <f t="shared" si="26"/>
        <v>0</v>
      </c>
      <c r="G96">
        <f t="shared" si="27"/>
        <v>0</v>
      </c>
      <c r="I96" s="83">
        <v>39</v>
      </c>
      <c r="J96" t="str">
        <v/>
      </c>
      <c r="K96" t="str">
        <v/>
      </c>
      <c r="L96"/>
      <c r="M96"/>
      <c r="N96"/>
      <c r="O96"/>
      <c r="P96"/>
      <c r="Q96"/>
      <c r="R96"/>
      <c r="S96"/>
      <c r="W96" s="1" t="s">
        <v>361</v>
      </c>
      <c r="X96" s="1" t="s">
        <v>333</v>
      </c>
      <c r="Y96" s="1" t="str">
        <f t="shared" si="22"/>
        <v>4Y</v>
      </c>
      <c r="Z96" s="1" t="str">
        <f t="shared" si="23"/>
        <v>5Y</v>
      </c>
      <c r="AA96" s="1" t="str">
        <f t="shared" si="24"/>
        <v/>
      </c>
      <c r="AB96" s="85">
        <f t="shared" si="19"/>
        <v>52</v>
      </c>
      <c r="AC96" s="85">
        <f t="shared" si="19"/>
        <v>65</v>
      </c>
      <c r="AD96" s="85" t="str">
        <f t="shared" si="19"/>
        <v/>
      </c>
    </row>
    <row r="97" spans="1:30" ht="15">
      <c r="A97" s="70" t="s">
        <v>485</v>
      </c>
      <c r="B97" s="117" t="str">
        <f t="shared" si="20"/>
        <v xml:space="preserve">65x1                 /             X    </v>
      </c>
      <c r="C97"/>
      <c r="D97" t="str">
        <f t="shared" si="21"/>
        <v>52x1</v>
      </c>
      <c r="E97" s="83">
        <f t="shared" si="25"/>
        <v>0</v>
      </c>
      <c r="F97" s="83">
        <f t="shared" si="26"/>
        <v>0</v>
      </c>
      <c r="G97">
        <f t="shared" si="27"/>
        <v>0</v>
      </c>
      <c r="I97" s="83">
        <v>52</v>
      </c>
      <c r="J97" t="str">
        <v/>
      </c>
      <c r="K97" t="str">
        <v/>
      </c>
      <c r="L97"/>
      <c r="M97"/>
      <c r="N97"/>
      <c r="O97"/>
      <c r="P97"/>
      <c r="Q97"/>
      <c r="R97"/>
      <c r="S97"/>
      <c r="W97" s="1" t="s">
        <v>362</v>
      </c>
      <c r="X97" s="1" t="s">
        <v>216</v>
      </c>
      <c r="Y97" s="1" t="str">
        <f t="shared" si="22"/>
        <v>3Y</v>
      </c>
      <c r="Z97" s="1" t="str">
        <f t="shared" si="23"/>
        <v>5Y</v>
      </c>
      <c r="AA97" s="1" t="str">
        <f t="shared" si="24"/>
        <v/>
      </c>
      <c r="AB97" s="85">
        <f t="shared" si="19"/>
        <v>39</v>
      </c>
      <c r="AC97" s="85">
        <f t="shared" si="19"/>
        <v>65</v>
      </c>
      <c r="AD97" s="85" t="str">
        <f t="shared" si="19"/>
        <v/>
      </c>
    </row>
    <row r="98" spans="1:30" ht="15">
      <c r="A98" s="70" t="s">
        <v>430</v>
      </c>
      <c r="B98" s="117" t="str">
        <f t="shared" si="20"/>
        <v xml:space="preserve">91x1                 /             X    </v>
      </c>
      <c r="C98"/>
      <c r="D98" t="str">
        <f t="shared" si="21"/>
        <v>65x1</v>
      </c>
      <c r="E98" s="83">
        <f t="shared" si="25"/>
        <v>0</v>
      </c>
      <c r="F98" s="83">
        <f t="shared" si="26"/>
        <v>0</v>
      </c>
      <c r="G98">
        <f t="shared" si="27"/>
        <v>0</v>
      </c>
      <c r="I98" s="83">
        <v>65</v>
      </c>
      <c r="J98" t="str">
        <v/>
      </c>
      <c r="K98" t="str">
        <v/>
      </c>
      <c r="L98"/>
      <c r="M98"/>
      <c r="N98"/>
      <c r="O98"/>
      <c r="P98"/>
      <c r="Q98"/>
      <c r="R98"/>
      <c r="S98"/>
      <c r="W98" s="1" t="s">
        <v>363</v>
      </c>
      <c r="X98" s="1" t="s">
        <v>210</v>
      </c>
      <c r="Y98" s="1" t="str">
        <f t="shared" si="22"/>
        <v>2Y</v>
      </c>
      <c r="Z98" s="1" t="str">
        <f t="shared" si="23"/>
        <v>5Y</v>
      </c>
      <c r="AA98" s="1" t="str">
        <f t="shared" si="24"/>
        <v/>
      </c>
      <c r="AB98" s="85">
        <f t="shared" si="19"/>
        <v>26</v>
      </c>
      <c r="AC98" s="85">
        <f t="shared" si="19"/>
        <v>65</v>
      </c>
      <c r="AD98" s="85" t="str">
        <f t="shared" si="19"/>
        <v/>
      </c>
    </row>
    <row r="99" spans="1:30" ht="15">
      <c r="A99" s="70" t="s">
        <v>488</v>
      </c>
      <c r="B99" s="117" t="str">
        <f t="shared" si="20"/>
        <v xml:space="preserve">130x1                /             X    </v>
      </c>
      <c r="C99"/>
      <c r="D99" t="str">
        <f t="shared" si="21"/>
        <v>91x1</v>
      </c>
      <c r="E99" s="83">
        <f t="shared" si="25"/>
        <v>0</v>
      </c>
      <c r="F99" s="83">
        <f t="shared" si="26"/>
        <v>0</v>
      </c>
      <c r="G99">
        <f t="shared" si="27"/>
        <v>0</v>
      </c>
      <c r="I99" s="83">
        <v>91</v>
      </c>
      <c r="J99" t="str">
        <v/>
      </c>
      <c r="K99" t="str">
        <v/>
      </c>
      <c r="L99"/>
      <c r="M99"/>
      <c r="N99"/>
      <c r="O99"/>
      <c r="P99"/>
      <c r="Q99"/>
      <c r="R99"/>
      <c r="S99"/>
      <c r="W99" s="1" t="s">
        <v>364</v>
      </c>
      <c r="X99" s="1" t="s">
        <v>223</v>
      </c>
      <c r="Y99" s="1" t="str">
        <f t="shared" si="22"/>
        <v>5Y</v>
      </c>
      <c r="Z99" s="1" t="str">
        <f t="shared" si="23"/>
        <v>7Y</v>
      </c>
      <c r="AA99" s="1" t="str">
        <f t="shared" si="24"/>
        <v/>
      </c>
      <c r="AB99" s="85">
        <f t="shared" si="19"/>
        <v>65</v>
      </c>
      <c r="AC99" s="85">
        <f t="shared" si="19"/>
        <v>91</v>
      </c>
      <c r="AD99" s="85" t="str">
        <f t="shared" si="19"/>
        <v/>
      </c>
    </row>
    <row r="100" spans="1:30" ht="15">
      <c r="A100" s="70" t="s">
        <v>327</v>
      </c>
      <c r="B100" s="117" t="str">
        <f t="shared" si="20"/>
        <v xml:space="preserve">156x1                /             X    </v>
      </c>
      <c r="C100"/>
      <c r="D100" t="str">
        <f t="shared" si="21"/>
        <v>130x1</v>
      </c>
      <c r="E100" s="83">
        <f t="shared" si="25"/>
        <v>0</v>
      </c>
      <c r="F100" s="83">
        <f t="shared" si="26"/>
        <v>0</v>
      </c>
      <c r="G100">
        <f t="shared" si="27"/>
        <v>0</v>
      </c>
      <c r="I100" s="83">
        <v>130</v>
      </c>
      <c r="J100" t="str">
        <v/>
      </c>
      <c r="K100" t="str">
        <v/>
      </c>
      <c r="L100"/>
      <c r="M100"/>
      <c r="N100"/>
      <c r="O100"/>
      <c r="P100"/>
      <c r="Q100"/>
      <c r="R100"/>
      <c r="S100"/>
      <c r="W100" s="1" t="s">
        <v>365</v>
      </c>
      <c r="X100" s="1" t="s">
        <v>225</v>
      </c>
      <c r="Y100" s="1" t="str">
        <f t="shared" si="22"/>
        <v>5Y</v>
      </c>
      <c r="Z100" s="1" t="str">
        <f t="shared" si="23"/>
        <v>10Y</v>
      </c>
      <c r="AA100" s="1" t="str">
        <f t="shared" si="24"/>
        <v/>
      </c>
      <c r="AB100" s="85">
        <f t="shared" si="19"/>
        <v>65</v>
      </c>
      <c r="AC100" s="85">
        <f t="shared" si="19"/>
        <v>130</v>
      </c>
      <c r="AD100" s="85" t="str">
        <f t="shared" si="19"/>
        <v/>
      </c>
    </row>
    <row r="101" spans="1:30" ht="15">
      <c r="A101" s="70" t="s">
        <v>304</v>
      </c>
      <c r="B101" s="117" t="str">
        <f t="shared" si="20"/>
        <v xml:space="preserve">195x1                /             X    </v>
      </c>
      <c r="C101"/>
      <c r="D101" t="str">
        <f t="shared" si="21"/>
        <v>156x1</v>
      </c>
      <c r="E101" s="83">
        <f t="shared" si="25"/>
        <v>0</v>
      </c>
      <c r="F101" s="83">
        <f t="shared" si="26"/>
        <v>0</v>
      </c>
      <c r="G101">
        <f t="shared" si="27"/>
        <v>0</v>
      </c>
      <c r="I101" s="83">
        <v>156</v>
      </c>
      <c r="J101" t="str">
        <v/>
      </c>
      <c r="K101" t="str">
        <v/>
      </c>
      <c r="L101"/>
      <c r="M101"/>
      <c r="N101"/>
      <c r="O101"/>
      <c r="P101"/>
      <c r="Q101"/>
      <c r="R101"/>
      <c r="S101"/>
      <c r="W101" s="1" t="s">
        <v>366</v>
      </c>
      <c r="X101" s="1" t="s">
        <v>229</v>
      </c>
      <c r="Y101" s="1" t="str">
        <f t="shared" si="22"/>
        <v>7Y</v>
      </c>
      <c r="Z101" s="1" t="str">
        <f t="shared" si="23"/>
        <v>10Y</v>
      </c>
      <c r="AA101" s="1" t="str">
        <f t="shared" si="24"/>
        <v/>
      </c>
      <c r="AB101" s="85">
        <f t="shared" si="19"/>
        <v>91</v>
      </c>
      <c r="AC101" s="85">
        <f t="shared" si="19"/>
        <v>130</v>
      </c>
      <c r="AD101" s="85" t="str">
        <f t="shared" si="19"/>
        <v/>
      </c>
    </row>
    <row r="102" spans="1:30" ht="15">
      <c r="A102" s="70" t="s">
        <v>463</v>
      </c>
      <c r="B102" s="117" t="str">
        <f t="shared" si="20"/>
        <v xml:space="preserve">260x1                /             X    </v>
      </c>
      <c r="C102"/>
      <c r="D102" t="str">
        <f t="shared" si="21"/>
        <v>195x1</v>
      </c>
      <c r="E102" s="83">
        <f t="shared" si="25"/>
        <v>0</v>
      </c>
      <c r="F102" s="83">
        <f t="shared" si="26"/>
        <v>0</v>
      </c>
      <c r="G102">
        <f t="shared" si="27"/>
        <v>0</v>
      </c>
      <c r="I102" s="83">
        <v>195</v>
      </c>
      <c r="J102" t="str">
        <v/>
      </c>
      <c r="K102" t="str">
        <v/>
      </c>
      <c r="L102"/>
      <c r="M102"/>
      <c r="N102"/>
      <c r="O102"/>
      <c r="P102"/>
      <c r="Q102"/>
      <c r="R102"/>
      <c r="S102"/>
      <c r="W102" s="1" t="s">
        <v>367</v>
      </c>
      <c r="X102" s="1" t="s">
        <v>233</v>
      </c>
      <c r="Y102" s="1" t="str">
        <f t="shared" si="22"/>
        <v>10Y</v>
      </c>
      <c r="Z102" s="1" t="str">
        <f t="shared" si="23"/>
        <v>12Y</v>
      </c>
      <c r="AA102" s="1" t="str">
        <f t="shared" si="24"/>
        <v/>
      </c>
      <c r="AB102" s="85">
        <f t="shared" si="19"/>
        <v>130</v>
      </c>
      <c r="AC102" s="85">
        <f t="shared" si="19"/>
        <v>156</v>
      </c>
      <c r="AD102" s="85" t="str">
        <f t="shared" si="19"/>
        <v/>
      </c>
    </row>
    <row r="103" spans="1:30" ht="15">
      <c r="A103" s="70" t="s">
        <v>112</v>
      </c>
      <c r="B103" s="117" t="str">
        <f t="shared" si="20"/>
        <v xml:space="preserve">TIIE SPREADS                            </v>
      </c>
      <c r="C103"/>
      <c r="D103" t="str">
        <f t="shared" si="21"/>
        <v>260x1</v>
      </c>
      <c r="E103" s="83">
        <f t="shared" si="25"/>
        <v>0</v>
      </c>
      <c r="F103" s="83">
        <f t="shared" si="26"/>
        <v>0</v>
      </c>
      <c r="G103">
        <f t="shared" si="27"/>
        <v>0</v>
      </c>
      <c r="I103" s="83">
        <v>260</v>
      </c>
      <c r="J103" t="str">
        <v/>
      </c>
      <c r="K103" t="str">
        <v/>
      </c>
      <c r="L103"/>
      <c r="M103"/>
      <c r="N103"/>
      <c r="O103"/>
      <c r="P103"/>
      <c r="Q103"/>
      <c r="R103"/>
      <c r="S103"/>
      <c r="W103" s="1" t="s">
        <v>368</v>
      </c>
      <c r="X103" s="1" t="s">
        <v>237</v>
      </c>
      <c r="Y103" s="1" t="str">
        <f t="shared" si="22"/>
        <v>12Y</v>
      </c>
      <c r="Z103" s="1" t="str">
        <f t="shared" si="23"/>
        <v>15Y</v>
      </c>
      <c r="AA103" s="1" t="str">
        <f t="shared" si="24"/>
        <v/>
      </c>
      <c r="AB103" s="85">
        <f t="shared" si="19"/>
        <v>156</v>
      </c>
      <c r="AC103" s="85">
        <f t="shared" si="19"/>
        <v>195</v>
      </c>
      <c r="AD103" s="85" t="str">
        <f t="shared" si="19"/>
        <v/>
      </c>
    </row>
    <row r="104" spans="1:30" ht="15">
      <c r="A104" s="70" t="s">
        <v>479</v>
      </c>
      <c r="B104" s="117" t="str">
        <f t="shared" si="20"/>
        <v xml:space="preserve">3Mx6M                /             X    </v>
      </c>
      <c r="C104"/>
      <c r="D104"/>
      <c r="E104" s="83"/>
      <c r="F104" s="83"/>
      <c r="G104"/>
      <c r="H104" s="83"/>
      <c r="I104"/>
      <c r="J104" t="str">
        <v/>
      </c>
      <c r="K104" t="str">
        <v/>
      </c>
      <c r="L104"/>
      <c r="M104"/>
      <c r="N104"/>
      <c r="O104"/>
      <c r="P104"/>
      <c r="Q104"/>
      <c r="R104"/>
      <c r="S104"/>
      <c r="W104" s="1" t="s">
        <v>369</v>
      </c>
      <c r="X104" s="1" t="s">
        <v>235</v>
      </c>
      <c r="Y104" s="1" t="str">
        <f t="shared" si="22"/>
        <v>10Y</v>
      </c>
      <c r="Z104" s="1" t="str">
        <f t="shared" si="23"/>
        <v>15Y</v>
      </c>
      <c r="AA104" s="1" t="str">
        <f t="shared" si="24"/>
        <v/>
      </c>
      <c r="AB104" s="85">
        <f t="shared" si="19"/>
        <v>130</v>
      </c>
      <c r="AC104" s="85">
        <f t="shared" si="19"/>
        <v>195</v>
      </c>
      <c r="AD104" s="85" t="str">
        <f t="shared" si="19"/>
        <v/>
      </c>
    </row>
    <row r="105" spans="1:30" ht="15">
      <c r="A105" s="70" t="s">
        <v>477</v>
      </c>
      <c r="B105" s="117" t="str">
        <f t="shared" si="20"/>
        <v xml:space="preserve">6Mx9M                /             X    </v>
      </c>
      <c r="C105"/>
      <c r="D105"/>
      <c r="E105"/>
      <c r="F105"/>
      <c r="G105"/>
      <c r="H105"/>
      <c r="I105"/>
      <c r="J105" t="str">
        <v/>
      </c>
      <c r="K105" t="str">
        <v/>
      </c>
      <c r="L105"/>
      <c r="M105"/>
      <c r="N105"/>
      <c r="O105"/>
      <c r="P105"/>
      <c r="Q105"/>
      <c r="R105"/>
      <c r="S105"/>
      <c r="W105" s="1" t="s">
        <v>370</v>
      </c>
      <c r="X105" s="1" t="s">
        <v>239</v>
      </c>
      <c r="Y105" s="1" t="str">
        <f t="shared" si="22"/>
        <v>15Y</v>
      </c>
      <c r="Z105" s="1" t="str">
        <f t="shared" si="23"/>
        <v>20Y</v>
      </c>
      <c r="AA105" s="1" t="str">
        <f t="shared" si="24"/>
        <v/>
      </c>
      <c r="AB105" s="85">
        <f t="shared" si="19"/>
        <v>195</v>
      </c>
      <c r="AC105" s="85">
        <f t="shared" si="19"/>
        <v>260</v>
      </c>
      <c r="AD105" s="85" t="str">
        <f t="shared" si="19"/>
        <v/>
      </c>
    </row>
    <row r="106" spans="1:30" ht="15">
      <c r="A106" s="70" t="s">
        <v>476</v>
      </c>
      <c r="B106" s="117" t="str">
        <f t="shared" si="20"/>
        <v xml:space="preserve">9Mx1Y                /             X    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W106" s="1" t="s">
        <v>371</v>
      </c>
      <c r="X106" s="1" t="s">
        <v>317</v>
      </c>
      <c r="Y106" s="1" t="str">
        <f t="shared" si="22"/>
        <v>10Y</v>
      </c>
      <c r="Z106" s="1" t="str">
        <f t="shared" si="23"/>
        <v>20Y</v>
      </c>
      <c r="AA106" s="1" t="str">
        <f t="shared" si="24"/>
        <v/>
      </c>
      <c r="AB106" s="85">
        <f t="shared" ref="AB106:AD110" si="28">+IFERROR(IF(IFERROR(FIND("M",Y106)&gt;0,FALSE),_xlfn.NUMBERVALUE(MID(Y106,1,LEN(Y106)-1)),MID(Y106,1,LEN(Y106)-1)*13),"")</f>
        <v>130</v>
      </c>
      <c r="AC106" s="85">
        <f t="shared" si="28"/>
        <v>260</v>
      </c>
      <c r="AD106" s="85" t="str">
        <f t="shared" si="28"/>
        <v/>
      </c>
    </row>
    <row r="107" spans="1:30" ht="15">
      <c r="A107" s="70" t="s">
        <v>492</v>
      </c>
      <c r="B107" s="117" t="str">
        <f t="shared" si="20"/>
        <v xml:space="preserve">1Yx2Y                /             X    </v>
      </c>
      <c r="C107"/>
      <c r="D107" s="299" t="s">
        <v>62</v>
      </c>
      <c r="E107" s="300"/>
      <c r="F107" s="300"/>
      <c r="G107" s="301"/>
      <c r="H107"/>
      <c r="I107"/>
      <c r="J107"/>
      <c r="K107"/>
      <c r="L107"/>
      <c r="M107"/>
      <c r="N107"/>
      <c r="O107"/>
      <c r="P107"/>
      <c r="Q107"/>
      <c r="R107" s="93"/>
      <c r="S107"/>
      <c r="W107" s="1" t="s">
        <v>428</v>
      </c>
      <c r="X107" s="1" t="s">
        <v>180</v>
      </c>
      <c r="Y107" s="1" t="str">
        <f t="shared" si="22"/>
        <v>6M</v>
      </c>
      <c r="Z107" s="1" t="str">
        <f t="shared" si="23"/>
        <v>9M</v>
      </c>
      <c r="AA107" s="1" t="str">
        <f t="shared" si="24"/>
        <v>1Y</v>
      </c>
      <c r="AB107" s="1">
        <f t="shared" si="28"/>
        <v>6</v>
      </c>
      <c r="AC107" s="1">
        <f t="shared" si="28"/>
        <v>9</v>
      </c>
      <c r="AD107" s="1">
        <f t="shared" si="28"/>
        <v>13</v>
      </c>
    </row>
    <row r="108" spans="1:30" ht="15">
      <c r="A108" s="70" t="s">
        <v>499</v>
      </c>
      <c r="B108" s="117" t="str">
        <f t="shared" si="20"/>
        <v xml:space="preserve">2Yx3Y                /             X    </v>
      </c>
      <c r="C108"/>
      <c r="D108" s="24" t="s">
        <v>55</v>
      </c>
      <c r="E108" s="24" t="s">
        <v>29</v>
      </c>
      <c r="F108" s="24" t="s">
        <v>30</v>
      </c>
      <c r="G108" s="24" t="s">
        <v>58</v>
      </c>
      <c r="H108" s="84" t="s">
        <v>63</v>
      </c>
      <c r="I108" s="84" t="s">
        <v>64</v>
      </c>
      <c r="J108" s="84" t="s">
        <v>65</v>
      </c>
      <c r="K108" s="84" t="s">
        <v>66</v>
      </c>
      <c r="L108" s="84" t="s">
        <v>67</v>
      </c>
      <c r="M108" s="84" t="s">
        <v>68</v>
      </c>
      <c r="N108" s="84" t="s">
        <v>69</v>
      </c>
      <c r="O108" s="84" t="s">
        <v>70</v>
      </c>
      <c r="P108" s="24" t="s">
        <v>29</v>
      </c>
      <c r="Q108" s="79" t="s">
        <v>30</v>
      </c>
      <c r="R108" s="116" t="s">
        <v>64</v>
      </c>
      <c r="S108" s="116" t="s">
        <v>65</v>
      </c>
      <c r="W108" s="1" t="s">
        <v>432</v>
      </c>
      <c r="X108" s="1" t="s">
        <v>375</v>
      </c>
      <c r="Y108" s="1" t="str">
        <f t="shared" si="22"/>
        <v>20Y</v>
      </c>
      <c r="Z108" s="1" t="str">
        <f t="shared" si="23"/>
        <v>30Y</v>
      </c>
      <c r="AA108" s="1" t="str">
        <f t="shared" si="24"/>
        <v/>
      </c>
      <c r="AB108" s="1">
        <f t="shared" si="28"/>
        <v>260</v>
      </c>
      <c r="AC108" s="1">
        <f t="shared" si="28"/>
        <v>390</v>
      </c>
      <c r="AD108" s="1" t="str">
        <f t="shared" si="28"/>
        <v/>
      </c>
    </row>
    <row r="109" spans="1:30" ht="15">
      <c r="A109" s="70" t="s">
        <v>493</v>
      </c>
      <c r="B109" s="117" t="str">
        <f t="shared" si="20"/>
        <v xml:space="preserve">3Yx4Y                /             X    </v>
      </c>
      <c r="C109" s="87" t="str">
        <f>+TRIM(MID(B104,1,8))</f>
        <v>3Mx6M</v>
      </c>
      <c r="D109" s="69" t="str">
        <f>+C109</f>
        <v>3Mx6M</v>
      </c>
      <c r="E109" s="88">
        <f>+IF(D109&lt;&gt;"",IFERROR(_xlfn.NUMBERVALUE(MID(B104,LEN(D109)+1,FIND("/",B104,8)-LEN(D109)-1)),0), "")</f>
        <v>0</v>
      </c>
      <c r="F109" s="86">
        <f>+IF(D109&lt;&gt;"", IFERROR(_xlfn.NUMBERVALUE(MID(B104,FIND("/",B104,8)+1,8)),0), "")</f>
        <v>0</v>
      </c>
      <c r="G109" s="83">
        <f>IF(D109&lt;&gt;"", 0, "")</f>
        <v>0</v>
      </c>
      <c r="H109" s="83" t="str">
        <f>+IF(D109&lt;&gt;"", IF(IFERROR(FIND("x",D109)&gt;0,FALSE),"Spread","Fly"), "")</f>
        <v>Spread</v>
      </c>
      <c r="I109" s="83" t="str">
        <f>IF(D109&lt;&gt;"",IFERROR(VLOOKUP(D109,$W$89:$AD$114, 3, 0), "-"), "")</f>
        <v>3M</v>
      </c>
      <c r="J109" s="83" t="str">
        <f>IF(D109&lt;&gt;"",IFERROR(VLOOKUP(D109,$W$89:$AD$114, 4, 0), "-"), "")</f>
        <v>6M</v>
      </c>
      <c r="K109" s="83" t="str">
        <f>IF(D109&lt;&gt;"",IFERROR(VLOOKUP(D109,$W$89:$AD$111, 5, 0), "-"), "")</f>
        <v/>
      </c>
      <c r="L109" s="85">
        <f t="shared" ref="L109:N117" si="29">+IFERROR(IF(IFERROR(FIND("M",I109)&gt;0,FALSE),_xlfn.NUMBERVALUE(MID(I109,1,LEN(I109)-1)),MID(I109,1,LEN(I109)-1)*13),"")</f>
        <v>3</v>
      </c>
      <c r="M109" s="85">
        <f t="shared" si="29"/>
        <v>6</v>
      </c>
      <c r="N109" s="85" t="str">
        <f t="shared" si="29"/>
        <v/>
      </c>
      <c r="O109" t="str">
        <f>IF(D109&lt;&gt;"",IFERROR(VLOOKUP(D109,$W$89:$AD$111, 2, 0), "-"), "")</f>
        <v>3M-6M</v>
      </c>
      <c r="P109" s="88">
        <f>+E109</f>
        <v>0</v>
      </c>
      <c r="Q109" s="88">
        <f>+F109</f>
        <v>0</v>
      </c>
      <c r="R109" s="85">
        <f>+L109</f>
        <v>3</v>
      </c>
      <c r="S109" s="85">
        <f>+M109</f>
        <v>6</v>
      </c>
      <c r="W109" s="69" t="s">
        <v>434</v>
      </c>
      <c r="X109" s="1" t="s">
        <v>212</v>
      </c>
      <c r="Y109" s="1" t="str">
        <f t="shared" si="22"/>
        <v>2Y</v>
      </c>
      <c r="Z109" s="1" t="str">
        <f t="shared" si="23"/>
        <v>10Y</v>
      </c>
      <c r="AA109" s="1" t="str">
        <f t="shared" si="24"/>
        <v/>
      </c>
      <c r="AB109" s="1">
        <f t="shared" si="28"/>
        <v>26</v>
      </c>
      <c r="AC109" s="1">
        <f t="shared" si="28"/>
        <v>130</v>
      </c>
      <c r="AD109" s="1" t="str">
        <f t="shared" si="28"/>
        <v/>
      </c>
    </row>
    <row r="110" spans="1:30" ht="15">
      <c r="A110" s="70" t="s">
        <v>494</v>
      </c>
      <c r="B110" s="117" t="str">
        <f t="shared" si="20"/>
        <v xml:space="preserve">4Yx5Y                /             X    </v>
      </c>
      <c r="C110" s="87" t="str">
        <f t="shared" ref="C110:C114" si="30">+TRIM(MID(B105,1,8))</f>
        <v>6Mx9M</v>
      </c>
      <c r="D110" s="69" t="str">
        <f t="shared" ref="D110:D115" si="31">+C110</f>
        <v>6Mx9M</v>
      </c>
      <c r="E110" s="88">
        <f t="shared" ref="E110:E117" si="32">+IF(D110&lt;&gt;"",IFERROR(_xlfn.NUMBERVALUE(MID(B105,LEN(D110)+1,FIND("/",B105,8)-LEN(D110)-1)),0), "")</f>
        <v>0</v>
      </c>
      <c r="F110" s="86">
        <f t="shared" ref="F110:F117" si="33">+IF(D110&lt;&gt;"", IFERROR(_xlfn.NUMBERVALUE(MID(B105,FIND("/",B105,8)+1,8)),0), "")</f>
        <v>0</v>
      </c>
      <c r="G110" s="83">
        <f t="shared" ref="G110:G139" si="34">IF(D110&lt;&gt;"", 0, "")</f>
        <v>0</v>
      </c>
      <c r="H110" s="83" t="str">
        <f t="shared" ref="H110:H125" si="35">+IF(D110&lt;&gt;"", IF(IFERROR(FIND("x",D110)&gt;0,FALSE),"Spread","Fly"), "")</f>
        <v>Spread</v>
      </c>
      <c r="I110" s="83" t="str">
        <f t="shared" ref="I110:I125" si="36">IF(D110&lt;&gt;"",IFERROR(VLOOKUP(D110,$W$89:$AD$114, 3, 0), "-"), "")</f>
        <v>6M</v>
      </c>
      <c r="J110" s="83" t="str">
        <f t="shared" ref="J110:J125" si="37">IF(D110&lt;&gt;"",IFERROR(VLOOKUP(D110,$W$89:$AD$114, 4, 0), "-"), "")</f>
        <v>9M</v>
      </c>
      <c r="K110" s="83" t="str">
        <f t="shared" ref="K110:K125" si="38">IF(D110&lt;&gt;"",IFERROR(VLOOKUP(D110,$W$89:$AD$111, 5, 0), "-"), "")</f>
        <v/>
      </c>
      <c r="L110" s="85">
        <f t="shared" si="29"/>
        <v>6</v>
      </c>
      <c r="M110" s="85">
        <f t="shared" si="29"/>
        <v>9</v>
      </c>
      <c r="N110" s="85" t="str">
        <f t="shared" si="29"/>
        <v/>
      </c>
      <c r="O110" t="str">
        <f t="shared" ref="O110:O125" si="39">IF(D110&lt;&gt;"",IFERROR(VLOOKUP(D110,$W$89:$AD$111, 2, 0), "-"), "")</f>
        <v>6M-9M</v>
      </c>
      <c r="P110" s="88">
        <f t="shared" ref="P110:Q117" si="40">+E110</f>
        <v>0</v>
      </c>
      <c r="Q110" s="88">
        <f t="shared" si="40"/>
        <v>0</v>
      </c>
      <c r="R110" s="85">
        <f t="shared" ref="R110:S117" si="41">+L110</f>
        <v>6</v>
      </c>
      <c r="S110" s="85">
        <f t="shared" si="41"/>
        <v>9</v>
      </c>
      <c r="W110" s="69" t="s">
        <v>435</v>
      </c>
      <c r="X110" s="1" t="s">
        <v>436</v>
      </c>
      <c r="Y110" s="1" t="str">
        <f t="shared" si="22"/>
        <v>10Y</v>
      </c>
      <c r="Z110" s="1" t="str">
        <f t="shared" si="23"/>
        <v>12Y</v>
      </c>
      <c r="AA110" s="1" t="str">
        <f t="shared" si="24"/>
        <v>15Y</v>
      </c>
      <c r="AB110" s="1">
        <f t="shared" si="28"/>
        <v>130</v>
      </c>
      <c r="AC110" s="1">
        <f t="shared" si="28"/>
        <v>156</v>
      </c>
      <c r="AD110" s="1">
        <f t="shared" si="28"/>
        <v>195</v>
      </c>
    </row>
    <row r="111" spans="1:30" ht="15">
      <c r="A111" s="70" t="s">
        <v>496</v>
      </c>
      <c r="B111" s="117" t="str">
        <f t="shared" si="20"/>
        <v xml:space="preserve">2Yx5Y                /             X    </v>
      </c>
      <c r="C111" s="87" t="str">
        <f t="shared" si="30"/>
        <v>9Mx1Y</v>
      </c>
      <c r="D111" s="69" t="str">
        <f t="shared" si="31"/>
        <v>9Mx1Y</v>
      </c>
      <c r="E111" s="88">
        <f t="shared" si="32"/>
        <v>0</v>
      </c>
      <c r="F111" s="86">
        <f t="shared" si="33"/>
        <v>0</v>
      </c>
      <c r="G111" s="83">
        <f t="shared" si="34"/>
        <v>0</v>
      </c>
      <c r="H111" s="83" t="str">
        <f t="shared" si="35"/>
        <v>Spread</v>
      </c>
      <c r="I111" s="83" t="str">
        <f t="shared" si="36"/>
        <v>9M</v>
      </c>
      <c r="J111" s="83" t="str">
        <f t="shared" si="37"/>
        <v>1Y</v>
      </c>
      <c r="K111" s="83" t="str">
        <f t="shared" si="38"/>
        <v/>
      </c>
      <c r="L111" s="85">
        <f t="shared" si="29"/>
        <v>9</v>
      </c>
      <c r="M111" s="85">
        <f t="shared" si="29"/>
        <v>13</v>
      </c>
      <c r="N111" s="85" t="str">
        <f t="shared" si="29"/>
        <v/>
      </c>
      <c r="O111" t="str">
        <f t="shared" si="39"/>
        <v>9M-1Y</v>
      </c>
      <c r="P111" s="88">
        <f t="shared" si="40"/>
        <v>0</v>
      </c>
      <c r="Q111" s="88">
        <f t="shared" si="40"/>
        <v>0</v>
      </c>
      <c r="R111" s="85">
        <f t="shared" si="41"/>
        <v>9</v>
      </c>
      <c r="S111" s="85">
        <f t="shared" si="41"/>
        <v>13</v>
      </c>
    </row>
    <row r="112" spans="1:30" ht="15">
      <c r="A112" s="70" t="s">
        <v>495</v>
      </c>
      <c r="B112" s="117" t="str">
        <f>+MID(A112,1,$B$89)</f>
        <v xml:space="preserve">5Yx7Y                /             X    </v>
      </c>
      <c r="C112" s="87" t="str">
        <f t="shared" si="30"/>
        <v>1Yx2Y</v>
      </c>
      <c r="D112" s="69" t="str">
        <f t="shared" si="31"/>
        <v>1Yx2Y</v>
      </c>
      <c r="E112" s="88">
        <f t="shared" si="32"/>
        <v>0</v>
      </c>
      <c r="F112" s="86">
        <f t="shared" si="33"/>
        <v>0</v>
      </c>
      <c r="G112" s="83">
        <f t="shared" si="34"/>
        <v>0</v>
      </c>
      <c r="H112" s="83" t="str">
        <f t="shared" si="35"/>
        <v>Spread</v>
      </c>
      <c r="I112" s="83" t="str">
        <f t="shared" si="36"/>
        <v>1Y</v>
      </c>
      <c r="J112" s="83" t="str">
        <f t="shared" si="37"/>
        <v>2Y</v>
      </c>
      <c r="K112" s="83" t="str">
        <f t="shared" si="38"/>
        <v/>
      </c>
      <c r="L112" s="85">
        <f t="shared" si="29"/>
        <v>13</v>
      </c>
      <c r="M112" s="85">
        <f t="shared" si="29"/>
        <v>26</v>
      </c>
      <c r="N112" s="85" t="str">
        <f t="shared" si="29"/>
        <v/>
      </c>
      <c r="O112" t="str">
        <f t="shared" si="39"/>
        <v>1Y-2Y</v>
      </c>
      <c r="P112" s="88">
        <f t="shared" si="40"/>
        <v>0</v>
      </c>
      <c r="Q112" s="88">
        <f t="shared" si="40"/>
        <v>0</v>
      </c>
      <c r="R112" s="85">
        <f t="shared" si="41"/>
        <v>13</v>
      </c>
      <c r="S112" s="85">
        <f t="shared" si="41"/>
        <v>26</v>
      </c>
    </row>
    <row r="113" spans="1:19" ht="15">
      <c r="A113" t="s">
        <v>52</v>
      </c>
      <c r="B113" s="117" t="str">
        <f>+MID(A113,1,$B$89)</f>
        <v xml:space="preserve">                                        </v>
      </c>
      <c r="C113" s="87" t="str">
        <f t="shared" si="30"/>
        <v>2Yx3Y</v>
      </c>
      <c r="D113" s="69" t="str">
        <f t="shared" si="31"/>
        <v>2Yx3Y</v>
      </c>
      <c r="E113" s="88">
        <f t="shared" si="32"/>
        <v>0</v>
      </c>
      <c r="F113" s="86">
        <f t="shared" si="33"/>
        <v>0</v>
      </c>
      <c r="G113" s="83">
        <f t="shared" si="34"/>
        <v>0</v>
      </c>
      <c r="H113" s="83" t="str">
        <f t="shared" si="35"/>
        <v>Spread</v>
      </c>
      <c r="I113" s="83" t="str">
        <f t="shared" si="36"/>
        <v>2Y</v>
      </c>
      <c r="J113" s="83" t="str">
        <f t="shared" si="37"/>
        <v>3Y</v>
      </c>
      <c r="K113" s="83" t="str">
        <f t="shared" si="38"/>
        <v/>
      </c>
      <c r="L113" s="85">
        <f t="shared" si="29"/>
        <v>26</v>
      </c>
      <c r="M113" s="85">
        <f t="shared" si="29"/>
        <v>39</v>
      </c>
      <c r="N113" s="85" t="str">
        <f t="shared" si="29"/>
        <v/>
      </c>
      <c r="O113" t="str">
        <f t="shared" si="39"/>
        <v>2Y-3Y</v>
      </c>
      <c r="P113" s="88">
        <f t="shared" si="40"/>
        <v>0</v>
      </c>
      <c r="Q113" s="88">
        <f t="shared" si="40"/>
        <v>0</v>
      </c>
      <c r="R113" s="85">
        <f t="shared" si="41"/>
        <v>26</v>
      </c>
      <c r="S113" s="85">
        <f t="shared" si="41"/>
        <v>39</v>
      </c>
    </row>
    <row r="114" spans="1:19" ht="15">
      <c r="A114"/>
      <c r="B114" s="101" t="str">
        <f t="shared" ref="B114:B138" si="42">+MID(A90,$B$89+1,$B$89)</f>
        <v xml:space="preserve">3x1SOFR              /             X    </v>
      </c>
      <c r="C114" s="87" t="str">
        <f t="shared" si="30"/>
        <v>3Yx4Y</v>
      </c>
      <c r="D114" s="69" t="str">
        <f t="shared" si="31"/>
        <v>3Yx4Y</v>
      </c>
      <c r="E114" s="88">
        <f t="shared" si="32"/>
        <v>0</v>
      </c>
      <c r="F114" s="86">
        <f t="shared" si="33"/>
        <v>0</v>
      </c>
      <c r="G114" s="83">
        <f t="shared" si="34"/>
        <v>0</v>
      </c>
      <c r="H114" s="83" t="str">
        <f t="shared" si="35"/>
        <v>Spread</v>
      </c>
      <c r="I114" s="83" t="str">
        <f t="shared" si="36"/>
        <v>3Y</v>
      </c>
      <c r="J114" s="83" t="str">
        <f t="shared" si="37"/>
        <v>4Y</v>
      </c>
      <c r="K114" s="83" t="str">
        <f t="shared" si="38"/>
        <v/>
      </c>
      <c r="L114" s="85">
        <f t="shared" si="29"/>
        <v>39</v>
      </c>
      <c r="M114" s="85">
        <f t="shared" si="29"/>
        <v>52</v>
      </c>
      <c r="N114" s="85" t="str">
        <f t="shared" si="29"/>
        <v/>
      </c>
      <c r="O114" t="str">
        <f t="shared" si="39"/>
        <v>3Y-4Y</v>
      </c>
      <c r="P114" s="88">
        <f t="shared" si="40"/>
        <v>0</v>
      </c>
      <c r="Q114" s="88">
        <f t="shared" si="40"/>
        <v>0</v>
      </c>
      <c r="R114" s="85">
        <f t="shared" si="41"/>
        <v>39</v>
      </c>
      <c r="S114" s="85">
        <f t="shared" si="41"/>
        <v>52</v>
      </c>
    </row>
    <row r="115" spans="1:19" ht="15">
      <c r="A115"/>
      <c r="B115" s="101" t="str">
        <f t="shared" si="42"/>
        <v xml:space="preserve">6x1SOFR              /             X    </v>
      </c>
      <c r="C115" s="87" t="str">
        <f>+TRIM(MID(B110,1,8))</f>
        <v>4Yx5Y</v>
      </c>
      <c r="D115" s="69" t="str">
        <f t="shared" si="31"/>
        <v>4Yx5Y</v>
      </c>
      <c r="E115" s="88">
        <f t="shared" si="32"/>
        <v>0</v>
      </c>
      <c r="F115" s="86">
        <f t="shared" si="33"/>
        <v>0</v>
      </c>
      <c r="G115" s="83">
        <f t="shared" si="34"/>
        <v>0</v>
      </c>
      <c r="H115" s="83" t="str">
        <f t="shared" si="35"/>
        <v>Spread</v>
      </c>
      <c r="I115" s="83" t="str">
        <f t="shared" si="36"/>
        <v>4Y</v>
      </c>
      <c r="J115" s="83" t="str">
        <f t="shared" si="37"/>
        <v>5Y</v>
      </c>
      <c r="K115" s="83" t="str">
        <f t="shared" si="38"/>
        <v/>
      </c>
      <c r="L115" s="85">
        <f t="shared" si="29"/>
        <v>52</v>
      </c>
      <c r="M115" s="85">
        <f t="shared" si="29"/>
        <v>65</v>
      </c>
      <c r="N115" s="85" t="str">
        <f t="shared" si="29"/>
        <v/>
      </c>
      <c r="O115" t="str">
        <f t="shared" si="39"/>
        <v>4Y-5Y</v>
      </c>
      <c r="P115" s="88">
        <f t="shared" si="40"/>
        <v>0</v>
      </c>
      <c r="Q115" s="88">
        <f t="shared" si="40"/>
        <v>0</v>
      </c>
      <c r="R115" s="85">
        <f t="shared" si="41"/>
        <v>52</v>
      </c>
      <c r="S115" s="85">
        <f t="shared" si="41"/>
        <v>65</v>
      </c>
    </row>
    <row r="116" spans="1:19" ht="15">
      <c r="A116"/>
      <c r="B116" s="101" t="str">
        <f t="shared" si="42"/>
        <v xml:space="preserve">9x1SOFR              /             X    </v>
      </c>
      <c r="C116" s="87" t="str">
        <f>+TRIM(MID(B111,1,8))</f>
        <v>2Yx5Y</v>
      </c>
      <c r="D116" s="69" t="str">
        <f t="shared" ref="D116:D125" si="43">+C116</f>
        <v>2Yx5Y</v>
      </c>
      <c r="E116" s="88">
        <f t="shared" si="32"/>
        <v>0</v>
      </c>
      <c r="F116" s="86">
        <f t="shared" si="33"/>
        <v>0</v>
      </c>
      <c r="G116" s="83">
        <f t="shared" si="34"/>
        <v>0</v>
      </c>
      <c r="H116" s="83" t="str">
        <f t="shared" si="35"/>
        <v>Spread</v>
      </c>
      <c r="I116" s="83" t="str">
        <f t="shared" si="36"/>
        <v>2Y</v>
      </c>
      <c r="J116" s="83" t="str">
        <f t="shared" si="37"/>
        <v>5Y</v>
      </c>
      <c r="K116" s="83" t="str">
        <f t="shared" si="38"/>
        <v/>
      </c>
      <c r="L116" s="85">
        <f t="shared" si="29"/>
        <v>26</v>
      </c>
      <c r="M116" s="85">
        <f t="shared" si="29"/>
        <v>65</v>
      </c>
      <c r="N116" s="85" t="str">
        <f t="shared" si="29"/>
        <v/>
      </c>
      <c r="O116" t="str">
        <f t="shared" si="39"/>
        <v>2Y-5Y</v>
      </c>
      <c r="P116" s="88">
        <f t="shared" si="40"/>
        <v>0</v>
      </c>
      <c r="Q116" s="88">
        <f t="shared" si="40"/>
        <v>0</v>
      </c>
      <c r="R116" s="85">
        <f t="shared" si="41"/>
        <v>26</v>
      </c>
      <c r="S116" s="85">
        <f t="shared" si="41"/>
        <v>65</v>
      </c>
    </row>
    <row r="117" spans="1:19" ht="15">
      <c r="A117"/>
      <c r="B117" s="101" t="str">
        <f t="shared" si="42"/>
        <v xml:space="preserve">13x1SOFR             /             X    </v>
      </c>
      <c r="C117" s="87" t="str">
        <f>+TRIM(MID(B112,1,8))</f>
        <v>5Yx7Y</v>
      </c>
      <c r="D117" s="69" t="str">
        <f t="shared" si="43"/>
        <v>5Yx7Y</v>
      </c>
      <c r="E117" s="88">
        <f t="shared" si="32"/>
        <v>0</v>
      </c>
      <c r="F117" s="86">
        <f t="shared" si="33"/>
        <v>0</v>
      </c>
      <c r="G117" s="83">
        <f t="shared" si="34"/>
        <v>0</v>
      </c>
      <c r="H117" s="83" t="str">
        <f t="shared" si="35"/>
        <v>Spread</v>
      </c>
      <c r="I117" s="83" t="str">
        <f t="shared" si="36"/>
        <v>5Y</v>
      </c>
      <c r="J117" s="83" t="str">
        <f t="shared" si="37"/>
        <v>7Y</v>
      </c>
      <c r="K117" s="83" t="str">
        <f t="shared" si="38"/>
        <v/>
      </c>
      <c r="L117" s="85">
        <f t="shared" si="29"/>
        <v>65</v>
      </c>
      <c r="M117" s="85">
        <f t="shared" si="29"/>
        <v>91</v>
      </c>
      <c r="N117" s="85" t="str">
        <f t="shared" si="29"/>
        <v/>
      </c>
      <c r="O117" t="str">
        <f t="shared" si="39"/>
        <v>5Y-7Y</v>
      </c>
      <c r="P117" s="88">
        <f t="shared" si="40"/>
        <v>0</v>
      </c>
      <c r="Q117" s="88">
        <f t="shared" si="40"/>
        <v>0</v>
      </c>
      <c r="R117" s="85">
        <f t="shared" si="41"/>
        <v>65</v>
      </c>
      <c r="S117" s="85">
        <f t="shared" si="41"/>
        <v>91</v>
      </c>
    </row>
    <row r="118" spans="1:19" ht="15">
      <c r="A118"/>
      <c r="B118" s="101" t="str">
        <f t="shared" si="42"/>
        <v xml:space="preserve">26x1SOFR             /             X    </v>
      </c>
      <c r="C118" s="87" t="str">
        <f t="shared" ref="C118:C125" si="44">+TRIM(MID(B128,1,8))</f>
        <v>2Yx10Y</v>
      </c>
      <c r="D118" s="69" t="str">
        <f t="shared" si="43"/>
        <v>2Yx10Y</v>
      </c>
      <c r="E118" s="88">
        <f>+IF(D118&lt;&gt;"",IFERROR(_xlfn.NUMBERVALUE(MID(B128,LEN(D118)+1,FIND("/",B128,8)-LEN(D118)-1)),0), "")</f>
        <v>0</v>
      </c>
      <c r="F118" s="86">
        <f>+IF(D118&lt;&gt;"", IFERROR(_xlfn.NUMBERVALUE(MID(B128,FIND("/",B128,8)+1,8)),0), "")</f>
        <v>0</v>
      </c>
      <c r="G118" s="83">
        <f t="shared" si="34"/>
        <v>0</v>
      </c>
      <c r="H118" s="83" t="str">
        <f t="shared" si="35"/>
        <v>Spread</v>
      </c>
      <c r="I118" s="83" t="str">
        <f t="shared" si="36"/>
        <v>2Y</v>
      </c>
      <c r="J118" s="83" t="str">
        <f t="shared" si="37"/>
        <v>10Y</v>
      </c>
      <c r="K118" s="83" t="str">
        <f t="shared" si="38"/>
        <v/>
      </c>
      <c r="L118" s="85">
        <f t="shared" ref="L118:N125" si="45">+IFERROR(IF(IFERROR(FIND("M",I118)&gt;0,FALSE),_xlfn.NUMBERVALUE(MID(I118,1,LEN(I118)-1)),MID(I118,1,LEN(I118)-1)*13),"")</f>
        <v>26</v>
      </c>
      <c r="M118" s="85">
        <f t="shared" si="45"/>
        <v>130</v>
      </c>
      <c r="N118" s="85" t="str">
        <f t="shared" si="45"/>
        <v/>
      </c>
      <c r="O118" t="str">
        <f t="shared" si="39"/>
        <v>2Y-10Y</v>
      </c>
      <c r="P118" s="88">
        <f t="shared" ref="P118:Q125" si="46">+E118</f>
        <v>0</v>
      </c>
      <c r="Q118" s="88">
        <f t="shared" si="46"/>
        <v>0</v>
      </c>
      <c r="R118" s="85">
        <f t="shared" ref="R118:S125" si="47">+L118</f>
        <v>26</v>
      </c>
      <c r="S118" s="85">
        <f t="shared" si="47"/>
        <v>130</v>
      </c>
    </row>
    <row r="119" spans="1:19" ht="15">
      <c r="A119"/>
      <c r="B119" s="101" t="str">
        <f t="shared" si="42"/>
        <v xml:space="preserve">39x1SOFR             /             X    </v>
      </c>
      <c r="C119" s="87" t="str">
        <f t="shared" si="44"/>
        <v>5Yx10Y</v>
      </c>
      <c r="D119" s="69" t="str">
        <f t="shared" si="43"/>
        <v>5Yx10Y</v>
      </c>
      <c r="E119" s="88">
        <f t="shared" ref="E119:E139" si="48">+IF(D119&lt;&gt;"",IFERROR(_xlfn.NUMBERVALUE(MID(B129,LEN(D119)+1,FIND("/",B129,8)-LEN(D119)-1)),0), "")</f>
        <v>0</v>
      </c>
      <c r="F119" s="86">
        <f t="shared" ref="F119:F139" si="49">+IF(D119&lt;&gt;"", IFERROR(_xlfn.NUMBERVALUE(MID(B129,FIND("/",B114,8)+1,8)),0), "")</f>
        <v>0</v>
      </c>
      <c r="G119" s="83">
        <f t="shared" si="34"/>
        <v>0</v>
      </c>
      <c r="H119" s="83" t="str">
        <f t="shared" si="35"/>
        <v>Spread</v>
      </c>
      <c r="I119" s="83" t="str">
        <f t="shared" si="36"/>
        <v>5Y</v>
      </c>
      <c r="J119" s="83" t="str">
        <f t="shared" si="37"/>
        <v>10Y</v>
      </c>
      <c r="K119" s="83" t="str">
        <f t="shared" si="38"/>
        <v/>
      </c>
      <c r="L119" s="85">
        <f t="shared" si="45"/>
        <v>65</v>
      </c>
      <c r="M119" s="85">
        <f t="shared" si="45"/>
        <v>130</v>
      </c>
      <c r="N119" s="85" t="str">
        <f t="shared" si="45"/>
        <v/>
      </c>
      <c r="O119" t="str">
        <f t="shared" si="39"/>
        <v>5Y-10Y</v>
      </c>
      <c r="P119" s="88">
        <f t="shared" si="46"/>
        <v>0</v>
      </c>
      <c r="Q119" s="88">
        <f t="shared" si="46"/>
        <v>0</v>
      </c>
      <c r="R119" s="85">
        <f t="shared" si="47"/>
        <v>65</v>
      </c>
      <c r="S119" s="85">
        <f t="shared" si="47"/>
        <v>130</v>
      </c>
    </row>
    <row r="120" spans="1:19" ht="15">
      <c r="A120"/>
      <c r="B120" s="101" t="str">
        <f t="shared" si="42"/>
        <v xml:space="preserve">52x1SOFR             /             X    </v>
      </c>
      <c r="C120" s="87" t="str">
        <f t="shared" si="44"/>
        <v>7Yx10Y</v>
      </c>
      <c r="D120" s="69" t="str">
        <f t="shared" si="43"/>
        <v>7Yx10Y</v>
      </c>
      <c r="E120" s="88">
        <f t="shared" si="48"/>
        <v>0</v>
      </c>
      <c r="F120" s="86">
        <f t="shared" si="49"/>
        <v>0</v>
      </c>
      <c r="G120" s="83">
        <f t="shared" si="34"/>
        <v>0</v>
      </c>
      <c r="H120" s="83" t="str">
        <f t="shared" si="35"/>
        <v>Spread</v>
      </c>
      <c r="I120" s="83" t="str">
        <f t="shared" si="36"/>
        <v>7Y</v>
      </c>
      <c r="J120" s="83" t="str">
        <f t="shared" si="37"/>
        <v>10Y</v>
      </c>
      <c r="K120" s="83" t="str">
        <f t="shared" si="38"/>
        <v/>
      </c>
      <c r="L120" s="85">
        <f t="shared" si="45"/>
        <v>91</v>
      </c>
      <c r="M120" s="85">
        <f t="shared" si="45"/>
        <v>130</v>
      </c>
      <c r="N120" s="85" t="str">
        <f t="shared" si="45"/>
        <v/>
      </c>
      <c r="O120" t="str">
        <f t="shared" si="39"/>
        <v>7Y-10Y</v>
      </c>
      <c r="P120" s="88">
        <f t="shared" si="46"/>
        <v>0</v>
      </c>
      <c r="Q120" s="88">
        <f t="shared" si="46"/>
        <v>0</v>
      </c>
      <c r="R120" s="85">
        <f t="shared" si="47"/>
        <v>91</v>
      </c>
      <c r="S120" s="85">
        <f t="shared" si="47"/>
        <v>130</v>
      </c>
    </row>
    <row r="121" spans="1:19" ht="15">
      <c r="A121"/>
      <c r="B121" s="101" t="str">
        <f t="shared" si="42"/>
        <v xml:space="preserve">65x1SOFR             /             X    </v>
      </c>
      <c r="C121" s="87" t="str">
        <f>+TRIM(MID(B131,1,8))</f>
        <v>10/12/15</v>
      </c>
      <c r="D121" s="69" t="str">
        <f t="shared" si="43"/>
        <v>10/12/15</v>
      </c>
      <c r="E121" s="88">
        <f t="shared" si="48"/>
        <v>0</v>
      </c>
      <c r="F121" s="86">
        <f t="shared" si="49"/>
        <v>0</v>
      </c>
      <c r="G121" s="83">
        <f t="shared" si="34"/>
        <v>0</v>
      </c>
      <c r="H121" s="83" t="str">
        <f t="shared" si="35"/>
        <v>Fly</v>
      </c>
      <c r="I121" s="83" t="str">
        <f t="shared" si="36"/>
        <v>10Y</v>
      </c>
      <c r="J121" s="83" t="str">
        <f t="shared" si="37"/>
        <v>12Y</v>
      </c>
      <c r="K121" s="83" t="str">
        <f t="shared" si="38"/>
        <v>15Y</v>
      </c>
      <c r="L121" s="85">
        <f t="shared" si="45"/>
        <v>130</v>
      </c>
      <c r="M121" s="85">
        <f t="shared" si="45"/>
        <v>156</v>
      </c>
      <c r="N121" s="85">
        <f t="shared" si="45"/>
        <v>195</v>
      </c>
      <c r="O121" t="str">
        <f t="shared" si="39"/>
        <v>10Y-12Y-15Y</v>
      </c>
      <c r="P121" s="88">
        <f t="shared" si="46"/>
        <v>0</v>
      </c>
      <c r="Q121" s="88">
        <f t="shared" si="46"/>
        <v>0</v>
      </c>
      <c r="R121" s="85">
        <f t="shared" si="47"/>
        <v>130</v>
      </c>
      <c r="S121" s="85">
        <f t="shared" si="47"/>
        <v>156</v>
      </c>
    </row>
    <row r="122" spans="1:19" ht="15">
      <c r="A122"/>
      <c r="B122" s="101" t="str">
        <f t="shared" si="42"/>
        <v xml:space="preserve">91x1SOFR             /             X    </v>
      </c>
      <c r="C122" s="87" t="str">
        <f t="shared" si="44"/>
        <v>10Yx12Y</v>
      </c>
      <c r="D122" s="69" t="str">
        <f t="shared" si="43"/>
        <v>10Yx12Y</v>
      </c>
      <c r="E122" s="88">
        <f t="shared" si="48"/>
        <v>0</v>
      </c>
      <c r="F122" s="86">
        <f t="shared" si="49"/>
        <v>0</v>
      </c>
      <c r="G122" s="83">
        <f t="shared" si="34"/>
        <v>0</v>
      </c>
      <c r="H122" s="83" t="str">
        <f t="shared" si="35"/>
        <v>Spread</v>
      </c>
      <c r="I122" s="83" t="str">
        <f t="shared" si="36"/>
        <v>10Y</v>
      </c>
      <c r="J122" s="83" t="str">
        <f t="shared" si="37"/>
        <v>12Y</v>
      </c>
      <c r="K122" s="83" t="str">
        <f t="shared" si="38"/>
        <v/>
      </c>
      <c r="L122" s="85">
        <f t="shared" si="45"/>
        <v>130</v>
      </c>
      <c r="M122" s="85">
        <f t="shared" si="45"/>
        <v>156</v>
      </c>
      <c r="N122" s="85" t="str">
        <f t="shared" si="45"/>
        <v/>
      </c>
      <c r="O122" t="str">
        <f t="shared" si="39"/>
        <v>10Y-12Y</v>
      </c>
      <c r="P122" s="88">
        <f t="shared" si="46"/>
        <v>0</v>
      </c>
      <c r="Q122" s="88">
        <f t="shared" si="46"/>
        <v>0</v>
      </c>
      <c r="R122" s="85">
        <f t="shared" si="47"/>
        <v>130</v>
      </c>
      <c r="S122" s="85">
        <f t="shared" si="47"/>
        <v>156</v>
      </c>
    </row>
    <row r="123" spans="1:19" ht="15">
      <c r="A123"/>
      <c r="B123" s="101" t="str">
        <f t="shared" si="42"/>
        <v xml:space="preserve">130x1SOFR            /             X    </v>
      </c>
      <c r="C123" s="87" t="str">
        <f t="shared" si="44"/>
        <v>12Yx15Y</v>
      </c>
      <c r="D123" s="69" t="str">
        <f t="shared" si="43"/>
        <v>12Yx15Y</v>
      </c>
      <c r="E123" s="88">
        <f t="shared" si="48"/>
        <v>0</v>
      </c>
      <c r="F123" s="86">
        <f t="shared" si="49"/>
        <v>0</v>
      </c>
      <c r="G123" s="83">
        <f t="shared" si="34"/>
        <v>0</v>
      </c>
      <c r="H123" s="83" t="str">
        <f t="shared" si="35"/>
        <v>Spread</v>
      </c>
      <c r="I123" s="83" t="str">
        <f t="shared" si="36"/>
        <v>12Y</v>
      </c>
      <c r="J123" s="83" t="str">
        <f t="shared" si="37"/>
        <v>15Y</v>
      </c>
      <c r="K123" s="83" t="str">
        <f t="shared" si="38"/>
        <v/>
      </c>
      <c r="L123" s="85">
        <f t="shared" si="45"/>
        <v>156</v>
      </c>
      <c r="M123" s="85">
        <f t="shared" si="45"/>
        <v>195</v>
      </c>
      <c r="N123" s="85" t="str">
        <f t="shared" si="45"/>
        <v/>
      </c>
      <c r="O123" t="str">
        <f t="shared" si="39"/>
        <v>12Y-15Y</v>
      </c>
      <c r="P123" s="88">
        <f t="shared" si="46"/>
        <v>0</v>
      </c>
      <c r="Q123" s="88">
        <f t="shared" si="46"/>
        <v>0</v>
      </c>
      <c r="R123" s="85">
        <f t="shared" si="47"/>
        <v>156</v>
      </c>
      <c r="S123" s="85">
        <f t="shared" si="47"/>
        <v>195</v>
      </c>
    </row>
    <row r="124" spans="1:19" ht="15">
      <c r="A124"/>
      <c r="B124" s="101" t="str">
        <f t="shared" si="42"/>
        <v xml:space="preserve">156x1SOFR            /             X    </v>
      </c>
      <c r="C124" s="87" t="str">
        <f t="shared" si="44"/>
        <v>10Yx15Y</v>
      </c>
      <c r="D124" s="69" t="str">
        <f t="shared" si="43"/>
        <v>10Yx15Y</v>
      </c>
      <c r="E124" s="88">
        <f t="shared" si="48"/>
        <v>0</v>
      </c>
      <c r="F124" s="86">
        <f t="shared" si="49"/>
        <v>0</v>
      </c>
      <c r="G124" s="83">
        <f t="shared" si="34"/>
        <v>0</v>
      </c>
      <c r="H124" s="83" t="str">
        <f t="shared" si="35"/>
        <v>Spread</v>
      </c>
      <c r="I124" s="83" t="str">
        <f t="shared" si="36"/>
        <v>10Y</v>
      </c>
      <c r="J124" s="83" t="str">
        <f t="shared" si="37"/>
        <v>15Y</v>
      </c>
      <c r="K124" s="83" t="str">
        <f t="shared" si="38"/>
        <v/>
      </c>
      <c r="L124" s="85">
        <f t="shared" si="45"/>
        <v>130</v>
      </c>
      <c r="M124" s="85">
        <f t="shared" si="45"/>
        <v>195</v>
      </c>
      <c r="N124" s="85" t="str">
        <f t="shared" si="45"/>
        <v/>
      </c>
      <c r="O124" t="str">
        <f t="shared" si="39"/>
        <v>10Y-15Y</v>
      </c>
      <c r="P124" s="88">
        <f t="shared" si="46"/>
        <v>0</v>
      </c>
      <c r="Q124" s="88">
        <f t="shared" si="46"/>
        <v>0</v>
      </c>
      <c r="R124" s="85">
        <f t="shared" si="47"/>
        <v>130</v>
      </c>
      <c r="S124" s="85">
        <f t="shared" si="47"/>
        <v>195</v>
      </c>
    </row>
    <row r="125" spans="1:19" ht="15">
      <c r="A125"/>
      <c r="B125" s="101" t="str">
        <f t="shared" si="42"/>
        <v xml:space="preserve">195x1SOFR            /             X    </v>
      </c>
      <c r="C125" s="87" t="str">
        <f t="shared" si="44"/>
        <v>10Yx20Y</v>
      </c>
      <c r="D125" s="69" t="str">
        <f t="shared" si="43"/>
        <v>10Yx20Y</v>
      </c>
      <c r="E125" s="88">
        <f t="shared" si="48"/>
        <v>0</v>
      </c>
      <c r="F125" s="86">
        <f t="shared" si="49"/>
        <v>0</v>
      </c>
      <c r="G125" s="83">
        <f t="shared" si="34"/>
        <v>0</v>
      </c>
      <c r="H125" s="83" t="str">
        <f t="shared" si="35"/>
        <v>Spread</v>
      </c>
      <c r="I125" s="83" t="str">
        <f t="shared" si="36"/>
        <v>10Y</v>
      </c>
      <c r="J125" s="83" t="str">
        <f t="shared" si="37"/>
        <v>20Y</v>
      </c>
      <c r="K125" s="83" t="str">
        <f t="shared" si="38"/>
        <v/>
      </c>
      <c r="L125" s="85">
        <f t="shared" si="45"/>
        <v>130</v>
      </c>
      <c r="M125" s="85">
        <f t="shared" si="45"/>
        <v>260</v>
      </c>
      <c r="N125" s="85" t="str">
        <f t="shared" si="45"/>
        <v/>
      </c>
      <c r="O125" t="str">
        <f t="shared" si="39"/>
        <v>10Y-20Y</v>
      </c>
      <c r="P125" s="88">
        <f t="shared" si="46"/>
        <v>0</v>
      </c>
      <c r="Q125" s="88">
        <f t="shared" si="46"/>
        <v>0</v>
      </c>
      <c r="R125" s="85">
        <f t="shared" si="47"/>
        <v>130</v>
      </c>
      <c r="S125" s="85">
        <f t="shared" si="47"/>
        <v>260</v>
      </c>
    </row>
    <row r="126" spans="1:19" ht="15">
      <c r="A126"/>
      <c r="B126" s="101" t="str">
        <f t="shared" si="42"/>
        <v xml:space="preserve">260x1SOFR            /             X    </v>
      </c>
      <c r="C126" s="87" t="str">
        <f t="shared" ref="C126:C130" si="50">+TRIM(MID(B136,1,8))</f>
        <v>20Yx30Y</v>
      </c>
      <c r="D126" s="69" t="str">
        <f t="shared" ref="D126:D130" si="51">+C126</f>
        <v>20Yx30Y</v>
      </c>
      <c r="E126" s="88">
        <f t="shared" si="48"/>
        <v>0</v>
      </c>
      <c r="F126" s="86">
        <f t="shared" si="49"/>
        <v>0</v>
      </c>
      <c r="G126" s="83">
        <f t="shared" ref="G126:G130" si="52">IF(D126&lt;&gt;"", 0, "")</f>
        <v>0</v>
      </c>
      <c r="H126" s="83" t="str">
        <f t="shared" ref="H126:H130" si="53">+IF(D126&lt;&gt;"", IF(IFERROR(FIND("x",D126)&gt;0,FALSE),"Spread","Fly"), "")</f>
        <v>Spread</v>
      </c>
      <c r="I126" s="83" t="str">
        <f t="shared" ref="I126:I130" si="54">IF(D126&lt;&gt;"",IFERROR(VLOOKUP(D126,$W$89:$AD$114, 3, 0), "-"), "")</f>
        <v>20Y</v>
      </c>
      <c r="J126" s="83" t="str">
        <f t="shared" ref="J126:J130" si="55">IF(D126&lt;&gt;"",IFERROR(VLOOKUP(D126,$W$89:$AD$114, 4, 0), "-"), "")</f>
        <v>30Y</v>
      </c>
      <c r="K126" s="83" t="str">
        <f t="shared" ref="K126:K130" si="56">IF(D126&lt;&gt;"",IFERROR(VLOOKUP(D126,$W$89:$AD$111, 5, 0), "-"), "")</f>
        <v/>
      </c>
      <c r="L126" s="85">
        <f t="shared" ref="L126:L130" si="57">+IFERROR(IF(IFERROR(FIND("M",I126)&gt;0,FALSE),_xlfn.NUMBERVALUE(MID(I126,1,LEN(I126)-1)),MID(I126,1,LEN(I126)-1)*13),"")</f>
        <v>260</v>
      </c>
      <c r="M126" s="85">
        <f t="shared" ref="M126:M130" si="58">+IFERROR(IF(IFERROR(FIND("M",J126)&gt;0,FALSE),_xlfn.NUMBERVALUE(MID(J126,1,LEN(J126)-1)),MID(J126,1,LEN(J126)-1)*13),"")</f>
        <v>390</v>
      </c>
      <c r="N126" s="85" t="str">
        <f t="shared" ref="N126:N130" si="59">+IFERROR(IF(IFERROR(FIND("M",K126)&gt;0,FALSE),_xlfn.NUMBERVALUE(MID(K126,1,LEN(K126)-1)),MID(K126,1,LEN(K126)-1)*13),"")</f>
        <v/>
      </c>
      <c r="O126" t="str">
        <f t="shared" ref="O126:O130" si="60">IF(D126&lt;&gt;"",IFERROR(VLOOKUP(D126,$W$89:$AD$111, 2, 0), "-"), "")</f>
        <v>20Y-30Y</v>
      </c>
      <c r="P126" s="88">
        <f t="shared" ref="P126:P130" si="61">+E126</f>
        <v>0</v>
      </c>
      <c r="Q126" s="88">
        <f t="shared" ref="Q126:Q130" si="62">+F126</f>
        <v>0</v>
      </c>
      <c r="R126" s="85">
        <f t="shared" ref="R126:R130" si="63">+L126</f>
        <v>260</v>
      </c>
      <c r="S126" s="85">
        <f t="shared" ref="S126:S130" si="64">+M126</f>
        <v>390</v>
      </c>
    </row>
    <row r="127" spans="1:19" ht="15">
      <c r="A127"/>
      <c r="B127" s="101" t="str">
        <f t="shared" si="42"/>
        <v xml:space="preserve">TIIE SPREADS                            </v>
      </c>
      <c r="C127" s="87" t="str">
        <f t="shared" si="50"/>
        <v/>
      </c>
      <c r="D127" s="69" t="str">
        <f t="shared" si="51"/>
        <v/>
      </c>
      <c r="E127" s="88" t="str">
        <f t="shared" si="48"/>
        <v/>
      </c>
      <c r="F127" s="86" t="str">
        <f t="shared" si="49"/>
        <v/>
      </c>
      <c r="G127" s="83" t="str">
        <f t="shared" si="52"/>
        <v/>
      </c>
      <c r="H127" s="83" t="str">
        <f t="shared" si="53"/>
        <v/>
      </c>
      <c r="I127" s="83" t="str">
        <f t="shared" si="54"/>
        <v/>
      </c>
      <c r="J127" s="83" t="str">
        <f t="shared" si="55"/>
        <v/>
      </c>
      <c r="K127" s="83" t="str">
        <f t="shared" si="56"/>
        <v/>
      </c>
      <c r="L127" s="85" t="str">
        <f t="shared" si="57"/>
        <v/>
      </c>
      <c r="M127" s="85" t="str">
        <f t="shared" si="58"/>
        <v/>
      </c>
      <c r="N127" s="85" t="str">
        <f t="shared" si="59"/>
        <v/>
      </c>
      <c r="O127" t="str">
        <f t="shared" si="60"/>
        <v/>
      </c>
      <c r="P127" s="88" t="str">
        <f t="shared" si="61"/>
        <v/>
      </c>
      <c r="Q127" s="88" t="str">
        <f t="shared" si="62"/>
        <v/>
      </c>
      <c r="R127" s="85" t="str">
        <f t="shared" si="63"/>
        <v/>
      </c>
      <c r="S127" s="85" t="str">
        <f t="shared" si="64"/>
        <v/>
      </c>
    </row>
    <row r="128" spans="1:19" ht="15">
      <c r="A128"/>
      <c r="B128" s="101" t="str">
        <f t="shared" si="42"/>
        <v xml:space="preserve">2Yx10Y               /             X    </v>
      </c>
      <c r="C128" s="87" t="str">
        <f t="shared" si="50"/>
        <v/>
      </c>
      <c r="D128" s="69" t="str">
        <f t="shared" si="51"/>
        <v/>
      </c>
      <c r="E128" s="88" t="str">
        <f t="shared" si="48"/>
        <v/>
      </c>
      <c r="F128" s="86" t="str">
        <f t="shared" si="49"/>
        <v/>
      </c>
      <c r="G128" s="83" t="str">
        <f t="shared" si="52"/>
        <v/>
      </c>
      <c r="H128" s="83" t="str">
        <f t="shared" si="53"/>
        <v/>
      </c>
      <c r="I128" s="83" t="str">
        <f t="shared" si="54"/>
        <v/>
      </c>
      <c r="J128" s="83" t="str">
        <f t="shared" si="55"/>
        <v/>
      </c>
      <c r="K128" s="83" t="str">
        <f t="shared" si="56"/>
        <v/>
      </c>
      <c r="L128" s="85" t="str">
        <f t="shared" si="57"/>
        <v/>
      </c>
      <c r="M128" s="85" t="str">
        <f t="shared" si="58"/>
        <v/>
      </c>
      <c r="N128" s="85" t="str">
        <f t="shared" si="59"/>
        <v/>
      </c>
      <c r="O128" t="str">
        <f t="shared" si="60"/>
        <v/>
      </c>
      <c r="P128" s="88" t="str">
        <f t="shared" si="61"/>
        <v/>
      </c>
      <c r="Q128" s="88" t="str">
        <f t="shared" si="62"/>
        <v/>
      </c>
      <c r="R128" s="85" t="str">
        <f t="shared" si="63"/>
        <v/>
      </c>
      <c r="S128" s="85" t="str">
        <f t="shared" si="64"/>
        <v/>
      </c>
    </row>
    <row r="129" spans="1:19" ht="15">
      <c r="A129"/>
      <c r="B129" s="101" t="str">
        <f t="shared" si="42"/>
        <v xml:space="preserve">5Yx10Y               /             X    </v>
      </c>
      <c r="C129" s="87" t="str">
        <f t="shared" si="50"/>
        <v/>
      </c>
      <c r="D129" s="69" t="str">
        <f t="shared" si="51"/>
        <v/>
      </c>
      <c r="E129" s="88" t="str">
        <f t="shared" si="48"/>
        <v/>
      </c>
      <c r="F129" s="86" t="str">
        <f t="shared" si="49"/>
        <v/>
      </c>
      <c r="G129" s="83" t="str">
        <f t="shared" si="52"/>
        <v/>
      </c>
      <c r="H129" s="83" t="str">
        <f t="shared" si="53"/>
        <v/>
      </c>
      <c r="I129" s="83" t="str">
        <f t="shared" si="54"/>
        <v/>
      </c>
      <c r="J129" s="83" t="str">
        <f t="shared" si="55"/>
        <v/>
      </c>
      <c r="K129" s="83" t="str">
        <f t="shared" si="56"/>
        <v/>
      </c>
      <c r="L129" s="85" t="str">
        <f t="shared" si="57"/>
        <v/>
      </c>
      <c r="M129" s="85" t="str">
        <f t="shared" si="58"/>
        <v/>
      </c>
      <c r="N129" s="85" t="str">
        <f t="shared" si="59"/>
        <v/>
      </c>
      <c r="O129" t="str">
        <f t="shared" si="60"/>
        <v/>
      </c>
      <c r="P129" s="88" t="str">
        <f t="shared" si="61"/>
        <v/>
      </c>
      <c r="Q129" s="88" t="str">
        <f t="shared" si="62"/>
        <v/>
      </c>
      <c r="R129" s="85" t="str">
        <f t="shared" si="63"/>
        <v/>
      </c>
      <c r="S129" s="85" t="str">
        <f t="shared" si="64"/>
        <v/>
      </c>
    </row>
    <row r="130" spans="1:19" ht="15">
      <c r="A130"/>
      <c r="B130" s="101" t="str">
        <f t="shared" si="42"/>
        <v xml:space="preserve">7Yx10Y               /             X    </v>
      </c>
      <c r="C130" s="87" t="str">
        <f t="shared" si="50"/>
        <v/>
      </c>
      <c r="D130" s="69" t="str">
        <f t="shared" si="51"/>
        <v/>
      </c>
      <c r="E130" s="88" t="str">
        <f t="shared" si="48"/>
        <v/>
      </c>
      <c r="F130" s="86" t="str">
        <f t="shared" si="49"/>
        <v/>
      </c>
      <c r="G130" s="83" t="str">
        <f t="shared" si="52"/>
        <v/>
      </c>
      <c r="H130" s="83" t="str">
        <f t="shared" si="53"/>
        <v/>
      </c>
      <c r="I130" s="83" t="str">
        <f t="shared" si="54"/>
        <v/>
      </c>
      <c r="J130" s="83" t="str">
        <f t="shared" si="55"/>
        <v/>
      </c>
      <c r="K130" s="83" t="str">
        <f t="shared" si="56"/>
        <v/>
      </c>
      <c r="L130" s="85" t="str">
        <f t="shared" si="57"/>
        <v/>
      </c>
      <c r="M130" s="85" t="str">
        <f t="shared" si="58"/>
        <v/>
      </c>
      <c r="N130" s="85" t="str">
        <f t="shared" si="59"/>
        <v/>
      </c>
      <c r="O130" t="str">
        <f t="shared" si="60"/>
        <v/>
      </c>
      <c r="P130" s="88" t="str">
        <f t="shared" si="61"/>
        <v/>
      </c>
      <c r="Q130" s="88" t="str">
        <f t="shared" si="62"/>
        <v/>
      </c>
      <c r="R130" s="85" t="str">
        <f t="shared" si="63"/>
        <v/>
      </c>
      <c r="S130" s="85" t="str">
        <f t="shared" si="64"/>
        <v/>
      </c>
    </row>
    <row r="131" spans="1:19" ht="15">
      <c r="A131"/>
      <c r="B131" s="101" t="str">
        <f t="shared" si="42"/>
        <v xml:space="preserve">10/12/15             /             X    </v>
      </c>
      <c r="C131" s="87" t="str">
        <f t="shared" ref="C131:C139" si="65">+TRIM(MID(B141,1,8))</f>
        <v/>
      </c>
      <c r="D131" s="69" t="str">
        <f t="shared" ref="D131:D139" si="66">+C131</f>
        <v/>
      </c>
      <c r="E131" s="88" t="str">
        <f t="shared" si="48"/>
        <v/>
      </c>
      <c r="F131" s="86" t="str">
        <f t="shared" si="49"/>
        <v/>
      </c>
      <c r="G131" s="83" t="str">
        <f t="shared" si="34"/>
        <v/>
      </c>
      <c r="H131" s="83"/>
      <c r="I131" s="83"/>
      <c r="J131" s="83"/>
      <c r="K131" s="83"/>
      <c r="L131" s="85" t="str">
        <f>+IFERROR(IF(IFERROR(FIND("M",I131)&gt;0,FALSE),_xlfn.NUMBERVALUE(MID(I131,1,LEN(I131)-1)),MID(I131,1,LEN(I131)-1)*13),"")</f>
        <v/>
      </c>
      <c r="M131" s="85" t="str">
        <f>+IFERROR(IF(IFERROR(FIND("M",J131)&gt;0,FALSE),_xlfn.NUMBERVALUE(MID(J131,1,LEN(J131)-1)),MID(J131,1,LEN(J131)-1)*13),"")</f>
        <v/>
      </c>
      <c r="N131" s="85" t="str">
        <f>+IFERROR(IF(IFERROR(FIND("M",K131)&gt;0,FALSE),_xlfn.NUMBERVALUE(MID(K131,1,LEN(K131)-1)),MID(K131,1,LEN(K131)-1)*13),"")</f>
        <v/>
      </c>
      <c r="O131"/>
      <c r="P131" s="88"/>
      <c r="Q131" s="88"/>
      <c r="R131" s="85"/>
      <c r="S131" s="85"/>
    </row>
    <row r="132" spans="1:19" ht="15">
      <c r="A132"/>
      <c r="B132" s="101" t="str">
        <f t="shared" si="42"/>
        <v xml:space="preserve">10Yx12Y              /             X    </v>
      </c>
      <c r="C132" s="87" t="str">
        <f t="shared" si="65"/>
        <v/>
      </c>
      <c r="D132" s="69" t="str">
        <f t="shared" si="66"/>
        <v/>
      </c>
      <c r="E132" s="88" t="str">
        <f t="shared" si="48"/>
        <v/>
      </c>
      <c r="F132" s="86" t="str">
        <f t="shared" si="49"/>
        <v/>
      </c>
      <c r="G132" s="83" t="str">
        <f t="shared" si="34"/>
        <v/>
      </c>
      <c r="H132"/>
      <c r="I132"/>
      <c r="J132"/>
      <c r="K132"/>
      <c r="L132"/>
      <c r="M132"/>
      <c r="N132"/>
      <c r="O132"/>
      <c r="P132" s="88"/>
      <c r="Q132" s="88"/>
      <c r="R132" s="85"/>
      <c r="S132" s="85"/>
    </row>
    <row r="133" spans="1:19" ht="15">
      <c r="A133"/>
      <c r="B133" s="101" t="str">
        <f t="shared" si="42"/>
        <v xml:space="preserve">12Yx15Y              /             X    </v>
      </c>
      <c r="C133" s="87" t="str">
        <f t="shared" si="65"/>
        <v/>
      </c>
      <c r="D133" s="69" t="str">
        <f t="shared" si="66"/>
        <v/>
      </c>
      <c r="E133" s="88" t="str">
        <f t="shared" si="48"/>
        <v/>
      </c>
      <c r="F133" s="86" t="str">
        <f t="shared" si="49"/>
        <v/>
      </c>
      <c r="G133" s="83" t="str">
        <f t="shared" si="34"/>
        <v/>
      </c>
      <c r="H133"/>
      <c r="I133"/>
      <c r="J133"/>
      <c r="K133"/>
      <c r="L133"/>
      <c r="M133"/>
      <c r="N133"/>
      <c r="O133"/>
      <c r="P133" s="88"/>
      <c r="Q133" s="88"/>
      <c r="R133" s="85"/>
      <c r="S133" s="85"/>
    </row>
    <row r="134" spans="1:19" ht="15">
      <c r="A134"/>
      <c r="B134" s="101" t="str">
        <f t="shared" si="42"/>
        <v xml:space="preserve">10Yx15Y              /             X    </v>
      </c>
      <c r="C134" s="87" t="str">
        <f t="shared" si="65"/>
        <v/>
      </c>
      <c r="D134" s="69" t="str">
        <f t="shared" si="66"/>
        <v/>
      </c>
      <c r="E134" s="88" t="str">
        <f t="shared" si="48"/>
        <v/>
      </c>
      <c r="F134" s="86" t="str">
        <f t="shared" si="49"/>
        <v/>
      </c>
      <c r="G134" s="83" t="str">
        <f t="shared" si="34"/>
        <v/>
      </c>
      <c r="H134"/>
      <c r="I134"/>
      <c r="J134"/>
      <c r="K134"/>
      <c r="L134"/>
      <c r="M134"/>
      <c r="N134"/>
      <c r="O134"/>
      <c r="P134" s="88"/>
      <c r="Q134" s="88"/>
      <c r="R134" s="85"/>
      <c r="S134" s="85"/>
    </row>
    <row r="135" spans="1:19" ht="15">
      <c r="A135"/>
      <c r="B135" s="101" t="str">
        <f t="shared" si="42"/>
        <v xml:space="preserve">10Yx20Y              /             X    </v>
      </c>
      <c r="C135" s="87" t="str">
        <f t="shared" si="65"/>
        <v/>
      </c>
      <c r="D135" s="69" t="str">
        <f t="shared" si="66"/>
        <v/>
      </c>
      <c r="E135" s="88" t="str">
        <f t="shared" si="48"/>
        <v/>
      </c>
      <c r="F135" s="86" t="str">
        <f t="shared" si="49"/>
        <v/>
      </c>
      <c r="G135" s="83" t="str">
        <f t="shared" si="34"/>
        <v/>
      </c>
      <c r="H135"/>
      <c r="I135"/>
      <c r="J135"/>
      <c r="K135"/>
      <c r="L135"/>
      <c r="M135"/>
      <c r="N135"/>
      <c r="O135"/>
      <c r="P135" s="88"/>
      <c r="Q135" s="88"/>
      <c r="R135" s="85"/>
      <c r="S135" s="85"/>
    </row>
    <row r="136" spans="1:19" ht="15">
      <c r="B136" s="101" t="str">
        <f t="shared" si="42"/>
        <v xml:space="preserve">20Yx30Y              /             X    </v>
      </c>
      <c r="C136" s="87" t="str">
        <f t="shared" si="65"/>
        <v/>
      </c>
      <c r="D136" s="69" t="str">
        <f t="shared" si="66"/>
        <v/>
      </c>
      <c r="E136" s="88" t="str">
        <f t="shared" si="48"/>
        <v/>
      </c>
      <c r="F136" s="86" t="str">
        <f t="shared" si="49"/>
        <v/>
      </c>
      <c r="G136" s="83" t="str">
        <f t="shared" si="34"/>
        <v/>
      </c>
      <c r="H136"/>
      <c r="I136"/>
      <c r="J136"/>
      <c r="K136"/>
      <c r="L136"/>
      <c r="M136"/>
      <c r="N136"/>
      <c r="O136"/>
      <c r="P136" s="88"/>
      <c r="Q136" s="88"/>
      <c r="R136" s="85"/>
      <c r="S136" s="85"/>
    </row>
    <row r="137" spans="1:19" ht="15">
      <c r="B137" s="101" t="str">
        <f t="shared" si="42"/>
        <v xml:space="preserve">                                        </v>
      </c>
      <c r="C137" s="87" t="str">
        <f t="shared" si="65"/>
        <v/>
      </c>
      <c r="D137" s="69" t="str">
        <f t="shared" si="66"/>
        <v/>
      </c>
      <c r="E137" s="88" t="str">
        <f t="shared" si="48"/>
        <v/>
      </c>
      <c r="F137" s="86" t="str">
        <f t="shared" si="49"/>
        <v/>
      </c>
      <c r="G137" s="83" t="str">
        <f t="shared" si="34"/>
        <v/>
      </c>
    </row>
    <row r="138" spans="1:19" ht="15">
      <c r="B138" s="101" t="str">
        <f t="shared" si="42"/>
        <v/>
      </c>
      <c r="C138" s="87" t="str">
        <f t="shared" si="65"/>
        <v/>
      </c>
      <c r="D138" s="69" t="str">
        <f t="shared" si="66"/>
        <v/>
      </c>
      <c r="E138" s="88" t="str">
        <f t="shared" si="48"/>
        <v/>
      </c>
      <c r="F138" s="86" t="str">
        <f t="shared" si="49"/>
        <v/>
      </c>
      <c r="G138" s="83" t="str">
        <f t="shared" si="34"/>
        <v/>
      </c>
    </row>
    <row r="139" spans="1:19" ht="15">
      <c r="B139" s="101"/>
      <c r="C139" s="87" t="str">
        <f t="shared" si="65"/>
        <v/>
      </c>
      <c r="D139" s="69" t="str">
        <f t="shared" si="66"/>
        <v/>
      </c>
      <c r="E139" s="88" t="str">
        <f t="shared" si="48"/>
        <v/>
      </c>
      <c r="F139" s="86" t="str">
        <f t="shared" si="49"/>
        <v/>
      </c>
      <c r="G139" s="83" t="str">
        <f t="shared" si="34"/>
        <v/>
      </c>
    </row>
    <row r="140" spans="1:19">
      <c r="B140" s="101"/>
    </row>
    <row r="141" spans="1:19">
      <c r="B141" s="101"/>
    </row>
    <row r="142" spans="1:19">
      <c r="B142" s="101"/>
    </row>
    <row r="143" spans="1:19">
      <c r="B143" s="101"/>
    </row>
    <row r="144" spans="1:19">
      <c r="B144" s="101"/>
    </row>
    <row r="145" spans="1:6">
      <c r="B145" s="101"/>
    </row>
    <row r="146" spans="1:6">
      <c r="B146" s="101"/>
    </row>
    <row r="147" spans="1:6">
      <c r="B147" s="101"/>
    </row>
    <row r="148" spans="1:6">
      <c r="B148" s="101"/>
    </row>
    <row r="149" spans="1:6">
      <c r="B149" s="101"/>
    </row>
    <row r="153" spans="1:6">
      <c r="B153" s="2">
        <v>4</v>
      </c>
      <c r="D153" s="2">
        <f>+FIND("TCpa",A155)-2</f>
        <v>46</v>
      </c>
      <c r="E153" s="2">
        <f>+FIND("TVta",A155)-2</f>
        <v>53</v>
      </c>
    </row>
    <row r="154" spans="1:6" ht="15">
      <c r="A154" s="69" t="s">
        <v>113</v>
      </c>
    </row>
    <row r="155" spans="1:6" ht="15">
      <c r="A155" s="70" t="s">
        <v>104</v>
      </c>
      <c r="B155" s="2" t="s">
        <v>114</v>
      </c>
      <c r="C155" s="23" t="s">
        <v>55</v>
      </c>
      <c r="D155" s="25" t="s">
        <v>29</v>
      </c>
      <c r="E155" s="26" t="s">
        <v>30</v>
      </c>
      <c r="F155" s="24" t="s">
        <v>58</v>
      </c>
    </row>
    <row r="156" spans="1:6" ht="15">
      <c r="A156" s="70" t="s">
        <v>115</v>
      </c>
      <c r="B156" s="2" t="str">
        <f>+MID(A156,$B$153,6)</f>
        <v xml:space="preserve"> 27   </v>
      </c>
      <c r="C156" s="38" t="str">
        <f t="shared" ref="C156:C179" si="67">+CONCATENATE(B156,$B$155)</f>
        <v xml:space="preserve"> 27   d</v>
      </c>
      <c r="D156" s="33" t="str">
        <f>+IFERROR(VALUE(MID(A156,$D$153,6)),"")</f>
        <v/>
      </c>
      <c r="E156" s="34" t="str">
        <f>+IFERROR(VALUE(MID(A156,$E$153,5)),"")</f>
        <v/>
      </c>
      <c r="F156" s="30">
        <f>+IFERROR(VALUE(MID(TRIM(A156),LEN(TRIM(A156))-6,6)),"")</f>
        <v>11.15</v>
      </c>
    </row>
    <row r="157" spans="1:6" ht="15">
      <c r="A157" s="70" t="s">
        <v>116</v>
      </c>
      <c r="B157" s="2" t="str">
        <f t="shared" ref="B157:B179" si="68">+MID(A157,$B$153,6)</f>
        <v xml:space="preserve"> 48   </v>
      </c>
      <c r="C157" s="38" t="str">
        <f t="shared" si="67"/>
        <v xml:space="preserve"> 48   d</v>
      </c>
      <c r="D157" s="33" t="str">
        <f t="shared" ref="D157:D179" si="69">+IFERROR(VALUE(MID(A157,$D$153,6)),"")</f>
        <v/>
      </c>
      <c r="E157" s="34" t="str">
        <f t="shared" ref="E157:E179" si="70">+IFERROR(VALUE(MID(A157,$E$153,5)),"")</f>
        <v/>
      </c>
      <c r="F157" s="30">
        <f t="shared" ref="F157:F179" si="71">+IFERROR(VALUE(MID(TRIM(A157),LEN(TRIM(A157))-6,6)),"")</f>
        <v>11.35</v>
      </c>
    </row>
    <row r="158" spans="1:6" ht="15">
      <c r="A158" s="70" t="s">
        <v>117</v>
      </c>
      <c r="B158" s="2" t="str">
        <f t="shared" si="68"/>
        <v xml:space="preserve"> 76   </v>
      </c>
      <c r="C158" s="38" t="str">
        <f t="shared" si="67"/>
        <v xml:space="preserve"> 76   d</v>
      </c>
      <c r="D158" s="33" t="str">
        <f t="shared" si="69"/>
        <v/>
      </c>
      <c r="E158" s="34" t="str">
        <f>+IFERROR(VALUE(MID(A158,$E$153,5)),"")</f>
        <v/>
      </c>
      <c r="F158" s="30">
        <f t="shared" si="71"/>
        <v>11.35</v>
      </c>
    </row>
    <row r="159" spans="1:6" ht="15">
      <c r="A159" s="70" t="s">
        <v>118</v>
      </c>
      <c r="B159" s="2" t="str">
        <f t="shared" si="68"/>
        <v xml:space="preserve"> 83   </v>
      </c>
      <c r="C159" s="38" t="str">
        <f t="shared" si="67"/>
        <v xml:space="preserve"> 83   d</v>
      </c>
      <c r="D159" s="33" t="str">
        <f t="shared" si="69"/>
        <v/>
      </c>
      <c r="E159" s="34" t="str">
        <f t="shared" si="70"/>
        <v/>
      </c>
      <c r="F159" s="30">
        <f t="shared" si="71"/>
        <v>11.36</v>
      </c>
    </row>
    <row r="160" spans="1:6" ht="15">
      <c r="A160" s="70" t="s">
        <v>119</v>
      </c>
      <c r="B160" s="2" t="str">
        <f t="shared" si="68"/>
        <v xml:space="preserve"> 90   </v>
      </c>
      <c r="C160" s="38" t="str">
        <f t="shared" si="67"/>
        <v xml:space="preserve"> 90   d</v>
      </c>
      <c r="D160" s="33" t="str">
        <f t="shared" si="69"/>
        <v/>
      </c>
      <c r="E160" s="34" t="str">
        <f t="shared" si="70"/>
        <v/>
      </c>
      <c r="F160" s="30">
        <f t="shared" si="71"/>
        <v>11.27</v>
      </c>
    </row>
    <row r="161" spans="1:6" ht="15">
      <c r="A161" s="70" t="s">
        <v>120</v>
      </c>
      <c r="B161" s="2" t="str">
        <f t="shared" si="68"/>
        <v xml:space="preserve"> 97   </v>
      </c>
      <c r="C161" s="38" t="str">
        <f t="shared" si="67"/>
        <v xml:space="preserve"> 97   d</v>
      </c>
      <c r="D161" s="33">
        <f t="shared" si="69"/>
        <v>11.42</v>
      </c>
      <c r="E161" s="34">
        <f t="shared" si="70"/>
        <v>11.39</v>
      </c>
      <c r="F161" s="30">
        <f t="shared" si="71"/>
        <v>11.41</v>
      </c>
    </row>
    <row r="162" spans="1:6" ht="15">
      <c r="A162" s="70" t="s">
        <v>121</v>
      </c>
      <c r="B162" s="2" t="str">
        <f t="shared" si="68"/>
        <v xml:space="preserve"> 111  </v>
      </c>
      <c r="C162" s="38" t="str">
        <f t="shared" si="67"/>
        <v xml:space="preserve"> 111  d</v>
      </c>
      <c r="D162" s="33">
        <f t="shared" si="69"/>
        <v>11.46</v>
      </c>
      <c r="E162" s="34" t="str">
        <f t="shared" si="70"/>
        <v/>
      </c>
      <c r="F162" s="30">
        <f t="shared" si="71"/>
        <v>11.41</v>
      </c>
    </row>
    <row r="163" spans="1:6" ht="15">
      <c r="A163" s="70" t="s">
        <v>122</v>
      </c>
      <c r="B163" s="2" t="str">
        <f t="shared" si="68"/>
        <v xml:space="preserve"> 125  </v>
      </c>
      <c r="C163" s="38" t="str">
        <f t="shared" si="67"/>
        <v xml:space="preserve"> 125  d</v>
      </c>
      <c r="D163" s="33">
        <f>+IFERROR(VALUE(MID(A163,$D$153,6)),"")</f>
        <v>11.45</v>
      </c>
      <c r="E163" s="34" t="str">
        <f t="shared" si="70"/>
        <v/>
      </c>
      <c r="F163" s="30">
        <f t="shared" si="71"/>
        <v>11.4</v>
      </c>
    </row>
    <row r="164" spans="1:6" ht="15">
      <c r="A164" s="70" t="s">
        <v>123</v>
      </c>
      <c r="B164" s="2" t="str">
        <f t="shared" si="68"/>
        <v xml:space="preserve"> 138  </v>
      </c>
      <c r="C164" s="38" t="str">
        <f t="shared" si="67"/>
        <v xml:space="preserve"> 138  d</v>
      </c>
      <c r="D164" s="33">
        <f t="shared" si="69"/>
        <v>11.46</v>
      </c>
      <c r="E164" s="34" t="str">
        <f t="shared" si="70"/>
        <v/>
      </c>
      <c r="F164" s="30">
        <f t="shared" si="71"/>
        <v>11.41</v>
      </c>
    </row>
    <row r="165" spans="1:6" ht="15">
      <c r="A165" s="70" t="s">
        <v>124</v>
      </c>
      <c r="B165" s="2" t="str">
        <f t="shared" si="68"/>
        <v xml:space="preserve"> 153  </v>
      </c>
      <c r="C165" s="38" t="str">
        <f t="shared" si="67"/>
        <v xml:space="preserve"> 153  d</v>
      </c>
      <c r="D165" s="33">
        <f t="shared" si="69"/>
        <v>11.45</v>
      </c>
      <c r="E165" s="34" t="str">
        <f t="shared" si="70"/>
        <v/>
      </c>
      <c r="F165" s="30">
        <f t="shared" si="71"/>
        <v>11.4</v>
      </c>
    </row>
    <row r="166" spans="1:6" ht="15">
      <c r="A166" s="70" t="s">
        <v>125</v>
      </c>
      <c r="B166" s="2" t="str">
        <f t="shared" si="68"/>
        <v xml:space="preserve"> 167  </v>
      </c>
      <c r="C166" s="38" t="str">
        <f t="shared" si="67"/>
        <v xml:space="preserve"> 167  d</v>
      </c>
      <c r="D166" s="33">
        <f t="shared" si="69"/>
        <v>11.44</v>
      </c>
      <c r="E166" s="34" t="str">
        <f t="shared" si="70"/>
        <v/>
      </c>
      <c r="F166" s="30">
        <f t="shared" si="71"/>
        <v>11.39</v>
      </c>
    </row>
    <row r="167" spans="1:6" ht="15">
      <c r="A167" s="70" t="s">
        <v>126</v>
      </c>
      <c r="B167" s="2" t="str">
        <f t="shared" si="68"/>
        <v xml:space="preserve"> 181  </v>
      </c>
      <c r="C167" s="38" t="str">
        <f t="shared" si="67"/>
        <v xml:space="preserve"> 181  d</v>
      </c>
      <c r="D167" s="33">
        <f t="shared" si="69"/>
        <v>11.43</v>
      </c>
      <c r="E167" s="34">
        <f t="shared" si="70"/>
        <v>11.33</v>
      </c>
      <c r="F167" s="30">
        <f t="shared" si="71"/>
        <v>11.39</v>
      </c>
    </row>
    <row r="168" spans="1:6" ht="15">
      <c r="A168" s="70" t="s">
        <v>127</v>
      </c>
      <c r="B168" s="2" t="str">
        <f t="shared" si="68"/>
        <v xml:space="preserve"> 209  </v>
      </c>
      <c r="C168" s="38" t="str">
        <f t="shared" si="67"/>
        <v xml:space="preserve"> 209  d</v>
      </c>
      <c r="D168" s="33">
        <f t="shared" si="69"/>
        <v>11.42</v>
      </c>
      <c r="E168" s="34" t="str">
        <f t="shared" si="70"/>
        <v/>
      </c>
      <c r="F168" s="30">
        <f t="shared" si="71"/>
        <v>11.37</v>
      </c>
    </row>
    <row r="169" spans="1:6" ht="15">
      <c r="A169" s="70" t="s">
        <v>128</v>
      </c>
      <c r="B169" s="2" t="str">
        <f t="shared" si="68"/>
        <v xml:space="preserve"> 237  </v>
      </c>
      <c r="C169" s="38" t="str">
        <f t="shared" si="67"/>
        <v xml:space="preserve"> 237  d</v>
      </c>
      <c r="D169" s="33">
        <f t="shared" si="69"/>
        <v>11.44</v>
      </c>
      <c r="E169" s="34" t="str">
        <f t="shared" si="70"/>
        <v/>
      </c>
      <c r="F169" s="30">
        <f t="shared" si="71"/>
        <v>11.34</v>
      </c>
    </row>
    <row r="170" spans="1:6" ht="15">
      <c r="A170" s="70" t="s">
        <v>129</v>
      </c>
      <c r="B170" s="2" t="str">
        <f t="shared" si="68"/>
        <v xml:space="preserve"> 265  </v>
      </c>
      <c r="C170" s="38" t="str">
        <f t="shared" si="67"/>
        <v xml:space="preserve"> 265  d</v>
      </c>
      <c r="D170" s="33">
        <f t="shared" si="69"/>
        <v>11.43</v>
      </c>
      <c r="E170" s="34" t="str">
        <f t="shared" si="70"/>
        <v/>
      </c>
      <c r="F170" s="30">
        <f t="shared" si="71"/>
        <v>11.33</v>
      </c>
    </row>
    <row r="171" spans="1:6" ht="15">
      <c r="A171" s="70" t="s">
        <v>130</v>
      </c>
      <c r="B171" s="2" t="str">
        <f t="shared" si="68"/>
        <v xml:space="preserve"> 293  </v>
      </c>
      <c r="C171" s="38" t="str">
        <f t="shared" si="67"/>
        <v xml:space="preserve"> 293  d</v>
      </c>
      <c r="D171" s="33">
        <f t="shared" si="69"/>
        <v>11.43</v>
      </c>
      <c r="E171" s="34" t="str">
        <f t="shared" si="70"/>
        <v/>
      </c>
      <c r="F171" s="30">
        <f t="shared" si="71"/>
        <v>11.33</v>
      </c>
    </row>
    <row r="172" spans="1:6" ht="15">
      <c r="A172" s="70" t="s">
        <v>131</v>
      </c>
      <c r="B172" s="2" t="str">
        <f t="shared" si="68"/>
        <v xml:space="preserve"> 321  </v>
      </c>
      <c r="C172" s="38" t="str">
        <f t="shared" si="67"/>
        <v xml:space="preserve"> 321  d</v>
      </c>
      <c r="D172" s="33">
        <f t="shared" si="69"/>
        <v>11.43</v>
      </c>
      <c r="E172" s="34" t="str">
        <f t="shared" si="70"/>
        <v/>
      </c>
      <c r="F172" s="30">
        <f t="shared" si="71"/>
        <v>11.33</v>
      </c>
    </row>
    <row r="173" spans="1:6" ht="15">
      <c r="A173" s="70" t="s">
        <v>132</v>
      </c>
      <c r="B173" s="2" t="str">
        <f t="shared" si="68"/>
        <v xml:space="preserve"> 349  </v>
      </c>
      <c r="C173" s="38" t="str">
        <f t="shared" si="67"/>
        <v xml:space="preserve"> 349  d</v>
      </c>
      <c r="D173" s="33">
        <f t="shared" si="69"/>
        <v>11.33</v>
      </c>
      <c r="E173" s="34">
        <f t="shared" si="70"/>
        <v>11.21</v>
      </c>
      <c r="F173" s="30">
        <f t="shared" si="71"/>
        <v>11.31</v>
      </c>
    </row>
    <row r="174" spans="1:6" ht="15">
      <c r="A174" s="70" t="s">
        <v>133</v>
      </c>
      <c r="B174" s="2" t="str">
        <f t="shared" si="68"/>
        <v xml:space="preserve"> 475  </v>
      </c>
      <c r="C174" s="38" t="str">
        <f t="shared" si="67"/>
        <v xml:space="preserve"> 475  d</v>
      </c>
      <c r="D174" s="33">
        <f t="shared" si="69"/>
        <v>11.33</v>
      </c>
      <c r="E174" s="34">
        <f t="shared" si="70"/>
        <v>11.29</v>
      </c>
      <c r="F174" s="30">
        <f t="shared" si="71"/>
        <v>11.31</v>
      </c>
    </row>
    <row r="175" spans="1:6" ht="15">
      <c r="A175" s="70" t="s">
        <v>134</v>
      </c>
      <c r="B175" s="2" t="str">
        <f t="shared" si="68"/>
        <v xml:space="preserve"> 531  </v>
      </c>
      <c r="C175" s="38" t="str">
        <f t="shared" si="67"/>
        <v xml:space="preserve"> 531  d</v>
      </c>
      <c r="D175" s="33">
        <f t="shared" si="69"/>
        <v>11.23</v>
      </c>
      <c r="E175" s="34" t="str">
        <f t="shared" si="70"/>
        <v/>
      </c>
      <c r="F175" s="30">
        <f t="shared" si="71"/>
        <v>11.21</v>
      </c>
    </row>
    <row r="176" spans="1:6" ht="15">
      <c r="A176" s="70" t="s">
        <v>135</v>
      </c>
      <c r="B176" s="2" t="str">
        <f t="shared" si="68"/>
        <v xml:space="preserve"> 587  </v>
      </c>
      <c r="C176" s="38" t="str">
        <f t="shared" si="67"/>
        <v xml:space="preserve"> 587  d</v>
      </c>
      <c r="D176" s="33">
        <f t="shared" si="69"/>
        <v>11.11</v>
      </c>
      <c r="E176" s="34" t="str">
        <f t="shared" si="70"/>
        <v/>
      </c>
      <c r="F176" s="30">
        <f t="shared" si="71"/>
        <v>11.09</v>
      </c>
    </row>
    <row r="177" spans="1:6" ht="15">
      <c r="A177" s="70" t="s">
        <v>136</v>
      </c>
      <c r="B177" s="2" t="str">
        <f t="shared" si="68"/>
        <v xml:space="preserve"> 601  </v>
      </c>
      <c r="C177" s="38" t="str">
        <f t="shared" si="67"/>
        <v xml:space="preserve"> 601  d</v>
      </c>
      <c r="D177" s="33">
        <f t="shared" si="69"/>
        <v>11.04</v>
      </c>
      <c r="E177" s="34" t="str">
        <f t="shared" si="70"/>
        <v/>
      </c>
      <c r="F177" s="30">
        <f t="shared" si="71"/>
        <v>11.02</v>
      </c>
    </row>
    <row r="178" spans="1:6" ht="15">
      <c r="A178" s="70" t="s">
        <v>137</v>
      </c>
      <c r="B178" s="2" t="str">
        <f t="shared" si="68"/>
        <v xml:space="preserve"> 643  </v>
      </c>
      <c r="C178" s="38" t="str">
        <f t="shared" si="67"/>
        <v xml:space="preserve"> 643  d</v>
      </c>
      <c r="D178" s="33">
        <f t="shared" si="69"/>
        <v>11</v>
      </c>
      <c r="E178" s="34">
        <f t="shared" si="70"/>
        <v>10.91</v>
      </c>
      <c r="F178" s="30">
        <f t="shared" si="71"/>
        <v>10.98</v>
      </c>
    </row>
    <row r="179" spans="1:6" ht="15">
      <c r="A179" s="70" t="s">
        <v>138</v>
      </c>
      <c r="B179" s="2" t="str">
        <f t="shared" si="68"/>
        <v xml:space="preserve"> 699  </v>
      </c>
      <c r="C179" s="38" t="str">
        <f t="shared" si="67"/>
        <v xml:space="preserve"> 699  d</v>
      </c>
      <c r="D179" s="33">
        <f t="shared" si="69"/>
        <v>10.9</v>
      </c>
      <c r="E179" s="34">
        <f t="shared" si="70"/>
        <v>10.83</v>
      </c>
      <c r="F179" s="30">
        <f t="shared" si="71"/>
        <v>10.89</v>
      </c>
    </row>
  </sheetData>
  <mergeCells count="2">
    <mergeCell ref="D89:G89"/>
    <mergeCell ref="D107:G10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>
    <tabColor theme="8" tint="0.79998168889431442"/>
  </sheetPr>
  <dimension ref="A1:AD178"/>
  <sheetViews>
    <sheetView zoomScale="90" zoomScaleNormal="90" workbookViewId="0">
      <pane xSplit="1" ySplit="2" topLeftCell="L25" activePane="bottomRight" state="frozen"/>
      <selection pane="topRight" activeCell="B1" sqref="B1"/>
      <selection pane="bottomLeft" activeCell="A3" sqref="A3"/>
      <selection pane="bottomRight" activeCell="I3" sqref="I3"/>
    </sheetView>
  </sheetViews>
  <sheetFormatPr baseColWidth="10" defaultColWidth="9.140625" defaultRowHeight="12.75"/>
  <cols>
    <col min="1" max="1" width="94.7109375" style="1" bestFit="1" customWidth="1"/>
    <col min="2" max="2" width="46.42578125" style="2" customWidth="1"/>
    <col min="3" max="11" width="11.42578125" style="2" customWidth="1"/>
    <col min="12" max="12" width="24.7109375" style="1" customWidth="1"/>
    <col min="13" max="13" width="9.140625" style="1"/>
    <col min="14" max="14" width="9.140625" style="42"/>
    <col min="15" max="15" width="11.140625" style="42" bestFit="1" customWidth="1"/>
    <col min="16" max="16" width="9.140625" style="40"/>
    <col min="17" max="17" width="9.140625" style="41"/>
    <col min="18" max="19" width="9.140625" style="42"/>
    <col min="20" max="20" width="16.7109375" style="1" customWidth="1"/>
    <col min="21" max="16384" width="9.140625" style="1"/>
  </cols>
  <sheetData>
    <row r="1" spans="1:19">
      <c r="A1" s="3" t="s">
        <v>139</v>
      </c>
      <c r="B1" s="1"/>
      <c r="C1" s="42">
        <v>14</v>
      </c>
      <c r="D1" s="42">
        <v>5</v>
      </c>
      <c r="E1" s="40"/>
      <c r="F1" s="41"/>
      <c r="G1" s="42">
        <v>17</v>
      </c>
      <c r="H1" s="1"/>
      <c r="I1" s="1"/>
      <c r="J1" s="1"/>
      <c r="K1" s="1"/>
      <c r="N1" s="1"/>
      <c r="O1" s="1"/>
      <c r="P1" s="1"/>
      <c r="Q1" s="1"/>
      <c r="R1" s="1"/>
      <c r="S1" s="1"/>
    </row>
    <row r="2" spans="1:19" s="49" customFormat="1" ht="15">
      <c r="A2" s="65" t="e">
        <f ca="1">_xll.BPGE(" 1596/4/1",,"cols=1;rows=26")</f>
        <v>#NAME?</v>
      </c>
      <c r="C2" s="23" t="s">
        <v>55</v>
      </c>
      <c r="D2" s="24" t="s">
        <v>72</v>
      </c>
      <c r="E2" s="25" t="s">
        <v>29</v>
      </c>
      <c r="F2" s="26" t="s">
        <v>30</v>
      </c>
      <c r="G2" s="24" t="s">
        <v>58</v>
      </c>
      <c r="I2" s="24" t="s">
        <v>28</v>
      </c>
      <c r="J2" s="24" t="s">
        <v>32</v>
      </c>
      <c r="K2" s="24" t="s">
        <v>14</v>
      </c>
      <c r="L2" s="24" t="s">
        <v>33</v>
      </c>
      <c r="M2" s="1"/>
      <c r="N2" s="1"/>
      <c r="O2" s="1"/>
    </row>
    <row r="3" spans="1:19" ht="15">
      <c r="A3" s="70" t="s">
        <v>140</v>
      </c>
      <c r="B3" s="1"/>
      <c r="C3" s="37"/>
      <c r="D3" s="27"/>
      <c r="E3" s="33"/>
      <c r="F3" s="34"/>
      <c r="G3" s="30"/>
      <c r="H3" s="1"/>
      <c r="I3" s="95" t="str" cm="1">
        <f t="array" ref="I3:I19">+TRANSPOSE(_xlfn.TEXTSPLIT(_xlfn.TEXTJOIN(",",TRUE,C3:C26),","))</f>
        <v>DC23</v>
      </c>
      <c r="J3" s="135" t="str" cm="1">
        <f t="array" ref="J3:J19">+IFERROR(LOWER(LEFT(TRIM(_xlfn.ANCHORARRAY(I3)),2))&amp;VALUE(RIGHT(TRIM(_xlfn.ANCHORARRAY(I3)),2)),VLOOKUP(TRIM(_xlfn.ANCHORARRAY(I3)),N3:O6,2,-1))</f>
        <v>dc23</v>
      </c>
      <c r="K3" s="98" cm="1">
        <f t="array" ref="K3:K19">+IFERROR(IF(VLOOKUP(_xlfn.ANCHORARRAY(I3),$C$3:$G$27,3,0)=0,"",VLOOKUP(_xlfn.ANCHORARRAY($I3),$C$3:$G$27,3,0)),"")</f>
        <v>11.47</v>
      </c>
      <c r="L3" s="98" cm="1">
        <f t="array" ref="L3:L19">+IFERROR(IF(VLOOKUP(_xlfn.ANCHORARRAY($I3),$C$3:$G$27,4,0)=0,"",VLOOKUP(_xlfn.ANCHORARRAY($I3),$C$3:$G$27,4,0)),"")</f>
        <v>11.32</v>
      </c>
      <c r="N3" s="1" t="s">
        <v>105</v>
      </c>
      <c r="O3" s="1" t="s">
        <v>106</v>
      </c>
      <c r="P3" s="1"/>
      <c r="Q3" s="1"/>
      <c r="R3" s="1"/>
      <c r="S3" s="1"/>
    </row>
    <row r="4" spans="1:19" ht="15">
      <c r="A4" s="70" t="s">
        <v>721</v>
      </c>
      <c r="B4" s="1"/>
      <c r="C4" s="38" t="str">
        <f>+IF(C3=MID(A4,$C$1,4),"",MID(A4,$C$1,4))</f>
        <v>DC23</v>
      </c>
      <c r="D4" s="28">
        <f>IF(C4="","",VALUE(MID(A4,$D$1,5)))</f>
        <v>135</v>
      </c>
      <c r="E4" s="33">
        <f>IF(D4="","",VALUE(MID(A4,FIND("-",A4)-6,6)))</f>
        <v>11.47</v>
      </c>
      <c r="F4" s="36">
        <f>IF(D4="","",VALUE(MID(A4,FIND("-",A4)+1,6)))</f>
        <v>11.32</v>
      </c>
      <c r="G4" s="31">
        <f>IF(C4="","",VALUE(MID(A4,LEN(A4)-$G$1,9)))</f>
        <v>11.42</v>
      </c>
      <c r="H4" s="1"/>
      <c r="I4" s="95" t="str">
        <v>SP24</v>
      </c>
      <c r="J4" s="135" t="str">
        <v>sp24</v>
      </c>
      <c r="K4" s="98">
        <v>11</v>
      </c>
      <c r="L4" s="98">
        <v>10.89</v>
      </c>
      <c r="N4" s="1" t="s">
        <v>107</v>
      </c>
      <c r="O4" s="1" t="s">
        <v>108</v>
      </c>
      <c r="P4" s="1"/>
      <c r="Q4" s="1"/>
      <c r="R4" s="1"/>
      <c r="S4" s="1"/>
    </row>
    <row r="5" spans="1:19" ht="15">
      <c r="A5" s="70" t="s">
        <v>780</v>
      </c>
      <c r="B5" s="1"/>
      <c r="C5" s="38" t="str">
        <f t="shared" ref="C5:C27" si="0">+IF(C4=MID(A5,$C$1,4),"",MID(A5,$C$1,4))</f>
        <v>SP24</v>
      </c>
      <c r="D5" s="28">
        <f t="shared" ref="D5:D27" si="1">IF(C5="","",VALUE(MID(A5,$D$1,5)))</f>
        <v>408</v>
      </c>
      <c r="E5" s="33">
        <f t="shared" ref="E5:E27" si="2">IF(D5="","",VALUE(MID(A5,FIND("-",A5)-6,6)))</f>
        <v>11</v>
      </c>
      <c r="F5" s="36">
        <f t="shared" ref="F5:F27" si="3">IF(D5="","",VALUE(MID(A5,FIND("-",A5)+1,6)))</f>
        <v>10.89</v>
      </c>
      <c r="G5" s="31">
        <f t="shared" ref="G5:G27" si="4">IF(C5="","",VALUE(MID(A5,LEN(A5)-$G$1,9)))</f>
        <v>10.99</v>
      </c>
      <c r="H5" s="1"/>
      <c r="I5" s="95" t="str">
        <v>DC24</v>
      </c>
      <c r="J5" s="135" t="str">
        <v>dc24</v>
      </c>
      <c r="K5" s="98">
        <v>10.63</v>
      </c>
      <c r="L5" s="98">
        <v>10.48</v>
      </c>
      <c r="N5" s="1" t="s">
        <v>109</v>
      </c>
      <c r="O5" s="1"/>
      <c r="P5" s="1"/>
      <c r="Q5" s="1"/>
      <c r="R5" s="1"/>
      <c r="S5" s="1"/>
    </row>
    <row r="6" spans="1:19" ht="15">
      <c r="A6" s="70" t="s">
        <v>563</v>
      </c>
      <c r="B6" s="1"/>
      <c r="C6" s="38" t="str">
        <f t="shared" si="0"/>
        <v/>
      </c>
      <c r="D6" s="28" t="str">
        <f t="shared" si="1"/>
        <v/>
      </c>
      <c r="E6" s="33" t="str">
        <f t="shared" si="2"/>
        <v/>
      </c>
      <c r="F6" s="36" t="str">
        <f t="shared" si="3"/>
        <v/>
      </c>
      <c r="G6" s="31" t="str">
        <f t="shared" si="4"/>
        <v/>
      </c>
      <c r="H6" s="1"/>
      <c r="I6" s="95" t="str">
        <v>MZ25</v>
      </c>
      <c r="J6" s="135" t="str">
        <v>mz25</v>
      </c>
      <c r="K6" s="98">
        <v>10.15</v>
      </c>
      <c r="L6" s="98">
        <v>10</v>
      </c>
      <c r="N6" s="1" t="s">
        <v>110</v>
      </c>
      <c r="O6" s="1"/>
      <c r="P6" s="1"/>
      <c r="Q6" s="1"/>
      <c r="R6" s="1"/>
      <c r="S6" s="1"/>
    </row>
    <row r="7" spans="1:19" ht="15">
      <c r="A7" s="70" t="s">
        <v>724</v>
      </c>
      <c r="B7" s="1"/>
      <c r="C7" s="38" t="str">
        <f t="shared" si="0"/>
        <v>DC24</v>
      </c>
      <c r="D7" s="28">
        <f t="shared" si="1"/>
        <v>499</v>
      </c>
      <c r="E7" s="33">
        <f t="shared" si="2"/>
        <v>10.63</v>
      </c>
      <c r="F7" s="36">
        <f t="shared" si="3"/>
        <v>10.48</v>
      </c>
      <c r="G7" s="31">
        <f t="shared" si="4"/>
        <v>10.58</v>
      </c>
      <c r="H7" s="1"/>
      <c r="I7" s="95" t="str">
        <v>MZ26</v>
      </c>
      <c r="J7" s="135" t="str">
        <v>mz26</v>
      </c>
      <c r="K7" s="98">
        <v>9.6199999999999992</v>
      </c>
      <c r="L7" s="98">
        <v>9.4700000000000006</v>
      </c>
      <c r="N7" s="1"/>
      <c r="O7" s="1"/>
      <c r="P7" s="1"/>
      <c r="Q7" s="1"/>
      <c r="R7" s="1"/>
      <c r="S7" s="1"/>
    </row>
    <row r="8" spans="1:19" ht="15">
      <c r="A8" s="70" t="s">
        <v>564</v>
      </c>
      <c r="B8" s="1"/>
      <c r="C8" s="38" t="str">
        <f t="shared" si="0"/>
        <v/>
      </c>
      <c r="D8" s="28" t="str">
        <f t="shared" si="1"/>
        <v/>
      </c>
      <c r="E8" s="33" t="str">
        <f t="shared" si="2"/>
        <v/>
      </c>
      <c r="F8" s="36" t="str">
        <f t="shared" si="3"/>
        <v/>
      </c>
      <c r="G8" s="31" t="str">
        <f t="shared" si="4"/>
        <v/>
      </c>
      <c r="H8" s="1"/>
      <c r="I8" s="95" t="str">
        <v>SP26</v>
      </c>
      <c r="J8" s="135" t="str">
        <v>sp26</v>
      </c>
      <c r="K8" s="98">
        <v>9.61</v>
      </c>
      <c r="L8" s="98">
        <v>9.4600000000000009</v>
      </c>
      <c r="N8" s="1"/>
      <c r="O8" s="1"/>
      <c r="P8" s="1"/>
      <c r="Q8" s="1"/>
      <c r="R8" s="1"/>
      <c r="S8" s="1"/>
    </row>
    <row r="9" spans="1:19" ht="15">
      <c r="A9" s="70" t="s">
        <v>726</v>
      </c>
      <c r="B9" s="1"/>
      <c r="C9" s="38" t="str">
        <f t="shared" si="0"/>
        <v>MZ25</v>
      </c>
      <c r="D9" s="28">
        <f t="shared" si="1"/>
        <v>590</v>
      </c>
      <c r="E9" s="33">
        <f t="shared" si="2"/>
        <v>10.15</v>
      </c>
      <c r="F9" s="36">
        <f t="shared" si="3"/>
        <v>10</v>
      </c>
      <c r="G9" s="31">
        <f t="shared" si="4"/>
        <v>10.1</v>
      </c>
      <c r="H9" s="1"/>
      <c r="I9" s="95" t="str">
        <v>MZ27</v>
      </c>
      <c r="J9" s="135" t="str">
        <v>mz27</v>
      </c>
      <c r="K9" s="98">
        <v>9.3800000000000008</v>
      </c>
      <c r="L9" s="98">
        <v>9.23</v>
      </c>
      <c r="N9" s="1"/>
      <c r="O9" s="1"/>
      <c r="P9" s="1"/>
      <c r="Q9" s="1"/>
      <c r="R9" s="1"/>
      <c r="S9" s="1"/>
    </row>
    <row r="10" spans="1:19" ht="15">
      <c r="A10" s="70" t="s">
        <v>565</v>
      </c>
      <c r="B10" s="1"/>
      <c r="C10" s="38" t="str">
        <f t="shared" si="0"/>
        <v/>
      </c>
      <c r="D10" s="28" t="str">
        <f t="shared" si="1"/>
        <v/>
      </c>
      <c r="E10" s="33" t="str">
        <f t="shared" si="2"/>
        <v/>
      </c>
      <c r="F10" s="36" t="str">
        <f t="shared" si="3"/>
        <v/>
      </c>
      <c r="G10" s="31" t="str">
        <f t="shared" si="4"/>
        <v/>
      </c>
      <c r="H10" s="1"/>
      <c r="I10" s="95" t="str">
        <v>JN27</v>
      </c>
      <c r="J10" s="135" t="str">
        <v>jn27</v>
      </c>
      <c r="K10" s="98">
        <v>9.27</v>
      </c>
      <c r="L10" s="98">
        <v>9.1199999999999992</v>
      </c>
      <c r="N10" s="1"/>
      <c r="O10" s="1"/>
      <c r="P10" s="1"/>
      <c r="Q10" s="1"/>
      <c r="R10" s="1"/>
      <c r="S10" s="1"/>
    </row>
    <row r="11" spans="1:19" ht="15">
      <c r="A11" s="70" t="s">
        <v>727</v>
      </c>
      <c r="B11" s="1"/>
      <c r="C11" s="38" t="str">
        <f t="shared" si="0"/>
        <v>MZ26</v>
      </c>
      <c r="D11" s="28">
        <f t="shared" si="1"/>
        <v>954</v>
      </c>
      <c r="E11" s="33">
        <f t="shared" si="2"/>
        <v>9.6199999999999992</v>
      </c>
      <c r="F11" s="36">
        <f t="shared" si="3"/>
        <v>9.4700000000000006</v>
      </c>
      <c r="G11" s="31">
        <f t="shared" si="4"/>
        <v>9.57</v>
      </c>
      <c r="H11" s="1"/>
      <c r="I11" s="95" t="str">
        <v>MY29</v>
      </c>
      <c r="J11" s="135" t="str">
        <v>my29</v>
      </c>
      <c r="K11" s="98">
        <v>8.89</v>
      </c>
      <c r="L11" s="98">
        <v>8.74</v>
      </c>
      <c r="N11" s="1"/>
      <c r="O11" s="1"/>
      <c r="P11" s="1"/>
      <c r="Q11" s="1"/>
      <c r="R11" s="1"/>
      <c r="S11" s="1"/>
    </row>
    <row r="12" spans="1:19" ht="15">
      <c r="A12" s="70" t="s">
        <v>566</v>
      </c>
      <c r="B12" s="1"/>
      <c r="C12" s="38" t="str">
        <f t="shared" si="0"/>
        <v/>
      </c>
      <c r="D12" s="28" t="str">
        <f t="shared" si="1"/>
        <v/>
      </c>
      <c r="E12" s="33" t="str">
        <f t="shared" si="2"/>
        <v/>
      </c>
      <c r="F12" s="36" t="str">
        <f t="shared" si="3"/>
        <v/>
      </c>
      <c r="G12" s="31" t="str">
        <f t="shared" si="4"/>
        <v/>
      </c>
      <c r="H12" s="1"/>
      <c r="I12" s="95" t="str">
        <v>MY31</v>
      </c>
      <c r="J12" s="135" t="str">
        <v>my31</v>
      </c>
      <c r="K12" s="98">
        <v>8.8699999999999992</v>
      </c>
      <c r="L12" s="98">
        <v>8.7200000000000006</v>
      </c>
      <c r="N12" s="1"/>
      <c r="O12" s="1"/>
      <c r="P12" s="1"/>
      <c r="Q12" s="1"/>
      <c r="R12" s="1"/>
      <c r="S12" s="1"/>
    </row>
    <row r="13" spans="1:19" ht="15">
      <c r="A13" s="70" t="s">
        <v>730</v>
      </c>
      <c r="B13" s="1"/>
      <c r="C13" s="38" t="str">
        <f t="shared" si="0"/>
        <v>SP26</v>
      </c>
      <c r="D13" s="28">
        <f t="shared" si="1"/>
        <v>1136</v>
      </c>
      <c r="E13" s="33">
        <f t="shared" si="2"/>
        <v>9.61</v>
      </c>
      <c r="F13" s="36">
        <f t="shared" si="3"/>
        <v>9.4600000000000009</v>
      </c>
      <c r="G13" s="31">
        <f t="shared" si="4"/>
        <v>9.56</v>
      </c>
      <c r="H13" s="1"/>
      <c r="I13" s="95" t="str">
        <v>MY33</v>
      </c>
      <c r="J13" s="135" t="str">
        <v>my33</v>
      </c>
      <c r="K13" s="98">
        <v>8.8699999999999992</v>
      </c>
      <c r="L13" s="98">
        <v>8.7200000000000006</v>
      </c>
      <c r="N13" s="1"/>
      <c r="O13" s="1"/>
      <c r="P13" s="1"/>
      <c r="Q13" s="1"/>
      <c r="R13" s="1"/>
      <c r="S13" s="1"/>
    </row>
    <row r="14" spans="1:19" ht="15">
      <c r="A14" s="70" t="s">
        <v>732</v>
      </c>
      <c r="B14" s="1"/>
      <c r="C14" s="38" t="str">
        <f t="shared" si="0"/>
        <v>MZ27</v>
      </c>
      <c r="D14" s="28">
        <f t="shared" si="1"/>
        <v>1318</v>
      </c>
      <c r="E14" s="33">
        <f t="shared" si="2"/>
        <v>9.3800000000000008</v>
      </c>
      <c r="F14" s="36">
        <f t="shared" si="3"/>
        <v>9.23</v>
      </c>
      <c r="G14" s="31">
        <f t="shared" si="4"/>
        <v>9.33</v>
      </c>
      <c r="H14" s="1"/>
      <c r="I14" s="95" t="str">
        <v>NV34</v>
      </c>
      <c r="J14" s="135" t="str">
        <v>nv34</v>
      </c>
      <c r="K14" s="98">
        <v>8.83</v>
      </c>
      <c r="L14" s="98">
        <v>8.7200000000000006</v>
      </c>
      <c r="N14" s="1"/>
      <c r="O14" s="1"/>
      <c r="P14" s="1"/>
      <c r="Q14" s="1"/>
      <c r="R14" s="1"/>
      <c r="S14" s="1"/>
    </row>
    <row r="15" spans="1:19" ht="15">
      <c r="A15" s="70" t="s">
        <v>567</v>
      </c>
      <c r="B15" s="1"/>
      <c r="C15" s="38" t="str">
        <f t="shared" si="0"/>
        <v/>
      </c>
      <c r="D15" s="28" t="str">
        <f t="shared" si="1"/>
        <v/>
      </c>
      <c r="E15" s="33" t="str">
        <f t="shared" si="2"/>
        <v/>
      </c>
      <c r="F15" s="36" t="str">
        <f t="shared" si="3"/>
        <v/>
      </c>
      <c r="G15" s="31" t="str">
        <f t="shared" si="4"/>
        <v/>
      </c>
      <c r="H15" s="1"/>
      <c r="I15" s="95" t="str">
        <v>NV36</v>
      </c>
      <c r="J15" s="135" t="str">
        <v>nv36</v>
      </c>
      <c r="K15" s="98">
        <v>8.82</v>
      </c>
      <c r="L15" s="98">
        <v>8.7100000000000009</v>
      </c>
      <c r="N15" s="1"/>
      <c r="O15" s="1"/>
      <c r="P15" s="1"/>
      <c r="Q15" s="1"/>
      <c r="R15" s="1"/>
      <c r="S15" s="1"/>
    </row>
    <row r="16" spans="1:19" ht="15">
      <c r="A16" s="70" t="s">
        <v>733</v>
      </c>
      <c r="B16" s="1"/>
      <c r="C16" s="38" t="str">
        <f t="shared" si="0"/>
        <v>JN27</v>
      </c>
      <c r="D16" s="28">
        <f t="shared" si="1"/>
        <v>1409</v>
      </c>
      <c r="E16" s="33">
        <f t="shared" si="2"/>
        <v>9.27</v>
      </c>
      <c r="F16" s="36">
        <f t="shared" si="3"/>
        <v>9.1199999999999992</v>
      </c>
      <c r="G16" s="31">
        <f t="shared" si="4"/>
        <v>9.2200000000000006</v>
      </c>
      <c r="H16" s="1"/>
      <c r="I16" s="95" t="str">
        <v>NV38</v>
      </c>
      <c r="J16" s="135" t="str">
        <v>nv38</v>
      </c>
      <c r="K16" s="98">
        <v>8.93</v>
      </c>
      <c r="L16" s="98">
        <v>8.7799999999999994</v>
      </c>
      <c r="N16" s="1"/>
      <c r="O16" s="1"/>
      <c r="P16" s="1"/>
      <c r="Q16" s="1"/>
      <c r="R16" s="1"/>
      <c r="S16" s="1"/>
    </row>
    <row r="17" spans="1:19" ht="15">
      <c r="A17" s="70" t="s">
        <v>568</v>
      </c>
      <c r="B17" s="1"/>
      <c r="C17" s="38" t="str">
        <f t="shared" si="0"/>
        <v/>
      </c>
      <c r="D17" s="28" t="str">
        <f t="shared" si="1"/>
        <v/>
      </c>
      <c r="E17" s="33" t="str">
        <f t="shared" si="2"/>
        <v/>
      </c>
      <c r="F17" s="36" t="str">
        <f t="shared" si="3"/>
        <v/>
      </c>
      <c r="G17" s="31" t="str">
        <f t="shared" si="4"/>
        <v/>
      </c>
      <c r="H17" s="1"/>
      <c r="I17" s="95" t="str">
        <v>NV42</v>
      </c>
      <c r="J17" s="135" t="str">
        <v>nv42</v>
      </c>
      <c r="K17" s="98">
        <v>8.9600000000000009</v>
      </c>
      <c r="L17" s="98">
        <v>8.81</v>
      </c>
      <c r="N17" s="1"/>
      <c r="O17" s="1"/>
      <c r="P17" s="1"/>
      <c r="Q17" s="1"/>
      <c r="R17" s="1"/>
      <c r="S17" s="1"/>
    </row>
    <row r="18" spans="1:19" ht="15">
      <c r="A18" s="70" t="s">
        <v>731</v>
      </c>
      <c r="B18" s="1"/>
      <c r="C18" s="38" t="str">
        <f t="shared" si="0"/>
        <v>MY29</v>
      </c>
      <c r="D18" s="28">
        <f t="shared" si="1"/>
        <v>2137</v>
      </c>
      <c r="E18" s="33">
        <f t="shared" si="2"/>
        <v>8.89</v>
      </c>
      <c r="F18" s="36">
        <f t="shared" si="3"/>
        <v>8.74</v>
      </c>
      <c r="G18" s="31">
        <f t="shared" si="4"/>
        <v>8.84</v>
      </c>
      <c r="H18" s="1"/>
      <c r="I18" s="95" t="str">
        <v>NV47</v>
      </c>
      <c r="J18" s="135" t="str">
        <v>nv47</v>
      </c>
      <c r="K18" s="98">
        <v>8.92</v>
      </c>
      <c r="L18" s="98">
        <v>8.77</v>
      </c>
      <c r="N18" s="1"/>
      <c r="O18" s="1"/>
      <c r="P18" s="1"/>
      <c r="Q18" s="1"/>
      <c r="R18" s="1"/>
      <c r="S18" s="1"/>
    </row>
    <row r="19" spans="1:19" ht="15">
      <c r="A19" s="70" t="s">
        <v>729</v>
      </c>
      <c r="B19" s="1"/>
      <c r="C19" s="38" t="str">
        <f t="shared" si="0"/>
        <v>MY31</v>
      </c>
      <c r="D19" s="28">
        <f t="shared" si="1"/>
        <v>2865</v>
      </c>
      <c r="E19" s="33">
        <f t="shared" si="2"/>
        <v>8.8699999999999992</v>
      </c>
      <c r="F19" s="36">
        <f t="shared" si="3"/>
        <v>8.7200000000000006</v>
      </c>
      <c r="G19" s="31">
        <f t="shared" si="4"/>
        <v>8.82</v>
      </c>
      <c r="H19" s="1"/>
      <c r="I19" s="95" t="str">
        <v>JL53</v>
      </c>
      <c r="J19" s="135" t="str">
        <v>jl53</v>
      </c>
      <c r="K19" s="98">
        <v>8.9499999999999993</v>
      </c>
      <c r="L19" s="98">
        <v>8.8000000000000007</v>
      </c>
      <c r="N19" s="1"/>
      <c r="O19" s="1"/>
      <c r="P19" s="1"/>
      <c r="Q19" s="1"/>
      <c r="R19" s="1"/>
      <c r="S19" s="1"/>
    </row>
    <row r="20" spans="1:19" ht="15">
      <c r="A20" s="70" t="s">
        <v>728</v>
      </c>
      <c r="B20" s="1"/>
      <c r="C20" s="38" t="str">
        <f t="shared" si="0"/>
        <v>MY33</v>
      </c>
      <c r="D20" s="28">
        <f t="shared" si="1"/>
        <v>3593</v>
      </c>
      <c r="E20" s="33">
        <f t="shared" si="2"/>
        <v>8.8699999999999992</v>
      </c>
      <c r="F20" s="36">
        <f t="shared" si="3"/>
        <v>8.7200000000000006</v>
      </c>
      <c r="G20" s="31">
        <f t="shared" si="4"/>
        <v>8.82</v>
      </c>
      <c r="H20" s="1"/>
      <c r="I20" s="1"/>
      <c r="J20" s="1"/>
      <c r="K20" s="1"/>
      <c r="N20" s="1"/>
      <c r="O20" s="1"/>
      <c r="P20" s="1"/>
      <c r="Q20" s="1"/>
      <c r="R20" s="1"/>
      <c r="S20" s="1"/>
    </row>
    <row r="21" spans="1:19" ht="15">
      <c r="A21" s="70" t="s">
        <v>796</v>
      </c>
      <c r="B21" s="1"/>
      <c r="C21" s="38" t="str">
        <f t="shared" si="0"/>
        <v>NV34</v>
      </c>
      <c r="D21" s="28">
        <f t="shared" si="1"/>
        <v>4139</v>
      </c>
      <c r="E21" s="33">
        <f t="shared" si="2"/>
        <v>8.83</v>
      </c>
      <c r="F21" s="36">
        <f t="shared" si="3"/>
        <v>8.7200000000000006</v>
      </c>
      <c r="G21" s="31">
        <f t="shared" si="4"/>
        <v>8.82</v>
      </c>
      <c r="H21" s="1"/>
      <c r="I21" s="1"/>
      <c r="J21" s="1"/>
      <c r="K21" s="1"/>
      <c r="N21" s="1"/>
      <c r="O21" s="1"/>
      <c r="P21" s="1"/>
      <c r="Q21" s="1"/>
      <c r="R21" s="1"/>
      <c r="S21" s="1"/>
    </row>
    <row r="22" spans="1:19" ht="15">
      <c r="A22" s="70" t="s">
        <v>801</v>
      </c>
      <c r="B22" s="1"/>
      <c r="C22" s="38" t="str">
        <f t="shared" si="0"/>
        <v>NV36</v>
      </c>
      <c r="D22" s="28">
        <f t="shared" si="1"/>
        <v>4867</v>
      </c>
      <c r="E22" s="33">
        <f t="shared" si="2"/>
        <v>8.82</v>
      </c>
      <c r="F22" s="36">
        <f t="shared" si="3"/>
        <v>8.7100000000000009</v>
      </c>
      <c r="G22" s="31">
        <f t="shared" si="4"/>
        <v>8.81</v>
      </c>
      <c r="H22" s="1"/>
      <c r="I22" s="1"/>
      <c r="J22" s="1"/>
      <c r="K22" s="1"/>
      <c r="N22" s="1"/>
      <c r="O22" s="1"/>
      <c r="P22" s="1"/>
      <c r="Q22" s="1"/>
      <c r="R22" s="1"/>
      <c r="S22" s="1"/>
    </row>
    <row r="23" spans="1:19" ht="15">
      <c r="A23" s="70" t="s">
        <v>725</v>
      </c>
      <c r="B23" s="1"/>
      <c r="C23" s="38" t="str">
        <f t="shared" si="0"/>
        <v>NV38</v>
      </c>
      <c r="D23" s="28">
        <f t="shared" si="1"/>
        <v>5595</v>
      </c>
      <c r="E23" s="33">
        <f t="shared" si="2"/>
        <v>8.93</v>
      </c>
      <c r="F23" s="36">
        <f t="shared" si="3"/>
        <v>8.7799999999999994</v>
      </c>
      <c r="G23" s="31">
        <f t="shared" si="4"/>
        <v>8.8800000000000008</v>
      </c>
      <c r="H23" s="1"/>
      <c r="I23" s="1"/>
      <c r="J23" s="1"/>
      <c r="K23" s="1"/>
      <c r="N23" s="1"/>
      <c r="O23" s="1"/>
      <c r="P23" s="1"/>
      <c r="Q23" s="1"/>
      <c r="R23" s="1"/>
      <c r="S23" s="1"/>
    </row>
    <row r="24" spans="1:19" ht="15">
      <c r="A24" s="70" t="s">
        <v>723</v>
      </c>
      <c r="B24" s="1"/>
      <c r="C24" s="38" t="str">
        <f t="shared" si="0"/>
        <v>NV42</v>
      </c>
      <c r="D24" s="28">
        <f t="shared" si="1"/>
        <v>7051</v>
      </c>
      <c r="E24" s="33">
        <f t="shared" si="2"/>
        <v>8.9600000000000009</v>
      </c>
      <c r="F24" s="36">
        <f t="shared" si="3"/>
        <v>8.81</v>
      </c>
      <c r="G24" s="31">
        <f t="shared" si="4"/>
        <v>8.91</v>
      </c>
      <c r="H24" s="1"/>
      <c r="I24" s="1"/>
      <c r="J24" s="1"/>
      <c r="K24" s="1"/>
      <c r="N24" s="1"/>
      <c r="O24" s="1"/>
      <c r="P24" s="1"/>
      <c r="Q24" s="1"/>
      <c r="R24" s="1"/>
      <c r="S24" s="1"/>
    </row>
    <row r="25" spans="1:19" ht="15">
      <c r="A25" s="70" t="s">
        <v>722</v>
      </c>
      <c r="B25" s="1"/>
      <c r="C25" s="38" t="str">
        <f t="shared" si="0"/>
        <v>NV47</v>
      </c>
      <c r="D25" s="28">
        <f t="shared" si="1"/>
        <v>8871</v>
      </c>
      <c r="E25" s="33">
        <f t="shared" si="2"/>
        <v>8.92</v>
      </c>
      <c r="F25" s="36">
        <f t="shared" si="3"/>
        <v>8.77</v>
      </c>
      <c r="G25" s="31">
        <f t="shared" si="4"/>
        <v>8.8699999999999992</v>
      </c>
      <c r="H25" s="1"/>
      <c r="I25" s="1"/>
      <c r="J25" s="1"/>
      <c r="K25" s="1"/>
      <c r="N25" s="1"/>
      <c r="O25" s="1"/>
      <c r="P25" s="1"/>
      <c r="Q25" s="1"/>
      <c r="R25" s="1"/>
      <c r="S25" s="1"/>
    </row>
    <row r="26" spans="1:19" ht="15">
      <c r="A26" s="70" t="s">
        <v>720</v>
      </c>
      <c r="B26" s="1"/>
      <c r="C26" s="38" t="str">
        <f t="shared" si="0"/>
        <v>JL53</v>
      </c>
      <c r="D26" s="28">
        <f t="shared" si="1"/>
        <v>10964</v>
      </c>
      <c r="E26" s="33">
        <f t="shared" si="2"/>
        <v>8.9499999999999993</v>
      </c>
      <c r="F26" s="36">
        <f t="shared" si="3"/>
        <v>8.8000000000000007</v>
      </c>
      <c r="G26" s="31">
        <f t="shared" si="4"/>
        <v>8.9</v>
      </c>
      <c r="H26" s="1"/>
      <c r="I26" s="1"/>
      <c r="J26" s="1"/>
      <c r="K26" s="1"/>
      <c r="N26" s="1"/>
      <c r="O26" s="1"/>
      <c r="P26" s="1"/>
      <c r="Q26" s="1"/>
      <c r="R26" s="1"/>
      <c r="S26" s="1"/>
    </row>
    <row r="27" spans="1:19" ht="15">
      <c r="A27" s="70" t="s">
        <v>779</v>
      </c>
      <c r="B27" s="1"/>
      <c r="C27" s="38" t="str">
        <f t="shared" si="0"/>
        <v>MY35</v>
      </c>
      <c r="D27" s="28">
        <f t="shared" si="1"/>
        <v>4321</v>
      </c>
      <c r="E27" s="33" t="e">
        <f t="shared" si="2"/>
        <v>#VALUE!</v>
      </c>
      <c r="F27" s="36" t="e">
        <f t="shared" si="3"/>
        <v>#VALUE!</v>
      </c>
      <c r="G27" s="31">
        <f t="shared" si="4"/>
        <v>8.85</v>
      </c>
      <c r="H27" s="1"/>
      <c r="I27" s="1"/>
      <c r="J27" s="1"/>
      <c r="K27" s="1"/>
      <c r="N27" s="1"/>
      <c r="O27" s="1"/>
      <c r="P27" s="1"/>
      <c r="Q27" s="1"/>
      <c r="R27" s="1"/>
      <c r="S27" s="1"/>
    </row>
    <row r="28" spans="1:19">
      <c r="A28" s="70"/>
      <c r="B28" s="1"/>
      <c r="C28" s="42"/>
      <c r="D28" s="42"/>
      <c r="E28" s="40"/>
      <c r="F28" s="41"/>
      <c r="G28" s="42"/>
      <c r="H28" s="1"/>
      <c r="I28" s="1"/>
      <c r="J28" s="1"/>
      <c r="K28" s="1"/>
      <c r="N28" s="1"/>
      <c r="O28" s="1"/>
      <c r="P28" s="1"/>
      <c r="Q28" s="1"/>
      <c r="R28" s="1"/>
      <c r="S28" s="1"/>
    </row>
    <row r="29" spans="1:19">
      <c r="A29" s="70"/>
      <c r="B29" s="1"/>
      <c r="C29" s="42"/>
      <c r="D29" s="42"/>
      <c r="E29" s="40"/>
      <c r="F29" s="41"/>
      <c r="G29" s="42"/>
      <c r="H29" s="1"/>
      <c r="I29" s="1"/>
      <c r="J29" s="1"/>
      <c r="K29" s="1"/>
      <c r="N29" s="1"/>
      <c r="O29" s="1"/>
      <c r="P29" s="1"/>
      <c r="Q29" s="1"/>
      <c r="R29" s="1"/>
      <c r="S29" s="1"/>
    </row>
    <row r="30" spans="1:19">
      <c r="A30" s="70"/>
      <c r="B30" s="1"/>
      <c r="C30" s="42"/>
      <c r="D30" s="42"/>
      <c r="E30" s="40"/>
      <c r="F30" s="41"/>
      <c r="G30" s="42"/>
      <c r="H30" s="1"/>
      <c r="I30" s="1"/>
      <c r="J30" s="1"/>
      <c r="K30" s="1"/>
      <c r="N30" s="1"/>
      <c r="O30" s="1"/>
      <c r="P30" s="1"/>
      <c r="Q30" s="1"/>
      <c r="R30" s="1"/>
      <c r="S30" s="1"/>
    </row>
    <row r="31" spans="1:19">
      <c r="A31" s="70"/>
      <c r="B31" s="1"/>
      <c r="C31" s="42"/>
      <c r="D31" s="42"/>
      <c r="E31" s="40"/>
      <c r="F31" s="41"/>
      <c r="G31" s="42"/>
      <c r="H31" s="1"/>
      <c r="I31" s="1"/>
      <c r="J31" s="1"/>
      <c r="K31" s="1"/>
      <c r="N31" s="1"/>
      <c r="O31" s="1"/>
      <c r="P31" s="1"/>
      <c r="Q31" s="1"/>
      <c r="R31" s="1"/>
      <c r="S31" s="1"/>
    </row>
    <row r="32" spans="1:19">
      <c r="A32" s="70"/>
      <c r="B32" s="1"/>
      <c r="C32" s="42"/>
      <c r="D32" s="42"/>
      <c r="E32" s="40"/>
      <c r="F32" s="41"/>
      <c r="G32" s="42"/>
      <c r="H32" s="1"/>
      <c r="I32" s="1"/>
      <c r="J32" s="1"/>
      <c r="K32" s="1"/>
      <c r="N32" s="1"/>
      <c r="O32" s="1"/>
      <c r="P32" s="1"/>
      <c r="Q32" s="1"/>
      <c r="R32" s="1"/>
      <c r="S32" s="1"/>
    </row>
    <row r="33" spans="1:19" ht="15.75" thickBot="1">
      <c r="A33" s="71" t="s">
        <v>7</v>
      </c>
      <c r="B33" s="5"/>
      <c r="C33" s="5"/>
      <c r="D33" s="5"/>
      <c r="E33" s="5"/>
      <c r="F33" s="5"/>
      <c r="G33" s="5"/>
      <c r="H33" s="5"/>
      <c r="I33" s="5"/>
      <c r="J33" s="5"/>
      <c r="K33" s="5"/>
    </row>
    <row r="34" spans="1:19" ht="15.75" thickTop="1">
      <c r="A34" s="72"/>
      <c r="B34"/>
      <c r="C34" s="1"/>
      <c r="D34" s="1"/>
      <c r="E34" s="50">
        <f>+FIND("-",A37)</f>
        <v>41</v>
      </c>
      <c r="F34" s="42"/>
      <c r="G34" s="40"/>
      <c r="H34" s="42"/>
      <c r="I34" s="42"/>
      <c r="J34" s="1"/>
      <c r="K34" s="1"/>
      <c r="N34" s="1"/>
      <c r="O34" s="1"/>
      <c r="P34" s="1"/>
      <c r="Q34" s="1"/>
      <c r="R34" s="1"/>
      <c r="S34" s="1"/>
    </row>
    <row r="35" spans="1:19" s="49" customFormat="1" ht="15">
      <c r="A35" s="73" t="e">
        <f ca="1">_xll.BPGE("1596/4/2",,"cols=1;rows=26")</f>
        <v>#NAME?</v>
      </c>
      <c r="B35" s="21"/>
      <c r="C35" s="49">
        <v>17</v>
      </c>
      <c r="D35" s="49">
        <v>5</v>
      </c>
      <c r="E35" s="50">
        <f>+FIND("-",A40)</f>
        <v>41</v>
      </c>
      <c r="F35" s="50"/>
      <c r="G35" s="63">
        <v>17</v>
      </c>
      <c r="H35" s="50"/>
      <c r="I35" s="50"/>
    </row>
    <row r="36" spans="1:19" ht="15">
      <c r="A36" s="69" t="s">
        <v>141</v>
      </c>
      <c r="B36"/>
      <c r="C36" s="23" t="s">
        <v>55</v>
      </c>
      <c r="D36" s="24" t="s">
        <v>72</v>
      </c>
      <c r="E36" s="25" t="s">
        <v>29</v>
      </c>
      <c r="F36" s="26" t="s">
        <v>30</v>
      </c>
      <c r="G36" s="24" t="s">
        <v>31</v>
      </c>
      <c r="H36" s="42"/>
      <c r="I36" s="24" t="s">
        <v>28</v>
      </c>
      <c r="J36" s="24" t="s">
        <v>32</v>
      </c>
      <c r="K36" s="24" t="s">
        <v>14</v>
      </c>
      <c r="L36" s="24" t="s">
        <v>33</v>
      </c>
      <c r="N36" s="1"/>
      <c r="O36" s="1"/>
      <c r="P36" s="1"/>
      <c r="Q36" s="1"/>
      <c r="R36" s="1"/>
      <c r="S36" s="1"/>
    </row>
    <row r="37" spans="1:19" ht="15">
      <c r="A37" s="69" t="s">
        <v>676</v>
      </c>
      <c r="B37"/>
      <c r="C37" s="37" t="str">
        <f>MID(A37,$C$35,4)</f>
        <v>NV23</v>
      </c>
      <c r="D37" s="27">
        <f>VALUE(MID(A37,$D$35,5))</f>
        <v>114</v>
      </c>
      <c r="E37" s="35" t="str">
        <f>+MID(A37,$E$35-4,4)</f>
        <v xml:space="preserve">    </v>
      </c>
      <c r="F37" s="34" t="str">
        <f>+MID(A37,$E$35+1,4)</f>
        <v xml:space="preserve">    </v>
      </c>
      <c r="G37" s="31">
        <f>IF(C37="","",VALUE(MID(A37,LEN(A37)-$G$35,9)))</f>
        <v>6.37</v>
      </c>
      <c r="H37" s="42"/>
      <c r="I37" s="95" t="str" cm="1">
        <f t="array" ref="I37:I46">+TRANSPOSE(_xlfn.TEXTSPLIT(_xlfn.TEXTJOIN(",",TRUE,C37:C60),","))</f>
        <v>NV23</v>
      </c>
      <c r="J37" s="135" t="str" cm="1">
        <f t="array" ref="J37:J46">+IFERROR(LOWER(LEFT(TRIM(_xlfn.ANCHORARRAY(I37)),2))&amp;VALUE(RIGHT(TRIM(_xlfn.ANCHORARRAY(I37)),2)),VLOOKUP(TRIM(_xlfn.ANCHORARRAY(I37)),N37:O40,2,-1))</f>
        <v>nv23</v>
      </c>
      <c r="K37" s="98" t="str" cm="1">
        <f t="array" ref="K37:K46">+IFERROR(VALUE(IF(VLOOKUP(_xlfn.ANCHORARRAY(I37),$C$37:$G$46,3,0)=0,"",VLOOKUP(_xlfn.ANCHORARRAY($I37),$C$37:$G$46,3,0))),"")</f>
        <v/>
      </c>
      <c r="L37" s="98" t="str" cm="1">
        <f t="array" ref="L37:L46">+IFERROR(VALUE(IF(VLOOKUP(_xlfn.ANCHORARRAY(J37),$C$37:$G$46,4,0)=0,"",VLOOKUP(_xlfn.ANCHORARRAY($I37),$C$37:$G$46,4,0))),"")</f>
        <v/>
      </c>
      <c r="N37" s="1" t="s">
        <v>105</v>
      </c>
      <c r="O37" s="1" t="s">
        <v>106</v>
      </c>
      <c r="P37" s="1"/>
      <c r="Q37" s="1"/>
      <c r="R37" s="1"/>
      <c r="S37" s="1"/>
    </row>
    <row r="38" spans="1:19" ht="15">
      <c r="A38" s="69" t="s">
        <v>677</v>
      </c>
      <c r="B38"/>
      <c r="C38" s="37" t="str">
        <f t="shared" ref="C38:C46" si="5">MID(A38,$C$35,4)</f>
        <v>DC25</v>
      </c>
      <c r="D38" s="27">
        <f t="shared" ref="D38:D46" si="6">VALUE(MID(A38,$D$35,5))</f>
        <v>863</v>
      </c>
      <c r="E38" s="35" t="str">
        <f>+MID(A38,$E$35-4,4)</f>
        <v xml:space="preserve">    </v>
      </c>
      <c r="F38" s="34" t="str">
        <f>+MID(A38,$E$35+1,4)</f>
        <v xml:space="preserve">    </v>
      </c>
      <c r="G38" s="31">
        <f t="shared" ref="G38:G46" si="7">IF(C38="","",VALUE(MID(A38,LEN(A38)-$G$1,9)))</f>
        <v>5.56</v>
      </c>
      <c r="H38" s="42"/>
      <c r="I38" s="95" t="str">
        <v>DC25</v>
      </c>
      <c r="J38" s="135" t="str">
        <v>dc25</v>
      </c>
      <c r="K38" s="98" t="str">
        <v/>
      </c>
      <c r="L38" s="98" t="str">
        <v/>
      </c>
      <c r="N38" s="1" t="s">
        <v>107</v>
      </c>
      <c r="O38" s="1" t="s">
        <v>108</v>
      </c>
      <c r="P38" s="1"/>
      <c r="Q38" s="1"/>
      <c r="R38" s="1"/>
      <c r="S38" s="1"/>
    </row>
    <row r="39" spans="1:19" ht="15">
      <c r="A39" s="69" t="s">
        <v>678</v>
      </c>
      <c r="B39"/>
      <c r="C39" s="37" t="str">
        <f t="shared" si="5"/>
        <v>DC26</v>
      </c>
      <c r="D39" s="27">
        <f t="shared" si="6"/>
        <v>1227</v>
      </c>
      <c r="E39" s="35" t="str">
        <f>+MID(A39,$E$35-4,4)</f>
        <v xml:space="preserve">    </v>
      </c>
      <c r="F39" s="34" t="str">
        <f>+MID(A39,$E$35+1,4)</f>
        <v xml:space="preserve">    </v>
      </c>
      <c r="G39" s="31">
        <f t="shared" si="7"/>
        <v>5.37</v>
      </c>
      <c r="H39" s="42"/>
      <c r="I39" s="95" t="str">
        <v>DC26</v>
      </c>
      <c r="J39" s="135" t="str">
        <v>dc26</v>
      </c>
      <c r="K39" s="98" t="str">
        <v/>
      </c>
      <c r="L39" s="98" t="str">
        <v/>
      </c>
      <c r="N39" s="1" t="s">
        <v>109</v>
      </c>
      <c r="O39" s="1"/>
      <c r="P39" s="1"/>
      <c r="Q39" s="1"/>
      <c r="R39" s="1"/>
      <c r="S39" s="1"/>
    </row>
    <row r="40" spans="1:19" ht="15">
      <c r="A40" s="69" t="s">
        <v>679</v>
      </c>
      <c r="B40"/>
      <c r="C40" s="37" t="str">
        <f t="shared" si="5"/>
        <v>NV28</v>
      </c>
      <c r="D40" s="27">
        <f t="shared" si="6"/>
        <v>1955</v>
      </c>
      <c r="E40" s="35" t="str">
        <f t="shared" ref="E40:E46" si="8">+MID(A40,$E$35-4,4)</f>
        <v xml:space="preserve">    </v>
      </c>
      <c r="F40" s="36" t="str">
        <f t="shared" ref="F40:F46" si="9">+MID(A40,$E$35+1,4)</f>
        <v xml:space="preserve">    </v>
      </c>
      <c r="G40" s="31">
        <f t="shared" si="7"/>
        <v>4.58</v>
      </c>
      <c r="H40" s="42"/>
      <c r="I40" s="95" t="str">
        <v>NV28</v>
      </c>
      <c r="J40" s="135" t="str">
        <v>nv28</v>
      </c>
      <c r="K40" s="98" t="str">
        <v/>
      </c>
      <c r="L40" s="98" t="str">
        <v/>
      </c>
      <c r="N40" s="1" t="s">
        <v>110</v>
      </c>
      <c r="O40" s="1"/>
      <c r="P40" s="1"/>
      <c r="Q40" s="1"/>
      <c r="R40" s="1"/>
      <c r="S40" s="1"/>
    </row>
    <row r="41" spans="1:19" ht="15">
      <c r="A41" s="69" t="s">
        <v>680</v>
      </c>
      <c r="B41"/>
      <c r="C41" s="37" t="str">
        <f t="shared" si="5"/>
        <v>NV31</v>
      </c>
      <c r="D41" s="27">
        <f t="shared" si="6"/>
        <v>3047</v>
      </c>
      <c r="E41" s="35" t="str">
        <f t="shared" si="8"/>
        <v xml:space="preserve">    </v>
      </c>
      <c r="F41" s="34" t="str">
        <f t="shared" si="9"/>
        <v xml:space="preserve">    </v>
      </c>
      <c r="G41" s="31">
        <f t="shared" si="7"/>
        <v>4.45</v>
      </c>
      <c r="H41" s="42"/>
      <c r="I41" s="95" t="str">
        <v>NV31</v>
      </c>
      <c r="J41" s="135" t="str">
        <v>nv31</v>
      </c>
      <c r="K41" s="98" t="str">
        <v/>
      </c>
      <c r="L41" s="98" t="str">
        <v/>
      </c>
      <c r="N41" s="1"/>
      <c r="O41" s="1"/>
      <c r="P41" s="1"/>
      <c r="Q41" s="1"/>
      <c r="R41" s="1"/>
      <c r="S41" s="1"/>
    </row>
    <row r="42" spans="1:19" ht="15">
      <c r="A42" s="69" t="s">
        <v>681</v>
      </c>
      <c r="B42"/>
      <c r="C42" s="37" t="str">
        <f t="shared" si="5"/>
        <v>NV35</v>
      </c>
      <c r="D42" s="27">
        <f t="shared" si="6"/>
        <v>4503</v>
      </c>
      <c r="E42" s="35" t="str">
        <f t="shared" si="8"/>
        <v xml:space="preserve">    </v>
      </c>
      <c r="F42" s="36" t="str">
        <f t="shared" si="9"/>
        <v xml:space="preserve">    </v>
      </c>
      <c r="G42" s="31">
        <f t="shared" si="7"/>
        <v>4.2699999999999996</v>
      </c>
      <c r="H42" s="42"/>
      <c r="I42" s="95" t="str">
        <v>NV35</v>
      </c>
      <c r="J42" s="135" t="str">
        <v>nv35</v>
      </c>
      <c r="K42" s="98" t="str">
        <v/>
      </c>
      <c r="L42" s="98" t="str">
        <v/>
      </c>
      <c r="N42" s="1"/>
      <c r="O42" s="1"/>
      <c r="P42" s="1"/>
      <c r="Q42" s="1"/>
      <c r="R42" s="1"/>
      <c r="S42" s="1"/>
    </row>
    <row r="43" spans="1:19" ht="15">
      <c r="A43" s="69" t="s">
        <v>683</v>
      </c>
      <c r="B43"/>
      <c r="C43" s="37" t="str">
        <f t="shared" si="5"/>
        <v>NV40</v>
      </c>
      <c r="D43" s="27">
        <f t="shared" si="6"/>
        <v>6323</v>
      </c>
      <c r="E43" s="35" t="str">
        <f t="shared" si="8"/>
        <v xml:space="preserve">    </v>
      </c>
      <c r="F43" s="34" t="str">
        <f t="shared" si="9"/>
        <v xml:space="preserve">    </v>
      </c>
      <c r="G43" s="31">
        <f t="shared" si="7"/>
        <v>4.34</v>
      </c>
      <c r="H43" s="42"/>
      <c r="I43" s="95" t="str">
        <v>NV40</v>
      </c>
      <c r="J43" s="135" t="str">
        <v>nv40</v>
      </c>
      <c r="K43" s="98" t="str">
        <v/>
      </c>
      <c r="L43" s="98" t="str">
        <v/>
      </c>
      <c r="N43" s="1"/>
      <c r="O43" s="1"/>
      <c r="P43" s="1"/>
      <c r="Q43" s="1"/>
      <c r="R43" s="1"/>
      <c r="S43" s="1"/>
    </row>
    <row r="44" spans="1:19" ht="15">
      <c r="A44" s="69" t="s">
        <v>684</v>
      </c>
      <c r="B44"/>
      <c r="C44" s="37" t="str">
        <f t="shared" si="5"/>
        <v>NV43</v>
      </c>
      <c r="D44" s="27">
        <f t="shared" si="6"/>
        <v>7415</v>
      </c>
      <c r="E44" s="35" t="str">
        <f t="shared" si="8"/>
        <v xml:space="preserve">    </v>
      </c>
      <c r="F44" s="36" t="str">
        <f t="shared" si="9"/>
        <v xml:space="preserve">    </v>
      </c>
      <c r="G44" s="31">
        <f t="shared" si="7"/>
        <v>4.43</v>
      </c>
      <c r="H44" s="42"/>
      <c r="I44" s="95" t="str">
        <v>NV43</v>
      </c>
      <c r="J44" s="135" t="str">
        <v>nv43</v>
      </c>
      <c r="K44" s="98" t="str">
        <v/>
      </c>
      <c r="L44" s="98" t="str">
        <v/>
      </c>
      <c r="N44" s="1"/>
      <c r="O44" s="1"/>
      <c r="P44" s="1"/>
      <c r="Q44" s="1"/>
      <c r="R44" s="1"/>
      <c r="S44" s="1"/>
    </row>
    <row r="45" spans="1:19" ht="15">
      <c r="A45" s="69" t="s">
        <v>685</v>
      </c>
      <c r="B45"/>
      <c r="C45" s="37" t="str">
        <f t="shared" si="5"/>
        <v>NV46</v>
      </c>
      <c r="D45" s="27">
        <f t="shared" si="6"/>
        <v>8507</v>
      </c>
      <c r="E45" s="35" t="str">
        <f t="shared" si="8"/>
        <v xml:space="preserve">    </v>
      </c>
      <c r="F45" s="34" t="str">
        <f t="shared" si="9"/>
        <v xml:space="preserve">    </v>
      </c>
      <c r="G45" s="31">
        <f t="shared" si="7"/>
        <v>4.42</v>
      </c>
      <c r="H45" s="42"/>
      <c r="I45" s="95" t="str">
        <v>NV46</v>
      </c>
      <c r="J45" s="135" t="str">
        <v>nv46</v>
      </c>
      <c r="K45" s="98" t="str">
        <v/>
      </c>
      <c r="L45" s="98" t="str">
        <v/>
      </c>
      <c r="N45" s="1"/>
      <c r="O45" s="1"/>
      <c r="P45" s="1"/>
      <c r="Q45" s="1"/>
      <c r="R45" s="1"/>
      <c r="S45" s="1"/>
    </row>
    <row r="46" spans="1:19" ht="15">
      <c r="A46" s="69" t="s">
        <v>686</v>
      </c>
      <c r="B46"/>
      <c r="C46" s="37" t="str">
        <f t="shared" si="5"/>
        <v>NV50</v>
      </c>
      <c r="D46" s="27">
        <f t="shared" si="6"/>
        <v>9963</v>
      </c>
      <c r="E46" s="35" t="str">
        <f t="shared" si="8"/>
        <v xml:space="preserve">    </v>
      </c>
      <c r="F46" s="34" t="str">
        <f t="shared" si="9"/>
        <v xml:space="preserve">    </v>
      </c>
      <c r="G46" s="31">
        <f t="shared" si="7"/>
        <v>4.4400000000000004</v>
      </c>
      <c r="H46" s="42"/>
      <c r="I46" s="95" t="str">
        <v>NV50</v>
      </c>
      <c r="J46" s="135" t="str">
        <v>nv50</v>
      </c>
      <c r="K46" s="98" t="str">
        <v/>
      </c>
      <c r="L46" s="98" t="str">
        <v/>
      </c>
      <c r="N46" s="1"/>
      <c r="O46" s="1"/>
      <c r="P46" s="1"/>
      <c r="Q46" s="1"/>
      <c r="R46" s="1"/>
      <c r="S46" s="1"/>
    </row>
    <row r="47" spans="1:19" ht="15">
      <c r="A47" s="69" t="s">
        <v>142</v>
      </c>
      <c r="B47"/>
      <c r="C47" s="1"/>
      <c r="D47" s="1"/>
      <c r="E47" s="42"/>
      <c r="F47" s="42"/>
      <c r="G47" s="40"/>
      <c r="H47" s="42"/>
      <c r="I47" s="95"/>
      <c r="J47" s="135"/>
      <c r="K47" s="98"/>
      <c r="L47" s="98"/>
      <c r="N47" s="1"/>
      <c r="O47" s="1"/>
      <c r="P47" s="1"/>
      <c r="Q47" s="1"/>
      <c r="R47" s="1"/>
      <c r="S47" s="1"/>
    </row>
    <row r="48" spans="1:19" ht="15">
      <c r="A48" s="69" t="s">
        <v>869</v>
      </c>
      <c r="B48"/>
      <c r="C48" s="1"/>
      <c r="D48" s="1"/>
      <c r="E48" s="42"/>
      <c r="F48" s="42"/>
      <c r="G48" s="40"/>
      <c r="H48" s="42"/>
      <c r="I48" s="95"/>
      <c r="J48" s="135"/>
      <c r="K48" s="98"/>
      <c r="L48" s="98"/>
      <c r="N48" s="1"/>
      <c r="O48" s="1"/>
      <c r="P48" s="1"/>
      <c r="Q48" s="1"/>
      <c r="R48" s="1"/>
      <c r="S48" s="1"/>
    </row>
    <row r="49" spans="1:19" ht="15">
      <c r="A49" s="69" t="s">
        <v>569</v>
      </c>
      <c r="B49"/>
      <c r="C49" s="1"/>
      <c r="D49" s="1"/>
      <c r="E49" s="42"/>
      <c r="F49" s="42"/>
      <c r="G49" s="40"/>
      <c r="H49" s="42"/>
      <c r="I49" s="95"/>
      <c r="J49" s="135"/>
      <c r="K49" s="98"/>
      <c r="L49" s="98"/>
      <c r="N49" s="1"/>
      <c r="O49" s="1"/>
      <c r="P49" s="1"/>
      <c r="Q49" s="1"/>
      <c r="R49" s="1"/>
      <c r="S49" s="1"/>
    </row>
    <row r="50" spans="1:19" ht="15">
      <c r="A50" s="69" t="s">
        <v>143</v>
      </c>
      <c r="B50"/>
      <c r="C50" s="1"/>
      <c r="D50" s="1"/>
      <c r="E50" s="42"/>
      <c r="F50" s="42"/>
      <c r="G50" s="40"/>
      <c r="H50" s="42"/>
      <c r="I50" s="95"/>
      <c r="J50" s="135"/>
      <c r="K50" s="98"/>
      <c r="L50" s="98"/>
      <c r="N50" s="1"/>
      <c r="O50" s="1"/>
      <c r="P50" s="1"/>
      <c r="Q50" s="1"/>
      <c r="R50" s="1"/>
      <c r="S50" s="1"/>
    </row>
    <row r="51" spans="1:19" ht="15">
      <c r="A51" s="69" t="s">
        <v>833</v>
      </c>
      <c r="B51"/>
      <c r="C51" s="1"/>
      <c r="D51" s="1"/>
      <c r="E51" s="42"/>
      <c r="F51" s="42"/>
      <c r="G51" s="40"/>
      <c r="H51" s="42"/>
      <c r="I51" s="95"/>
      <c r="J51" s="135"/>
      <c r="K51" s="98"/>
      <c r="L51" s="98"/>
      <c r="N51" s="1"/>
      <c r="O51" s="1"/>
      <c r="P51" s="1"/>
      <c r="Q51" s="1"/>
      <c r="R51" s="1"/>
      <c r="S51" s="1"/>
    </row>
    <row r="52" spans="1:19" ht="15">
      <c r="A52" s="69" t="s">
        <v>832</v>
      </c>
      <c r="B52"/>
      <c r="C52" s="1"/>
      <c r="D52" s="1"/>
      <c r="E52" s="42"/>
      <c r="F52" s="42"/>
      <c r="G52" s="40"/>
      <c r="H52" s="42"/>
      <c r="I52" s="95"/>
      <c r="J52" s="135"/>
      <c r="K52" s="98"/>
      <c r="L52" s="98"/>
      <c r="N52" s="1"/>
      <c r="O52" s="1"/>
      <c r="P52" s="1"/>
      <c r="Q52" s="1"/>
      <c r="R52" s="1"/>
      <c r="S52" s="1"/>
    </row>
    <row r="53" spans="1:19" ht="15">
      <c r="A53" s="69" t="s">
        <v>570</v>
      </c>
      <c r="B53"/>
      <c r="C53" s="1"/>
      <c r="D53" s="1"/>
      <c r="E53" s="42"/>
      <c r="F53" s="42"/>
      <c r="G53" s="40"/>
      <c r="H53" s="42"/>
      <c r="I53" s="42"/>
      <c r="J53" s="1"/>
      <c r="K53" s="1"/>
      <c r="N53" s="1"/>
      <c r="O53" s="1"/>
      <c r="P53" s="1"/>
      <c r="Q53" s="1"/>
      <c r="R53" s="1"/>
      <c r="S53" s="1"/>
    </row>
    <row r="54" spans="1:19" ht="15">
      <c r="A54" s="69" t="s">
        <v>571</v>
      </c>
      <c r="B54"/>
      <c r="C54" s="1"/>
      <c r="D54" s="1"/>
      <c r="E54" s="42"/>
      <c r="F54" s="42"/>
      <c r="G54" s="40"/>
      <c r="H54" s="42"/>
      <c r="I54" s="42"/>
      <c r="J54" s="1"/>
      <c r="K54" s="1"/>
      <c r="N54" s="1"/>
      <c r="O54" s="1"/>
      <c r="P54" s="1"/>
      <c r="Q54" s="1"/>
      <c r="R54" s="1"/>
      <c r="S54" s="1"/>
    </row>
    <row r="55" spans="1:19" ht="15">
      <c r="A55" s="69" t="s">
        <v>572</v>
      </c>
      <c r="B55"/>
      <c r="C55" s="1"/>
      <c r="D55" s="1"/>
      <c r="E55" s="42"/>
      <c r="F55" s="42"/>
      <c r="G55" s="40"/>
      <c r="H55" s="42"/>
      <c r="I55" s="42"/>
      <c r="J55" s="1"/>
      <c r="K55" s="1"/>
      <c r="N55" s="1"/>
      <c r="O55" s="1"/>
      <c r="P55" s="1"/>
      <c r="Q55" s="1"/>
      <c r="R55" s="1"/>
      <c r="S55" s="1"/>
    </row>
    <row r="56" spans="1:19" ht="15">
      <c r="A56" s="69" t="s">
        <v>573</v>
      </c>
      <c r="B56"/>
      <c r="C56" s="1"/>
      <c r="D56" s="1"/>
      <c r="E56" s="42"/>
      <c r="F56" s="42"/>
      <c r="G56" s="40"/>
      <c r="H56" s="42"/>
      <c r="I56" s="42"/>
      <c r="J56" s="1"/>
      <c r="K56" s="1"/>
      <c r="N56" s="1"/>
      <c r="O56" s="1"/>
      <c r="P56" s="1"/>
      <c r="Q56" s="1"/>
      <c r="R56" s="1"/>
      <c r="S56" s="1"/>
    </row>
    <row r="57" spans="1:19" ht="15">
      <c r="A57" s="69" t="s">
        <v>825</v>
      </c>
      <c r="B57"/>
      <c r="C57" s="1"/>
      <c r="D57" s="1"/>
      <c r="E57" s="42"/>
      <c r="F57" s="42"/>
      <c r="G57" s="40"/>
      <c r="H57" s="42"/>
      <c r="I57" s="42"/>
      <c r="J57" s="1"/>
      <c r="K57" s="1"/>
      <c r="N57" s="1"/>
      <c r="O57" s="1"/>
      <c r="P57" s="1"/>
      <c r="Q57" s="1"/>
      <c r="R57" s="1"/>
      <c r="S57" s="1"/>
    </row>
    <row r="58" spans="1:19" ht="15">
      <c r="A58" s="69" t="s">
        <v>824</v>
      </c>
      <c r="B58"/>
      <c r="C58" s="1"/>
      <c r="D58" s="1"/>
      <c r="E58" s="42"/>
      <c r="F58" s="42"/>
      <c r="G58" s="40"/>
      <c r="H58" s="42"/>
      <c r="I58" s="42"/>
      <c r="J58" s="1"/>
      <c r="K58" s="1"/>
      <c r="N58" s="1"/>
      <c r="O58" s="1"/>
      <c r="P58" s="1"/>
      <c r="Q58" s="1"/>
      <c r="R58" s="1"/>
      <c r="S58" s="1"/>
    </row>
    <row r="59" spans="1:19" ht="15">
      <c r="A59" s="69" t="s">
        <v>828</v>
      </c>
      <c r="B59"/>
      <c r="C59" s="1"/>
      <c r="D59" s="1"/>
      <c r="E59" s="42"/>
      <c r="F59" s="42"/>
      <c r="G59" s="40"/>
      <c r="H59" s="42"/>
      <c r="I59" s="42"/>
      <c r="J59" s="1"/>
      <c r="K59" s="1"/>
      <c r="N59" s="1"/>
      <c r="O59" s="1"/>
      <c r="P59" s="1"/>
      <c r="Q59" s="1"/>
      <c r="R59" s="1"/>
      <c r="S59" s="1"/>
    </row>
    <row r="60" spans="1:19" ht="15">
      <c r="A60" s="69" t="s">
        <v>827</v>
      </c>
      <c r="B60"/>
      <c r="C60" s="1"/>
      <c r="D60" s="1"/>
      <c r="E60" s="42"/>
      <c r="F60" s="42"/>
      <c r="G60" s="40"/>
      <c r="H60" s="42"/>
      <c r="I60" s="42"/>
      <c r="J60" s="1"/>
      <c r="K60" s="1"/>
      <c r="N60" s="1"/>
      <c r="O60" s="1"/>
      <c r="P60" s="1"/>
      <c r="Q60" s="1"/>
      <c r="R60" s="1"/>
      <c r="S60" s="1"/>
    </row>
    <row r="61" spans="1:19">
      <c r="A61" s="70"/>
      <c r="C61" s="1"/>
      <c r="D61" s="1"/>
      <c r="E61" s="42"/>
      <c r="F61" s="42"/>
      <c r="G61" s="40"/>
      <c r="H61" s="42"/>
      <c r="I61" s="42"/>
      <c r="J61" s="1"/>
      <c r="K61" s="1"/>
      <c r="N61" s="1"/>
      <c r="O61" s="1"/>
      <c r="P61" s="1"/>
      <c r="Q61" s="1"/>
      <c r="R61" s="1"/>
      <c r="S61" s="1"/>
    </row>
    <row r="62" spans="1:19">
      <c r="A62" s="70"/>
      <c r="C62" s="1"/>
      <c r="D62" s="1"/>
      <c r="E62" s="42"/>
      <c r="F62" s="42"/>
      <c r="G62" s="40"/>
      <c r="H62" s="42"/>
      <c r="I62" s="42"/>
      <c r="J62" s="1"/>
      <c r="K62" s="1"/>
      <c r="N62" s="1"/>
      <c r="O62" s="1"/>
      <c r="P62" s="1"/>
      <c r="Q62" s="1"/>
      <c r="R62" s="1"/>
      <c r="S62" s="1"/>
    </row>
    <row r="63" spans="1:19">
      <c r="A63" s="70"/>
      <c r="C63" s="1"/>
      <c r="D63" s="1"/>
      <c r="E63" s="42"/>
      <c r="F63" s="42"/>
      <c r="G63" s="40"/>
      <c r="H63" s="42"/>
      <c r="I63" s="42"/>
      <c r="J63" s="1"/>
      <c r="K63" s="1"/>
      <c r="N63" s="1"/>
      <c r="O63" s="1"/>
      <c r="P63" s="1"/>
      <c r="Q63" s="1"/>
      <c r="R63" s="1"/>
      <c r="S63" s="1"/>
    </row>
    <row r="64" spans="1:19">
      <c r="A64" s="70"/>
    </row>
    <row r="65" spans="1:30">
      <c r="A65" s="70"/>
    </row>
    <row r="66" spans="1:30" ht="15.75" thickBot="1">
      <c r="A66" s="74" t="s">
        <v>7</v>
      </c>
      <c r="L66" s="2"/>
      <c r="M66" s="2"/>
      <c r="N66" s="2"/>
      <c r="O66" s="2"/>
    </row>
    <row r="67" spans="1:30" s="49" customFormat="1" ht="15.75" thickTop="1">
      <c r="A67" s="75" t="e">
        <f ca="1">_xll.BPGE("1596/25/ 1",,"cols=1;rows=26")</f>
        <v>#NAME?</v>
      </c>
      <c r="B67" s="53">
        <f>+LEN(A68)/2</f>
        <v>40</v>
      </c>
      <c r="C67" s="53">
        <f>+B67*2</f>
        <v>80</v>
      </c>
      <c r="E67" s="53"/>
      <c r="F67" s="53"/>
      <c r="G67" s="53">
        <v>35</v>
      </c>
      <c r="H67" s="53"/>
      <c r="I67" s="53"/>
      <c r="J67" s="53"/>
      <c r="K67" s="53"/>
      <c r="L67" s="53"/>
      <c r="M67" s="53"/>
      <c r="N67" s="53"/>
      <c r="O67" s="53"/>
      <c r="P67" s="63"/>
      <c r="Q67" s="64"/>
      <c r="R67" s="50"/>
      <c r="S67" s="50"/>
    </row>
    <row r="68" spans="1:30" ht="15">
      <c r="A68" s="69" t="s">
        <v>847</v>
      </c>
      <c r="B68" s="78" t="str">
        <f>+MID($A68,1,B$67)</f>
        <v xml:space="preserve">             TIIE SWAPS SEF             </v>
      </c>
      <c r="C68" s="69" t="str">
        <f>+MID(B68,1,$B$2)</f>
        <v/>
      </c>
      <c r="D68" s="79" t="s">
        <v>57</v>
      </c>
      <c r="E68" s="80"/>
      <c r="F68" s="80"/>
      <c r="G68" s="81"/>
      <c r="H68"/>
      <c r="L68" s="2"/>
      <c r="M68" s="2"/>
      <c r="N68" s="2"/>
      <c r="O68" s="2"/>
      <c r="W68" s="84" t="s">
        <v>176</v>
      </c>
      <c r="X68" s="84" t="s">
        <v>70</v>
      </c>
      <c r="Y68" s="84" t="s">
        <v>64</v>
      </c>
      <c r="Z68" s="84" t="s">
        <v>65</v>
      </c>
      <c r="AA68" s="84" t="s">
        <v>66</v>
      </c>
      <c r="AB68" s="84" t="s">
        <v>67</v>
      </c>
      <c r="AC68" s="84" t="s">
        <v>68</v>
      </c>
      <c r="AD68" s="84" t="s">
        <v>69</v>
      </c>
    </row>
    <row r="69" spans="1:30" ht="15">
      <c r="A69" s="69" t="s">
        <v>790</v>
      </c>
      <c r="B69" s="78" t="str">
        <f t="shared" ref="B69:B92" si="10">+MID($A69,1,B$67)</f>
        <v xml:space="preserve">3X1       11.47/11.51   1600x1600 11.5  </v>
      </c>
      <c r="C69" s="69" t="str">
        <f t="shared" ref="C69:C83" si="11">+MID(B69,1,$B$2)</f>
        <v/>
      </c>
      <c r="D69" s="24" t="s">
        <v>55</v>
      </c>
      <c r="E69" s="24" t="s">
        <v>29</v>
      </c>
      <c r="F69" s="24" t="s">
        <v>30</v>
      </c>
      <c r="G69" s="24" t="s">
        <v>58</v>
      </c>
      <c r="I69" s="82" t="s">
        <v>28</v>
      </c>
      <c r="J69" s="24" t="s">
        <v>14</v>
      </c>
      <c r="K69" s="24" t="s">
        <v>33</v>
      </c>
      <c r="L69" s="2"/>
      <c r="M69" s="2"/>
      <c r="N69" s="2"/>
      <c r="O69" s="2"/>
      <c r="W69" s="1" t="s">
        <v>196</v>
      </c>
      <c r="X69" s="1" t="s">
        <v>196</v>
      </c>
      <c r="Y69" s="1" t="str">
        <f>MID($W69,1,IFERROR(FIND("M",$W69),FIND("Y",$W69)))</f>
        <v>3M</v>
      </c>
      <c r="Z69" s="1" t="str">
        <f>MID($X69,LEN(Y69)+2,IFERROR(FIND("M",$X69,LEN(Y69)+1),FIND("Y",$X69,LEN(Y69)+1))-LEN(Y69)-1)</f>
        <v>6M</v>
      </c>
      <c r="AA69" s="1" t="str">
        <f>MID($X69,LEN(Z69)+LEN(Y69)+3,LEN(X69)-(LEN(Z69)+LEN(Y69)+1))</f>
        <v/>
      </c>
      <c r="AB69" s="85">
        <f t="shared" ref="AB69:AD89" si="12">+IFERROR(IF(IFERROR(FIND("M",Y69)&gt;0,FALSE),_xlfn.NUMBERVALUE(MID(Y69,1,LEN(Y69)-1)),MID(Y69,1,LEN(Y69)-1)*13),"")</f>
        <v>3</v>
      </c>
      <c r="AC69" s="85">
        <f t="shared" si="12"/>
        <v>6</v>
      </c>
      <c r="AD69" s="85" t="str">
        <f t="shared" si="12"/>
        <v/>
      </c>
    </row>
    <row r="70" spans="1:30" ht="15">
      <c r="A70" s="69" t="s">
        <v>849</v>
      </c>
      <c r="B70" s="78" t="str">
        <f t="shared" si="10"/>
        <v xml:space="preserve">6X1       11.38/11.43   1000x2000 11.42 </v>
      </c>
      <c r="C70" s="69" t="str">
        <f t="shared" si="11"/>
        <v/>
      </c>
      <c r="D70" t="str">
        <f>+MID(B69,1,FIND("X",A69)+1)</f>
        <v>3X1</v>
      </c>
      <c r="E70">
        <f>+_xlfn.NUMBERVALUE(MID(B69,LEN(D70)+1,FIND("/",B69)-LEN(D70)-1))</f>
        <v>11.47</v>
      </c>
      <c r="F70">
        <f>+_xlfn.NUMBERVALUE(MID(B69,FIND("/",B69)+1,8))</f>
        <v>11.51</v>
      </c>
      <c r="G70">
        <f>+_xlfn.NUMBERVALUE(MID(B69,$G$67,7))</f>
        <v>11.5</v>
      </c>
      <c r="I70" s="83" cm="1">
        <f t="array" ref="I70:I82">+_xlfn.NUMBERVALUE(MID(D70:D82,1,FIND("X",D70:D82)-1))</f>
        <v>3</v>
      </c>
      <c r="J70" cm="1">
        <f t="array" ref="J70:J84">+IF(E70:E84=0,"",E70:E84)</f>
        <v>11.47</v>
      </c>
      <c r="K70" cm="1">
        <f t="array" ref="K70:K84">+IF(F70:F84=0,"",F70:F84)</f>
        <v>11.51</v>
      </c>
      <c r="L70" s="2"/>
      <c r="M70" s="2"/>
      <c r="N70" s="2"/>
      <c r="O70" s="2"/>
      <c r="W70" s="1" t="s">
        <v>198</v>
      </c>
      <c r="X70" s="1" t="s">
        <v>198</v>
      </c>
      <c r="Y70" s="1" t="str">
        <f t="shared" ref="Y70:Y91" si="13">MID($W70,1,IFERROR(FIND("M",$W70),FIND("Y",$W70)))</f>
        <v>6M</v>
      </c>
      <c r="Z70" s="1" t="str">
        <f t="shared" ref="Z70:Z89" si="14">MID($X70,LEN(Y70)+2,IFERROR(FIND("M",$X70,LEN(Y70)+1),FIND("Y",$X70,LEN(Y70)+1))-LEN(Y70)-1)</f>
        <v>9M</v>
      </c>
      <c r="AA70" s="1" t="str">
        <f t="shared" ref="AA70:AA89" si="15">MID($X70,LEN(Z70)+LEN(Y70)+3,LEN(X70)-(LEN(Z70)+LEN(Y70)+1))</f>
        <v/>
      </c>
      <c r="AB70" s="85">
        <f t="shared" si="12"/>
        <v>6</v>
      </c>
      <c r="AC70" s="85">
        <f t="shared" si="12"/>
        <v>9</v>
      </c>
      <c r="AD70" s="85" t="str">
        <f t="shared" si="12"/>
        <v/>
      </c>
    </row>
    <row r="71" spans="1:30" ht="15">
      <c r="A71" s="69" t="s">
        <v>850</v>
      </c>
      <c r="B71" s="78" t="str">
        <f t="shared" si="10"/>
        <v xml:space="preserve">9X1       11.21/11.28    570x570  11.26 </v>
      </c>
      <c r="C71" s="69" t="str">
        <f t="shared" si="11"/>
        <v/>
      </c>
      <c r="D71" t="str">
        <f t="shared" ref="D71:D82" si="16">+MID(B70,1,FIND("X",A70)+1)</f>
        <v>6X1</v>
      </c>
      <c r="E71">
        <f t="shared" ref="E71:E82" si="17">+_xlfn.NUMBERVALUE(MID(B70,LEN(D71)+1,FIND("/",B70)-LEN(D71)-1))</f>
        <v>11.38</v>
      </c>
      <c r="F71">
        <f t="shared" ref="F71:F82" si="18">+_xlfn.NUMBERVALUE(MID(B70,FIND("/",B70)+1,8))</f>
        <v>11.43</v>
      </c>
      <c r="G71">
        <f t="shared" ref="G71:G82" si="19">+_xlfn.NUMBERVALUE(MID(B70,$G$67,7))</f>
        <v>11.42</v>
      </c>
      <c r="I71" s="83">
        <v>6</v>
      </c>
      <c r="J71">
        <v>11.38</v>
      </c>
      <c r="K71">
        <v>11.43</v>
      </c>
      <c r="L71" s="2"/>
      <c r="M71" s="2"/>
      <c r="N71" s="2"/>
      <c r="O71" s="2"/>
      <c r="W71" s="1" t="s">
        <v>200</v>
      </c>
      <c r="X71" s="1" t="s">
        <v>200</v>
      </c>
      <c r="Y71" s="1" t="str">
        <f t="shared" si="13"/>
        <v>9M</v>
      </c>
      <c r="Z71" s="1" t="str">
        <f t="shared" si="14"/>
        <v>1Y</v>
      </c>
      <c r="AA71" s="1" t="str">
        <f t="shared" si="15"/>
        <v/>
      </c>
      <c r="AB71" s="85">
        <f t="shared" si="12"/>
        <v>9</v>
      </c>
      <c r="AC71" s="85">
        <f t="shared" si="12"/>
        <v>13</v>
      </c>
      <c r="AD71" s="85" t="str">
        <f t="shared" si="12"/>
        <v/>
      </c>
    </row>
    <row r="72" spans="1:30" ht="15">
      <c r="A72" s="69" t="s">
        <v>851</v>
      </c>
      <c r="B72" s="78" t="str">
        <f t="shared" si="10"/>
        <v xml:space="preserve">13X1      10.86/10.93    400x400  10.92 </v>
      </c>
      <c r="C72" s="69" t="str">
        <f t="shared" si="11"/>
        <v/>
      </c>
      <c r="D72" t="str">
        <f t="shared" si="16"/>
        <v>9X1</v>
      </c>
      <c r="E72">
        <f t="shared" si="17"/>
        <v>11.21</v>
      </c>
      <c r="F72">
        <f t="shared" si="18"/>
        <v>11.28</v>
      </c>
      <c r="G72">
        <f t="shared" si="19"/>
        <v>11.26</v>
      </c>
      <c r="I72" s="83">
        <v>9</v>
      </c>
      <c r="J72">
        <v>11.21</v>
      </c>
      <c r="K72">
        <v>11.28</v>
      </c>
      <c r="L72" s="2"/>
      <c r="M72" s="2"/>
      <c r="N72" s="2"/>
      <c r="O72" s="2"/>
      <c r="W72" s="1" t="s">
        <v>202</v>
      </c>
      <c r="X72" s="1" t="s">
        <v>202</v>
      </c>
      <c r="Y72" s="1" t="str">
        <f t="shared" si="13"/>
        <v>1Y</v>
      </c>
      <c r="Z72" s="1" t="str">
        <f t="shared" si="14"/>
        <v>2Y</v>
      </c>
      <c r="AA72" s="1" t="str">
        <f t="shared" si="15"/>
        <v/>
      </c>
      <c r="AB72" s="85">
        <f t="shared" si="12"/>
        <v>13</v>
      </c>
      <c r="AC72" s="85">
        <f t="shared" si="12"/>
        <v>26</v>
      </c>
      <c r="AD72" s="85" t="str">
        <f t="shared" si="12"/>
        <v/>
      </c>
    </row>
    <row r="73" spans="1:30" ht="15">
      <c r="A73" s="69" t="s">
        <v>852</v>
      </c>
      <c r="B73" s="78" t="str">
        <f t="shared" si="10"/>
        <v xml:space="preserve">26X1           /            x     9.655 </v>
      </c>
      <c r="C73" s="69" t="str">
        <f t="shared" si="11"/>
        <v/>
      </c>
      <c r="D73" t="str">
        <f t="shared" si="16"/>
        <v>13X1</v>
      </c>
      <c r="E73">
        <f t="shared" si="17"/>
        <v>10.86</v>
      </c>
      <c r="F73">
        <f t="shared" si="18"/>
        <v>10.93</v>
      </c>
      <c r="G73">
        <f t="shared" si="19"/>
        <v>10.92</v>
      </c>
      <c r="I73" s="83">
        <v>13</v>
      </c>
      <c r="J73">
        <v>10.86</v>
      </c>
      <c r="K73">
        <v>10.93</v>
      </c>
      <c r="L73" s="2"/>
      <c r="M73" s="2"/>
      <c r="N73" s="2"/>
      <c r="O73" s="2"/>
      <c r="W73" s="1" t="s">
        <v>206</v>
      </c>
      <c r="X73" s="1" t="s">
        <v>206</v>
      </c>
      <c r="Y73" s="1" t="str">
        <f t="shared" si="13"/>
        <v>2Y</v>
      </c>
      <c r="Z73" s="1" t="str">
        <f t="shared" si="14"/>
        <v>3Y</v>
      </c>
      <c r="AA73" s="1" t="str">
        <f t="shared" si="15"/>
        <v/>
      </c>
      <c r="AB73" s="85">
        <f t="shared" si="12"/>
        <v>26</v>
      </c>
      <c r="AC73" s="85">
        <f t="shared" si="12"/>
        <v>39</v>
      </c>
      <c r="AD73" s="85" t="str">
        <f t="shared" si="12"/>
        <v/>
      </c>
    </row>
    <row r="74" spans="1:30" ht="15">
      <c r="A74" s="69" t="s">
        <v>853</v>
      </c>
      <c r="B74" s="78" t="str">
        <f t="shared" si="10"/>
        <v xml:space="preserve">39X1           /            x     8.945 </v>
      </c>
      <c r="C74" s="69" t="str">
        <f t="shared" si="11"/>
        <v/>
      </c>
      <c r="D74" t="str">
        <f t="shared" si="16"/>
        <v>26X1</v>
      </c>
      <c r="E74">
        <f t="shared" si="17"/>
        <v>0</v>
      </c>
      <c r="F74">
        <f t="shared" si="18"/>
        <v>0</v>
      </c>
      <c r="G74">
        <f t="shared" si="19"/>
        <v>9.6549999999999994</v>
      </c>
      <c r="I74" s="83">
        <v>26</v>
      </c>
      <c r="J74" t="str">
        <v/>
      </c>
      <c r="K74" t="str">
        <v/>
      </c>
      <c r="L74" s="2"/>
      <c r="M74" s="2"/>
      <c r="N74" s="2"/>
      <c r="O74" s="2"/>
      <c r="W74" s="1" t="s">
        <v>214</v>
      </c>
      <c r="X74" s="1" t="s">
        <v>214</v>
      </c>
      <c r="Y74" s="1" t="str">
        <f t="shared" si="13"/>
        <v>3Y</v>
      </c>
      <c r="Z74" s="1" t="str">
        <f t="shared" si="14"/>
        <v>4Y</v>
      </c>
      <c r="AA74" s="1" t="str">
        <f t="shared" si="15"/>
        <v/>
      </c>
      <c r="AB74" s="85">
        <f t="shared" si="12"/>
        <v>39</v>
      </c>
      <c r="AC74" s="85">
        <f t="shared" si="12"/>
        <v>52</v>
      </c>
      <c r="AD74" s="85" t="str">
        <f t="shared" si="12"/>
        <v/>
      </c>
    </row>
    <row r="75" spans="1:30" ht="15">
      <c r="A75" s="69" t="s">
        <v>854</v>
      </c>
      <c r="B75" s="78" t="str">
        <f t="shared" si="10"/>
        <v xml:space="preserve">52X1           /            x     8.56  </v>
      </c>
      <c r="C75" s="69" t="str">
        <f t="shared" si="11"/>
        <v/>
      </c>
      <c r="D75" t="str">
        <f t="shared" si="16"/>
        <v>39X1</v>
      </c>
      <c r="E75">
        <f t="shared" si="17"/>
        <v>0</v>
      </c>
      <c r="F75">
        <f t="shared" si="18"/>
        <v>0</v>
      </c>
      <c r="G75">
        <f t="shared" si="19"/>
        <v>8.9450000000000003</v>
      </c>
      <c r="I75" s="83">
        <v>39</v>
      </c>
      <c r="J75" t="str">
        <v/>
      </c>
      <c r="K75" t="str">
        <v/>
      </c>
      <c r="L75" s="2"/>
      <c r="M75" s="2"/>
      <c r="N75" s="2"/>
      <c r="O75" s="2"/>
      <c r="W75" s="1" t="s">
        <v>333</v>
      </c>
      <c r="X75" s="1" t="s">
        <v>333</v>
      </c>
      <c r="Y75" s="1" t="str">
        <f t="shared" si="13"/>
        <v>4Y</v>
      </c>
      <c r="Z75" s="1" t="str">
        <f t="shared" si="14"/>
        <v>5Y</v>
      </c>
      <c r="AA75" s="1" t="str">
        <f t="shared" si="15"/>
        <v/>
      </c>
      <c r="AB75" s="85">
        <f t="shared" si="12"/>
        <v>52</v>
      </c>
      <c r="AC75" s="85">
        <f t="shared" si="12"/>
        <v>65</v>
      </c>
      <c r="AD75" s="85" t="str">
        <f t="shared" si="12"/>
        <v/>
      </c>
    </row>
    <row r="76" spans="1:30" ht="15">
      <c r="A76" s="69" t="s">
        <v>855</v>
      </c>
      <c r="B76" s="78" t="str">
        <f t="shared" si="10"/>
        <v xml:space="preserve">65X1           /            x     8.36  </v>
      </c>
      <c r="C76" s="69" t="str">
        <f t="shared" si="11"/>
        <v/>
      </c>
      <c r="D76" t="str">
        <f t="shared" si="16"/>
        <v>52X1</v>
      </c>
      <c r="E76">
        <f t="shared" si="17"/>
        <v>0</v>
      </c>
      <c r="F76">
        <f t="shared" si="18"/>
        <v>0</v>
      </c>
      <c r="G76">
        <f t="shared" si="19"/>
        <v>8.56</v>
      </c>
      <c r="I76" s="83">
        <v>52</v>
      </c>
      <c r="J76" t="str">
        <v/>
      </c>
      <c r="K76" t="str">
        <v/>
      </c>
      <c r="L76" s="2"/>
      <c r="M76" s="2"/>
      <c r="N76" s="2"/>
      <c r="O76" s="2"/>
      <c r="W76" s="1" t="s">
        <v>223</v>
      </c>
      <c r="X76" s="1" t="s">
        <v>223</v>
      </c>
      <c r="Y76" s="1" t="str">
        <f t="shared" si="13"/>
        <v>5Y</v>
      </c>
      <c r="Z76" s="1" t="str">
        <f t="shared" si="14"/>
        <v>7Y</v>
      </c>
      <c r="AA76" s="1" t="str">
        <f t="shared" si="15"/>
        <v/>
      </c>
      <c r="AB76" s="85">
        <f t="shared" si="12"/>
        <v>65</v>
      </c>
      <c r="AC76" s="85">
        <f t="shared" si="12"/>
        <v>91</v>
      </c>
      <c r="AD76" s="85" t="str">
        <f t="shared" si="12"/>
        <v/>
      </c>
    </row>
    <row r="77" spans="1:30" ht="15">
      <c r="A77" s="69" t="s">
        <v>856</v>
      </c>
      <c r="B77" s="78" t="str">
        <f t="shared" si="10"/>
        <v xml:space="preserve">91X1           /            x     8.205 </v>
      </c>
      <c r="C77" s="69" t="str">
        <f t="shared" si="11"/>
        <v/>
      </c>
      <c r="D77" t="str">
        <f t="shared" si="16"/>
        <v>65X1</v>
      </c>
      <c r="E77">
        <f t="shared" si="17"/>
        <v>0</v>
      </c>
      <c r="F77">
        <f t="shared" si="18"/>
        <v>0</v>
      </c>
      <c r="G77">
        <f t="shared" si="19"/>
        <v>8.36</v>
      </c>
      <c r="I77" s="83">
        <v>65</v>
      </c>
      <c r="J77" t="str">
        <v/>
      </c>
      <c r="K77" t="str">
        <v/>
      </c>
      <c r="L77" s="2"/>
      <c r="M77" s="2"/>
      <c r="N77" s="2"/>
      <c r="O77" s="2"/>
      <c r="W77" s="1" t="s">
        <v>229</v>
      </c>
      <c r="X77" s="1" t="s">
        <v>229</v>
      </c>
      <c r="Y77" s="1" t="str">
        <f t="shared" si="13"/>
        <v>7Y</v>
      </c>
      <c r="Z77" s="1" t="str">
        <f t="shared" si="14"/>
        <v>10Y</v>
      </c>
      <c r="AA77" s="1" t="str">
        <f t="shared" si="15"/>
        <v/>
      </c>
      <c r="AB77" s="85">
        <f t="shared" si="12"/>
        <v>91</v>
      </c>
      <c r="AC77" s="85">
        <f t="shared" si="12"/>
        <v>130</v>
      </c>
      <c r="AD77" s="85" t="str">
        <f t="shared" si="12"/>
        <v/>
      </c>
    </row>
    <row r="78" spans="1:30" ht="15">
      <c r="A78" s="69" t="s">
        <v>857</v>
      </c>
      <c r="B78" s="78" t="str">
        <f t="shared" si="10"/>
        <v xml:space="preserve">130X1          /            x     8.155 </v>
      </c>
      <c r="C78" s="69" t="str">
        <f t="shared" si="11"/>
        <v/>
      </c>
      <c r="D78" t="str">
        <f t="shared" si="16"/>
        <v>91X1</v>
      </c>
      <c r="E78">
        <f t="shared" si="17"/>
        <v>0</v>
      </c>
      <c r="F78">
        <f t="shared" si="18"/>
        <v>0</v>
      </c>
      <c r="G78">
        <f t="shared" si="19"/>
        <v>8.2050000000000001</v>
      </c>
      <c r="I78" s="83">
        <v>91</v>
      </c>
      <c r="J78" t="str">
        <v/>
      </c>
      <c r="K78" t="str">
        <v/>
      </c>
      <c r="L78"/>
      <c r="M78"/>
      <c r="N78" s="43"/>
      <c r="O78" s="43"/>
      <c r="W78" s="1" t="s">
        <v>210</v>
      </c>
      <c r="X78" s="1" t="s">
        <v>210</v>
      </c>
      <c r="Y78" s="1" t="str">
        <f t="shared" si="13"/>
        <v>2Y</v>
      </c>
      <c r="Z78" s="1" t="str">
        <f t="shared" si="14"/>
        <v>5Y</v>
      </c>
      <c r="AA78" s="1" t="str">
        <f t="shared" si="15"/>
        <v/>
      </c>
      <c r="AB78" s="85">
        <f t="shared" si="12"/>
        <v>26</v>
      </c>
      <c r="AC78" s="85">
        <f t="shared" si="12"/>
        <v>65</v>
      </c>
      <c r="AD78" s="85" t="str">
        <f t="shared" si="12"/>
        <v/>
      </c>
    </row>
    <row r="79" spans="1:30" ht="15">
      <c r="A79" s="69" t="s">
        <v>466</v>
      </c>
      <c r="B79" s="78" t="str">
        <f t="shared" si="10"/>
        <v xml:space="preserve">2X1            /            x     11.5  </v>
      </c>
      <c r="C79" s="69" t="str">
        <f t="shared" si="11"/>
        <v/>
      </c>
      <c r="D79" t="str">
        <f t="shared" si="16"/>
        <v>130X1</v>
      </c>
      <c r="E79">
        <f t="shared" si="17"/>
        <v>0</v>
      </c>
      <c r="F79">
        <f t="shared" si="18"/>
        <v>0</v>
      </c>
      <c r="G79">
        <f t="shared" si="19"/>
        <v>8.1549999999999994</v>
      </c>
      <c r="I79" s="83">
        <v>130</v>
      </c>
      <c r="J79" t="str">
        <v/>
      </c>
      <c r="K79" t="str">
        <v/>
      </c>
      <c r="L79"/>
      <c r="M79"/>
      <c r="N79" s="43"/>
      <c r="O79" s="43"/>
      <c r="W79" s="1" t="s">
        <v>216</v>
      </c>
      <c r="X79" s="1" t="s">
        <v>216</v>
      </c>
      <c r="Y79" s="1" t="str">
        <f t="shared" si="13"/>
        <v>3Y</v>
      </c>
      <c r="Z79" s="1" t="str">
        <f t="shared" si="14"/>
        <v>5Y</v>
      </c>
      <c r="AA79" s="1" t="str">
        <f t="shared" si="15"/>
        <v/>
      </c>
      <c r="AB79" s="85">
        <f t="shared" si="12"/>
        <v>39</v>
      </c>
      <c r="AC79" s="85">
        <f t="shared" si="12"/>
        <v>65</v>
      </c>
      <c r="AD79" s="85" t="str">
        <f t="shared" si="12"/>
        <v/>
      </c>
    </row>
    <row r="80" spans="1:30" ht="15">
      <c r="A80" s="69" t="s">
        <v>858</v>
      </c>
      <c r="B80" s="78" t="str">
        <f t="shared" si="10"/>
        <v xml:space="preserve">195X1          /            x     8.172 </v>
      </c>
      <c r="C80" s="69" t="str">
        <f t="shared" si="11"/>
        <v/>
      </c>
      <c r="D80" t="str">
        <f t="shared" si="16"/>
        <v>2X1</v>
      </c>
      <c r="E80">
        <f t="shared" si="17"/>
        <v>0</v>
      </c>
      <c r="F80">
        <f t="shared" si="18"/>
        <v>0</v>
      </c>
      <c r="G80">
        <f t="shared" si="19"/>
        <v>11.5</v>
      </c>
      <c r="I80" s="83">
        <v>2</v>
      </c>
      <c r="J80" t="str">
        <v/>
      </c>
      <c r="K80" t="str">
        <v/>
      </c>
      <c r="L80"/>
      <c r="M80"/>
      <c r="N80" s="43"/>
      <c r="O80" s="43"/>
      <c r="W80" s="1" t="s">
        <v>208</v>
      </c>
      <c r="X80" s="1" t="s">
        <v>208</v>
      </c>
      <c r="Y80" s="1" t="str">
        <f t="shared" si="13"/>
        <v>2Y</v>
      </c>
      <c r="Z80" s="1" t="str">
        <f t="shared" si="14"/>
        <v>4Y</v>
      </c>
      <c r="AA80" s="1" t="str">
        <f t="shared" si="15"/>
        <v/>
      </c>
      <c r="AB80" s="85">
        <f t="shared" si="12"/>
        <v>26</v>
      </c>
      <c r="AC80" s="85">
        <f t="shared" si="12"/>
        <v>52</v>
      </c>
      <c r="AD80" s="85" t="str">
        <f t="shared" si="12"/>
        <v/>
      </c>
    </row>
    <row r="81" spans="1:30" ht="15">
      <c r="A81" s="69" t="s">
        <v>859</v>
      </c>
      <c r="B81" s="78" t="str">
        <f t="shared" si="10"/>
        <v xml:space="preserve">117X1          /            x     8.17  </v>
      </c>
      <c r="C81" s="69" t="str">
        <f t="shared" si="11"/>
        <v/>
      </c>
      <c r="D81" t="str">
        <f t="shared" si="16"/>
        <v>195X1</v>
      </c>
      <c r="E81">
        <f t="shared" si="17"/>
        <v>0</v>
      </c>
      <c r="F81">
        <f t="shared" si="18"/>
        <v>0</v>
      </c>
      <c r="G81">
        <f t="shared" si="19"/>
        <v>8.1720000000000006</v>
      </c>
      <c r="I81" s="83">
        <v>195</v>
      </c>
      <c r="J81" t="str">
        <v/>
      </c>
      <c r="K81" t="str">
        <v/>
      </c>
      <c r="L81"/>
      <c r="M81"/>
      <c r="N81" s="43"/>
      <c r="O81" s="43"/>
      <c r="W81" s="1" t="s">
        <v>225</v>
      </c>
      <c r="X81" s="1" t="s">
        <v>225</v>
      </c>
      <c r="Y81" s="1" t="str">
        <f t="shared" si="13"/>
        <v>5Y</v>
      </c>
      <c r="Z81" s="1" t="str">
        <f t="shared" si="14"/>
        <v>10Y</v>
      </c>
      <c r="AA81" s="1" t="str">
        <f t="shared" si="15"/>
        <v/>
      </c>
      <c r="AB81" s="85">
        <f t="shared" si="12"/>
        <v>65</v>
      </c>
      <c r="AC81" s="85">
        <f t="shared" si="12"/>
        <v>130</v>
      </c>
      <c r="AD81" s="85" t="str">
        <f t="shared" si="12"/>
        <v/>
      </c>
    </row>
    <row r="82" spans="1:30" ht="15">
      <c r="A82" s="69" t="s">
        <v>501</v>
      </c>
      <c r="B82" s="78" t="str">
        <f t="shared" si="10"/>
        <v xml:space="preserve">            TIIE SEF SPREAD             </v>
      </c>
      <c r="C82" s="69" t="str">
        <f t="shared" si="11"/>
        <v/>
      </c>
      <c r="D82" t="str">
        <f t="shared" si="16"/>
        <v>117X1</v>
      </c>
      <c r="E82">
        <f t="shared" si="17"/>
        <v>0</v>
      </c>
      <c r="F82">
        <f t="shared" si="18"/>
        <v>0</v>
      </c>
      <c r="G82">
        <f t="shared" si="19"/>
        <v>8.17</v>
      </c>
      <c r="I82" s="83">
        <v>117</v>
      </c>
      <c r="J82" t="str">
        <v/>
      </c>
      <c r="K82" t="str">
        <v/>
      </c>
      <c r="L82"/>
      <c r="M82"/>
      <c r="N82" s="43"/>
      <c r="O82" s="43"/>
      <c r="W82" s="1" t="s">
        <v>212</v>
      </c>
      <c r="X82" s="1" t="s">
        <v>212</v>
      </c>
      <c r="Y82" s="1" t="str">
        <f t="shared" si="13"/>
        <v>2Y</v>
      </c>
      <c r="Z82" s="1" t="str">
        <f t="shared" si="14"/>
        <v>10Y</v>
      </c>
      <c r="AA82" s="1" t="str">
        <f t="shared" si="15"/>
        <v/>
      </c>
      <c r="AB82" s="85">
        <f t="shared" si="12"/>
        <v>26</v>
      </c>
      <c r="AC82" s="85">
        <f t="shared" si="12"/>
        <v>130</v>
      </c>
      <c r="AD82" s="85" t="str">
        <f t="shared" si="12"/>
        <v/>
      </c>
    </row>
    <row r="83" spans="1:30" ht="15">
      <c r="A83" s="69" t="s">
        <v>810</v>
      </c>
      <c r="B83" s="78" t="str">
        <f t="shared" si="10"/>
        <v xml:space="preserve">3M-6M     -11.0/-8.0    2400x1200       </v>
      </c>
      <c r="C83" s="69" t="str">
        <f t="shared" si="11"/>
        <v/>
      </c>
      <c r="D83" s="76"/>
      <c r="E83" s="77"/>
      <c r="F83"/>
      <c r="G83"/>
      <c r="H83"/>
      <c r="I83"/>
      <c r="J83" t="str">
        <v/>
      </c>
      <c r="K83" t="str">
        <v/>
      </c>
      <c r="L83"/>
      <c r="M83"/>
      <c r="N83" s="43"/>
      <c r="O83" s="43"/>
      <c r="W83" s="1" t="s">
        <v>182</v>
      </c>
      <c r="X83" s="1" t="s">
        <v>182</v>
      </c>
      <c r="Y83" s="1" t="str">
        <f t="shared" si="13"/>
        <v>9M</v>
      </c>
      <c r="Z83" s="1" t="str">
        <f t="shared" si="14"/>
        <v>1Y</v>
      </c>
      <c r="AA83" s="1" t="str">
        <f t="shared" si="15"/>
        <v>2Y</v>
      </c>
      <c r="AB83" s="85">
        <f t="shared" si="12"/>
        <v>9</v>
      </c>
      <c r="AC83" s="85">
        <f t="shared" si="12"/>
        <v>13</v>
      </c>
      <c r="AD83" s="85">
        <f t="shared" si="12"/>
        <v>26</v>
      </c>
    </row>
    <row r="84" spans="1:30" ht="15">
      <c r="A84" s="69" t="s">
        <v>860</v>
      </c>
      <c r="B84" s="78" t="str">
        <f t="shared" si="10"/>
        <v xml:space="preserve">6M-9M     -19.0/-14.5    850x850  -16   </v>
      </c>
      <c r="C84"/>
      <c r="D84" s="79" t="s">
        <v>62</v>
      </c>
      <c r="E84" s="80"/>
      <c r="F84" s="80"/>
      <c r="G84" s="81"/>
      <c r="H84"/>
      <c r="I84"/>
      <c r="J84" t="str">
        <v/>
      </c>
      <c r="K84" t="str">
        <v/>
      </c>
      <c r="L84"/>
      <c r="M84"/>
      <c r="N84"/>
      <c r="O84"/>
      <c r="P84"/>
      <c r="Q84"/>
      <c r="R84"/>
      <c r="S84"/>
      <c r="W84" s="1" t="s">
        <v>186</v>
      </c>
      <c r="X84" s="1" t="s">
        <v>186</v>
      </c>
      <c r="Y84" s="1" t="str">
        <f t="shared" si="13"/>
        <v>1Y</v>
      </c>
      <c r="Z84" s="1" t="str">
        <f t="shared" si="14"/>
        <v>2Y</v>
      </c>
      <c r="AA84" s="1" t="str">
        <f t="shared" si="15"/>
        <v>3Y</v>
      </c>
      <c r="AB84" s="85">
        <f t="shared" si="12"/>
        <v>13</v>
      </c>
      <c r="AC84" s="85">
        <f t="shared" si="12"/>
        <v>26</v>
      </c>
      <c r="AD84" s="85">
        <f t="shared" si="12"/>
        <v>39</v>
      </c>
    </row>
    <row r="85" spans="1:30" ht="15">
      <c r="A85" s="69" t="s">
        <v>803</v>
      </c>
      <c r="B85" s="78" t="str">
        <f t="shared" si="10"/>
        <v xml:space="preserve">9M-1Y     -37.0/-35.0    600x600        </v>
      </c>
      <c r="C85"/>
      <c r="D85" s="24" t="s">
        <v>55</v>
      </c>
      <c r="E85" s="24" t="s">
        <v>29</v>
      </c>
      <c r="F85" s="24" t="s">
        <v>30</v>
      </c>
      <c r="G85" s="24" t="s">
        <v>58</v>
      </c>
      <c r="H85" s="84" t="s">
        <v>63</v>
      </c>
      <c r="I85" s="84" t="s">
        <v>64</v>
      </c>
      <c r="J85" s="84" t="s">
        <v>65</v>
      </c>
      <c r="K85" s="84" t="s">
        <v>66</v>
      </c>
      <c r="L85" s="84" t="s">
        <v>67</v>
      </c>
      <c r="M85" s="84" t="s">
        <v>68</v>
      </c>
      <c r="N85" s="84" t="s">
        <v>69</v>
      </c>
      <c r="O85" s="84" t="s">
        <v>70</v>
      </c>
      <c r="P85" s="24" t="s">
        <v>29</v>
      </c>
      <c r="Q85" s="79" t="s">
        <v>30</v>
      </c>
      <c r="R85" s="116" t="s">
        <v>64</v>
      </c>
      <c r="S85" s="116" t="s">
        <v>65</v>
      </c>
      <c r="W85" s="1" t="s">
        <v>178</v>
      </c>
      <c r="X85" s="1" t="s">
        <v>178</v>
      </c>
      <c r="Y85" s="1" t="str">
        <f t="shared" si="13"/>
        <v>3M</v>
      </c>
      <c r="Z85" s="1" t="str">
        <f t="shared" si="14"/>
        <v>6M</v>
      </c>
      <c r="AA85" s="1" t="str">
        <f t="shared" si="15"/>
        <v>9M</v>
      </c>
      <c r="AB85" s="85">
        <f t="shared" si="12"/>
        <v>3</v>
      </c>
      <c r="AC85" s="85">
        <f t="shared" si="12"/>
        <v>6</v>
      </c>
      <c r="AD85" s="85">
        <f t="shared" si="12"/>
        <v>9</v>
      </c>
    </row>
    <row r="86" spans="1:30" ht="15">
      <c r="A86" s="69" t="s">
        <v>861</v>
      </c>
      <c r="B86" s="78" t="str">
        <f t="shared" si="10"/>
        <v>1Y-2Y          /            x     -126.5</v>
      </c>
      <c r="C86" s="87" t="str">
        <f t="shared" ref="C86:C106" si="20">+MID(B83,1,IFERROR(FIND("Y",B83,FIND("-",B83)),FIND("M",B83,FIND("-",B83))))</f>
        <v>3M-6M</v>
      </c>
      <c r="D86" s="69" t="str">
        <f>+IF(MID(B83,LEN(C86)+1,1)="-",MID(B83,1,8),C86)</f>
        <v>3M-6M</v>
      </c>
      <c r="E86" s="85">
        <f t="shared" ref="E86:E106" si="21">+_xlfn.NUMBERVALUE(MID(B83,LEN(D86)+1,FIND("/",B83)-LEN(D86)-1))</f>
        <v>-11</v>
      </c>
      <c r="F86" s="86">
        <f t="shared" ref="F86:F106" si="22">+_xlfn.NUMBERVALUE(MID(B83,FIND("/",B83)+1,8))</f>
        <v>-8</v>
      </c>
      <c r="G86">
        <f>+_xlfn.NUMBERVALUE(MID(B83,35,$C$67-35))</f>
        <v>0</v>
      </c>
      <c r="H86" s="83" t="str">
        <f>+IF(LEN(D86)-LEN(SUBSTITUTE(D86,"-",""))&gt;1,"Fly","Spread")</f>
        <v>Spread</v>
      </c>
      <c r="I86" s="83" t="str">
        <f>IF(D86&lt;&gt;"",IFERROR(VLOOKUP(D86,$W$68:$AD$97, 3, 0), "-"), "")</f>
        <v>3M</v>
      </c>
      <c r="J86" s="83" t="str">
        <f>IF(D86&lt;&gt;"",IFERROR(VLOOKUP(D86,$W$68:$AD$97, 4, 0), "-"), "")</f>
        <v>6M</v>
      </c>
      <c r="K86" s="83" t="str">
        <f>IF(D86&lt;&gt;"",IFERROR(VLOOKUP(D86,$W$68:$AD$97, 5, 0), "-"), "")</f>
        <v/>
      </c>
      <c r="L86" s="85">
        <f>+IFERROR(IF(IFERROR(FIND("M",I86)&gt;0,FALSE),_xlfn.NUMBERVALUE(MID(I86,1,LEN(I86)-1)),MID(I86,1,LEN(I86)-1)*13),"")</f>
        <v>3</v>
      </c>
      <c r="M86" s="85">
        <f>+IFERROR(IF(IFERROR(FIND("M",J86)&gt;0,FALSE),_xlfn.NUMBERVALUE(MID(J86,1,LEN(J86)-1)),MID(J86,1,LEN(J86)-1)*13),"")</f>
        <v>6</v>
      </c>
      <c r="N86" s="85" t="str">
        <f>+IFERROR(IF(IFERROR(FIND("M",K86)&gt;0,FALSE),_xlfn.NUMBERVALUE(MID(K86,1,LEN(K86)-1)),MID(K86,1,LEN(K86)-1)*13),"")</f>
        <v/>
      </c>
      <c r="O86" t="str">
        <f>IF(D86&lt;&gt;"",IFERROR(VLOOKUP(D86,$W$68:$AD$97, 2, 0), "-"), "")</f>
        <v>3M-6M</v>
      </c>
      <c r="P86" s="88">
        <f>+E86</f>
        <v>-11</v>
      </c>
      <c r="Q86" s="88">
        <f>+F86</f>
        <v>-8</v>
      </c>
      <c r="R86" s="85">
        <f>+L86</f>
        <v>3</v>
      </c>
      <c r="S86" s="85">
        <f>+M86</f>
        <v>6</v>
      </c>
      <c r="W86" s="1" t="s">
        <v>180</v>
      </c>
      <c r="X86" s="1" t="s">
        <v>180</v>
      </c>
      <c r="Y86" s="1" t="str">
        <f t="shared" si="13"/>
        <v>6M</v>
      </c>
      <c r="Z86" s="1" t="str">
        <f t="shared" si="14"/>
        <v>9M</v>
      </c>
      <c r="AA86" s="1" t="str">
        <f t="shared" si="15"/>
        <v>1Y</v>
      </c>
      <c r="AB86" s="85">
        <f t="shared" si="12"/>
        <v>6</v>
      </c>
      <c r="AC86" s="85">
        <f t="shared" si="12"/>
        <v>9</v>
      </c>
      <c r="AD86" s="85">
        <f t="shared" si="12"/>
        <v>13</v>
      </c>
    </row>
    <row r="87" spans="1:30" ht="15">
      <c r="A87" s="69" t="s">
        <v>862</v>
      </c>
      <c r="B87" s="78" t="str">
        <f t="shared" si="10"/>
        <v xml:space="preserve">2Y-3Y     -72.0/-68.0    220x220  -71   </v>
      </c>
      <c r="C87" s="87" t="str">
        <f t="shared" si="20"/>
        <v>6M-9M</v>
      </c>
      <c r="D87" s="69" t="str">
        <f t="shared" ref="D87:D105" si="23">+IF(MID(B84,LEN(C87)+1,1)="-",MID(B84,1,8),C87)</f>
        <v>6M-9M</v>
      </c>
      <c r="E87" s="85">
        <f t="shared" si="21"/>
        <v>-19</v>
      </c>
      <c r="F87" s="86">
        <f t="shared" si="22"/>
        <v>-14.5</v>
      </c>
      <c r="G87">
        <f t="shared" ref="G87:G106" si="24">+_xlfn.NUMBERVALUE(MID(B84,35,$C$67-35))</f>
        <v>-16</v>
      </c>
      <c r="H87" s="83" t="str">
        <f t="shared" ref="H87:H106" si="25">+IF(LEN(D87)-LEN(SUBSTITUTE(D87,"-",""))&gt;1,"Fly","Spread")</f>
        <v>Spread</v>
      </c>
      <c r="I87" s="83" t="str">
        <f t="shared" ref="I87:I106" si="26">IF(D87&lt;&gt;"",IFERROR(VLOOKUP(D87,$W$68:$AD$97, 3, 0), "-"), "")</f>
        <v>6M</v>
      </c>
      <c r="J87" s="83" t="str">
        <f t="shared" ref="J87:J106" si="27">IF(D87&lt;&gt;"",IFERROR(VLOOKUP(D87,$W$68:$AD$97, 4, 0), "-"), "")</f>
        <v>9M</v>
      </c>
      <c r="K87" s="83" t="str">
        <f t="shared" ref="K87:K106" si="28">IF(D87&lt;&gt;"",IFERROR(VLOOKUP(D87,$W$68:$AD$97, 5, 0), "-"), "")</f>
        <v/>
      </c>
      <c r="L87" s="85">
        <f t="shared" ref="L87:N102" si="29">+IFERROR(IF(IFERROR(FIND("M",I87)&gt;0,FALSE),_xlfn.NUMBERVALUE(MID(I87,1,LEN(I87)-1)),MID(I87,1,LEN(I87)-1)*13),"")</f>
        <v>6</v>
      </c>
      <c r="M87" s="85">
        <f t="shared" si="29"/>
        <v>9</v>
      </c>
      <c r="N87" s="85" t="str">
        <f t="shared" si="29"/>
        <v/>
      </c>
      <c r="O87" t="str">
        <f t="shared" ref="O87:O106" si="30">IF(D87&lt;&gt;"",IFERROR(VLOOKUP(D87,$W$68:$AD$97, 2, 0), "-"), "")</f>
        <v>6M-9M</v>
      </c>
      <c r="P87" s="88">
        <f t="shared" ref="P87:Q102" si="31">+E87</f>
        <v>-19</v>
      </c>
      <c r="Q87" s="88">
        <f t="shared" si="31"/>
        <v>-14.5</v>
      </c>
      <c r="R87" s="85">
        <f t="shared" ref="R87:S102" si="32">+L87</f>
        <v>6</v>
      </c>
      <c r="S87" s="85">
        <f t="shared" si="32"/>
        <v>9</v>
      </c>
      <c r="W87" s="1" t="s">
        <v>372</v>
      </c>
      <c r="X87" s="1" t="s">
        <v>194</v>
      </c>
      <c r="Y87" s="1" t="str">
        <f t="shared" si="13"/>
        <v>5Y</v>
      </c>
      <c r="Z87" s="1" t="str">
        <f t="shared" si="14"/>
        <v>7Y</v>
      </c>
      <c r="AA87" s="1" t="str">
        <f t="shared" si="15"/>
        <v>10Y</v>
      </c>
      <c r="AB87" s="85">
        <f t="shared" si="12"/>
        <v>65</v>
      </c>
      <c r="AC87" s="85">
        <f t="shared" si="12"/>
        <v>91</v>
      </c>
      <c r="AD87" s="85">
        <f t="shared" si="12"/>
        <v>130</v>
      </c>
    </row>
    <row r="88" spans="1:30" ht="15">
      <c r="A88" s="69" t="s">
        <v>863</v>
      </c>
      <c r="B88" s="78" t="str">
        <f t="shared" si="10"/>
        <v xml:space="preserve">3Y-4Y     -40.5/-36.0    170x170  -38.5 </v>
      </c>
      <c r="C88" s="87" t="str">
        <f t="shared" si="20"/>
        <v>9M-1Y</v>
      </c>
      <c r="D88" s="69" t="str">
        <f t="shared" si="23"/>
        <v>9M-1Y</v>
      </c>
      <c r="E88" s="85">
        <f t="shared" si="21"/>
        <v>-37</v>
      </c>
      <c r="F88" s="86">
        <f t="shared" si="22"/>
        <v>-35</v>
      </c>
      <c r="G88">
        <f t="shared" si="24"/>
        <v>0</v>
      </c>
      <c r="H88" s="83" t="str">
        <f t="shared" si="25"/>
        <v>Spread</v>
      </c>
      <c r="I88" s="83" t="str">
        <f t="shared" si="26"/>
        <v>9M</v>
      </c>
      <c r="J88" s="83" t="str">
        <f t="shared" si="27"/>
        <v>1Y</v>
      </c>
      <c r="K88" s="83" t="str">
        <f t="shared" si="28"/>
        <v/>
      </c>
      <c r="L88" s="85">
        <f t="shared" si="29"/>
        <v>9</v>
      </c>
      <c r="M88" s="85">
        <f t="shared" si="29"/>
        <v>13</v>
      </c>
      <c r="N88" s="85" t="str">
        <f t="shared" si="29"/>
        <v/>
      </c>
      <c r="O88" t="str">
        <f t="shared" si="30"/>
        <v>9M-1Y</v>
      </c>
      <c r="P88" s="88">
        <f t="shared" si="31"/>
        <v>-37</v>
      </c>
      <c r="Q88" s="88">
        <f t="shared" si="31"/>
        <v>-35</v>
      </c>
      <c r="R88" s="85">
        <f t="shared" si="32"/>
        <v>9</v>
      </c>
      <c r="S88" s="85">
        <f t="shared" si="32"/>
        <v>13</v>
      </c>
      <c r="W88" s="1" t="s">
        <v>188</v>
      </c>
      <c r="X88" s="1" t="s">
        <v>188</v>
      </c>
      <c r="Y88" s="1" t="str">
        <f t="shared" si="13"/>
        <v>2Y</v>
      </c>
      <c r="Z88" s="1" t="str">
        <f t="shared" si="14"/>
        <v>3Y</v>
      </c>
      <c r="AA88" s="1" t="str">
        <f t="shared" si="15"/>
        <v>4Y</v>
      </c>
      <c r="AB88" s="85">
        <f t="shared" si="12"/>
        <v>26</v>
      </c>
      <c r="AC88" s="85">
        <f t="shared" si="12"/>
        <v>39</v>
      </c>
      <c r="AD88" s="85">
        <f t="shared" si="12"/>
        <v>52</v>
      </c>
    </row>
    <row r="89" spans="1:30" ht="15">
      <c r="A89" s="69" t="s">
        <v>864</v>
      </c>
      <c r="B89" s="78" t="str">
        <f t="shared" si="10"/>
        <v xml:space="preserve">4Y-5Y     -22.0/-19.0    140x140  -20   </v>
      </c>
      <c r="C89" s="87" t="str">
        <f t="shared" si="20"/>
        <v>1Y-2Y</v>
      </c>
      <c r="D89" s="69" t="str">
        <f t="shared" si="23"/>
        <v>1Y-2Y</v>
      </c>
      <c r="E89" s="85">
        <f t="shared" si="21"/>
        <v>0</v>
      </c>
      <c r="F89" s="86">
        <f t="shared" si="22"/>
        <v>0</v>
      </c>
      <c r="G89">
        <f t="shared" si="24"/>
        <v>-126.5</v>
      </c>
      <c r="H89" s="83" t="str">
        <f t="shared" si="25"/>
        <v>Spread</v>
      </c>
      <c r="I89" s="83" t="str">
        <f t="shared" si="26"/>
        <v>1Y</v>
      </c>
      <c r="J89" s="83" t="str">
        <f t="shared" si="27"/>
        <v>2Y</v>
      </c>
      <c r="K89" s="83" t="str">
        <f t="shared" si="28"/>
        <v/>
      </c>
      <c r="L89" s="85">
        <f t="shared" si="29"/>
        <v>13</v>
      </c>
      <c r="M89" s="85">
        <f t="shared" si="29"/>
        <v>26</v>
      </c>
      <c r="N89" s="85" t="str">
        <f t="shared" si="29"/>
        <v/>
      </c>
      <c r="O89" t="str">
        <f t="shared" si="30"/>
        <v>1Y-2Y</v>
      </c>
      <c r="P89" s="88">
        <f t="shared" si="31"/>
        <v>0</v>
      </c>
      <c r="Q89" s="88">
        <f t="shared" si="31"/>
        <v>0</v>
      </c>
      <c r="R89" s="85">
        <f t="shared" si="32"/>
        <v>13</v>
      </c>
      <c r="S89" s="85">
        <f t="shared" si="32"/>
        <v>26</v>
      </c>
      <c r="W89" s="1" t="s">
        <v>192</v>
      </c>
      <c r="X89" s="1" t="s">
        <v>192</v>
      </c>
      <c r="Y89" s="1" t="str">
        <f t="shared" si="13"/>
        <v>3Y</v>
      </c>
      <c r="Z89" s="1" t="str">
        <f t="shared" si="14"/>
        <v>4Y</v>
      </c>
      <c r="AA89" s="1" t="str">
        <f t="shared" si="15"/>
        <v>5Y</v>
      </c>
      <c r="AB89" s="85">
        <f t="shared" si="12"/>
        <v>39</v>
      </c>
      <c r="AC89" s="85">
        <f t="shared" si="12"/>
        <v>52</v>
      </c>
      <c r="AD89" s="85">
        <f t="shared" si="12"/>
        <v>65</v>
      </c>
    </row>
    <row r="90" spans="1:30" ht="15">
      <c r="A90" s="69" t="s">
        <v>865</v>
      </c>
      <c r="B90" s="78" t="str">
        <f t="shared" si="10"/>
        <v xml:space="preserve">5Y-7Y          /            x     -15.5 </v>
      </c>
      <c r="C90" s="87" t="str">
        <f t="shared" si="20"/>
        <v>2Y-3Y</v>
      </c>
      <c r="D90" s="69" t="str">
        <f t="shared" si="23"/>
        <v>2Y-3Y</v>
      </c>
      <c r="E90" s="85">
        <f t="shared" si="21"/>
        <v>-72</v>
      </c>
      <c r="F90" s="86">
        <f t="shared" si="22"/>
        <v>-68</v>
      </c>
      <c r="G90">
        <f t="shared" si="24"/>
        <v>-71</v>
      </c>
      <c r="H90" s="83" t="str">
        <f t="shared" si="25"/>
        <v>Spread</v>
      </c>
      <c r="I90" s="83" t="str">
        <f t="shared" si="26"/>
        <v>2Y</v>
      </c>
      <c r="J90" s="83" t="str">
        <f t="shared" si="27"/>
        <v>3Y</v>
      </c>
      <c r="K90" s="83" t="str">
        <f t="shared" si="28"/>
        <v/>
      </c>
      <c r="L90" s="85">
        <f t="shared" si="29"/>
        <v>26</v>
      </c>
      <c r="M90" s="85">
        <f t="shared" si="29"/>
        <v>39</v>
      </c>
      <c r="N90" s="85" t="str">
        <f t="shared" si="29"/>
        <v/>
      </c>
      <c r="O90" t="str">
        <f t="shared" si="30"/>
        <v>2Y-3Y</v>
      </c>
      <c r="P90" s="88">
        <f t="shared" si="31"/>
        <v>-72</v>
      </c>
      <c r="Q90" s="88">
        <f t="shared" si="31"/>
        <v>-68</v>
      </c>
      <c r="R90" s="85">
        <f t="shared" si="32"/>
        <v>26</v>
      </c>
      <c r="S90" s="85">
        <f t="shared" si="32"/>
        <v>39</v>
      </c>
      <c r="W90" s="1" t="s">
        <v>241</v>
      </c>
      <c r="X90" s="1" t="s">
        <v>241</v>
      </c>
      <c r="Y90" s="1" t="str">
        <f t="shared" si="13"/>
        <v>4Y</v>
      </c>
      <c r="Z90" s="1" t="str">
        <f t="shared" ref="Z90" si="33">MID($X90,LEN(Y90)+2,IFERROR(FIND("M",$X90,LEN(Y90)+1),FIND("Y",$X90,LEN(Y90)+1))-LEN(Y90)-1)</f>
        <v>5Y</v>
      </c>
      <c r="AA90" s="1" t="str">
        <f t="shared" ref="AA90" si="34">MID($X90,LEN(Z90)+LEN(Y90)+3,LEN(X90)-(LEN(Z90)+LEN(Y90)+1))</f>
        <v>7Y</v>
      </c>
      <c r="AB90" s="85">
        <f t="shared" ref="AB90" si="35">+IFERROR(IF(IFERROR(FIND("M",Y90)&gt;0,FALSE),_xlfn.NUMBERVALUE(MID(Y90,1,LEN(Y90)-1)),MID(Y90,1,LEN(Y90)-1)*13),"")</f>
        <v>52</v>
      </c>
      <c r="AC90" s="85">
        <f t="shared" ref="AC90" si="36">+IFERROR(IF(IFERROR(FIND("M",Z90)&gt;0,FALSE),_xlfn.NUMBERVALUE(MID(Z90,1,LEN(Z90)-1)),MID(Z90,1,LEN(Z90)-1)*13),"")</f>
        <v>65</v>
      </c>
      <c r="AD90" s="85">
        <f t="shared" ref="AD90" si="37">+IFERROR(IF(IFERROR(FIND("M",AA90)&gt;0,FALSE),_xlfn.NUMBERVALUE(MID(AA90,1,LEN(AA90)-1)),MID(AA90,1,LEN(AA90)-1)*13),"")</f>
        <v>91</v>
      </c>
    </row>
    <row r="91" spans="1:30" ht="15">
      <c r="A91" s="69" t="s">
        <v>866</v>
      </c>
      <c r="B91" s="78" t="str">
        <f t="shared" si="10"/>
        <v xml:space="preserve">7Y-10Y         /            x     -5    </v>
      </c>
      <c r="C91" s="87" t="str">
        <f t="shared" si="20"/>
        <v>3Y-4Y</v>
      </c>
      <c r="D91" s="69" t="str">
        <f t="shared" si="23"/>
        <v>3Y-4Y</v>
      </c>
      <c r="E91" s="85">
        <f t="shared" si="21"/>
        <v>-40.5</v>
      </c>
      <c r="F91" s="86">
        <f t="shared" si="22"/>
        <v>-36</v>
      </c>
      <c r="G91">
        <f t="shared" si="24"/>
        <v>-38.5</v>
      </c>
      <c r="H91" s="83" t="str">
        <f t="shared" si="25"/>
        <v>Spread</v>
      </c>
      <c r="I91" s="83" t="str">
        <f t="shared" si="26"/>
        <v>3Y</v>
      </c>
      <c r="J91" s="83" t="str">
        <f t="shared" si="27"/>
        <v>4Y</v>
      </c>
      <c r="K91" s="83" t="str">
        <f t="shared" si="28"/>
        <v/>
      </c>
      <c r="L91" s="85">
        <f t="shared" si="29"/>
        <v>39</v>
      </c>
      <c r="M91" s="85">
        <f t="shared" si="29"/>
        <v>52</v>
      </c>
      <c r="N91" s="85" t="str">
        <f t="shared" si="29"/>
        <v/>
      </c>
      <c r="O91" t="str">
        <f t="shared" si="30"/>
        <v>3Y-4Y</v>
      </c>
      <c r="P91" s="88">
        <f t="shared" si="31"/>
        <v>-40.5</v>
      </c>
      <c r="Q91" s="88">
        <f t="shared" si="31"/>
        <v>-36</v>
      </c>
      <c r="R91" s="85">
        <f t="shared" si="32"/>
        <v>39</v>
      </c>
      <c r="S91" s="85">
        <f t="shared" si="32"/>
        <v>52</v>
      </c>
      <c r="W91" s="1" t="s">
        <v>429</v>
      </c>
      <c r="X91" s="1" t="s">
        <v>190</v>
      </c>
      <c r="Y91" s="1" t="str">
        <f t="shared" si="13"/>
        <v>2Y</v>
      </c>
      <c r="Z91" s="1" t="str">
        <f t="shared" ref="Z91" si="38">MID($X91,LEN(Y91)+2,IFERROR(FIND("M",$X91,LEN(Y91)+1),FIND("Y",$X91,LEN(Y91)+1))-LEN(Y91)-1)</f>
        <v>5Y</v>
      </c>
      <c r="AA91" s="1" t="str">
        <f t="shared" ref="AA91" si="39">MID($X91,LEN(Z91)+LEN(Y91)+3,LEN(X91)-(LEN(Z91)+LEN(Y91)+1))</f>
        <v>10Y</v>
      </c>
      <c r="AB91" s="85">
        <f t="shared" ref="AB91" si="40">+IFERROR(IF(IFERROR(FIND("M",Y91)&gt;0,FALSE),_xlfn.NUMBERVALUE(MID(Y91,1,LEN(Y91)-1)),MID(Y91,1,LEN(Y91)-1)*13),"")</f>
        <v>26</v>
      </c>
      <c r="AC91" s="85">
        <f t="shared" ref="AC91" si="41">+IFERROR(IF(IFERROR(FIND("M",Z91)&gt;0,FALSE),_xlfn.NUMBERVALUE(MID(Z91,1,LEN(Z91)-1)),MID(Z91,1,LEN(Z91)-1)*13),"")</f>
        <v>65</v>
      </c>
      <c r="AD91" s="85">
        <f t="shared" ref="AD91" si="42">+IFERROR(IF(IFERROR(FIND("M",AA91)&gt;0,FALSE),_xlfn.NUMBERVALUE(MID(AA91,1,LEN(AA91)-1)),MID(AA91,1,LEN(AA91)-1)*13),"")</f>
        <v>130</v>
      </c>
    </row>
    <row r="92" spans="1:30" ht="15">
      <c r="A92" s="69" t="s">
        <v>848</v>
      </c>
      <c r="B92" s="78" t="str">
        <f t="shared" si="10"/>
        <v>2Y-5Y          /            x     -129.5</v>
      </c>
      <c r="C92" s="87" t="str">
        <f t="shared" si="20"/>
        <v>4Y-5Y</v>
      </c>
      <c r="D92" s="69" t="str">
        <f t="shared" si="23"/>
        <v>4Y-5Y</v>
      </c>
      <c r="E92" s="85">
        <f t="shared" si="21"/>
        <v>-22</v>
      </c>
      <c r="F92" s="86">
        <f t="shared" si="22"/>
        <v>-19</v>
      </c>
      <c r="G92">
        <f t="shared" si="24"/>
        <v>-20</v>
      </c>
      <c r="H92" s="83" t="str">
        <f t="shared" si="25"/>
        <v>Spread</v>
      </c>
      <c r="I92" s="83" t="str">
        <f t="shared" si="26"/>
        <v>4Y</v>
      </c>
      <c r="J92" s="83" t="str">
        <f t="shared" si="27"/>
        <v>5Y</v>
      </c>
      <c r="K92" s="83" t="str">
        <f t="shared" si="28"/>
        <v/>
      </c>
      <c r="L92" s="85">
        <f t="shared" si="29"/>
        <v>52</v>
      </c>
      <c r="M92" s="85">
        <f t="shared" si="29"/>
        <v>65</v>
      </c>
      <c r="N92" s="85" t="str">
        <f t="shared" si="29"/>
        <v/>
      </c>
      <c r="O92" t="str">
        <f t="shared" si="30"/>
        <v>4Y-5Y</v>
      </c>
      <c r="P92" s="88">
        <f t="shared" si="31"/>
        <v>-22</v>
      </c>
      <c r="Q92" s="88">
        <f t="shared" si="31"/>
        <v>-19</v>
      </c>
      <c r="R92" s="85">
        <f t="shared" si="32"/>
        <v>52</v>
      </c>
      <c r="S92" s="85">
        <f t="shared" si="32"/>
        <v>65</v>
      </c>
    </row>
    <row r="93" spans="1:30" ht="15">
      <c r="A93" s="69"/>
      <c r="B93" s="78" t="str">
        <f>+MID($A68,$B$67+1,$C$67)</f>
        <v>3Y-5Y          /            x     -0.585</v>
      </c>
      <c r="C93" s="87" t="str">
        <f t="shared" si="20"/>
        <v>5Y-7Y</v>
      </c>
      <c r="D93" s="69" t="str">
        <f t="shared" si="23"/>
        <v>5Y-7Y</v>
      </c>
      <c r="E93" s="85">
        <f t="shared" si="21"/>
        <v>0</v>
      </c>
      <c r="F93" s="86">
        <f t="shared" si="22"/>
        <v>0</v>
      </c>
      <c r="G93">
        <f t="shared" si="24"/>
        <v>-15.5</v>
      </c>
      <c r="H93" s="83" t="str">
        <f t="shared" si="25"/>
        <v>Spread</v>
      </c>
      <c r="I93" s="83" t="str">
        <f t="shared" si="26"/>
        <v>5Y</v>
      </c>
      <c r="J93" s="83" t="str">
        <f t="shared" si="27"/>
        <v>7Y</v>
      </c>
      <c r="K93" s="83" t="str">
        <f t="shared" si="28"/>
        <v/>
      </c>
      <c r="L93" s="85">
        <f t="shared" si="29"/>
        <v>65</v>
      </c>
      <c r="M93" s="85">
        <f t="shared" si="29"/>
        <v>91</v>
      </c>
      <c r="N93" s="85" t="str">
        <f t="shared" si="29"/>
        <v/>
      </c>
      <c r="O93" t="str">
        <f t="shared" si="30"/>
        <v>5Y-7Y</v>
      </c>
      <c r="P93" s="88">
        <f t="shared" si="31"/>
        <v>0</v>
      </c>
      <c r="Q93" s="88">
        <f t="shared" si="31"/>
        <v>0</v>
      </c>
      <c r="R93" s="85">
        <f t="shared" si="32"/>
        <v>65</v>
      </c>
      <c r="S93" s="85">
        <f t="shared" si="32"/>
        <v>91</v>
      </c>
    </row>
    <row r="94" spans="1:30" ht="15">
      <c r="A94" s="69"/>
      <c r="B94" s="78" t="str">
        <f t="shared" ref="B94:B115" si="43">+MID($A69,$B$67+1,$C$67)</f>
        <v xml:space="preserve">2Y-4Y          /            x     -112  </v>
      </c>
      <c r="C94" s="87" t="str">
        <f t="shared" si="20"/>
        <v>7Y-10Y</v>
      </c>
      <c r="D94" s="69" t="str">
        <f t="shared" si="23"/>
        <v>7Y-10Y</v>
      </c>
      <c r="E94" s="85">
        <f t="shared" si="21"/>
        <v>0</v>
      </c>
      <c r="F94" s="86">
        <f t="shared" si="22"/>
        <v>0</v>
      </c>
      <c r="G94">
        <f t="shared" si="24"/>
        <v>-5</v>
      </c>
      <c r="H94" s="83" t="str">
        <f t="shared" si="25"/>
        <v>Spread</v>
      </c>
      <c r="I94" s="83" t="str">
        <f t="shared" si="26"/>
        <v>7Y</v>
      </c>
      <c r="J94" s="83" t="str">
        <f t="shared" si="27"/>
        <v>10Y</v>
      </c>
      <c r="K94" s="83" t="str">
        <f t="shared" si="28"/>
        <v/>
      </c>
      <c r="L94" s="85">
        <f t="shared" si="29"/>
        <v>91</v>
      </c>
      <c r="M94" s="85">
        <f t="shared" si="29"/>
        <v>130</v>
      </c>
      <c r="N94" s="85" t="str">
        <f t="shared" si="29"/>
        <v/>
      </c>
      <c r="O94" t="str">
        <f t="shared" si="30"/>
        <v>7Y-10Y</v>
      </c>
      <c r="P94" s="88">
        <f t="shared" si="31"/>
        <v>0</v>
      </c>
      <c r="Q94" s="88">
        <f t="shared" si="31"/>
        <v>0</v>
      </c>
      <c r="R94" s="85">
        <f t="shared" si="32"/>
        <v>91</v>
      </c>
      <c r="S94" s="85">
        <f t="shared" si="32"/>
        <v>130</v>
      </c>
    </row>
    <row r="95" spans="1:30" ht="15">
      <c r="A95" s="69"/>
      <c r="B95" s="78" t="str">
        <f t="shared" si="43"/>
        <v xml:space="preserve">5Y-10Y         /            x     -20.5 </v>
      </c>
      <c r="C95" s="87" t="str">
        <f t="shared" si="20"/>
        <v>2Y-5Y</v>
      </c>
      <c r="D95" s="69" t="str">
        <f t="shared" si="23"/>
        <v>2Y-5Y</v>
      </c>
      <c r="E95" s="85">
        <f t="shared" si="21"/>
        <v>0</v>
      </c>
      <c r="F95" s="86">
        <f t="shared" si="22"/>
        <v>0</v>
      </c>
      <c r="G95">
        <f t="shared" si="24"/>
        <v>-129.5</v>
      </c>
      <c r="H95" s="83" t="str">
        <f t="shared" si="25"/>
        <v>Spread</v>
      </c>
      <c r="I95" s="83" t="str">
        <f t="shared" si="26"/>
        <v>2Y</v>
      </c>
      <c r="J95" s="83" t="str">
        <f t="shared" si="27"/>
        <v>5Y</v>
      </c>
      <c r="K95" s="83" t="str">
        <f t="shared" si="28"/>
        <v/>
      </c>
      <c r="L95" s="85">
        <f t="shared" si="29"/>
        <v>26</v>
      </c>
      <c r="M95" s="85">
        <f t="shared" si="29"/>
        <v>65</v>
      </c>
      <c r="N95" s="85" t="str">
        <f t="shared" si="29"/>
        <v/>
      </c>
      <c r="O95" t="str">
        <f t="shared" si="30"/>
        <v>2Y-5Y</v>
      </c>
      <c r="P95" s="88">
        <f t="shared" si="31"/>
        <v>0</v>
      </c>
      <c r="Q95" s="88">
        <f t="shared" si="31"/>
        <v>0</v>
      </c>
      <c r="R95" s="85">
        <f t="shared" si="32"/>
        <v>26</v>
      </c>
      <c r="S95" s="85">
        <f t="shared" si="32"/>
        <v>65</v>
      </c>
    </row>
    <row r="96" spans="1:30" ht="15">
      <c r="A96" s="69"/>
      <c r="B96" s="78" t="str">
        <f t="shared" si="43"/>
        <v xml:space="preserve">2Y-10Y         /            x     -150  </v>
      </c>
      <c r="C96" s="87" t="str">
        <f t="shared" si="20"/>
        <v>3Y-5Y</v>
      </c>
      <c r="D96" s="69" t="str">
        <f t="shared" si="23"/>
        <v>3Y-5Y</v>
      </c>
      <c r="E96" s="85">
        <f t="shared" si="21"/>
        <v>0</v>
      </c>
      <c r="F96" s="86">
        <f t="shared" si="22"/>
        <v>0</v>
      </c>
      <c r="G96">
        <f t="shared" si="24"/>
        <v>-0.58499999999999996</v>
      </c>
      <c r="H96" s="83" t="str">
        <f t="shared" si="25"/>
        <v>Spread</v>
      </c>
      <c r="I96" s="83" t="str">
        <f t="shared" si="26"/>
        <v>3Y</v>
      </c>
      <c r="J96" s="83" t="str">
        <f t="shared" si="27"/>
        <v>5Y</v>
      </c>
      <c r="K96" s="83" t="str">
        <f t="shared" si="28"/>
        <v/>
      </c>
      <c r="L96" s="85">
        <f t="shared" si="29"/>
        <v>39</v>
      </c>
      <c r="M96" s="85">
        <f t="shared" si="29"/>
        <v>65</v>
      </c>
      <c r="N96" s="85" t="str">
        <f t="shared" si="29"/>
        <v/>
      </c>
      <c r="O96" t="str">
        <f t="shared" si="30"/>
        <v>3Y-5Y</v>
      </c>
      <c r="P96" s="88">
        <f t="shared" si="31"/>
        <v>0</v>
      </c>
      <c r="Q96" s="88">
        <f t="shared" si="31"/>
        <v>0</v>
      </c>
      <c r="R96" s="85">
        <f t="shared" si="32"/>
        <v>39</v>
      </c>
      <c r="S96" s="85">
        <f t="shared" si="32"/>
        <v>65</v>
      </c>
    </row>
    <row r="97" spans="1:19" ht="15">
      <c r="A97" s="69"/>
      <c r="B97" s="78" t="str">
        <f t="shared" si="43"/>
        <v xml:space="preserve">9M-1Y-2Y       /            x     -1.4  </v>
      </c>
      <c r="C97" s="87" t="str">
        <f t="shared" si="20"/>
        <v>2Y-4Y</v>
      </c>
      <c r="D97" s="69" t="str">
        <f t="shared" si="23"/>
        <v>2Y-4Y</v>
      </c>
      <c r="E97" s="85">
        <f t="shared" si="21"/>
        <v>0</v>
      </c>
      <c r="F97" s="86">
        <f t="shared" si="22"/>
        <v>0</v>
      </c>
      <c r="G97">
        <f t="shared" si="24"/>
        <v>-112</v>
      </c>
      <c r="H97" s="83" t="str">
        <f t="shared" si="25"/>
        <v>Spread</v>
      </c>
      <c r="I97" s="83" t="str">
        <f t="shared" si="26"/>
        <v>2Y</v>
      </c>
      <c r="J97" s="83" t="str">
        <f t="shared" si="27"/>
        <v>4Y</v>
      </c>
      <c r="K97" s="83" t="str">
        <f t="shared" si="28"/>
        <v/>
      </c>
      <c r="L97" s="85">
        <f t="shared" si="29"/>
        <v>26</v>
      </c>
      <c r="M97" s="85">
        <f t="shared" si="29"/>
        <v>52</v>
      </c>
      <c r="N97" s="85" t="str">
        <f t="shared" si="29"/>
        <v/>
      </c>
      <c r="O97" t="str">
        <f t="shared" si="30"/>
        <v>2Y-4Y</v>
      </c>
      <c r="P97" s="88">
        <f t="shared" si="31"/>
        <v>0</v>
      </c>
      <c r="Q97" s="88">
        <f t="shared" si="31"/>
        <v>0</v>
      </c>
      <c r="R97" s="85">
        <f t="shared" si="32"/>
        <v>26</v>
      </c>
      <c r="S97" s="85">
        <f t="shared" si="32"/>
        <v>52</v>
      </c>
    </row>
    <row r="98" spans="1:19" ht="15">
      <c r="A98" s="69"/>
      <c r="B98" s="78" t="str">
        <f t="shared" si="43"/>
        <v xml:space="preserve">1Y-2Y-3Y  -57.0/-51.0   1600x1600       </v>
      </c>
      <c r="C98" s="87" t="str">
        <f t="shared" si="20"/>
        <v>5Y-10Y</v>
      </c>
      <c r="D98" s="69" t="str">
        <f t="shared" si="23"/>
        <v>5Y-10Y</v>
      </c>
      <c r="E98" s="85">
        <f t="shared" si="21"/>
        <v>0</v>
      </c>
      <c r="F98" s="86">
        <f t="shared" si="22"/>
        <v>0</v>
      </c>
      <c r="G98">
        <f t="shared" si="24"/>
        <v>-20.5</v>
      </c>
      <c r="H98" s="83" t="str">
        <f t="shared" si="25"/>
        <v>Spread</v>
      </c>
      <c r="I98" s="83" t="str">
        <f t="shared" si="26"/>
        <v>5Y</v>
      </c>
      <c r="J98" s="83" t="str">
        <f t="shared" si="27"/>
        <v>10Y</v>
      </c>
      <c r="K98" s="83" t="str">
        <f t="shared" si="28"/>
        <v/>
      </c>
      <c r="L98" s="85">
        <f t="shared" si="29"/>
        <v>65</v>
      </c>
      <c r="M98" s="85">
        <f t="shared" si="29"/>
        <v>130</v>
      </c>
      <c r="N98" s="85" t="str">
        <f t="shared" si="29"/>
        <v/>
      </c>
      <c r="O98" t="str">
        <f t="shared" si="30"/>
        <v>5Y-10Y</v>
      </c>
      <c r="P98" s="88">
        <f t="shared" si="31"/>
        <v>0</v>
      </c>
      <c r="Q98" s="88">
        <f t="shared" si="31"/>
        <v>0</v>
      </c>
      <c r="R98" s="85">
        <f t="shared" si="32"/>
        <v>65</v>
      </c>
      <c r="S98" s="85">
        <f t="shared" si="32"/>
        <v>130</v>
      </c>
    </row>
    <row r="99" spans="1:19" ht="15">
      <c r="A99" s="69"/>
      <c r="B99" s="78" t="str">
        <f t="shared" si="43"/>
        <v xml:space="preserve">3M-6M-9M       /12.0        x1600 8     </v>
      </c>
      <c r="C99" s="87" t="str">
        <f t="shared" si="20"/>
        <v>2Y-10Y</v>
      </c>
      <c r="D99" s="69" t="str">
        <f t="shared" si="23"/>
        <v>2Y-10Y</v>
      </c>
      <c r="E99" s="85">
        <f t="shared" si="21"/>
        <v>0</v>
      </c>
      <c r="F99" s="86">
        <f t="shared" si="22"/>
        <v>0</v>
      </c>
      <c r="G99">
        <f t="shared" si="24"/>
        <v>-150</v>
      </c>
      <c r="H99" s="83" t="str">
        <f t="shared" si="25"/>
        <v>Spread</v>
      </c>
      <c r="I99" s="83" t="str">
        <f t="shared" si="26"/>
        <v>2Y</v>
      </c>
      <c r="J99" s="83" t="str">
        <f t="shared" si="27"/>
        <v>10Y</v>
      </c>
      <c r="K99" s="83" t="str">
        <f t="shared" si="28"/>
        <v/>
      </c>
      <c r="L99" s="85">
        <f t="shared" si="29"/>
        <v>26</v>
      </c>
      <c r="M99" s="85">
        <f t="shared" si="29"/>
        <v>130</v>
      </c>
      <c r="N99" s="85" t="str">
        <f t="shared" si="29"/>
        <v/>
      </c>
      <c r="O99" t="str">
        <f t="shared" si="30"/>
        <v>2Y-10Y</v>
      </c>
      <c r="P99" s="88">
        <f t="shared" si="31"/>
        <v>0</v>
      </c>
      <c r="Q99" s="88">
        <f t="shared" si="31"/>
        <v>0</v>
      </c>
      <c r="R99" s="85">
        <f t="shared" si="32"/>
        <v>26</v>
      </c>
      <c r="S99" s="85">
        <f t="shared" si="32"/>
        <v>130</v>
      </c>
    </row>
    <row r="100" spans="1:19" ht="15">
      <c r="A100" s="69"/>
      <c r="B100" s="78" t="str">
        <f t="shared" si="43"/>
        <v xml:space="preserve">6M-9M-1Y       /            x     18    </v>
      </c>
      <c r="C100" s="87" t="str">
        <f t="shared" si="20"/>
        <v>9M-1Y</v>
      </c>
      <c r="D100" s="69" t="str">
        <f t="shared" si="23"/>
        <v>9M-1Y-2Y</v>
      </c>
      <c r="E100" s="85">
        <f t="shared" si="21"/>
        <v>0</v>
      </c>
      <c r="F100" s="86">
        <f t="shared" si="22"/>
        <v>0</v>
      </c>
      <c r="G100">
        <f t="shared" si="24"/>
        <v>-1.4</v>
      </c>
      <c r="H100" s="83" t="str">
        <f t="shared" si="25"/>
        <v>Fly</v>
      </c>
      <c r="I100" s="83" t="str">
        <f t="shared" si="26"/>
        <v>9M</v>
      </c>
      <c r="J100" s="83" t="str">
        <f t="shared" si="27"/>
        <v>1Y</v>
      </c>
      <c r="K100" s="83" t="str">
        <f t="shared" si="28"/>
        <v>2Y</v>
      </c>
      <c r="L100" s="85">
        <f t="shared" si="29"/>
        <v>9</v>
      </c>
      <c r="M100" s="85">
        <f t="shared" si="29"/>
        <v>13</v>
      </c>
      <c r="N100" s="85">
        <f t="shared" si="29"/>
        <v>26</v>
      </c>
      <c r="O100" t="str">
        <f t="shared" si="30"/>
        <v>9M-1Y-2Y</v>
      </c>
      <c r="P100" s="88">
        <f t="shared" si="31"/>
        <v>0</v>
      </c>
      <c r="Q100" s="88">
        <f t="shared" si="31"/>
        <v>0</v>
      </c>
      <c r="R100" s="85">
        <f t="shared" si="32"/>
        <v>9</v>
      </c>
      <c r="S100" s="85">
        <f t="shared" si="32"/>
        <v>13</v>
      </c>
    </row>
    <row r="101" spans="1:19" ht="15">
      <c r="A101" s="69"/>
      <c r="B101" s="78" t="str">
        <f t="shared" si="43"/>
        <v xml:space="preserve">2Y-5Y-10       /            x     -4.5  </v>
      </c>
      <c r="C101" s="87" t="str">
        <f t="shared" si="20"/>
        <v>1Y-2Y</v>
      </c>
      <c r="D101" s="69" t="str">
        <f t="shared" si="23"/>
        <v>1Y-2Y-3Y</v>
      </c>
      <c r="E101" s="85">
        <f t="shared" si="21"/>
        <v>-57</v>
      </c>
      <c r="F101" s="86">
        <f t="shared" si="22"/>
        <v>-51</v>
      </c>
      <c r="G101">
        <f t="shared" si="24"/>
        <v>0</v>
      </c>
      <c r="H101" s="83" t="str">
        <f t="shared" si="25"/>
        <v>Fly</v>
      </c>
      <c r="I101" s="83" t="str">
        <f t="shared" si="26"/>
        <v>1Y</v>
      </c>
      <c r="J101" s="83" t="str">
        <f t="shared" si="27"/>
        <v>2Y</v>
      </c>
      <c r="K101" s="83" t="str">
        <f t="shared" si="28"/>
        <v>3Y</v>
      </c>
      <c r="L101" s="85">
        <f t="shared" si="29"/>
        <v>13</v>
      </c>
      <c r="M101" s="85">
        <f t="shared" si="29"/>
        <v>26</v>
      </c>
      <c r="N101" s="85">
        <f t="shared" si="29"/>
        <v>39</v>
      </c>
      <c r="O101" t="str">
        <f t="shared" si="30"/>
        <v>1Y-2Y-3Y</v>
      </c>
      <c r="P101" s="88">
        <f t="shared" si="31"/>
        <v>-57</v>
      </c>
      <c r="Q101" s="88">
        <f t="shared" si="31"/>
        <v>-51</v>
      </c>
      <c r="R101" s="85">
        <f t="shared" si="32"/>
        <v>13</v>
      </c>
      <c r="S101" s="85">
        <f t="shared" si="32"/>
        <v>26</v>
      </c>
    </row>
    <row r="102" spans="1:19" ht="15">
      <c r="A102" s="69"/>
      <c r="B102" s="78" t="str">
        <f t="shared" si="43"/>
        <v xml:space="preserve">5Y-7Y-10       /            x     -10.5 </v>
      </c>
      <c r="C102" s="87" t="str">
        <f t="shared" si="20"/>
        <v>3M-6M</v>
      </c>
      <c r="D102" s="69" t="str">
        <f t="shared" si="23"/>
        <v>3M-6M-9M</v>
      </c>
      <c r="E102" s="85">
        <f t="shared" si="21"/>
        <v>0</v>
      </c>
      <c r="F102" s="86">
        <f t="shared" si="22"/>
        <v>12</v>
      </c>
      <c r="G102">
        <f t="shared" si="24"/>
        <v>8</v>
      </c>
      <c r="H102" s="83" t="str">
        <f t="shared" si="25"/>
        <v>Fly</v>
      </c>
      <c r="I102" s="83" t="str">
        <f t="shared" si="26"/>
        <v>3M</v>
      </c>
      <c r="J102" s="83" t="str">
        <f t="shared" si="27"/>
        <v>6M</v>
      </c>
      <c r="K102" s="83" t="str">
        <f t="shared" si="28"/>
        <v>9M</v>
      </c>
      <c r="L102" s="85">
        <f t="shared" si="29"/>
        <v>3</v>
      </c>
      <c r="M102" s="85">
        <f t="shared" si="29"/>
        <v>6</v>
      </c>
      <c r="N102" s="85">
        <f t="shared" si="29"/>
        <v>9</v>
      </c>
      <c r="O102" t="str">
        <f t="shared" si="30"/>
        <v>3M-6M-9M</v>
      </c>
      <c r="P102" s="88">
        <f t="shared" si="31"/>
        <v>0</v>
      </c>
      <c r="Q102" s="88">
        <f t="shared" si="31"/>
        <v>12</v>
      </c>
      <c r="R102" s="85">
        <f t="shared" si="32"/>
        <v>3</v>
      </c>
      <c r="S102" s="85">
        <f t="shared" si="32"/>
        <v>6</v>
      </c>
    </row>
    <row r="103" spans="1:19" ht="15">
      <c r="A103" s="70"/>
      <c r="B103" s="78" t="str">
        <f t="shared" si="43"/>
        <v xml:space="preserve">3Y-4Y-5Y       /            x     -55.5 </v>
      </c>
      <c r="C103" s="87" t="str">
        <f t="shared" si="20"/>
        <v>6M-9M-1Y</v>
      </c>
      <c r="D103" s="69" t="str">
        <f t="shared" si="23"/>
        <v>6M-9M-1Y</v>
      </c>
      <c r="E103" s="85">
        <f t="shared" si="21"/>
        <v>0</v>
      </c>
      <c r="F103" s="86">
        <f t="shared" si="22"/>
        <v>0</v>
      </c>
      <c r="G103">
        <f t="shared" si="24"/>
        <v>18</v>
      </c>
      <c r="H103" s="83" t="str">
        <f t="shared" si="25"/>
        <v>Fly</v>
      </c>
      <c r="I103" s="83" t="str">
        <f t="shared" si="26"/>
        <v>6M</v>
      </c>
      <c r="J103" s="83" t="str">
        <f t="shared" si="27"/>
        <v>9M</v>
      </c>
      <c r="K103" s="83" t="str">
        <f t="shared" si="28"/>
        <v>1Y</v>
      </c>
      <c r="L103" s="85">
        <f t="shared" ref="L103:N106" si="44">+IFERROR(IF(IFERROR(FIND("M",I103)&gt;0,FALSE),_xlfn.NUMBERVALUE(MID(I103,1,LEN(I103)-1)),MID(I103,1,LEN(I103)-1)*13),"")</f>
        <v>6</v>
      </c>
      <c r="M103" s="85">
        <f t="shared" si="44"/>
        <v>9</v>
      </c>
      <c r="N103" s="85">
        <f t="shared" si="44"/>
        <v>13</v>
      </c>
      <c r="O103" t="str">
        <f t="shared" si="30"/>
        <v>6M-9M-1Y</v>
      </c>
      <c r="P103" s="88">
        <f t="shared" ref="P103:Q106" si="45">+E103</f>
        <v>0</v>
      </c>
      <c r="Q103" s="88">
        <f t="shared" si="45"/>
        <v>0</v>
      </c>
      <c r="R103" s="85">
        <f t="shared" ref="R103:S106" si="46">+L103</f>
        <v>6</v>
      </c>
      <c r="S103" s="85">
        <f t="shared" si="46"/>
        <v>9</v>
      </c>
    </row>
    <row r="104" spans="1:19" ht="15">
      <c r="B104" s="78" t="str">
        <f t="shared" si="43"/>
        <v xml:space="preserve">             SOFR-TIIE SEF              </v>
      </c>
      <c r="C104" s="87" t="str">
        <f t="shared" si="20"/>
        <v>2Y-5Y</v>
      </c>
      <c r="D104" s="69" t="str">
        <f t="shared" si="23"/>
        <v>2Y-5Y-10</v>
      </c>
      <c r="E104" s="85">
        <f t="shared" si="21"/>
        <v>0</v>
      </c>
      <c r="F104" s="86">
        <f t="shared" si="22"/>
        <v>0</v>
      </c>
      <c r="G104">
        <f t="shared" si="24"/>
        <v>-4.5</v>
      </c>
      <c r="H104" s="83" t="str">
        <f t="shared" si="25"/>
        <v>Fly</v>
      </c>
      <c r="I104" s="83" t="str">
        <f t="shared" si="26"/>
        <v>2Y</v>
      </c>
      <c r="J104" s="83" t="str">
        <f t="shared" si="27"/>
        <v>5Y</v>
      </c>
      <c r="K104" s="83" t="str">
        <f t="shared" si="28"/>
        <v>10Y</v>
      </c>
      <c r="L104" s="85">
        <f t="shared" si="44"/>
        <v>26</v>
      </c>
      <c r="M104" s="85">
        <f t="shared" si="44"/>
        <v>65</v>
      </c>
      <c r="N104" s="85">
        <f t="shared" si="44"/>
        <v>130</v>
      </c>
      <c r="O104" t="str">
        <f t="shared" si="30"/>
        <v>2Y-5Y-10Y</v>
      </c>
      <c r="P104" s="88">
        <f t="shared" si="45"/>
        <v>0</v>
      </c>
      <c r="Q104" s="88">
        <f t="shared" si="45"/>
        <v>0</v>
      </c>
      <c r="R104" s="85">
        <f t="shared" si="46"/>
        <v>26</v>
      </c>
      <c r="S104" s="85">
        <f t="shared" si="46"/>
        <v>65</v>
      </c>
    </row>
    <row r="105" spans="1:19" ht="15">
      <c r="B105" s="78" t="str">
        <f t="shared" si="43"/>
        <v xml:space="preserve">6X1            /            x     75    </v>
      </c>
      <c r="C105" s="87" t="str">
        <f t="shared" si="20"/>
        <v>5Y-7Y</v>
      </c>
      <c r="D105" s="69" t="str">
        <f t="shared" si="23"/>
        <v>5Y-7Y-10</v>
      </c>
      <c r="E105" s="85">
        <f t="shared" si="21"/>
        <v>0</v>
      </c>
      <c r="F105" s="86">
        <f t="shared" si="22"/>
        <v>0</v>
      </c>
      <c r="G105">
        <f t="shared" si="24"/>
        <v>-10.5</v>
      </c>
      <c r="H105" s="83" t="str">
        <f t="shared" si="25"/>
        <v>Fly</v>
      </c>
      <c r="I105" s="83" t="str">
        <f t="shared" si="26"/>
        <v>5Y</v>
      </c>
      <c r="J105" s="83" t="str">
        <f t="shared" si="27"/>
        <v>7Y</v>
      </c>
      <c r="K105" s="83" t="str">
        <f t="shared" si="28"/>
        <v>10Y</v>
      </c>
      <c r="L105" s="85">
        <f t="shared" si="44"/>
        <v>65</v>
      </c>
      <c r="M105" s="85">
        <f t="shared" si="44"/>
        <v>91</v>
      </c>
      <c r="N105" s="85">
        <f t="shared" si="44"/>
        <v>130</v>
      </c>
      <c r="O105" t="str">
        <f t="shared" si="30"/>
        <v>5Y-7Y-10Y</v>
      </c>
      <c r="P105" s="88">
        <f t="shared" si="45"/>
        <v>0</v>
      </c>
      <c r="Q105" s="88">
        <f t="shared" si="45"/>
        <v>0</v>
      </c>
      <c r="R105" s="85">
        <f t="shared" si="46"/>
        <v>65</v>
      </c>
      <c r="S105" s="85">
        <f t="shared" si="46"/>
        <v>91</v>
      </c>
    </row>
    <row r="106" spans="1:19" ht="15">
      <c r="B106" s="78" t="str">
        <f t="shared" si="43"/>
        <v xml:space="preserve">13X1           /            x     75    </v>
      </c>
      <c r="C106" s="87" t="str">
        <f t="shared" si="20"/>
        <v>3Y-4Y</v>
      </c>
      <c r="D106" s="69" t="str">
        <f>+IF(MID(B103,LEN(C106)+1,1)="-",MID(B103,1,8),C106)</f>
        <v>3Y-4Y-5Y</v>
      </c>
      <c r="E106" s="85">
        <f t="shared" si="21"/>
        <v>0</v>
      </c>
      <c r="F106" s="86">
        <f t="shared" si="22"/>
        <v>0</v>
      </c>
      <c r="G106">
        <f t="shared" si="24"/>
        <v>-55.5</v>
      </c>
      <c r="H106" s="83" t="str">
        <f t="shared" si="25"/>
        <v>Fly</v>
      </c>
      <c r="I106" s="83" t="str">
        <f t="shared" si="26"/>
        <v>3Y</v>
      </c>
      <c r="J106" s="83" t="str">
        <f t="shared" si="27"/>
        <v>4Y</v>
      </c>
      <c r="K106" s="83" t="str">
        <f t="shared" si="28"/>
        <v>5Y</v>
      </c>
      <c r="L106" s="85">
        <f t="shared" si="44"/>
        <v>39</v>
      </c>
      <c r="M106" s="85">
        <f t="shared" si="44"/>
        <v>52</v>
      </c>
      <c r="N106" s="85">
        <f t="shared" si="44"/>
        <v>65</v>
      </c>
      <c r="O106" t="str">
        <f t="shared" si="30"/>
        <v>3Y-4Y-5Y</v>
      </c>
      <c r="P106" s="88">
        <f t="shared" si="45"/>
        <v>0</v>
      </c>
      <c r="Q106" s="88">
        <f t="shared" si="45"/>
        <v>0</v>
      </c>
      <c r="R106" s="85">
        <f t="shared" si="46"/>
        <v>39</v>
      </c>
      <c r="S106" s="85">
        <f t="shared" si="46"/>
        <v>52</v>
      </c>
    </row>
    <row r="107" spans="1:19" ht="15">
      <c r="B107" s="78" t="str">
        <f t="shared" si="43"/>
        <v xml:space="preserve">26X1           /            x     53.5  </v>
      </c>
      <c r="C107" s="87"/>
      <c r="D107" s="87"/>
      <c r="E107" s="69"/>
      <c r="F107" s="85"/>
      <c r="G107" s="86"/>
      <c r="H107" s="83"/>
      <c r="I107" s="83"/>
      <c r="J107" s="83"/>
      <c r="K107" s="83"/>
      <c r="L107" s="85"/>
      <c r="M107" s="85"/>
      <c r="N107" s="85"/>
      <c r="O107"/>
      <c r="P107" s="88"/>
      <c r="Q107" s="88"/>
      <c r="R107" s="85"/>
      <c r="S107" s="85"/>
    </row>
    <row r="108" spans="1:19" ht="15">
      <c r="B108" s="78" t="str">
        <f t="shared" si="43"/>
        <v xml:space="preserve">39X1       39.0/44.0      10x10   41.5  </v>
      </c>
      <c r="C108" s="87"/>
      <c r="F108"/>
      <c r="G108"/>
      <c r="H108"/>
      <c r="I108"/>
      <c r="J108"/>
      <c r="K108"/>
      <c r="L108" s="85"/>
      <c r="M108" s="85"/>
      <c r="N108" s="85"/>
      <c r="O108"/>
      <c r="P108" s="88"/>
      <c r="Q108" s="88"/>
      <c r="R108" s="85"/>
      <c r="S108" s="85"/>
    </row>
    <row r="109" spans="1:19" ht="15">
      <c r="B109" s="78" t="str">
        <f t="shared" si="43"/>
        <v xml:space="preserve">52X1       26.0/34.0      10x10   33.5  </v>
      </c>
      <c r="C109" s="87"/>
      <c r="F109"/>
      <c r="G109"/>
      <c r="H109"/>
      <c r="I109"/>
      <c r="J109"/>
      <c r="K109"/>
      <c r="L109" s="85"/>
      <c r="M109" s="85"/>
      <c r="N109" s="85"/>
      <c r="O109"/>
      <c r="P109" s="88"/>
      <c r="Q109" s="88"/>
      <c r="R109" s="85"/>
      <c r="S109" s="85"/>
    </row>
    <row r="110" spans="1:19" ht="15">
      <c r="B110" s="78" t="str">
        <f t="shared" si="43"/>
        <v xml:space="preserve">65X1           /            x     27    </v>
      </c>
      <c r="C110" s="87"/>
      <c r="F110"/>
      <c r="G110"/>
      <c r="H110"/>
      <c r="I110"/>
      <c r="J110"/>
      <c r="K110"/>
      <c r="L110" s="85"/>
      <c r="M110" s="85"/>
      <c r="N110" s="85"/>
      <c r="O110"/>
      <c r="P110" s="88"/>
      <c r="Q110" s="88"/>
      <c r="R110" s="85"/>
      <c r="S110" s="85"/>
    </row>
    <row r="111" spans="1:19" ht="15">
      <c r="B111" s="78" t="str">
        <f t="shared" si="43"/>
        <v xml:space="preserve">91X1       18.0/22.0      10x10         </v>
      </c>
      <c r="C111" s="87"/>
      <c r="F111"/>
      <c r="G111"/>
      <c r="H111"/>
      <c r="I111"/>
      <c r="J111"/>
      <c r="K111"/>
      <c r="L111" s="85"/>
      <c r="M111" s="85"/>
      <c r="N111" s="85"/>
      <c r="O111"/>
      <c r="P111" s="88"/>
      <c r="Q111" s="88"/>
      <c r="R111" s="85"/>
      <c r="S111" s="85"/>
    </row>
    <row r="112" spans="1:19" ht="15">
      <c r="B112" s="78" t="str">
        <f t="shared" si="43"/>
        <v xml:space="preserve">130X1      19.0/23.0      10x10         </v>
      </c>
      <c r="C112" s="87"/>
      <c r="L112" s="85"/>
      <c r="M112" s="85"/>
      <c r="N112" s="85"/>
      <c r="O112"/>
      <c r="P112" s="88"/>
      <c r="Q112" s="88"/>
      <c r="R112" s="85"/>
      <c r="S112" s="85"/>
    </row>
    <row r="113" spans="2:19" ht="15">
      <c r="B113" s="78" t="str">
        <f t="shared" si="43"/>
        <v xml:space="preserve">156X1          /            x     26.5  </v>
      </c>
      <c r="C113" s="87"/>
      <c r="L113" s="85"/>
      <c r="M113" s="85"/>
      <c r="N113" s="85"/>
      <c r="O113"/>
      <c r="P113" s="88"/>
      <c r="Q113" s="88"/>
      <c r="R113" s="85"/>
      <c r="S113" s="85"/>
    </row>
    <row r="114" spans="2:19" ht="15">
      <c r="B114" s="78" t="str">
        <f t="shared" si="43"/>
        <v xml:space="preserve">260X1          /            x     31    </v>
      </c>
      <c r="C114" s="87"/>
      <c r="L114" s="85"/>
      <c r="M114" s="85"/>
      <c r="N114" s="85"/>
      <c r="O114"/>
      <c r="P114" s="88"/>
      <c r="Q114" s="88"/>
      <c r="R114" s="85"/>
      <c r="S114" s="85"/>
    </row>
    <row r="115" spans="2:19" ht="15">
      <c r="B115" s="78" t="str">
        <f t="shared" si="43"/>
        <v xml:space="preserve">390X1          /            x     33.5  </v>
      </c>
      <c r="C115" s="87"/>
      <c r="L115" s="85"/>
      <c r="M115" s="85"/>
      <c r="N115" s="85"/>
      <c r="O115"/>
      <c r="P115" s="88"/>
      <c r="Q115" s="88"/>
      <c r="R115" s="85"/>
      <c r="S115" s="85"/>
    </row>
    <row r="153" spans="1:6" ht="15">
      <c r="A153" s="70" t="s">
        <v>144</v>
      </c>
      <c r="B153">
        <v>4</v>
      </c>
      <c r="C153"/>
      <c r="D153" s="69">
        <v>36</v>
      </c>
      <c r="E153" s="85">
        <v>42</v>
      </c>
      <c r="F153" s="2">
        <v>18</v>
      </c>
    </row>
    <row r="154" spans="1:6" ht="15">
      <c r="A154" s="70" t="s">
        <v>145</v>
      </c>
      <c r="B154" t="s">
        <v>114</v>
      </c>
      <c r="C154" s="23" t="s">
        <v>55</v>
      </c>
      <c r="D154" s="69" t="s">
        <v>14</v>
      </c>
      <c r="E154" s="85" t="s">
        <v>33</v>
      </c>
      <c r="F154" s="2" t="s">
        <v>146</v>
      </c>
    </row>
    <row r="155" spans="1:6" ht="15">
      <c r="A155" s="70" t="s">
        <v>147</v>
      </c>
      <c r="B155" t="str">
        <f>+MID(A155,$B$153,6)</f>
        <v xml:space="preserve"> 27   </v>
      </c>
      <c r="C155" s="38" t="str">
        <f>+CONCATENATE(B155,$B$154)</f>
        <v xml:space="preserve"> 27   d</v>
      </c>
      <c r="D155" s="69"/>
      <c r="E155" s="85"/>
      <c r="F155" s="2">
        <f>+IFERROR(VALUE(MID(A155,LEN(A155)-$F$153,10)),"")</f>
        <v>11.15</v>
      </c>
    </row>
    <row r="156" spans="1:6" ht="15">
      <c r="A156" s="70" t="s">
        <v>148</v>
      </c>
      <c r="B156" t="str">
        <f t="shared" ref="B156:B178" si="47">+MID(A156,$B$153,6)</f>
        <v xml:space="preserve"> 30-50</v>
      </c>
      <c r="C156" s="38" t="str">
        <f>+CONCATENATE(B156,$B$154)</f>
        <v xml:space="preserve"> 30-50d</v>
      </c>
      <c r="D156" s="33" t="str">
        <f>+IFERROR(VALUE(MID(A156,$D$153,5)),"")</f>
        <v/>
      </c>
      <c r="E156" s="34" t="str">
        <f>+IFERROR(VALUE(MID(A156,$E$153,5)),"")</f>
        <v/>
      </c>
      <c r="F156" s="2" t="str">
        <f t="shared" ref="F156:F178" si="48">+IFERROR(VALUE(MID(A156,LEN(A156)-$F$153,10)),"")</f>
        <v/>
      </c>
    </row>
    <row r="157" spans="1:6" ht="15">
      <c r="A157" s="70" t="s">
        <v>149</v>
      </c>
      <c r="B157" t="str">
        <f t="shared" si="47"/>
        <v xml:space="preserve"> 50-70</v>
      </c>
      <c r="C157" s="38" t="str">
        <f t="shared" ref="C157:C178" si="49">+CONCATENATE(B157,$B$154)</f>
        <v xml:space="preserve"> 50-70d</v>
      </c>
      <c r="D157" s="33" t="str">
        <f t="shared" ref="D157:D178" si="50">+IFERROR(VALUE(MID(A157,$D$153,5)),"")</f>
        <v/>
      </c>
      <c r="E157" s="34">
        <f t="shared" ref="E157:E178" si="51">+IFERROR(VALUE(MID(A157,$E$153,5)),"")</f>
        <v>11.36</v>
      </c>
      <c r="F157" s="2" t="str">
        <f t="shared" si="48"/>
        <v/>
      </c>
    </row>
    <row r="158" spans="1:6" ht="15">
      <c r="A158" s="70" t="s">
        <v>150</v>
      </c>
      <c r="B158" t="str">
        <f t="shared" si="47"/>
        <v xml:space="preserve"> 70-90</v>
      </c>
      <c r="C158" s="38" t="str">
        <f t="shared" si="49"/>
        <v xml:space="preserve"> 70-90d</v>
      </c>
      <c r="D158" s="33" t="str">
        <f t="shared" si="50"/>
        <v/>
      </c>
      <c r="E158" s="34" t="str">
        <f t="shared" si="51"/>
        <v/>
      </c>
      <c r="F158" s="2" t="str">
        <f t="shared" si="48"/>
        <v/>
      </c>
    </row>
    <row r="159" spans="1:6" ht="15">
      <c r="A159" s="70" t="s">
        <v>151</v>
      </c>
      <c r="B159" t="str">
        <f t="shared" si="47"/>
        <v xml:space="preserve"> 90   </v>
      </c>
      <c r="C159" s="38" t="str">
        <f t="shared" si="49"/>
        <v xml:space="preserve"> 90   d</v>
      </c>
      <c r="D159" s="33" t="str">
        <f t="shared" si="50"/>
        <v/>
      </c>
      <c r="E159" s="34" t="str">
        <f t="shared" si="51"/>
        <v/>
      </c>
      <c r="F159" s="2">
        <f t="shared" si="48"/>
        <v>11.27</v>
      </c>
    </row>
    <row r="160" spans="1:6" ht="15">
      <c r="A160" s="70" t="s">
        <v>152</v>
      </c>
      <c r="B160" t="str">
        <f t="shared" si="47"/>
        <v xml:space="preserve"> 97   </v>
      </c>
      <c r="C160" s="38" t="str">
        <f t="shared" si="49"/>
        <v xml:space="preserve"> 97   d</v>
      </c>
      <c r="D160" s="33" t="str">
        <f t="shared" si="50"/>
        <v/>
      </c>
      <c r="E160" s="34" t="str">
        <f t="shared" si="51"/>
        <v/>
      </c>
      <c r="F160" s="2">
        <f t="shared" si="48"/>
        <v>11.41</v>
      </c>
    </row>
    <row r="161" spans="1:6" ht="15">
      <c r="A161" s="70" t="s">
        <v>153</v>
      </c>
      <c r="B161" t="str">
        <f t="shared" si="47"/>
        <v xml:space="preserve"> 111  </v>
      </c>
      <c r="C161" s="38" t="str">
        <f t="shared" si="49"/>
        <v xml:space="preserve"> 111  d</v>
      </c>
      <c r="D161" s="33" t="str">
        <f t="shared" si="50"/>
        <v/>
      </c>
      <c r="E161" s="34" t="str">
        <f t="shared" si="51"/>
        <v/>
      </c>
      <c r="F161" s="2">
        <f t="shared" si="48"/>
        <v>11.41</v>
      </c>
    </row>
    <row r="162" spans="1:6" ht="15">
      <c r="A162" s="70" t="s">
        <v>154</v>
      </c>
      <c r="B162" t="str">
        <f t="shared" si="47"/>
        <v xml:space="preserve"> 125  </v>
      </c>
      <c r="C162" s="38" t="str">
        <f t="shared" si="49"/>
        <v xml:space="preserve"> 125  d</v>
      </c>
      <c r="D162" s="33" t="str">
        <f t="shared" si="50"/>
        <v/>
      </c>
      <c r="E162" s="34" t="str">
        <f t="shared" si="51"/>
        <v/>
      </c>
      <c r="F162" s="2">
        <f t="shared" si="48"/>
        <v>11.4</v>
      </c>
    </row>
    <row r="163" spans="1:6" ht="15">
      <c r="A163" s="70" t="s">
        <v>155</v>
      </c>
      <c r="B163" t="str">
        <f t="shared" si="47"/>
        <v xml:space="preserve"> 138  </v>
      </c>
      <c r="C163" s="38" t="str">
        <f t="shared" si="49"/>
        <v xml:space="preserve"> 138  d</v>
      </c>
      <c r="D163" s="33" t="str">
        <f t="shared" si="50"/>
        <v/>
      </c>
      <c r="E163" s="34" t="str">
        <f t="shared" si="51"/>
        <v/>
      </c>
      <c r="F163" s="2">
        <f t="shared" si="48"/>
        <v>11.41</v>
      </c>
    </row>
    <row r="164" spans="1:6" ht="15">
      <c r="A164" s="70" t="s">
        <v>156</v>
      </c>
      <c r="B164" t="str">
        <f t="shared" si="47"/>
        <v xml:space="preserve"> 153  </v>
      </c>
      <c r="C164" s="38" t="str">
        <f t="shared" si="49"/>
        <v xml:space="preserve"> 153  d</v>
      </c>
      <c r="D164" s="33" t="str">
        <f t="shared" si="50"/>
        <v/>
      </c>
      <c r="E164" s="34" t="str">
        <f t="shared" si="51"/>
        <v/>
      </c>
      <c r="F164" s="2">
        <f t="shared" si="48"/>
        <v>11.4</v>
      </c>
    </row>
    <row r="165" spans="1:6" ht="15">
      <c r="A165" s="70" t="s">
        <v>157</v>
      </c>
      <c r="B165" t="str">
        <f t="shared" si="47"/>
        <v xml:space="preserve"> 167  </v>
      </c>
      <c r="C165" s="38" t="str">
        <f t="shared" si="49"/>
        <v xml:space="preserve"> 167  d</v>
      </c>
      <c r="D165" s="33" t="str">
        <f t="shared" si="50"/>
        <v/>
      </c>
      <c r="E165" s="34" t="str">
        <f t="shared" si="51"/>
        <v/>
      </c>
      <c r="F165" s="2">
        <f t="shared" si="48"/>
        <v>11.39</v>
      </c>
    </row>
    <row r="166" spans="1:6" ht="15">
      <c r="A166" s="70" t="s">
        <v>158</v>
      </c>
      <c r="B166" t="str">
        <f t="shared" si="47"/>
        <v xml:space="preserve"> 181  </v>
      </c>
      <c r="C166" s="38" t="str">
        <f t="shared" si="49"/>
        <v xml:space="preserve"> 181  d</v>
      </c>
      <c r="D166" s="33">
        <f t="shared" si="50"/>
        <v>11.49</v>
      </c>
      <c r="E166" s="34">
        <f t="shared" si="51"/>
        <v>11.29</v>
      </c>
      <c r="F166" s="2">
        <f t="shared" si="48"/>
        <v>11.39</v>
      </c>
    </row>
    <row r="167" spans="1:6" ht="15">
      <c r="A167" s="70" t="s">
        <v>159</v>
      </c>
      <c r="B167" t="str">
        <f t="shared" si="47"/>
        <v xml:space="preserve"> 209  </v>
      </c>
      <c r="C167" s="38" t="str">
        <f t="shared" si="49"/>
        <v xml:space="preserve"> 209  d</v>
      </c>
      <c r="D167" s="33">
        <f t="shared" si="50"/>
        <v>11.47</v>
      </c>
      <c r="E167" s="34">
        <f t="shared" si="51"/>
        <v>11.27</v>
      </c>
      <c r="F167" s="2">
        <f t="shared" si="48"/>
        <v>11.37</v>
      </c>
    </row>
    <row r="168" spans="1:6" ht="15">
      <c r="A168" s="70" t="s">
        <v>160</v>
      </c>
      <c r="B168" t="str">
        <f t="shared" si="47"/>
        <v xml:space="preserve"> 237  </v>
      </c>
      <c r="C168" s="38" t="str">
        <f t="shared" si="49"/>
        <v xml:space="preserve"> 237  d</v>
      </c>
      <c r="D168" s="33">
        <f t="shared" si="50"/>
        <v>11.44</v>
      </c>
      <c r="E168" s="34">
        <f t="shared" si="51"/>
        <v>11.24</v>
      </c>
      <c r="F168" s="2">
        <f t="shared" si="48"/>
        <v>11.34</v>
      </c>
    </row>
    <row r="169" spans="1:6" ht="15">
      <c r="A169" s="70" t="s">
        <v>161</v>
      </c>
      <c r="B169" t="str">
        <f t="shared" si="47"/>
        <v xml:space="preserve"> 265  </v>
      </c>
      <c r="C169" s="38" t="str">
        <f t="shared" si="49"/>
        <v xml:space="preserve"> 265  d</v>
      </c>
      <c r="D169" s="33">
        <f t="shared" si="50"/>
        <v>11.43</v>
      </c>
      <c r="E169" s="34">
        <f t="shared" si="51"/>
        <v>11.23</v>
      </c>
      <c r="F169" s="2">
        <f t="shared" si="48"/>
        <v>11.33</v>
      </c>
    </row>
    <row r="170" spans="1:6" ht="15">
      <c r="A170" s="70" t="s">
        <v>162</v>
      </c>
      <c r="B170" t="str">
        <f t="shared" si="47"/>
        <v xml:space="preserve"> 293  </v>
      </c>
      <c r="C170" s="38" t="str">
        <f t="shared" si="49"/>
        <v xml:space="preserve"> 293  d</v>
      </c>
      <c r="D170" s="33">
        <f t="shared" si="50"/>
        <v>11.43</v>
      </c>
      <c r="E170" s="34">
        <f t="shared" si="51"/>
        <v>11.23</v>
      </c>
      <c r="F170" s="2">
        <f t="shared" si="48"/>
        <v>11.33</v>
      </c>
    </row>
    <row r="171" spans="1:6" ht="15">
      <c r="A171" s="70" t="s">
        <v>163</v>
      </c>
      <c r="B171" t="str">
        <f t="shared" si="47"/>
        <v xml:space="preserve"> 321  </v>
      </c>
      <c r="C171" s="38" t="str">
        <f t="shared" si="49"/>
        <v xml:space="preserve"> 321  d</v>
      </c>
      <c r="D171" s="33">
        <f t="shared" si="50"/>
        <v>11.43</v>
      </c>
      <c r="E171" s="34">
        <f t="shared" si="51"/>
        <v>11.23</v>
      </c>
      <c r="F171" s="2">
        <f t="shared" si="48"/>
        <v>11.33</v>
      </c>
    </row>
    <row r="172" spans="1:6" ht="15">
      <c r="A172" s="70" t="s">
        <v>164</v>
      </c>
      <c r="B172" t="str">
        <f t="shared" si="47"/>
        <v xml:space="preserve"> 349  </v>
      </c>
      <c r="C172" s="38" t="str">
        <f t="shared" si="49"/>
        <v xml:space="preserve"> 349  d</v>
      </c>
      <c r="D172" s="33">
        <f t="shared" si="50"/>
        <v>11.33</v>
      </c>
      <c r="E172" s="34">
        <f t="shared" si="51"/>
        <v>11.28</v>
      </c>
      <c r="F172" s="2">
        <f t="shared" si="48"/>
        <v>11.31</v>
      </c>
    </row>
    <row r="173" spans="1:6" ht="15">
      <c r="A173" s="70" t="s">
        <v>165</v>
      </c>
      <c r="B173" t="str">
        <f t="shared" si="47"/>
        <v xml:space="preserve"> 475  </v>
      </c>
      <c r="C173" s="38" t="str">
        <f t="shared" si="49"/>
        <v xml:space="preserve"> 475  d</v>
      </c>
      <c r="D173" s="33">
        <f t="shared" si="50"/>
        <v>11.34</v>
      </c>
      <c r="E173" s="34">
        <f t="shared" si="51"/>
        <v>11.28</v>
      </c>
      <c r="F173" s="2">
        <f t="shared" si="48"/>
        <v>11.31</v>
      </c>
    </row>
    <row r="174" spans="1:6" ht="15">
      <c r="A174" s="70" t="s">
        <v>166</v>
      </c>
      <c r="B174" t="str">
        <f t="shared" si="47"/>
        <v xml:space="preserve"> 531  </v>
      </c>
      <c r="C174" s="38" t="str">
        <f t="shared" si="49"/>
        <v xml:space="preserve"> 531  d</v>
      </c>
      <c r="D174" s="33">
        <f t="shared" si="50"/>
        <v>11.24</v>
      </c>
      <c r="E174" s="34">
        <f t="shared" si="51"/>
        <v>11.12</v>
      </c>
      <c r="F174" s="2">
        <f t="shared" si="48"/>
        <v>11.21</v>
      </c>
    </row>
    <row r="175" spans="1:6" ht="15">
      <c r="A175" s="70" t="s">
        <v>167</v>
      </c>
      <c r="B175" t="str">
        <f t="shared" si="47"/>
        <v xml:space="preserve"> 587  </v>
      </c>
      <c r="C175" s="38" t="str">
        <f t="shared" si="49"/>
        <v xml:space="preserve"> 587  d</v>
      </c>
      <c r="D175" s="33">
        <f t="shared" si="50"/>
        <v>11.12</v>
      </c>
      <c r="E175" s="34">
        <f t="shared" si="51"/>
        <v>10.99</v>
      </c>
      <c r="F175" s="2">
        <f t="shared" si="48"/>
        <v>11.09</v>
      </c>
    </row>
    <row r="176" spans="1:6" ht="15">
      <c r="A176" s="70" t="s">
        <v>168</v>
      </c>
      <c r="B176" t="str">
        <f t="shared" si="47"/>
        <v xml:space="preserve"> 601  </v>
      </c>
      <c r="C176" s="38" t="str">
        <f t="shared" si="49"/>
        <v xml:space="preserve"> 601  d</v>
      </c>
      <c r="D176" s="33">
        <f t="shared" si="50"/>
        <v>11.05</v>
      </c>
      <c r="E176" s="34">
        <f t="shared" si="51"/>
        <v>10.92</v>
      </c>
      <c r="F176" s="2">
        <f t="shared" si="48"/>
        <v>11.02</v>
      </c>
    </row>
    <row r="177" spans="1:6" ht="15">
      <c r="A177" s="70" t="s">
        <v>169</v>
      </c>
      <c r="B177" t="str">
        <f t="shared" si="47"/>
        <v xml:space="preserve"> 643  </v>
      </c>
      <c r="C177" s="38" t="str">
        <f t="shared" si="49"/>
        <v xml:space="preserve"> 643  d</v>
      </c>
      <c r="D177" s="33">
        <f t="shared" si="50"/>
        <v>11.01</v>
      </c>
      <c r="E177" s="34">
        <f t="shared" si="51"/>
        <v>10.9</v>
      </c>
      <c r="F177" s="2">
        <f t="shared" si="48"/>
        <v>10.98</v>
      </c>
    </row>
    <row r="178" spans="1:6" ht="15">
      <c r="A178" s="70" t="s">
        <v>170</v>
      </c>
      <c r="B178" t="str">
        <f t="shared" si="47"/>
        <v xml:space="preserve"> 699  </v>
      </c>
      <c r="C178" s="38" t="str">
        <f t="shared" si="49"/>
        <v xml:space="preserve"> 699  d</v>
      </c>
      <c r="D178" s="33">
        <f t="shared" si="50"/>
        <v>10.92</v>
      </c>
      <c r="E178" s="34">
        <f t="shared" si="51"/>
        <v>10.82</v>
      </c>
      <c r="F178" s="2">
        <f t="shared" si="48"/>
        <v>10.89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>
    <tabColor theme="8" tint="0.79998168889431442"/>
  </sheetPr>
  <dimension ref="A1:AD123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K19" sqref="K19"/>
    </sheetView>
  </sheetViews>
  <sheetFormatPr baseColWidth="10" defaultColWidth="9.140625" defaultRowHeight="12.75"/>
  <cols>
    <col min="1" max="1" width="92.140625" style="1" bestFit="1" customWidth="1"/>
    <col min="2" max="2" width="25.5703125" style="2" customWidth="1"/>
    <col min="3" max="7" width="9.140625" style="2" customWidth="1"/>
    <col min="8" max="9" width="11.42578125" style="2" customWidth="1"/>
    <col min="10" max="10" width="11.5703125" style="2" bestFit="1" customWidth="1"/>
    <col min="11" max="11" width="7.7109375" style="1" bestFit="1" customWidth="1"/>
    <col min="12" max="14" width="9.140625" style="1"/>
    <col min="15" max="15" width="11" style="1" bestFit="1" customWidth="1"/>
    <col min="16" max="22" width="9.140625" style="1"/>
    <col min="23" max="23" width="13.85546875" style="1" bestFit="1" customWidth="1"/>
    <col min="24" max="24" width="12.42578125" style="1" bestFit="1" customWidth="1"/>
    <col min="25" max="16384" width="9.140625" style="1"/>
  </cols>
  <sheetData>
    <row r="1" spans="1:15">
      <c r="A1" s="3" t="s">
        <v>171</v>
      </c>
      <c r="B1" s="1"/>
      <c r="C1" s="1"/>
      <c r="D1" s="1"/>
      <c r="E1" s="1"/>
      <c r="F1" s="1"/>
      <c r="G1" s="1"/>
      <c r="H1" s="1"/>
      <c r="I1" s="1"/>
      <c r="J1" s="1"/>
    </row>
    <row r="2" spans="1:15" s="49" customFormat="1">
      <c r="A2" s="49" t="e">
        <f ca="1">_xll.BPGE(" 1602/11/1",,"cols=1;rows=26")</f>
        <v>#NAME?</v>
      </c>
    </row>
    <row r="3" spans="1:15">
      <c r="A3" s="70" t="s">
        <v>172</v>
      </c>
      <c r="B3" s="1"/>
      <c r="C3" s="1">
        <v>15</v>
      </c>
      <c r="D3" s="1">
        <v>5</v>
      </c>
      <c r="E3" s="1">
        <v>44</v>
      </c>
      <c r="F3" s="1">
        <v>58</v>
      </c>
      <c r="G3" s="1">
        <v>74</v>
      </c>
      <c r="H3" s="1"/>
      <c r="I3" s="1"/>
      <c r="J3" s="1"/>
    </row>
    <row r="4" spans="1:15" ht="15">
      <c r="A4" s="70" t="s">
        <v>173</v>
      </c>
      <c r="B4" s="1"/>
      <c r="C4" s="23" t="s">
        <v>55</v>
      </c>
      <c r="D4" s="24" t="s">
        <v>72</v>
      </c>
      <c r="E4" s="25" t="s">
        <v>29</v>
      </c>
      <c r="F4" s="26" t="s">
        <v>30</v>
      </c>
      <c r="G4" s="24" t="s">
        <v>58</v>
      </c>
      <c r="H4" s="1"/>
      <c r="I4" s="24" t="s">
        <v>28</v>
      </c>
      <c r="J4" s="24" t="s">
        <v>32</v>
      </c>
      <c r="K4" s="24" t="s">
        <v>14</v>
      </c>
      <c r="L4" s="24" t="s">
        <v>33</v>
      </c>
      <c r="M4"/>
      <c r="N4"/>
      <c r="O4"/>
    </row>
    <row r="5" spans="1:15" ht="15">
      <c r="A5" s="70" t="s">
        <v>643</v>
      </c>
      <c r="B5" s="1"/>
      <c r="C5" s="37" t="str">
        <f>TRIM(IF(IFERROR(FIND(MID($A5,$C$3,6),C4),-1)&lt;0,MID($A5,$C$3,6),""))</f>
        <v>DIC 23</v>
      </c>
      <c r="D5" s="27">
        <f>IFERROR(IF(C5="","",VALUE(MID(A5,$D$3,5))),"")</f>
        <v>135</v>
      </c>
      <c r="E5" s="35" t="str">
        <f>IF(C5="","",MID(A5,$E$3-1,5))</f>
        <v xml:space="preserve">     </v>
      </c>
      <c r="F5" s="34" t="str">
        <f>IF($C5="","",MID($A5,F$3-1,5))</f>
        <v xml:space="preserve">     </v>
      </c>
      <c r="G5" s="30" t="str">
        <f>IF($C5="","",MID($A5,G$3-1,4))</f>
        <v xml:space="preserve">    </v>
      </c>
      <c r="H5" s="1"/>
      <c r="I5" s="95" t="str" cm="1">
        <f t="array" ref="I5:I22">+TRANSPOSE(_xlfn.TEXTSPLIT(_xlfn.TEXTJOIN(",",TRUE,C5:C28),","))</f>
        <v>DIC 23</v>
      </c>
      <c r="J5" s="135" t="str" cm="1">
        <f t="array" ref="J5:J22">+IFERROR(VLOOKUP(LEFT(_xlfn.ANCHORARRAY(I5),3),$N$5:$O$16,2,FALSE)&amp;RIGHT(_xlfn.ANCHORARRAY(I5),2),VLOOKUP(_xlfn.ANCHORARRAY(I5),N17:O21,2))</f>
        <v>dc23</v>
      </c>
      <c r="K5" s="98" t="str" cm="1">
        <f t="array" ref="K5:K22">+IF(_xlfn.NUMBERVALUE(IF(VLOOKUP(_xlfn.ANCHORARRAY(I5),$C$4:$G$28,3,0)=0,"",VLOOKUP(_xlfn.ANCHORARRAY($I5),$C$4:$G$28,3,0)))&lt;&gt;0, _xlfn.NUMBERVALUE(IF(VLOOKUP(_xlfn.ANCHORARRAY(I5),$C$4:$G$28,3,0)=0,"",VLOOKUP(_xlfn.ANCHORARRAY($I5),$C$4:$G$28,3,0))), "")</f>
        <v/>
      </c>
      <c r="L5" s="98" t="str" cm="1">
        <f t="array" ref="L5:L22">+IF(VLOOKUP(_xlfn.ANCHORARRAY($I5),$C$4:$G$28,4,0)=0,"",VLOOKUP(_xlfn.ANCHORARRAY($I5),$C$4:$G$28,4,0))</f>
        <v xml:space="preserve">     </v>
      </c>
      <c r="M5"/>
      <c r="N5" s="136" t="s">
        <v>73</v>
      </c>
      <c r="O5" t="s">
        <v>34</v>
      </c>
    </row>
    <row r="6" spans="1:15" ht="15">
      <c r="A6" s="118" t="s">
        <v>644</v>
      </c>
      <c r="B6" s="1"/>
      <c r="C6" s="37" t="str">
        <f t="shared" ref="C6:C28" si="0">TRIM(IF(IFERROR(FIND(MID($A6,$C$3,6),C5),-1)&lt;0,MID($A6,$C$3,6),""))</f>
        <v>DOS</v>
      </c>
      <c r="D6" s="27">
        <f t="shared" ref="D6:D21" si="1">IFERROR(IF(C6="","",VALUE(MID(A6,$D$3,5))),"")</f>
        <v>408</v>
      </c>
      <c r="E6" s="35" t="str">
        <f t="shared" ref="E6:E28" si="2">IF(C6="","",MID(A6,$E$3-1,5))</f>
        <v xml:space="preserve">     </v>
      </c>
      <c r="F6" s="34" t="str">
        <f t="shared" ref="F6:F28" si="3">IF($C6="","",MID($A6,F$3-1,5))</f>
        <v xml:space="preserve">     </v>
      </c>
      <c r="G6" s="31" t="str">
        <f t="shared" ref="G6:G23" si="4">IF($C6="","",MID($A6,G$3-1,4))</f>
        <v xml:space="preserve">    </v>
      </c>
      <c r="H6" s="1"/>
      <c r="I6" s="95" t="str">
        <v>DOS</v>
      </c>
      <c r="J6" s="135" t="str">
        <v>sp24</v>
      </c>
      <c r="K6" s="98" t="str">
        <v/>
      </c>
      <c r="L6" s="98" t="str">
        <v xml:space="preserve">     </v>
      </c>
      <c r="M6"/>
      <c r="N6" s="66" t="s">
        <v>76</v>
      </c>
      <c r="O6" t="s">
        <v>36</v>
      </c>
    </row>
    <row r="7" spans="1:15" ht="15">
      <c r="A7" s="118" t="s">
        <v>645</v>
      </c>
      <c r="B7" s="1"/>
      <c r="C7" s="37" t="str">
        <f t="shared" si="0"/>
        <v>DIC 24</v>
      </c>
      <c r="D7" s="27">
        <f t="shared" si="1"/>
        <v>499</v>
      </c>
      <c r="E7" s="35" t="str">
        <f t="shared" si="2"/>
        <v xml:space="preserve">     </v>
      </c>
      <c r="F7" s="34" t="str">
        <f t="shared" si="3"/>
        <v xml:space="preserve">     </v>
      </c>
      <c r="G7" s="30" t="str">
        <f t="shared" si="4"/>
        <v xml:space="preserve">    </v>
      </c>
      <c r="H7" s="1"/>
      <c r="I7" s="95" t="str">
        <v>DIC 24</v>
      </c>
      <c r="J7" s="135" t="str">
        <v>dc24</v>
      </c>
      <c r="K7" s="98" t="str">
        <v/>
      </c>
      <c r="L7" s="98" t="str">
        <v xml:space="preserve">     </v>
      </c>
      <c r="M7"/>
      <c r="N7" s="66" t="s">
        <v>77</v>
      </c>
      <c r="O7" t="s">
        <v>37</v>
      </c>
    </row>
    <row r="8" spans="1:15" ht="15">
      <c r="A8" s="70" t="s">
        <v>646</v>
      </c>
      <c r="B8" s="1"/>
      <c r="C8" s="37" t="str">
        <f t="shared" si="0"/>
        <v>MAR 25</v>
      </c>
      <c r="D8" s="27">
        <f t="shared" si="1"/>
        <v>590</v>
      </c>
      <c r="E8" s="35" t="str">
        <f t="shared" si="2"/>
        <v xml:space="preserve">     </v>
      </c>
      <c r="F8" s="34" t="str">
        <f t="shared" si="3"/>
        <v xml:space="preserve">     </v>
      </c>
      <c r="G8" s="31" t="str">
        <f t="shared" si="4"/>
        <v xml:space="preserve">    </v>
      </c>
      <c r="H8" s="1"/>
      <c r="I8" s="95" t="str">
        <v>MAR 25</v>
      </c>
      <c r="J8" s="135" t="str">
        <v>mz25</v>
      </c>
      <c r="K8" s="98" t="str">
        <v/>
      </c>
      <c r="L8" s="98" t="str">
        <v xml:space="preserve">     </v>
      </c>
      <c r="M8"/>
      <c r="N8" t="s">
        <v>79</v>
      </c>
      <c r="O8" t="s">
        <v>39</v>
      </c>
    </row>
    <row r="9" spans="1:15" ht="15">
      <c r="A9" s="70" t="s">
        <v>647</v>
      </c>
      <c r="B9" s="1"/>
      <c r="C9" s="37" t="str">
        <f t="shared" si="0"/>
        <v>MAR 26</v>
      </c>
      <c r="D9" s="27">
        <f t="shared" si="1"/>
        <v>954</v>
      </c>
      <c r="E9" s="35" t="str">
        <f t="shared" si="2"/>
        <v xml:space="preserve">     </v>
      </c>
      <c r="F9" s="34" t="str">
        <f t="shared" si="3"/>
        <v xml:space="preserve">     </v>
      </c>
      <c r="G9" s="30" t="str">
        <f t="shared" si="4"/>
        <v xml:space="preserve">    </v>
      </c>
      <c r="H9" s="1"/>
      <c r="I9" s="95" t="str">
        <v>MAR 26</v>
      </c>
      <c r="J9" s="135" t="str">
        <v>mz26</v>
      </c>
      <c r="K9" s="98" t="str">
        <v/>
      </c>
      <c r="L9" s="98" t="str">
        <v xml:space="preserve">     </v>
      </c>
      <c r="M9"/>
      <c r="N9" t="s">
        <v>80</v>
      </c>
      <c r="O9" t="s">
        <v>40</v>
      </c>
    </row>
    <row r="10" spans="1:15" ht="15">
      <c r="A10" s="118" t="s">
        <v>648</v>
      </c>
      <c r="B10" s="1"/>
      <c r="C10" s="37" t="str">
        <f t="shared" si="0"/>
        <v>SEP 26</v>
      </c>
      <c r="D10" s="27">
        <f t="shared" si="1"/>
        <v>1136</v>
      </c>
      <c r="E10" s="35" t="str">
        <f t="shared" si="2"/>
        <v xml:space="preserve">     </v>
      </c>
      <c r="F10" s="34" t="str">
        <f t="shared" si="3"/>
        <v xml:space="preserve">     </v>
      </c>
      <c r="G10" s="31" t="str">
        <f t="shared" si="4"/>
        <v xml:space="preserve">    </v>
      </c>
      <c r="H10" s="1"/>
      <c r="I10" s="95" t="str">
        <v>SEP 26</v>
      </c>
      <c r="J10" s="135" t="str">
        <v>sp26</v>
      </c>
      <c r="K10" s="98" t="str">
        <v/>
      </c>
      <c r="L10" s="98" t="str">
        <v xml:space="preserve">     </v>
      </c>
      <c r="M10"/>
      <c r="N10" t="s">
        <v>82</v>
      </c>
      <c r="O10" t="s">
        <v>41</v>
      </c>
    </row>
    <row r="11" spans="1:15" ht="15">
      <c r="A11" s="70" t="s">
        <v>649</v>
      </c>
      <c r="B11" s="1"/>
      <c r="C11" s="37" t="str">
        <f t="shared" si="0"/>
        <v>TRES</v>
      </c>
      <c r="D11" s="27">
        <f t="shared" si="1"/>
        <v>1318</v>
      </c>
      <c r="E11" s="35" t="str">
        <f t="shared" si="2"/>
        <v xml:space="preserve">     </v>
      </c>
      <c r="F11" s="34" t="str">
        <f t="shared" si="3"/>
        <v xml:space="preserve">     </v>
      </c>
      <c r="G11" s="30" t="str">
        <f t="shared" si="4"/>
        <v xml:space="preserve">    </v>
      </c>
      <c r="H11" s="1"/>
      <c r="I11" s="95" t="str">
        <v>TRES</v>
      </c>
      <c r="J11" s="135" t="str">
        <v>mz27</v>
      </c>
      <c r="K11" s="98" t="str">
        <v/>
      </c>
      <c r="L11" s="98" t="str">
        <v xml:space="preserve">     </v>
      </c>
      <c r="M11"/>
      <c r="N11" t="s">
        <v>83</v>
      </c>
      <c r="O11" t="s">
        <v>42</v>
      </c>
    </row>
    <row r="12" spans="1:15" ht="15">
      <c r="A12" s="118" t="s">
        <v>650</v>
      </c>
      <c r="B12" s="1"/>
      <c r="C12" s="37" t="str">
        <f t="shared" si="0"/>
        <v>JUN 27</v>
      </c>
      <c r="D12" s="27">
        <f t="shared" si="1"/>
        <v>1409</v>
      </c>
      <c r="E12" s="35" t="str">
        <f t="shared" si="2"/>
        <v xml:space="preserve">     </v>
      </c>
      <c r="F12" s="34" t="str">
        <f t="shared" si="3"/>
        <v xml:space="preserve">     </v>
      </c>
      <c r="G12" s="31" t="str">
        <f t="shared" si="4"/>
        <v xml:space="preserve">    </v>
      </c>
      <c r="H12" s="1"/>
      <c r="I12" s="95" t="str">
        <v>JUN 27</v>
      </c>
      <c r="J12" s="135" t="str">
        <v>jn27</v>
      </c>
      <c r="K12" s="98" t="str">
        <v/>
      </c>
      <c r="L12" s="98" t="str">
        <v xml:space="preserve">     </v>
      </c>
      <c r="M12"/>
      <c r="N12" t="s">
        <v>85</v>
      </c>
      <c r="O12" t="s">
        <v>43</v>
      </c>
    </row>
    <row r="13" spans="1:15" ht="15">
      <c r="A13" s="118" t="s">
        <v>651</v>
      </c>
      <c r="B13" s="1"/>
      <c r="C13" s="37" t="str">
        <f t="shared" si="0"/>
        <v>MAY 29</v>
      </c>
      <c r="D13" s="27">
        <f t="shared" si="1"/>
        <v>2137</v>
      </c>
      <c r="E13" s="35" t="str">
        <f t="shared" si="2"/>
        <v xml:space="preserve">     </v>
      </c>
      <c r="F13" s="34" t="str">
        <f t="shared" si="3"/>
        <v xml:space="preserve">     </v>
      </c>
      <c r="G13" s="30" t="str">
        <f t="shared" si="4"/>
        <v xml:space="preserve">    </v>
      </c>
      <c r="H13" s="1"/>
      <c r="I13" s="95" t="str">
        <v>MAY 29</v>
      </c>
      <c r="J13" s="135" t="str">
        <v>my29</v>
      </c>
      <c r="K13" s="98" t="str">
        <v/>
      </c>
      <c r="L13" s="98" t="str">
        <v xml:space="preserve">     </v>
      </c>
      <c r="M13"/>
      <c r="N13" t="s">
        <v>86</v>
      </c>
      <c r="O13" t="s">
        <v>44</v>
      </c>
    </row>
    <row r="14" spans="1:15" ht="15">
      <c r="A14" s="118" t="s">
        <v>652</v>
      </c>
      <c r="B14" s="1"/>
      <c r="C14" s="37" t="str">
        <f t="shared" si="0"/>
        <v>MAY 31</v>
      </c>
      <c r="D14" s="27">
        <f t="shared" si="1"/>
        <v>2865</v>
      </c>
      <c r="E14" s="35" t="str">
        <f t="shared" si="2"/>
        <v xml:space="preserve">     </v>
      </c>
      <c r="F14" s="34" t="str">
        <f t="shared" si="3"/>
        <v xml:space="preserve">     </v>
      </c>
      <c r="G14" s="31" t="str">
        <f t="shared" si="4"/>
        <v xml:space="preserve">    </v>
      </c>
      <c r="H14" s="1"/>
      <c r="I14" s="95" t="str">
        <v>MAY 31</v>
      </c>
      <c r="J14" s="135" t="str">
        <v>my31</v>
      </c>
      <c r="K14" s="98" t="str">
        <v/>
      </c>
      <c r="L14" s="98" t="str">
        <v xml:space="preserve">     </v>
      </c>
      <c r="M14"/>
      <c r="N14" t="s">
        <v>88</v>
      </c>
      <c r="O14" t="s">
        <v>46</v>
      </c>
    </row>
    <row r="15" spans="1:15" ht="15">
      <c r="A15" s="118" t="s">
        <v>653</v>
      </c>
      <c r="B15" s="1"/>
      <c r="C15" s="37" t="str">
        <f t="shared" si="0"/>
        <v>MAY 33</v>
      </c>
      <c r="D15" s="27">
        <f t="shared" si="1"/>
        <v>3593</v>
      </c>
      <c r="E15" s="35" t="str">
        <f t="shared" si="2"/>
        <v xml:space="preserve">     </v>
      </c>
      <c r="F15" s="34" t="str">
        <f t="shared" si="3"/>
        <v xml:space="preserve">     </v>
      </c>
      <c r="G15" s="30" t="str">
        <f t="shared" si="4"/>
        <v xml:space="preserve">    </v>
      </c>
      <c r="H15" s="1"/>
      <c r="I15" s="95" t="str">
        <v>MAY 33</v>
      </c>
      <c r="J15" s="135" t="str">
        <v>my33</v>
      </c>
      <c r="K15" s="98" t="str">
        <v/>
      </c>
      <c r="L15" s="98" t="str">
        <v xml:space="preserve">     </v>
      </c>
      <c r="M15"/>
      <c r="N15" t="s">
        <v>89</v>
      </c>
      <c r="O15" t="s">
        <v>47</v>
      </c>
    </row>
    <row r="16" spans="1:15" ht="15">
      <c r="A16" s="118" t="s">
        <v>654</v>
      </c>
      <c r="B16" s="1"/>
      <c r="C16" s="37" t="str">
        <f t="shared" si="0"/>
        <v>NOV 34</v>
      </c>
      <c r="D16" s="27">
        <f t="shared" si="1"/>
        <v>4139</v>
      </c>
      <c r="E16" s="35" t="str">
        <f t="shared" si="2"/>
        <v xml:space="preserve">     </v>
      </c>
      <c r="F16" s="34" t="str">
        <f t="shared" si="3"/>
        <v xml:space="preserve">     </v>
      </c>
      <c r="G16" s="31" t="str">
        <f t="shared" si="4"/>
        <v xml:space="preserve">    </v>
      </c>
      <c r="H16" s="1"/>
      <c r="I16" s="95" t="str">
        <v>NOV 34</v>
      </c>
      <c r="J16" s="135" t="str">
        <v>nv34</v>
      </c>
      <c r="K16" s="98" t="str">
        <v/>
      </c>
      <c r="L16" s="98" t="str">
        <v xml:space="preserve">     </v>
      </c>
      <c r="M16"/>
      <c r="N16" t="s">
        <v>91</v>
      </c>
      <c r="O16" t="s">
        <v>48</v>
      </c>
    </row>
    <row r="17" spans="1:15" ht="15">
      <c r="A17" s="70" t="s">
        <v>655</v>
      </c>
      <c r="B17" s="1"/>
      <c r="C17" s="37" t="str">
        <f t="shared" si="0"/>
        <v>NOV 36</v>
      </c>
      <c r="D17" s="27">
        <f t="shared" si="1"/>
        <v>4867</v>
      </c>
      <c r="E17" s="35" t="str">
        <f t="shared" si="2"/>
        <v xml:space="preserve">     </v>
      </c>
      <c r="F17" s="34" t="str">
        <f t="shared" si="3"/>
        <v xml:space="preserve">     </v>
      </c>
      <c r="G17" s="30" t="str">
        <f t="shared" si="4"/>
        <v xml:space="preserve">    </v>
      </c>
      <c r="H17" s="1"/>
      <c r="I17" s="95" t="str">
        <v>NOV 36</v>
      </c>
      <c r="J17" s="135" t="str">
        <v>nv36</v>
      </c>
      <c r="K17" s="98" t="str">
        <v/>
      </c>
      <c r="L17" s="98" t="str">
        <v xml:space="preserve">     </v>
      </c>
      <c r="M17"/>
      <c r="N17" t="s">
        <v>105</v>
      </c>
      <c r="O17" t="s">
        <v>106</v>
      </c>
    </row>
    <row r="18" spans="1:15" ht="15">
      <c r="A18" s="118" t="s">
        <v>656</v>
      </c>
      <c r="B18" s="1"/>
      <c r="C18" s="37" t="str">
        <f t="shared" si="0"/>
        <v>NOV 38</v>
      </c>
      <c r="D18" s="27">
        <f t="shared" si="1"/>
        <v>5595</v>
      </c>
      <c r="E18" s="35" t="str">
        <f t="shared" si="2"/>
        <v xml:space="preserve">     </v>
      </c>
      <c r="F18" s="34" t="str">
        <f t="shared" si="3"/>
        <v xml:space="preserve">     </v>
      </c>
      <c r="G18" s="31" t="str">
        <f t="shared" si="4"/>
        <v xml:space="preserve">    </v>
      </c>
      <c r="H18" s="1"/>
      <c r="I18" s="95" t="str">
        <v>NOV 38</v>
      </c>
      <c r="J18" s="135" t="str">
        <v>nv38</v>
      </c>
      <c r="K18" s="98" t="str">
        <v/>
      </c>
      <c r="L18" s="98" t="str">
        <v xml:space="preserve">     </v>
      </c>
      <c r="M18"/>
      <c r="N18" t="s">
        <v>107</v>
      </c>
      <c r="O18" t="s">
        <v>108</v>
      </c>
    </row>
    <row r="19" spans="1:15" ht="15">
      <c r="A19" s="70" t="s">
        <v>657</v>
      </c>
      <c r="B19" s="1"/>
      <c r="C19" s="37" t="str">
        <f t="shared" si="0"/>
        <v>NOV 42</v>
      </c>
      <c r="D19" s="27">
        <f t="shared" si="1"/>
        <v>7051</v>
      </c>
      <c r="E19" s="35" t="str">
        <f t="shared" si="2"/>
        <v xml:space="preserve">     </v>
      </c>
      <c r="F19" s="34" t="str">
        <f t="shared" si="3"/>
        <v xml:space="preserve">     </v>
      </c>
      <c r="G19" s="30" t="str">
        <f t="shared" si="4"/>
        <v xml:space="preserve">    </v>
      </c>
      <c r="H19" s="1"/>
      <c r="I19" s="95" t="str">
        <v>NOV 42</v>
      </c>
      <c r="J19" s="135" t="str">
        <v>nv42</v>
      </c>
      <c r="K19" s="98" t="str">
        <v/>
      </c>
      <c r="L19" s="98" t="str">
        <v xml:space="preserve">     </v>
      </c>
      <c r="M19"/>
      <c r="N19" t="s">
        <v>109</v>
      </c>
      <c r="O19"/>
    </row>
    <row r="20" spans="1:15" ht="15">
      <c r="A20" s="70" t="s">
        <v>658</v>
      </c>
      <c r="B20" s="1"/>
      <c r="C20" s="37" t="str">
        <f t="shared" si="0"/>
        <v>NOV 47</v>
      </c>
      <c r="D20" s="27">
        <f t="shared" si="1"/>
        <v>8871</v>
      </c>
      <c r="E20" s="35" t="str">
        <f t="shared" si="2"/>
        <v xml:space="preserve">     </v>
      </c>
      <c r="F20" s="34" t="str">
        <f t="shared" si="3"/>
        <v xml:space="preserve">     </v>
      </c>
      <c r="G20" s="31" t="str">
        <f t="shared" si="4"/>
        <v xml:space="preserve">    </v>
      </c>
      <c r="H20" s="1"/>
      <c r="I20" s="95" t="str">
        <v>NOV 47</v>
      </c>
      <c r="J20" s="135" t="str">
        <v>nv47</v>
      </c>
      <c r="K20" s="98" t="str">
        <v/>
      </c>
      <c r="L20" s="98" t="str">
        <v xml:space="preserve">     </v>
      </c>
      <c r="M20"/>
      <c r="N20" t="s">
        <v>174</v>
      </c>
      <c r="O20"/>
    </row>
    <row r="21" spans="1:15" ht="15">
      <c r="A21" s="118" t="s">
        <v>659</v>
      </c>
      <c r="B21" s="1"/>
      <c r="C21" s="37" t="str">
        <f t="shared" si="0"/>
        <v>JUL 53</v>
      </c>
      <c r="D21" s="27">
        <f t="shared" si="1"/>
        <v>10964</v>
      </c>
      <c r="E21" s="35" t="str">
        <f t="shared" si="2"/>
        <v xml:space="preserve">     </v>
      </c>
      <c r="F21" s="34" t="str">
        <f t="shared" si="3"/>
        <v xml:space="preserve">     </v>
      </c>
      <c r="G21" s="30" t="str">
        <f>IF($C21="","",MID($A21,G$3-1,4))</f>
        <v xml:space="preserve">    </v>
      </c>
      <c r="H21" s="1"/>
      <c r="I21" s="95" t="str">
        <v>JUL 53</v>
      </c>
      <c r="J21" s="135" t="str">
        <v>jl53</v>
      </c>
      <c r="K21" s="98" t="str">
        <v/>
      </c>
      <c r="L21" s="98" t="str">
        <v xml:space="preserve">     </v>
      </c>
      <c r="M21"/>
      <c r="N21"/>
      <c r="O21"/>
    </row>
    <row r="22" spans="1:15" ht="15">
      <c r="A22" s="118" t="s">
        <v>660</v>
      </c>
      <c r="B22" s="1"/>
      <c r="C22" s="37" t="str">
        <f>TRIM(IF(IFERROR(FIND(MID($A22,$C$3,6),C21),-1)&lt;0,MID($A22,$C$3,6),""))</f>
        <v>MAY 35</v>
      </c>
      <c r="D22" s="27">
        <f>IFERROR(IF(C22="","",VALUE(MID(A22,$D$3,5))),"")</f>
        <v>4321</v>
      </c>
      <c r="E22" s="35" t="str">
        <f t="shared" si="2"/>
        <v xml:space="preserve">     </v>
      </c>
      <c r="F22" s="34" t="str">
        <f t="shared" si="3"/>
        <v xml:space="preserve">     </v>
      </c>
      <c r="G22" s="31" t="str">
        <f t="shared" si="4"/>
        <v xml:space="preserve">    </v>
      </c>
      <c r="H22" s="1"/>
      <c r="I22" s="1" t="str">
        <v>MAY 35</v>
      </c>
      <c r="J22" s="1" t="str">
        <v>my35</v>
      </c>
      <c r="K22" s="1" t="str">
        <v/>
      </c>
      <c r="L22" s="1" t="str">
        <v xml:space="preserve">     </v>
      </c>
    </row>
    <row r="23" spans="1:15" ht="15">
      <c r="A23" s="118" t="s">
        <v>326</v>
      </c>
      <c r="B23" s="1"/>
      <c r="C23" s="37" t="str">
        <f t="shared" si="0"/>
        <v/>
      </c>
      <c r="D23" s="27" t="str">
        <f>IFERROR(IF(C23="","",VALUE(MID(A23,$D$3,5))),"")</f>
        <v/>
      </c>
      <c r="E23" s="35" t="str">
        <f t="shared" si="2"/>
        <v/>
      </c>
      <c r="F23" s="34" t="str">
        <f t="shared" si="3"/>
        <v/>
      </c>
      <c r="G23" s="30" t="str">
        <f t="shared" si="4"/>
        <v/>
      </c>
      <c r="H23" s="1"/>
      <c r="I23" s="1"/>
      <c r="J23" s="1"/>
    </row>
    <row r="24" spans="1:15" ht="15">
      <c r="A24" s="118" t="s">
        <v>325</v>
      </c>
      <c r="B24" s="1"/>
      <c r="C24" s="37" t="str">
        <f t="shared" si="0"/>
        <v/>
      </c>
      <c r="D24" s="27" t="str">
        <f t="shared" ref="D24:D26" si="5">IFERROR(IF(C24="","",VALUE(MID(A24,$D$3,5))),"")</f>
        <v/>
      </c>
      <c r="E24" s="35" t="str">
        <f>IF(C24="","",MID(A24,$E$3-1,5))</f>
        <v/>
      </c>
      <c r="F24" s="34" t="str">
        <f>IF($C24="","",MID($A24,F$3-1,5))</f>
        <v/>
      </c>
      <c r="G24" s="31" t="str">
        <f>IF($C24="","",MID($A24,G$3-1,4))</f>
        <v/>
      </c>
      <c r="H24" s="1"/>
      <c r="I24" s="1"/>
      <c r="J24" s="1"/>
    </row>
    <row r="25" spans="1:15" ht="15">
      <c r="A25" s="118" t="s">
        <v>324</v>
      </c>
      <c r="B25" s="1"/>
      <c r="C25" s="37" t="str">
        <f t="shared" si="0"/>
        <v/>
      </c>
      <c r="D25" s="27" t="str">
        <f t="shared" si="5"/>
        <v/>
      </c>
      <c r="E25" s="35" t="str">
        <f t="shared" si="2"/>
        <v/>
      </c>
      <c r="F25" s="34" t="str">
        <f t="shared" si="3"/>
        <v/>
      </c>
      <c r="G25" s="30" t="str">
        <f>IF($C25="","",MID($A25,G$3-1,4))</f>
        <v/>
      </c>
      <c r="H25" s="1"/>
      <c r="I25" s="1"/>
      <c r="J25" s="1"/>
    </row>
    <row r="26" spans="1:15" ht="15">
      <c r="A26" s="118" t="s">
        <v>323</v>
      </c>
      <c r="B26" s="1"/>
      <c r="C26" s="37" t="str">
        <f t="shared" si="0"/>
        <v/>
      </c>
      <c r="D26" s="27" t="str">
        <f t="shared" si="5"/>
        <v/>
      </c>
      <c r="E26" s="35" t="str">
        <f t="shared" si="2"/>
        <v/>
      </c>
      <c r="F26" s="34" t="str">
        <f t="shared" si="3"/>
        <v/>
      </c>
      <c r="G26" s="31" t="str">
        <f>IF($C26="","",MID($A26,G$3-1,4))</f>
        <v/>
      </c>
      <c r="H26" s="1"/>
      <c r="I26" s="1"/>
      <c r="J26" s="1"/>
    </row>
    <row r="27" spans="1:15" ht="15">
      <c r="A27" s="1" t="s">
        <v>52</v>
      </c>
      <c r="B27" s="1"/>
      <c r="C27" s="37" t="str">
        <f t="shared" si="0"/>
        <v/>
      </c>
      <c r="D27" s="29"/>
      <c r="E27" s="35" t="str">
        <f t="shared" si="2"/>
        <v/>
      </c>
      <c r="F27" s="34" t="str">
        <f t="shared" si="3"/>
        <v/>
      </c>
      <c r="G27" s="32" t="str">
        <f>IF($C27="","",MID($A27,G$3-1,4))</f>
        <v/>
      </c>
      <c r="H27" s="1"/>
      <c r="I27" s="1"/>
      <c r="J27" s="1"/>
    </row>
    <row r="28" spans="1:15" ht="15">
      <c r="B28" s="1"/>
      <c r="C28" s="37" t="str">
        <f t="shared" si="0"/>
        <v/>
      </c>
      <c r="D28" s="1"/>
      <c r="E28" s="35" t="str">
        <f t="shared" si="2"/>
        <v/>
      </c>
      <c r="F28" s="34" t="str">
        <f t="shared" si="3"/>
        <v/>
      </c>
      <c r="G28" s="1" t="str">
        <f>IF($C28="","",MID($A28,G$3-1,4))</f>
        <v/>
      </c>
      <c r="H28" s="1"/>
      <c r="I28" s="1"/>
      <c r="J28" s="1"/>
    </row>
    <row r="29" spans="1:15">
      <c r="B29" s="1"/>
      <c r="C29" s="1"/>
      <c r="D29" s="1"/>
      <c r="E29" s="1"/>
      <c r="F29" s="1"/>
      <c r="G29" s="1"/>
      <c r="H29" s="1"/>
      <c r="I29" s="1"/>
      <c r="J29" s="1"/>
    </row>
    <row r="30" spans="1:15">
      <c r="B30" s="1"/>
      <c r="C30" s="1"/>
      <c r="D30" s="1"/>
      <c r="E30" s="1"/>
      <c r="F30" s="1"/>
      <c r="G30" s="1"/>
      <c r="H30" s="1"/>
      <c r="I30" s="1"/>
      <c r="J30" s="1"/>
    </row>
    <row r="31" spans="1:15">
      <c r="B31" s="1"/>
      <c r="C31" s="1"/>
      <c r="D31" s="1"/>
      <c r="E31" s="1"/>
      <c r="F31" s="1"/>
      <c r="G31" s="1"/>
      <c r="H31" s="1"/>
      <c r="I31" s="1"/>
      <c r="J31" s="1"/>
    </row>
    <row r="32" spans="1:15">
      <c r="B32" s="1"/>
      <c r="C32" s="1"/>
      <c r="D32" s="1"/>
      <c r="E32" s="1"/>
      <c r="F32" s="1"/>
      <c r="G32" s="1"/>
      <c r="H32" s="1"/>
      <c r="I32" s="1"/>
      <c r="J32" s="1"/>
    </row>
    <row r="33" spans="1:29">
      <c r="B33" s="1"/>
      <c r="C33" s="1"/>
      <c r="D33" s="1"/>
      <c r="E33" s="1"/>
      <c r="F33" s="1"/>
      <c r="G33" s="1"/>
      <c r="H33" s="1"/>
      <c r="I33" s="1"/>
      <c r="J33" s="1"/>
    </row>
    <row r="34" spans="1:29">
      <c r="B34" s="1"/>
      <c r="C34" s="1"/>
      <c r="D34" s="1"/>
      <c r="E34" s="1"/>
      <c r="F34" s="1"/>
      <c r="G34" s="1"/>
      <c r="H34" s="1"/>
      <c r="I34" s="1"/>
      <c r="J34" s="1"/>
    </row>
    <row r="35" spans="1:29">
      <c r="B35" s="1"/>
      <c r="C35" s="1"/>
      <c r="D35" s="1"/>
      <c r="E35" s="1"/>
      <c r="F35" s="1"/>
      <c r="G35" s="1"/>
      <c r="H35" s="1"/>
      <c r="I35" s="1"/>
      <c r="J35" s="1"/>
    </row>
    <row r="36" spans="1:29">
      <c r="B36" s="1"/>
      <c r="C36" s="1"/>
      <c r="D36" s="1"/>
      <c r="E36" s="1"/>
      <c r="F36" s="1"/>
      <c r="G36" s="1"/>
      <c r="H36" s="1"/>
      <c r="I36" s="1"/>
      <c r="J36" s="1"/>
    </row>
    <row r="37" spans="1:29">
      <c r="B37" s="1"/>
      <c r="C37" s="1"/>
      <c r="D37" s="1"/>
      <c r="E37" s="1"/>
      <c r="F37" s="1"/>
      <c r="G37" s="1"/>
      <c r="H37" s="1"/>
      <c r="I37" s="1"/>
      <c r="J37" s="1"/>
    </row>
    <row r="38" spans="1:29">
      <c r="B38" s="1"/>
      <c r="C38" s="1"/>
      <c r="D38" s="1"/>
      <c r="E38" s="1"/>
      <c r="F38" s="1"/>
      <c r="G38" s="1"/>
      <c r="H38" s="1"/>
      <c r="I38" s="1"/>
      <c r="J38" s="1"/>
    </row>
    <row r="39" spans="1:29">
      <c r="B39" s="1"/>
      <c r="C39" s="1"/>
      <c r="D39" s="1"/>
      <c r="E39" s="1"/>
      <c r="F39" s="1"/>
      <c r="G39" s="1"/>
      <c r="H39" s="1"/>
      <c r="I39" s="1"/>
      <c r="J39" s="1"/>
    </row>
    <row r="40" spans="1:29">
      <c r="B40" s="1"/>
      <c r="C40" s="1"/>
      <c r="D40" s="1"/>
      <c r="E40" s="1"/>
      <c r="F40" s="1"/>
      <c r="G40" s="1"/>
      <c r="H40" s="1"/>
      <c r="I40" s="1"/>
      <c r="J40" s="1"/>
    </row>
    <row r="41" spans="1:29" ht="15">
      <c r="A41" t="s">
        <v>8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</row>
    <row r="42" spans="1:29" s="49" customFormat="1" ht="15">
      <c r="A42" s="21" t="e">
        <f ca="1">_xll.BPGE(" 1602/12/1",,"cols=1;rows=26")</f>
        <v>#NAME?</v>
      </c>
      <c r="B42" s="21"/>
      <c r="C42" s="21">
        <v>19</v>
      </c>
      <c r="D42" s="21">
        <v>5</v>
      </c>
      <c r="E42" s="21">
        <v>44</v>
      </c>
      <c r="F42" s="21">
        <v>60</v>
      </c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</row>
    <row r="43" spans="1:29" ht="15">
      <c r="A43" s="69" t="s">
        <v>172</v>
      </c>
      <c r="B43"/>
      <c r="C43" s="23" t="s">
        <v>55</v>
      </c>
      <c r="D43" s="24" t="s">
        <v>72</v>
      </c>
      <c r="E43" s="25" t="s">
        <v>29</v>
      </c>
      <c r="F43" s="26" t="s">
        <v>30</v>
      </c>
      <c r="G43" s="24" t="s">
        <v>58</v>
      </c>
      <c r="H43"/>
      <c r="I43" s="24" t="s">
        <v>28</v>
      </c>
      <c r="J43" s="24" t="s">
        <v>32</v>
      </c>
      <c r="K43" s="24" t="s">
        <v>14</v>
      </c>
      <c r="L43" s="24" t="s">
        <v>33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1:29" ht="15">
      <c r="A44" s="119" t="s">
        <v>322</v>
      </c>
      <c r="B44"/>
      <c r="C44" s="37" t="str">
        <f t="shared" ref="C44:C58" si="6">MID(A46,$C$42,6)</f>
        <v xml:space="preserve">      </v>
      </c>
      <c r="D44" s="27" t="str">
        <f t="shared" ref="D44:D58" si="7">+IFERROR(VALUE(MID(A46,5,5)),"")</f>
        <v/>
      </c>
      <c r="E44" s="33" t="str">
        <f t="shared" ref="E44:E58" si="8">MID(A46,$E$42-1,4)</f>
        <v xml:space="preserve">    </v>
      </c>
      <c r="F44" s="34" t="str">
        <f t="shared" ref="F44:F58" si="9">MID(A46,$F$42-2,4)</f>
        <v xml:space="preserve">    </v>
      </c>
      <c r="G44" s="30" t="str">
        <f t="shared" ref="G44:G58" si="10">MID(A46,74-1,4)</f>
        <v xml:space="preserve">    </v>
      </c>
      <c r="H44"/>
      <c r="I44" s="95" t="str" cm="1">
        <f t="array" ref="I44:I53">+TRANSPOSE(_xlfn.TEXTSPLIT(_xlfn.TEXTJOIN(",",TRUE,C44:C53),","))</f>
        <v xml:space="preserve">      </v>
      </c>
      <c r="J44" s="135" t="str" cm="1">
        <f t="array" ref="J44:J53">IFERROR(IFERROR(VLOOKUP(LEFT(_xlfn.ANCHORARRAY(I44),3),$N$44:$O$55,2,FALSE)&amp;RIGHT(_xlfn.ANCHORARRAY(I44),2),VLOOKUP(_xlfn.ANCHORARRAY(I44),N56:O60,2)),"")</f>
        <v/>
      </c>
      <c r="K44" s="98" t="str" cm="1">
        <f t="array" ref="K44:K53">+IF(VLOOKUP(_xlfn.ANCHORARRAY($I44),$C$43:$G$53,3,0)=0,"",VLOOKUP(_xlfn.ANCHORARRAY($I44),$C$43:$G$53,3,0))</f>
        <v xml:space="preserve">    </v>
      </c>
      <c r="L44" s="98" t="str" cm="1">
        <f t="array" ref="L44:L53">+IF(VLOOKUP(_xlfn.ANCHORARRAY($I44),$C$43:$G$53,4,0)=0,"",VLOOKUP(_xlfn.ANCHORARRAY($I44),$C$43:$G$53,4,0))</f>
        <v xml:space="preserve">    </v>
      </c>
      <c r="M44"/>
      <c r="N44" s="136" t="s">
        <v>73</v>
      </c>
      <c r="O44" t="s">
        <v>34</v>
      </c>
      <c r="P44"/>
      <c r="Q44"/>
      <c r="R44"/>
      <c r="S44"/>
    </row>
    <row r="45" spans="1:29" ht="15">
      <c r="A45" s="69" t="s">
        <v>475</v>
      </c>
      <c r="B45"/>
      <c r="C45" s="37" t="str">
        <f t="shared" si="6"/>
        <v>NOV 23</v>
      </c>
      <c r="D45" s="27">
        <f t="shared" si="7"/>
        <v>114</v>
      </c>
      <c r="E45" s="33" t="str">
        <f t="shared" si="8"/>
        <v xml:space="preserve">    </v>
      </c>
      <c r="F45" s="34" t="str">
        <f t="shared" si="9"/>
        <v xml:space="preserve">    </v>
      </c>
      <c r="G45" s="30" t="str">
        <f t="shared" si="10"/>
        <v xml:space="preserve">    </v>
      </c>
      <c r="H45"/>
      <c r="I45" s="95" t="str">
        <v>NOV 23</v>
      </c>
      <c r="J45" s="135" t="str">
        <v>nv23</v>
      </c>
      <c r="K45" s="98" t="str">
        <v xml:space="preserve">    </v>
      </c>
      <c r="L45" s="98" t="str">
        <v xml:space="preserve">    </v>
      </c>
      <c r="M45"/>
      <c r="N45" s="66" t="s">
        <v>76</v>
      </c>
      <c r="O45" t="s">
        <v>36</v>
      </c>
      <c r="P45"/>
      <c r="Q45"/>
      <c r="R45"/>
      <c r="S45"/>
    </row>
    <row r="46" spans="1:29" ht="15">
      <c r="A46" s="69" t="s">
        <v>175</v>
      </c>
      <c r="B46"/>
      <c r="C46" s="37" t="str">
        <f t="shared" si="6"/>
        <v>DIC 25</v>
      </c>
      <c r="D46" s="27">
        <f t="shared" si="7"/>
        <v>863</v>
      </c>
      <c r="E46" s="33" t="str">
        <f t="shared" si="8"/>
        <v xml:space="preserve">    </v>
      </c>
      <c r="F46" s="34" t="str">
        <f t="shared" si="9"/>
        <v xml:space="preserve">    </v>
      </c>
      <c r="G46" s="30" t="str">
        <f t="shared" si="10"/>
        <v xml:space="preserve">    </v>
      </c>
      <c r="H46"/>
      <c r="I46" s="95" t="str">
        <v>DIC 25</v>
      </c>
      <c r="J46" s="135" t="str">
        <v>dc25</v>
      </c>
      <c r="K46" s="98" t="str">
        <v xml:space="preserve">    </v>
      </c>
      <c r="L46" s="98" t="str">
        <v xml:space="preserve">    </v>
      </c>
      <c r="M46"/>
      <c r="N46" s="66" t="s">
        <v>77</v>
      </c>
      <c r="O46" t="s">
        <v>37</v>
      </c>
      <c r="P46"/>
      <c r="Q46"/>
      <c r="R46"/>
      <c r="S46"/>
    </row>
    <row r="47" spans="1:29" ht="15">
      <c r="A47" s="69" t="s">
        <v>661</v>
      </c>
      <c r="B47"/>
      <c r="C47" s="37" t="str">
        <f t="shared" si="6"/>
        <v>DIC 26</v>
      </c>
      <c r="D47" s="27">
        <f t="shared" si="7"/>
        <v>1227</v>
      </c>
      <c r="E47" s="33" t="str">
        <f t="shared" si="8"/>
        <v xml:space="preserve">    </v>
      </c>
      <c r="F47" s="34" t="str">
        <f t="shared" si="9"/>
        <v xml:space="preserve">    </v>
      </c>
      <c r="G47" s="30" t="str">
        <f t="shared" si="10"/>
        <v xml:space="preserve">    </v>
      </c>
      <c r="H47"/>
      <c r="I47" s="95" t="str">
        <v>DIC 26</v>
      </c>
      <c r="J47" s="135" t="str">
        <v>dc26</v>
      </c>
      <c r="K47" s="98" t="str">
        <v xml:space="preserve">    </v>
      </c>
      <c r="L47" s="98" t="str">
        <v xml:space="preserve">    </v>
      </c>
      <c r="M47"/>
      <c r="N47" t="s">
        <v>79</v>
      </c>
      <c r="O47" t="s">
        <v>39</v>
      </c>
      <c r="P47"/>
      <c r="Q47"/>
      <c r="R47"/>
      <c r="S47"/>
    </row>
    <row r="48" spans="1:29" ht="15">
      <c r="A48" s="69" t="s">
        <v>662</v>
      </c>
      <c r="B48"/>
      <c r="C48" s="37" t="str">
        <f t="shared" si="6"/>
        <v>NOV 28</v>
      </c>
      <c r="D48" s="27">
        <f t="shared" si="7"/>
        <v>1955</v>
      </c>
      <c r="E48" s="33" t="str">
        <f t="shared" si="8"/>
        <v xml:space="preserve">    </v>
      </c>
      <c r="F48" s="34" t="str">
        <f t="shared" si="9"/>
        <v xml:space="preserve">    </v>
      </c>
      <c r="G48" s="30" t="str">
        <f t="shared" si="10"/>
        <v xml:space="preserve">    </v>
      </c>
      <c r="H48"/>
      <c r="I48" s="95" t="str">
        <v>NOV 28</v>
      </c>
      <c r="J48" s="135" t="str">
        <v>nv28</v>
      </c>
      <c r="K48" s="98" t="str">
        <v xml:space="preserve">    </v>
      </c>
      <c r="L48" s="98" t="str">
        <v xml:space="preserve">    </v>
      </c>
      <c r="M48"/>
      <c r="N48" t="s">
        <v>80</v>
      </c>
      <c r="O48" t="s">
        <v>40</v>
      </c>
      <c r="P48"/>
      <c r="Q48"/>
      <c r="R48"/>
      <c r="S48"/>
    </row>
    <row r="49" spans="1:19" ht="15">
      <c r="A49" s="69" t="s">
        <v>663</v>
      </c>
      <c r="B49"/>
      <c r="C49" s="37" t="str">
        <f t="shared" si="6"/>
        <v>NOV 31</v>
      </c>
      <c r="D49" s="27">
        <f t="shared" si="7"/>
        <v>3047</v>
      </c>
      <c r="E49" s="33" t="str">
        <f t="shared" si="8"/>
        <v xml:space="preserve">    </v>
      </c>
      <c r="F49" s="34" t="str">
        <f t="shared" si="9"/>
        <v xml:space="preserve">    </v>
      </c>
      <c r="G49" s="30" t="str">
        <f t="shared" si="10"/>
        <v xml:space="preserve">    </v>
      </c>
      <c r="H49"/>
      <c r="I49" s="95" t="str">
        <v>NOV 31</v>
      </c>
      <c r="J49" s="135" t="str">
        <v>nv31</v>
      </c>
      <c r="K49" s="98" t="str">
        <v xml:space="preserve">    </v>
      </c>
      <c r="L49" s="98" t="str">
        <v xml:space="preserve">    </v>
      </c>
      <c r="M49"/>
      <c r="N49" t="s">
        <v>82</v>
      </c>
      <c r="O49" t="s">
        <v>41</v>
      </c>
      <c r="P49"/>
      <c r="Q49"/>
      <c r="R49"/>
      <c r="S49"/>
    </row>
    <row r="50" spans="1:19" ht="15">
      <c r="A50" s="69" t="s">
        <v>664</v>
      </c>
      <c r="B50"/>
      <c r="C50" s="37" t="str">
        <f t="shared" si="6"/>
        <v>NOV 35</v>
      </c>
      <c r="D50" s="27">
        <f t="shared" si="7"/>
        <v>4503</v>
      </c>
      <c r="E50" s="33" t="str">
        <f t="shared" si="8"/>
        <v xml:space="preserve">    </v>
      </c>
      <c r="F50" s="34" t="str">
        <f t="shared" si="9"/>
        <v xml:space="preserve">    </v>
      </c>
      <c r="G50" s="30" t="str">
        <f t="shared" si="10"/>
        <v xml:space="preserve">    </v>
      </c>
      <c r="H50"/>
      <c r="I50" s="95" t="str">
        <v>NOV 35</v>
      </c>
      <c r="J50" s="135" t="str">
        <v>nv35</v>
      </c>
      <c r="K50" s="98" t="str">
        <v xml:space="preserve">    </v>
      </c>
      <c r="L50" s="98" t="str">
        <v xml:space="preserve">    </v>
      </c>
      <c r="M50"/>
      <c r="N50" t="s">
        <v>83</v>
      </c>
      <c r="O50" t="s">
        <v>42</v>
      </c>
      <c r="P50"/>
      <c r="Q50"/>
      <c r="R50"/>
      <c r="S50"/>
    </row>
    <row r="51" spans="1:19" ht="15">
      <c r="A51" s="69" t="s">
        <v>665</v>
      </c>
      <c r="B51"/>
      <c r="C51" s="37" t="str">
        <f t="shared" si="6"/>
        <v>NOV 40</v>
      </c>
      <c r="D51" s="27">
        <f t="shared" si="7"/>
        <v>6323</v>
      </c>
      <c r="E51" s="33" t="str">
        <f t="shared" si="8"/>
        <v xml:space="preserve">    </v>
      </c>
      <c r="F51" s="34" t="str">
        <f t="shared" si="9"/>
        <v xml:space="preserve">    </v>
      </c>
      <c r="G51" s="30" t="str">
        <f t="shared" si="10"/>
        <v xml:space="preserve">    </v>
      </c>
      <c r="H51"/>
      <c r="I51" s="95" t="str">
        <v>NOV 40</v>
      </c>
      <c r="J51" s="135" t="str">
        <v>nv40</v>
      </c>
      <c r="K51" s="98" t="str">
        <v xml:space="preserve">    </v>
      </c>
      <c r="L51" s="98" t="str">
        <v xml:space="preserve">    </v>
      </c>
      <c r="M51"/>
      <c r="N51" t="s">
        <v>85</v>
      </c>
      <c r="O51" t="s">
        <v>43</v>
      </c>
      <c r="P51"/>
      <c r="Q51"/>
      <c r="R51"/>
      <c r="S51"/>
    </row>
    <row r="52" spans="1:19" ht="15">
      <c r="A52" s="69" t="s">
        <v>666</v>
      </c>
      <c r="B52"/>
      <c r="C52" s="37" t="str">
        <f t="shared" si="6"/>
        <v>NOV 43</v>
      </c>
      <c r="D52" s="27">
        <f t="shared" si="7"/>
        <v>7415</v>
      </c>
      <c r="E52" s="33" t="str">
        <f t="shared" si="8"/>
        <v xml:space="preserve">    </v>
      </c>
      <c r="F52" s="34" t="str">
        <f t="shared" si="9"/>
        <v xml:space="preserve">    </v>
      </c>
      <c r="G52" s="30" t="str">
        <f t="shared" si="10"/>
        <v xml:space="preserve">    </v>
      </c>
      <c r="H52"/>
      <c r="I52" s="95" t="str">
        <v>NOV 43</v>
      </c>
      <c r="J52" s="135" t="str">
        <v>nv43</v>
      </c>
      <c r="K52" s="98" t="str">
        <v xml:space="preserve">    </v>
      </c>
      <c r="L52" s="98" t="str">
        <v xml:space="preserve">    </v>
      </c>
      <c r="M52"/>
      <c r="N52" t="s">
        <v>86</v>
      </c>
      <c r="O52" t="s">
        <v>44</v>
      </c>
      <c r="P52"/>
      <c r="Q52"/>
      <c r="R52"/>
      <c r="S52"/>
    </row>
    <row r="53" spans="1:19" ht="15">
      <c r="A53" s="69" t="s">
        <v>667</v>
      </c>
      <c r="B53"/>
      <c r="C53" s="37" t="str">
        <f t="shared" si="6"/>
        <v>NOV 46</v>
      </c>
      <c r="D53" s="27">
        <f t="shared" si="7"/>
        <v>8507</v>
      </c>
      <c r="E53" s="33" t="str">
        <f t="shared" si="8"/>
        <v xml:space="preserve">    </v>
      </c>
      <c r="F53" s="34" t="str">
        <f t="shared" si="9"/>
        <v xml:space="preserve">    </v>
      </c>
      <c r="G53" s="30" t="str">
        <f t="shared" si="10"/>
        <v xml:space="preserve">    </v>
      </c>
      <c r="H53"/>
      <c r="I53" s="95" t="str">
        <v>NOV 46</v>
      </c>
      <c r="J53" s="135" t="str">
        <v>nv46</v>
      </c>
      <c r="K53" s="98" t="str">
        <v xml:space="preserve">    </v>
      </c>
      <c r="L53" s="98" t="str">
        <v xml:space="preserve">    </v>
      </c>
      <c r="M53"/>
      <c r="N53" t="s">
        <v>88</v>
      </c>
      <c r="O53" t="s">
        <v>46</v>
      </c>
      <c r="P53"/>
      <c r="Q53"/>
      <c r="R53"/>
      <c r="S53"/>
    </row>
    <row r="54" spans="1:19" ht="15">
      <c r="A54" s="69" t="s">
        <v>668</v>
      </c>
      <c r="B54"/>
      <c r="C54" s="37" t="str">
        <f t="shared" si="6"/>
        <v>NOV 50</v>
      </c>
      <c r="D54" s="27">
        <f t="shared" si="7"/>
        <v>9963</v>
      </c>
      <c r="E54" s="33" t="str">
        <f t="shared" si="8"/>
        <v xml:space="preserve">    </v>
      </c>
      <c r="F54" s="34" t="str">
        <f t="shared" si="9"/>
        <v xml:space="preserve">    </v>
      </c>
      <c r="G54" s="30" t="str">
        <f t="shared" si="10"/>
        <v xml:space="preserve">    </v>
      </c>
      <c r="H54"/>
      <c r="I54" s="95"/>
      <c r="J54" s="135"/>
      <c r="K54" s="98"/>
      <c r="L54" s="98"/>
      <c r="M54"/>
      <c r="N54" t="s">
        <v>89</v>
      </c>
      <c r="O54" t="s">
        <v>47</v>
      </c>
      <c r="P54"/>
      <c r="Q54"/>
      <c r="R54"/>
      <c r="S54"/>
    </row>
    <row r="55" spans="1:19" ht="15">
      <c r="A55" s="69" t="s">
        <v>669</v>
      </c>
      <c r="B55"/>
      <c r="C55" s="37" t="str">
        <f t="shared" si="6"/>
        <v/>
      </c>
      <c r="D55" s="27" t="str">
        <f t="shared" si="7"/>
        <v/>
      </c>
      <c r="E55" s="33" t="str">
        <f t="shared" si="8"/>
        <v/>
      </c>
      <c r="F55" s="34" t="str">
        <f t="shared" si="9"/>
        <v/>
      </c>
      <c r="G55" s="30" t="str">
        <f t="shared" si="10"/>
        <v/>
      </c>
      <c r="H55"/>
      <c r="I55" s="95"/>
      <c r="J55" s="135"/>
      <c r="K55" s="98"/>
      <c r="L55" s="98"/>
      <c r="M55"/>
      <c r="N55" t="s">
        <v>91</v>
      </c>
      <c r="O55" t="s">
        <v>48</v>
      </c>
      <c r="P55"/>
      <c r="Q55"/>
      <c r="R55"/>
      <c r="S55"/>
    </row>
    <row r="56" spans="1:19" ht="15">
      <c r="A56" s="69" t="s">
        <v>670</v>
      </c>
      <c r="B56"/>
      <c r="C56" s="37" t="str">
        <f t="shared" si="6"/>
        <v xml:space="preserve"> 002  </v>
      </c>
      <c r="D56" s="27">
        <f t="shared" si="7"/>
        <v>2368</v>
      </c>
      <c r="E56" s="33" t="str">
        <f t="shared" si="8"/>
        <v xml:space="preserve">    </v>
      </c>
      <c r="F56" s="34" t="str">
        <f t="shared" si="9"/>
        <v xml:space="preserve">    </v>
      </c>
      <c r="G56" s="30" t="str">
        <f t="shared" si="10"/>
        <v xml:space="preserve">    </v>
      </c>
      <c r="H56"/>
      <c r="I56" s="95"/>
      <c r="J56" s="135"/>
      <c r="K56" s="98"/>
      <c r="L56" s="98"/>
      <c r="M56"/>
      <c r="N56" t="s">
        <v>105</v>
      </c>
      <c r="O56" t="s">
        <v>106</v>
      </c>
      <c r="P56"/>
      <c r="Q56"/>
      <c r="R56"/>
      <c r="S56"/>
    </row>
    <row r="57" spans="1:19" ht="15">
      <c r="A57" s="69">
        <v>35</v>
      </c>
      <c r="B57"/>
      <c r="C57" s="37" t="str">
        <f t="shared" si="6"/>
        <v xml:space="preserve"> 004  </v>
      </c>
      <c r="D57" s="27">
        <f t="shared" si="7"/>
        <v>2732</v>
      </c>
      <c r="E57" s="33" t="str">
        <f t="shared" si="8"/>
        <v xml:space="preserve">    </v>
      </c>
      <c r="F57" s="34" t="str">
        <f t="shared" si="9"/>
        <v xml:space="preserve">    </v>
      </c>
      <c r="G57" s="30" t="str">
        <f t="shared" si="10"/>
        <v xml:space="preserve">    </v>
      </c>
      <c r="H57"/>
      <c r="I57" s="95"/>
      <c r="J57" s="135"/>
      <c r="K57" s="98"/>
      <c r="L57" s="98"/>
      <c r="M57"/>
      <c r="N57" t="s">
        <v>107</v>
      </c>
      <c r="O57" t="s">
        <v>108</v>
      </c>
      <c r="P57"/>
      <c r="Q57"/>
      <c r="R57"/>
      <c r="S57"/>
    </row>
    <row r="58" spans="1:19" ht="15">
      <c r="A58" s="69" t="s">
        <v>671</v>
      </c>
      <c r="B58"/>
      <c r="C58" s="37" t="str">
        <f t="shared" si="6"/>
        <v xml:space="preserve"> 006  </v>
      </c>
      <c r="D58" s="27">
        <f t="shared" si="7"/>
        <v>3411</v>
      </c>
      <c r="E58" s="33" t="str">
        <f t="shared" si="8"/>
        <v xml:space="preserve">    </v>
      </c>
      <c r="F58" s="34" t="str">
        <f t="shared" si="9"/>
        <v xml:space="preserve">    </v>
      </c>
      <c r="G58" s="30" t="str">
        <f t="shared" si="10"/>
        <v xml:space="preserve">    </v>
      </c>
      <c r="H58"/>
      <c r="I58" s="95"/>
      <c r="J58" s="135"/>
      <c r="K58" s="98"/>
      <c r="L58" s="98"/>
      <c r="M58"/>
      <c r="N58" t="s">
        <v>109</v>
      </c>
      <c r="O58"/>
      <c r="P58"/>
      <c r="Q58"/>
      <c r="R58"/>
      <c r="S58"/>
    </row>
    <row r="59" spans="1:19" ht="15">
      <c r="A59" s="69" t="s">
        <v>672</v>
      </c>
      <c r="B59"/>
      <c r="H59"/>
      <c r="I59" s="95"/>
      <c r="J59" s="135"/>
      <c r="K59" s="98"/>
      <c r="L59" s="98"/>
      <c r="M59"/>
      <c r="N59" t="s">
        <v>174</v>
      </c>
      <c r="O59"/>
      <c r="P59"/>
      <c r="Q59"/>
      <c r="R59"/>
      <c r="S59"/>
    </row>
    <row r="60" spans="1:19" ht="15">
      <c r="A60" s="69" t="s">
        <v>673</v>
      </c>
      <c r="B60"/>
      <c r="H60"/>
      <c r="I60" s="95"/>
      <c r="J60" s="135"/>
      <c r="K60" s="98"/>
      <c r="L60" s="98"/>
      <c r="M60"/>
      <c r="N60"/>
      <c r="O60"/>
      <c r="P60"/>
      <c r="Q60"/>
      <c r="R60"/>
      <c r="S60"/>
    </row>
    <row r="61" spans="1:19" ht="15">
      <c r="A61" s="69" t="s">
        <v>674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</row>
    <row r="62" spans="1:19" ht="15">
      <c r="A62" s="69">
        <v>40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</row>
    <row r="63" spans="1:19" ht="15">
      <c r="A63" s="69">
        <v>41</v>
      </c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</row>
    <row r="64" spans="1:19" ht="15">
      <c r="A64" s="69">
        <v>42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</row>
    <row r="65" spans="1:30" ht="15">
      <c r="A65" s="69">
        <v>43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</row>
    <row r="66" spans="1:30" ht="15">
      <c r="A66" s="69">
        <v>44</v>
      </c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</row>
    <row r="67" spans="1:30">
      <c r="A67" s="1" t="s">
        <v>52</v>
      </c>
    </row>
    <row r="71" spans="1:30" s="49" customFormat="1">
      <c r="A71" s="49" t="e">
        <f ca="1">_xll.BPGE("1594/31/1",,"cols=1;rows=26")</f>
        <v>#NAME?</v>
      </c>
      <c r="B71" s="53"/>
      <c r="C71" s="53"/>
      <c r="D71" s="53"/>
      <c r="E71" s="53"/>
      <c r="F71" s="53"/>
      <c r="G71" s="53"/>
      <c r="H71" s="53"/>
      <c r="I71" s="53"/>
      <c r="J71" s="53"/>
    </row>
    <row r="72" spans="1:30" ht="15">
      <c r="A72" s="1" t="s">
        <v>445</v>
      </c>
      <c r="B72" s="2">
        <f>+C72/2</f>
        <v>40</v>
      </c>
      <c r="C72" s="115">
        <f>+LEN(A72)</f>
        <v>80</v>
      </c>
      <c r="D72" s="299" t="s">
        <v>57</v>
      </c>
      <c r="E72" s="300"/>
      <c r="F72" s="300"/>
      <c r="G72" s="301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 s="84" t="s">
        <v>176</v>
      </c>
      <c r="X72" s="84" t="s">
        <v>70</v>
      </c>
      <c r="Y72" s="84" t="s">
        <v>64</v>
      </c>
      <c r="Z72" s="84" t="s">
        <v>65</v>
      </c>
      <c r="AA72" s="84" t="s">
        <v>66</v>
      </c>
      <c r="AB72" s="84" t="s">
        <v>67</v>
      </c>
      <c r="AC72" s="84" t="s">
        <v>68</v>
      </c>
      <c r="AD72" s="84" t="s">
        <v>69</v>
      </c>
    </row>
    <row r="73" spans="1:30" ht="15">
      <c r="A73" s="1" t="s">
        <v>446</v>
      </c>
      <c r="B73" s="101" t="str">
        <f>+MID(A73,1,$B$72)</f>
        <v xml:space="preserve">3x1              .  /    .        x     </v>
      </c>
      <c r="C73"/>
      <c r="D73" s="24" t="s">
        <v>55</v>
      </c>
      <c r="E73" s="24" t="s">
        <v>29</v>
      </c>
      <c r="F73" s="24" t="s">
        <v>30</v>
      </c>
      <c r="G73" s="24" t="s">
        <v>58</v>
      </c>
      <c r="I73" s="82" t="s">
        <v>28</v>
      </c>
      <c r="J73" s="24" t="s">
        <v>14</v>
      </c>
      <c r="K73" s="24" t="s">
        <v>33</v>
      </c>
      <c r="L73"/>
      <c r="M73"/>
      <c r="N73"/>
      <c r="O73"/>
      <c r="P73"/>
      <c r="Q73"/>
      <c r="R73"/>
      <c r="S73"/>
      <c r="T73"/>
      <c r="U73"/>
      <c r="V73"/>
      <c r="W73" t="s">
        <v>177</v>
      </c>
      <c r="X73" s="120" t="s">
        <v>178</v>
      </c>
      <c r="Y73" s="83" t="str">
        <f>+MID($X73,1,IFERROR(FIND("M",$X73),FIND("Y",$X73)))</f>
        <v>3M</v>
      </c>
      <c r="Z73" s="83" t="str">
        <f t="shared" ref="Z73:Z113" si="11">+MID($X73,LEN(Y73)+2,IFERROR(FIND("M",$X73,LEN(Y73)+1),FIND("Y",$X73,LEN(Y73)+1))-LEN(Y73)-1)</f>
        <v>6M</v>
      </c>
      <c r="AA73" s="83" t="str">
        <f t="shared" ref="AA73:AA112" si="12">+MID($X73,LEN(Z73)+LEN(Y73)+3,8-(LEN(Z73)+LEN(Y73)+1))</f>
        <v>9M</v>
      </c>
      <c r="AB73" s="85">
        <f t="shared" ref="AB73:AD113" si="13">+IFERROR(IF(IFERROR(FIND("M",Y73)&gt;0,FALSE),_xlfn.NUMBERVALUE(MID(Y73,1,LEN(Y73)-1)),MID(Y73,1,LEN(Y73)-1)*13),"")</f>
        <v>3</v>
      </c>
      <c r="AC73" s="85">
        <f t="shared" si="13"/>
        <v>6</v>
      </c>
      <c r="AD73" s="85">
        <f t="shared" si="13"/>
        <v>9</v>
      </c>
    </row>
    <row r="74" spans="1:30" ht="15">
      <c r="A74" s="1" t="s">
        <v>834</v>
      </c>
      <c r="B74" s="101" t="str">
        <f t="shared" ref="B74:B95" si="14">+MID(A74,1,$B$72)</f>
        <v xml:space="preserve">6x1              .  /    .        x     </v>
      </c>
      <c r="C74"/>
      <c r="D74" t="str">
        <f t="shared" ref="D74:D86" si="15">+MID(B73,1,IF(FIND("x",B73)&gt;6,FIND("*",B73)+1,FIND("x",B73)+1))</f>
        <v>3x1</v>
      </c>
      <c r="E74" s="83">
        <f>+IFERROR(_xlfn.NUMBERVALUE(MID(B73,LEN(D74)+1,FIND("/",B73)-LEN(D74)-1)),0)</f>
        <v>0</v>
      </c>
      <c r="F74" s="83">
        <f>+IFERROR(_xlfn.NUMBERVALUE(MID(B73,FIND("/",B73)+1,8)),0)</f>
        <v>0</v>
      </c>
      <c r="G74">
        <f>+IFERROR(_xlfn.NUMBERVALUE(MID(B73,35,$E$2)),0)</f>
        <v>0</v>
      </c>
      <c r="I74" s="83" cm="1">
        <f t="array" ref="I74:I86">+_xlfn.NUMBERVALUE(MID(D74:D86,1,IF(FIND("x",B73:B85)&gt;6,FIND("*",B73:B85)-1,FIND("x",B73:B85)-1)))</f>
        <v>3</v>
      </c>
      <c r="J74" t="str" cm="1">
        <f t="array" ref="J74:J88">+IF(E74:E88=0,"",E74:E88)</f>
        <v/>
      </c>
      <c r="K74" t="str" cm="1">
        <f t="array" ref="K74:K88">+IF(F74:F88=0,"",F74:F88)</f>
        <v/>
      </c>
      <c r="L74"/>
      <c r="M74"/>
      <c r="N74"/>
      <c r="O74"/>
      <c r="P74"/>
      <c r="Q74"/>
      <c r="R74"/>
      <c r="S74"/>
      <c r="T74"/>
      <c r="U74"/>
      <c r="V74"/>
      <c r="W74" t="s">
        <v>179</v>
      </c>
      <c r="X74" s="120" t="s">
        <v>180</v>
      </c>
      <c r="Y74" s="83" t="str">
        <f>+MID($X74,1,IFERROR(FIND("M",$X74),FIND("Y",$X74)))</f>
        <v>6M</v>
      </c>
      <c r="Z74" s="83" t="str">
        <f t="shared" si="11"/>
        <v>9M</v>
      </c>
      <c r="AA74" s="83" t="str">
        <f t="shared" si="12"/>
        <v>1Y</v>
      </c>
      <c r="AB74" s="85">
        <f t="shared" si="13"/>
        <v>6</v>
      </c>
      <c r="AC74" s="85">
        <f t="shared" si="13"/>
        <v>9</v>
      </c>
      <c r="AD74" s="85">
        <f t="shared" si="13"/>
        <v>13</v>
      </c>
    </row>
    <row r="75" spans="1:30" ht="15">
      <c r="A75" s="1" t="s">
        <v>447</v>
      </c>
      <c r="B75" s="101" t="str">
        <f t="shared" si="14"/>
        <v xml:space="preserve">9x1              .  /    .        x     </v>
      </c>
      <c r="C75"/>
      <c r="D75" t="str">
        <f t="shared" si="15"/>
        <v>6x1</v>
      </c>
      <c r="E75" s="83">
        <f t="shared" ref="E75:E86" si="16">+IFERROR(_xlfn.NUMBERVALUE(MID(B74,LEN(D75)+1,FIND("/",B74)-LEN(D75)-1)),0)</f>
        <v>0</v>
      </c>
      <c r="F75" s="83">
        <f t="shared" ref="F75:F86" si="17">+IFERROR(_xlfn.NUMBERVALUE(MID(B74,FIND("/",B74)+1,8)),0)</f>
        <v>0</v>
      </c>
      <c r="G75">
        <f t="shared" ref="G75:G86" si="18">+IFERROR(_xlfn.NUMBERVALUE(MID(B74,35,$E$2)),0)</f>
        <v>0</v>
      </c>
      <c r="I75" s="83">
        <v>6</v>
      </c>
      <c r="J75" t="str">
        <v/>
      </c>
      <c r="K75" t="str">
        <v/>
      </c>
      <c r="L75"/>
      <c r="M75"/>
      <c r="N75"/>
      <c r="O75"/>
      <c r="P75"/>
      <c r="Q75"/>
      <c r="R75"/>
      <c r="S75"/>
      <c r="T75"/>
      <c r="U75"/>
      <c r="V75"/>
      <c r="W75" t="s">
        <v>181</v>
      </c>
      <c r="X75" s="120" t="s">
        <v>182</v>
      </c>
      <c r="Y75" s="83" t="str">
        <f>+MID($X75,1,IFERROR(FIND("M",$X75),FIND("Y",$X75)))</f>
        <v>9M</v>
      </c>
      <c r="Z75" s="83" t="str">
        <f t="shared" si="11"/>
        <v>1Y</v>
      </c>
      <c r="AA75" s="83" t="str">
        <f t="shared" si="12"/>
        <v>2Y</v>
      </c>
      <c r="AB75" s="85">
        <f t="shared" si="13"/>
        <v>9</v>
      </c>
      <c r="AC75" s="85">
        <f t="shared" si="13"/>
        <v>13</v>
      </c>
      <c r="AD75" s="85">
        <f t="shared" si="13"/>
        <v>26</v>
      </c>
    </row>
    <row r="76" spans="1:30" ht="15">
      <c r="A76" s="1" t="s">
        <v>448</v>
      </c>
      <c r="B76" s="101" t="str">
        <f t="shared" si="14"/>
        <v xml:space="preserve">13x1             .  /    .        x     </v>
      </c>
      <c r="C76"/>
      <c r="D76" t="str">
        <f t="shared" si="15"/>
        <v>9x1</v>
      </c>
      <c r="E76" s="83">
        <f t="shared" si="16"/>
        <v>0</v>
      </c>
      <c r="F76" s="83">
        <f t="shared" si="17"/>
        <v>0</v>
      </c>
      <c r="G76">
        <f t="shared" si="18"/>
        <v>0</v>
      </c>
      <c r="I76" s="83">
        <v>9</v>
      </c>
      <c r="J76" t="str">
        <v/>
      </c>
      <c r="K76" t="str">
        <v/>
      </c>
      <c r="L76"/>
      <c r="M76"/>
      <c r="N76"/>
      <c r="O76"/>
      <c r="P76"/>
      <c r="Q76"/>
      <c r="R76"/>
      <c r="S76"/>
      <c r="T76"/>
      <c r="U76"/>
      <c r="V76"/>
      <c r="W76" t="s">
        <v>183</v>
      </c>
      <c r="X76" s="120" t="s">
        <v>184</v>
      </c>
      <c r="Y76" s="83" t="str">
        <f t="shared" ref="Y76:Y83" si="19">+MID($X76,1,IFERROR(FIND("Y",$X76),FIND("M",$X76)))</f>
        <v>1Y</v>
      </c>
      <c r="Z76" s="83" t="str">
        <f t="shared" si="11"/>
        <v>19M</v>
      </c>
      <c r="AA76" s="83" t="str">
        <f t="shared" si="12"/>
        <v>2Y</v>
      </c>
      <c r="AB76" s="85">
        <f t="shared" si="13"/>
        <v>13</v>
      </c>
      <c r="AC76" s="85">
        <f t="shared" si="13"/>
        <v>19</v>
      </c>
      <c r="AD76" s="85">
        <f t="shared" si="13"/>
        <v>26</v>
      </c>
    </row>
    <row r="77" spans="1:30" ht="15">
      <c r="A77" s="1" t="s">
        <v>823</v>
      </c>
      <c r="B77" s="101" t="str">
        <f t="shared" si="14"/>
        <v xml:space="preserve">26x1             .  /    .        x     </v>
      </c>
      <c r="C77"/>
      <c r="D77" t="str">
        <f t="shared" si="15"/>
        <v>13x1</v>
      </c>
      <c r="E77" s="83">
        <f t="shared" si="16"/>
        <v>0</v>
      </c>
      <c r="F77" s="83">
        <f t="shared" si="17"/>
        <v>0</v>
      </c>
      <c r="G77">
        <f t="shared" si="18"/>
        <v>0</v>
      </c>
      <c r="I77" s="83">
        <v>13</v>
      </c>
      <c r="J77" t="str">
        <v/>
      </c>
      <c r="K77" t="str">
        <v/>
      </c>
      <c r="L77"/>
      <c r="M77"/>
      <c r="N77"/>
      <c r="O77"/>
      <c r="P77"/>
      <c r="Q77"/>
      <c r="R77"/>
      <c r="S77"/>
      <c r="T77"/>
      <c r="U77"/>
      <c r="V77"/>
      <c r="W77" t="s">
        <v>185</v>
      </c>
      <c r="X77" s="120" t="s">
        <v>186</v>
      </c>
      <c r="Y77" s="83" t="str">
        <f t="shared" si="19"/>
        <v>1Y</v>
      </c>
      <c r="Z77" s="83" t="str">
        <f t="shared" si="11"/>
        <v>2Y</v>
      </c>
      <c r="AA77" s="83" t="str">
        <f t="shared" si="12"/>
        <v>3Y</v>
      </c>
      <c r="AB77" s="85">
        <f t="shared" si="13"/>
        <v>13</v>
      </c>
      <c r="AC77" s="85">
        <f t="shared" si="13"/>
        <v>26</v>
      </c>
      <c r="AD77" s="85">
        <f t="shared" si="13"/>
        <v>39</v>
      </c>
    </row>
    <row r="78" spans="1:30" ht="15">
      <c r="A78" s="1" t="s">
        <v>468</v>
      </c>
      <c r="B78" s="101" t="str">
        <f t="shared" si="14"/>
        <v xml:space="preserve">39x1             .  /    .        x     </v>
      </c>
      <c r="C78"/>
      <c r="D78" t="str">
        <f t="shared" si="15"/>
        <v>26x1</v>
      </c>
      <c r="E78" s="83">
        <f t="shared" si="16"/>
        <v>0</v>
      </c>
      <c r="F78" s="83">
        <f t="shared" si="17"/>
        <v>0</v>
      </c>
      <c r="G78">
        <f t="shared" si="18"/>
        <v>0</v>
      </c>
      <c r="I78" s="83">
        <v>26</v>
      </c>
      <c r="J78" t="str">
        <v/>
      </c>
      <c r="K78" t="str">
        <v/>
      </c>
      <c r="L78"/>
      <c r="M78"/>
      <c r="N78"/>
      <c r="O78"/>
      <c r="P78"/>
      <c r="Q78"/>
      <c r="R78"/>
      <c r="S78"/>
      <c r="T78"/>
      <c r="U78"/>
      <c r="V78"/>
      <c r="W78" t="s">
        <v>187</v>
      </c>
      <c r="X78" s="120" t="s">
        <v>188</v>
      </c>
      <c r="Y78" s="83" t="str">
        <f t="shared" si="19"/>
        <v>2Y</v>
      </c>
      <c r="Z78" s="83" t="str">
        <f t="shared" si="11"/>
        <v>3Y</v>
      </c>
      <c r="AA78" s="83" t="str">
        <f t="shared" si="12"/>
        <v>4Y</v>
      </c>
      <c r="AB78" s="85">
        <f t="shared" si="13"/>
        <v>26</v>
      </c>
      <c r="AC78" s="85">
        <f t="shared" si="13"/>
        <v>39</v>
      </c>
      <c r="AD78" s="85">
        <f t="shared" si="13"/>
        <v>52</v>
      </c>
    </row>
    <row r="79" spans="1:30" ht="15">
      <c r="A79" s="1" t="s">
        <v>449</v>
      </c>
      <c r="B79" s="101" t="str">
        <f t="shared" si="14"/>
        <v xml:space="preserve">52x1             .  /    .        x     </v>
      </c>
      <c r="C79"/>
      <c r="D79" t="str">
        <f t="shared" si="15"/>
        <v>39x1</v>
      </c>
      <c r="E79" s="83">
        <f t="shared" si="16"/>
        <v>0</v>
      </c>
      <c r="F79" s="83">
        <f t="shared" si="17"/>
        <v>0</v>
      </c>
      <c r="G79">
        <f t="shared" si="18"/>
        <v>0</v>
      </c>
      <c r="I79" s="83">
        <v>39</v>
      </c>
      <c r="J79" t="str">
        <v/>
      </c>
      <c r="K79" t="str">
        <v/>
      </c>
      <c r="L79"/>
      <c r="M79"/>
      <c r="N79"/>
      <c r="O79"/>
      <c r="P79"/>
      <c r="Q79"/>
      <c r="R79"/>
      <c r="S79"/>
      <c r="T79"/>
      <c r="U79"/>
      <c r="V79"/>
      <c r="W79" t="s">
        <v>189</v>
      </c>
      <c r="X79" s="120" t="s">
        <v>190</v>
      </c>
      <c r="Y79" s="83" t="str">
        <f t="shared" si="19"/>
        <v>2Y</v>
      </c>
      <c r="Z79" s="83" t="str">
        <f t="shared" si="11"/>
        <v>5Y</v>
      </c>
      <c r="AA79" s="83" t="str">
        <f t="shared" si="12"/>
        <v>10Y</v>
      </c>
      <c r="AB79" s="85">
        <f t="shared" si="13"/>
        <v>26</v>
      </c>
      <c r="AC79" s="85">
        <f t="shared" si="13"/>
        <v>65</v>
      </c>
      <c r="AD79" s="85">
        <f t="shared" si="13"/>
        <v>130</v>
      </c>
    </row>
    <row r="80" spans="1:30" ht="15">
      <c r="A80" s="1" t="s">
        <v>783</v>
      </c>
      <c r="B80" s="101" t="str">
        <f t="shared" si="14"/>
        <v xml:space="preserve">65x1             .  /    .        x     </v>
      </c>
      <c r="C80"/>
      <c r="D80" t="str">
        <f t="shared" si="15"/>
        <v>52x1</v>
      </c>
      <c r="E80" s="83">
        <f t="shared" si="16"/>
        <v>0</v>
      </c>
      <c r="F80" s="83">
        <f t="shared" si="17"/>
        <v>0</v>
      </c>
      <c r="G80">
        <f t="shared" si="18"/>
        <v>0</v>
      </c>
      <c r="I80" s="83">
        <v>52</v>
      </c>
      <c r="J80" t="str">
        <v/>
      </c>
      <c r="K80" t="str">
        <v/>
      </c>
      <c r="L80"/>
      <c r="M80"/>
      <c r="N80"/>
      <c r="O80"/>
      <c r="P80"/>
      <c r="Q80"/>
      <c r="R80"/>
      <c r="S80"/>
      <c r="T80"/>
      <c r="U80"/>
      <c r="V80"/>
      <c r="W80" t="s">
        <v>191</v>
      </c>
      <c r="X80" s="120" t="s">
        <v>192</v>
      </c>
      <c r="Y80" s="83" t="str">
        <f t="shared" si="19"/>
        <v>3Y</v>
      </c>
      <c r="Z80" s="83" t="str">
        <f t="shared" si="11"/>
        <v>4Y</v>
      </c>
      <c r="AA80" s="83" t="str">
        <f t="shared" si="12"/>
        <v>5Y</v>
      </c>
      <c r="AB80" s="85">
        <f t="shared" si="13"/>
        <v>39</v>
      </c>
      <c r="AC80" s="85">
        <f t="shared" si="13"/>
        <v>52</v>
      </c>
      <c r="AD80" s="85">
        <f t="shared" si="13"/>
        <v>65</v>
      </c>
    </row>
    <row r="81" spans="1:30" ht="15">
      <c r="A81" s="1" t="s">
        <v>450</v>
      </c>
      <c r="B81" s="101" t="str">
        <f t="shared" si="14"/>
        <v xml:space="preserve">91x1             .  /    .        x     </v>
      </c>
      <c r="C81"/>
      <c r="D81" t="str">
        <f t="shared" si="15"/>
        <v>65x1</v>
      </c>
      <c r="E81" s="83">
        <f t="shared" si="16"/>
        <v>0</v>
      </c>
      <c r="F81" s="83">
        <f t="shared" si="17"/>
        <v>0</v>
      </c>
      <c r="G81">
        <f t="shared" si="18"/>
        <v>0</v>
      </c>
      <c r="I81" s="83">
        <v>65</v>
      </c>
      <c r="J81" t="str">
        <v/>
      </c>
      <c r="K81" t="str">
        <v/>
      </c>
      <c r="L81"/>
      <c r="M81"/>
      <c r="N81"/>
      <c r="O81"/>
      <c r="P81"/>
      <c r="Q81"/>
      <c r="R81"/>
      <c r="S81"/>
      <c r="T81"/>
      <c r="U81"/>
      <c r="V81"/>
      <c r="W81" t="s">
        <v>193</v>
      </c>
      <c r="X81" s="120" t="s">
        <v>194</v>
      </c>
      <c r="Y81" s="83" t="str">
        <f t="shared" si="19"/>
        <v>5Y</v>
      </c>
      <c r="Z81" s="83" t="str">
        <f t="shared" si="11"/>
        <v>7Y</v>
      </c>
      <c r="AA81" s="83" t="str">
        <f t="shared" si="12"/>
        <v>10Y</v>
      </c>
      <c r="AB81" s="85">
        <f t="shared" si="13"/>
        <v>65</v>
      </c>
      <c r="AC81" s="85">
        <f t="shared" si="13"/>
        <v>91</v>
      </c>
      <c r="AD81" s="85">
        <f t="shared" si="13"/>
        <v>130</v>
      </c>
    </row>
    <row r="82" spans="1:30" ht="15">
      <c r="A82" s="1" t="s">
        <v>469</v>
      </c>
      <c r="B82" s="101" t="str">
        <f t="shared" si="14"/>
        <v xml:space="preserve">130x1            .  /    .        x     </v>
      </c>
      <c r="C82"/>
      <c r="D82" t="str">
        <f t="shared" si="15"/>
        <v>91x1</v>
      </c>
      <c r="E82" s="83">
        <f t="shared" si="16"/>
        <v>0</v>
      </c>
      <c r="F82" s="83">
        <f t="shared" si="17"/>
        <v>0</v>
      </c>
      <c r="G82">
        <f t="shared" si="18"/>
        <v>0</v>
      </c>
      <c r="I82" s="83">
        <v>91</v>
      </c>
      <c r="J82" t="str">
        <v/>
      </c>
      <c r="K82" t="str">
        <v/>
      </c>
      <c r="L82"/>
      <c r="M82"/>
      <c r="N82"/>
      <c r="O82"/>
      <c r="P82"/>
      <c r="Q82"/>
      <c r="R82"/>
      <c r="S82"/>
      <c r="T82"/>
      <c r="U82"/>
      <c r="V82"/>
      <c r="W82" t="s">
        <v>195</v>
      </c>
      <c r="X82" s="120" t="s">
        <v>196</v>
      </c>
      <c r="Y82" s="83" t="str">
        <f t="shared" si="19"/>
        <v>3M</v>
      </c>
      <c r="Z82" s="83" t="str">
        <f t="shared" si="11"/>
        <v>6M</v>
      </c>
      <c r="AA82" s="83" t="str">
        <f t="shared" si="12"/>
        <v/>
      </c>
      <c r="AB82" s="85">
        <f t="shared" si="13"/>
        <v>3</v>
      </c>
      <c r="AC82" s="85">
        <f t="shared" si="13"/>
        <v>6</v>
      </c>
      <c r="AD82" s="85" t="str">
        <f t="shared" si="13"/>
        <v/>
      </c>
    </row>
    <row r="83" spans="1:30" ht="15">
      <c r="A83" s="1" t="s">
        <v>451</v>
      </c>
      <c r="B83" s="101" t="str">
        <f t="shared" si="14"/>
        <v xml:space="preserve">156x1            .  /    .        x     </v>
      </c>
      <c r="C83"/>
      <c r="D83" t="str">
        <f t="shared" si="15"/>
        <v>130x1</v>
      </c>
      <c r="E83" s="83">
        <f t="shared" si="16"/>
        <v>0</v>
      </c>
      <c r="F83" s="83">
        <f t="shared" si="17"/>
        <v>0</v>
      </c>
      <c r="G83">
        <f t="shared" si="18"/>
        <v>0</v>
      </c>
      <c r="I83" s="83">
        <v>130</v>
      </c>
      <c r="J83" t="str">
        <v/>
      </c>
      <c r="K83" t="str">
        <v/>
      </c>
      <c r="L83"/>
      <c r="M83"/>
      <c r="N83"/>
      <c r="O83"/>
      <c r="P83"/>
      <c r="Q83"/>
      <c r="R83"/>
      <c r="S83"/>
      <c r="T83"/>
      <c r="U83"/>
      <c r="V83"/>
      <c r="W83" t="s">
        <v>197</v>
      </c>
      <c r="X83" s="120" t="s">
        <v>198</v>
      </c>
      <c r="Y83" s="83" t="str">
        <f t="shared" si="19"/>
        <v>6M</v>
      </c>
      <c r="Z83" s="83" t="str">
        <f t="shared" si="11"/>
        <v>9M</v>
      </c>
      <c r="AA83" s="83" t="str">
        <f t="shared" si="12"/>
        <v/>
      </c>
      <c r="AB83" s="85">
        <f t="shared" si="13"/>
        <v>6</v>
      </c>
      <c r="AC83" s="85">
        <f t="shared" si="13"/>
        <v>9</v>
      </c>
      <c r="AD83" s="85" t="str">
        <f t="shared" si="13"/>
        <v/>
      </c>
    </row>
    <row r="84" spans="1:30" ht="15">
      <c r="A84" s="1" t="s">
        <v>452</v>
      </c>
      <c r="B84" s="101" t="str">
        <f t="shared" si="14"/>
        <v xml:space="preserve">195x1            .  /    .        x     </v>
      </c>
      <c r="C84"/>
      <c r="D84" t="str">
        <f t="shared" si="15"/>
        <v>156x1</v>
      </c>
      <c r="E84" s="83">
        <f t="shared" si="16"/>
        <v>0</v>
      </c>
      <c r="F84" s="83">
        <f t="shared" si="17"/>
        <v>0</v>
      </c>
      <c r="G84">
        <f t="shared" si="18"/>
        <v>0</v>
      </c>
      <c r="I84" s="83">
        <v>156</v>
      </c>
      <c r="J84" t="str">
        <v/>
      </c>
      <c r="K84" t="str">
        <v/>
      </c>
      <c r="L84"/>
      <c r="M84"/>
      <c r="N84"/>
      <c r="O84"/>
      <c r="P84"/>
      <c r="Q84"/>
      <c r="R84"/>
      <c r="S84"/>
      <c r="T84"/>
      <c r="U84"/>
      <c r="V84"/>
      <c r="W84" t="s">
        <v>199</v>
      </c>
      <c r="X84" s="120" t="s">
        <v>200</v>
      </c>
      <c r="Y84" s="83" t="str">
        <f t="shared" ref="Y84:Y113" si="20">+MID($X84,1,IFERROR(FIND("M",$X84),FIND("Y",$X84)))</f>
        <v>9M</v>
      </c>
      <c r="Z84" s="83" t="str">
        <f t="shared" si="11"/>
        <v>1Y</v>
      </c>
      <c r="AA84" s="83" t="str">
        <f t="shared" si="12"/>
        <v/>
      </c>
      <c r="AB84" s="85">
        <f t="shared" si="13"/>
        <v>9</v>
      </c>
      <c r="AC84" s="85">
        <f t="shared" si="13"/>
        <v>13</v>
      </c>
      <c r="AD84" s="85" t="str">
        <f t="shared" si="13"/>
        <v/>
      </c>
    </row>
    <row r="85" spans="1:30" ht="15">
      <c r="A85" s="1" t="s">
        <v>453</v>
      </c>
      <c r="B85" s="101" t="str">
        <f t="shared" si="14"/>
        <v xml:space="preserve">260x1            .  /    .        x     </v>
      </c>
      <c r="C85"/>
      <c r="D85" t="str">
        <f t="shared" si="15"/>
        <v>195x1</v>
      </c>
      <c r="E85" s="83">
        <f t="shared" si="16"/>
        <v>0</v>
      </c>
      <c r="F85" s="83">
        <f t="shared" si="17"/>
        <v>0</v>
      </c>
      <c r="G85">
        <f t="shared" si="18"/>
        <v>0</v>
      </c>
      <c r="I85" s="83">
        <v>195</v>
      </c>
      <c r="J85" t="str">
        <v/>
      </c>
      <c r="K85" t="str">
        <v/>
      </c>
      <c r="L85"/>
      <c r="M85"/>
      <c r="N85"/>
      <c r="O85"/>
      <c r="P85"/>
      <c r="Q85"/>
      <c r="R85"/>
      <c r="S85"/>
      <c r="T85"/>
      <c r="U85"/>
      <c r="V85"/>
      <c r="W85" t="s">
        <v>201</v>
      </c>
      <c r="X85" s="120" t="s">
        <v>202</v>
      </c>
      <c r="Y85" s="83" t="str">
        <f t="shared" si="20"/>
        <v>1Y</v>
      </c>
      <c r="Z85" s="83" t="str">
        <f t="shared" si="11"/>
        <v>2Y</v>
      </c>
      <c r="AA85" s="83" t="str">
        <f t="shared" si="12"/>
        <v/>
      </c>
      <c r="AB85" s="85">
        <f t="shared" si="13"/>
        <v>13</v>
      </c>
      <c r="AC85" s="85">
        <f t="shared" si="13"/>
        <v>26</v>
      </c>
      <c r="AD85" s="85" t="str">
        <f t="shared" si="13"/>
        <v/>
      </c>
    </row>
    <row r="86" spans="1:30" ht="15">
      <c r="A86" s="1" t="s">
        <v>491</v>
      </c>
      <c r="B86" s="101" t="str">
        <f t="shared" si="14"/>
        <v xml:space="preserve">2x1              .  /    .        x     </v>
      </c>
      <c r="C86"/>
      <c r="D86" t="str">
        <f t="shared" si="15"/>
        <v>260x1</v>
      </c>
      <c r="E86" s="83">
        <f t="shared" si="16"/>
        <v>0</v>
      </c>
      <c r="F86" s="83">
        <f t="shared" si="17"/>
        <v>0</v>
      </c>
      <c r="G86">
        <f t="shared" si="18"/>
        <v>0</v>
      </c>
      <c r="I86" s="83">
        <v>260</v>
      </c>
      <c r="J86" t="str">
        <v/>
      </c>
      <c r="K86" t="str">
        <v/>
      </c>
      <c r="L86"/>
      <c r="M86"/>
      <c r="N86"/>
      <c r="O86"/>
      <c r="P86"/>
      <c r="Q86"/>
      <c r="R86"/>
      <c r="S86"/>
      <c r="T86"/>
      <c r="U86"/>
      <c r="V86"/>
      <c r="W86" t="s">
        <v>203</v>
      </c>
      <c r="X86" s="120" t="s">
        <v>204</v>
      </c>
      <c r="Y86" s="83" t="str">
        <f t="shared" si="20"/>
        <v>1Y</v>
      </c>
      <c r="Z86" s="83" t="str">
        <f t="shared" si="11"/>
        <v>3Y</v>
      </c>
      <c r="AA86" s="83" t="str">
        <f t="shared" si="12"/>
        <v/>
      </c>
      <c r="AB86" s="85">
        <f t="shared" si="13"/>
        <v>13</v>
      </c>
      <c r="AC86" s="85">
        <f t="shared" si="13"/>
        <v>39</v>
      </c>
      <c r="AD86" s="85" t="str">
        <f t="shared" si="13"/>
        <v/>
      </c>
    </row>
    <row r="87" spans="1:30" ht="15">
      <c r="A87" s="1" t="s">
        <v>454</v>
      </c>
      <c r="B87" s="101" t="str">
        <f t="shared" si="14"/>
        <v xml:space="preserve">3v6v9            .  /    .        x     </v>
      </c>
      <c r="C87"/>
      <c r="D87"/>
      <c r="E87" s="83"/>
      <c r="F87" s="83"/>
      <c r="G87"/>
      <c r="I87" s="83"/>
      <c r="J87" t="str">
        <v/>
      </c>
      <c r="K87" t="str">
        <v/>
      </c>
      <c r="L87"/>
      <c r="M87"/>
      <c r="N87"/>
      <c r="O87"/>
      <c r="P87"/>
      <c r="Q87"/>
      <c r="R87"/>
      <c r="S87"/>
      <c r="T87"/>
      <c r="U87"/>
      <c r="V87"/>
      <c r="W87" t="s">
        <v>205</v>
      </c>
      <c r="X87" s="120" t="s">
        <v>206</v>
      </c>
      <c r="Y87" s="83" t="str">
        <f t="shared" si="20"/>
        <v>2Y</v>
      </c>
      <c r="Z87" s="83" t="str">
        <f t="shared" si="11"/>
        <v>3Y</v>
      </c>
      <c r="AA87" s="83" t="str">
        <f t="shared" si="12"/>
        <v/>
      </c>
      <c r="AB87" s="85">
        <f t="shared" si="13"/>
        <v>26</v>
      </c>
      <c r="AC87" s="85">
        <f t="shared" si="13"/>
        <v>39</v>
      </c>
      <c r="AD87" s="85" t="str">
        <f t="shared" si="13"/>
        <v/>
      </c>
    </row>
    <row r="88" spans="1:30" ht="15">
      <c r="A88" s="1" t="s">
        <v>470</v>
      </c>
      <c r="B88" s="101" t="str">
        <f t="shared" si="14"/>
        <v xml:space="preserve">6v9v1            .  /    .        x     </v>
      </c>
      <c r="C88"/>
      <c r="D88"/>
      <c r="E88"/>
      <c r="F88"/>
      <c r="G88"/>
      <c r="H88"/>
      <c r="I88"/>
      <c r="J88" t="str">
        <v/>
      </c>
      <c r="K88" t="str">
        <v/>
      </c>
      <c r="L88"/>
      <c r="M88"/>
      <c r="N88"/>
      <c r="O88"/>
      <c r="P88"/>
      <c r="Q88"/>
      <c r="R88"/>
      <c r="S88"/>
      <c r="T88"/>
      <c r="U88"/>
      <c r="V88"/>
      <c r="W88" t="s">
        <v>207</v>
      </c>
      <c r="X88" s="120" t="s">
        <v>208</v>
      </c>
      <c r="Y88" s="83" t="str">
        <f t="shared" si="20"/>
        <v>2Y</v>
      </c>
      <c r="Z88" s="83" t="str">
        <f t="shared" si="11"/>
        <v>4Y</v>
      </c>
      <c r="AA88" s="83" t="str">
        <f t="shared" si="12"/>
        <v/>
      </c>
      <c r="AB88" s="85">
        <f t="shared" si="13"/>
        <v>26</v>
      </c>
      <c r="AC88" s="85">
        <f t="shared" si="13"/>
        <v>52</v>
      </c>
      <c r="AD88" s="85" t="str">
        <f t="shared" si="13"/>
        <v/>
      </c>
    </row>
    <row r="89" spans="1:30" ht="15">
      <c r="A89" s="1" t="s">
        <v>471</v>
      </c>
      <c r="B89" s="101" t="str">
        <f t="shared" si="14"/>
        <v xml:space="preserve">9v1v2            .  /    .        x     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s">
        <v>209</v>
      </c>
      <c r="X89" s="120" t="s">
        <v>210</v>
      </c>
      <c r="Y89" s="83" t="str">
        <f t="shared" si="20"/>
        <v>2Y</v>
      </c>
      <c r="Z89" s="83" t="str">
        <f t="shared" si="11"/>
        <v>5Y</v>
      </c>
      <c r="AA89" s="83" t="str">
        <f t="shared" si="12"/>
        <v/>
      </c>
      <c r="AB89" s="85">
        <f t="shared" si="13"/>
        <v>26</v>
      </c>
      <c r="AC89" s="85">
        <f t="shared" si="13"/>
        <v>65</v>
      </c>
      <c r="AD89" s="85" t="str">
        <f t="shared" si="13"/>
        <v/>
      </c>
    </row>
    <row r="90" spans="1:30" ht="15">
      <c r="A90" s="1" t="s">
        <v>467</v>
      </c>
      <c r="B90" s="101" t="str">
        <f t="shared" si="14"/>
        <v xml:space="preserve">1v19v2           .  /    .        x     </v>
      </c>
      <c r="C90"/>
      <c r="D90" s="299" t="s">
        <v>62</v>
      </c>
      <c r="E90" s="300"/>
      <c r="F90" s="300"/>
      <c r="G90" s="301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s">
        <v>211</v>
      </c>
      <c r="X90" s="120" t="s">
        <v>212</v>
      </c>
      <c r="Y90" s="83" t="str">
        <f t="shared" si="20"/>
        <v>2Y</v>
      </c>
      <c r="Z90" s="83" t="str">
        <f t="shared" si="11"/>
        <v>10Y</v>
      </c>
      <c r="AA90" s="83" t="str">
        <f t="shared" si="12"/>
        <v/>
      </c>
      <c r="AB90" s="85">
        <f t="shared" si="13"/>
        <v>26</v>
      </c>
      <c r="AC90" s="85">
        <f t="shared" si="13"/>
        <v>130</v>
      </c>
      <c r="AD90" s="85" t="str">
        <f t="shared" si="13"/>
        <v/>
      </c>
    </row>
    <row r="91" spans="1:30" ht="15">
      <c r="A91" s="1" t="s">
        <v>455</v>
      </c>
      <c r="B91" s="101" t="str">
        <f t="shared" si="14"/>
        <v xml:space="preserve">1v2v3            .  /    .        x     </v>
      </c>
      <c r="C91"/>
      <c r="D91" s="24" t="s">
        <v>55</v>
      </c>
      <c r="E91" s="24" t="s">
        <v>29</v>
      </c>
      <c r="F91" s="24" t="s">
        <v>30</v>
      </c>
      <c r="G91" s="24" t="s">
        <v>58</v>
      </c>
      <c r="H91" s="84" t="s">
        <v>63</v>
      </c>
      <c r="I91" s="84" t="s">
        <v>64</v>
      </c>
      <c r="J91" s="84" t="s">
        <v>65</v>
      </c>
      <c r="K91" s="84" t="s">
        <v>66</v>
      </c>
      <c r="L91" s="84" t="s">
        <v>67</v>
      </c>
      <c r="M91" s="84" t="s">
        <v>68</v>
      </c>
      <c r="N91" s="84" t="s">
        <v>69</v>
      </c>
      <c r="O91" s="84" t="s">
        <v>70</v>
      </c>
      <c r="P91" s="24" t="s">
        <v>29</v>
      </c>
      <c r="Q91" s="79" t="s">
        <v>30</v>
      </c>
      <c r="R91" s="116" t="s">
        <v>64</v>
      </c>
      <c r="S91" s="116" t="s">
        <v>65</v>
      </c>
      <c r="T91"/>
      <c r="U91"/>
      <c r="V91"/>
      <c r="W91" t="s">
        <v>213</v>
      </c>
      <c r="X91" s="120" t="s">
        <v>214</v>
      </c>
      <c r="Y91" s="83" t="str">
        <f t="shared" si="20"/>
        <v>3Y</v>
      </c>
      <c r="Z91" s="83" t="str">
        <f t="shared" si="11"/>
        <v>4Y</v>
      </c>
      <c r="AA91" s="83" t="str">
        <f t="shared" si="12"/>
        <v/>
      </c>
      <c r="AB91" s="85">
        <f t="shared" si="13"/>
        <v>39</v>
      </c>
      <c r="AC91" s="85">
        <f t="shared" si="13"/>
        <v>52</v>
      </c>
      <c r="AD91" s="85" t="str">
        <f t="shared" si="13"/>
        <v/>
      </c>
    </row>
    <row r="92" spans="1:30" ht="15">
      <c r="A92" s="1" t="s">
        <v>456</v>
      </c>
      <c r="B92" s="101" t="str">
        <f t="shared" si="14"/>
        <v xml:space="preserve">2v3v4            .  /    .        x     </v>
      </c>
      <c r="C92" s="87" t="str">
        <f t="shared" ref="C92:C123" si="21">+TRIM(MID(B87,1,8))</f>
        <v>3v6v9</v>
      </c>
      <c r="D92" s="69" t="str">
        <f>+C92</f>
        <v>3v6v9</v>
      </c>
      <c r="E92" s="88">
        <f>+IF(D92&lt;&gt;"",IFERROR(_xlfn.NUMBERVALUE(MID(B87,LEN(D92)+1,FIND("/",B87)-LEN(D92)-1)),0), "")</f>
        <v>0</v>
      </c>
      <c r="F92" s="86">
        <f>+IF(D92&lt;&gt;"",IFERROR(_xlfn.NUMBERVALUE(MID(B87,FIND("/",B87)+1,8)),0), "")</f>
        <v>0</v>
      </c>
      <c r="G92" s="83">
        <f>IF(D92&lt;&gt;"", 0, "")</f>
        <v>0</v>
      </c>
      <c r="H92" s="83" t="str">
        <f>+IF(D92&lt;&gt;"", IF(LEN(D92)-LEN(SUBSTITUTE(D92,"v",""))&gt;1,"Fly","Spread"), "")</f>
        <v>Fly</v>
      </c>
      <c r="I92" s="83" t="str">
        <f>IF(D92&lt;&gt;"",IFERROR(VLOOKUP(D92, $W$72:$AD$115, 3, 0), "-"), "")</f>
        <v>3M</v>
      </c>
      <c r="J92" s="83" t="str">
        <f>IF(D92&lt;&gt;"",IFERROR(VLOOKUP(D92, $W$72:$AD$115, 4, 0), "-"), "")</f>
        <v>6M</v>
      </c>
      <c r="K92" s="83" t="str">
        <f>IF(D92&lt;&gt;"",IFERROR(VLOOKUP(D92, $W$72:$AD$115, 5, 0), "-"), "")</f>
        <v>9M</v>
      </c>
      <c r="L92" s="85">
        <f>+IFERROR(IF(IFERROR(FIND("M",I92)&gt;0,FALSE),_xlfn.NUMBERVALUE(MID(I92,1,LEN(I92)-1)),MID(I92,1,LEN(I92)-1)*13),"")</f>
        <v>3</v>
      </c>
      <c r="M92" s="85">
        <f>+IFERROR(IF(IFERROR(FIND("M",J92)&gt;0,FALSE),_xlfn.NUMBERVALUE(MID(J92,1,LEN(J92)-1)),MID(J92,1,LEN(J92)-1)*13),"")</f>
        <v>6</v>
      </c>
      <c r="N92" s="85">
        <f>+IFERROR(IF(IFERROR(FIND("M",K92)&gt;0,FALSE),_xlfn.NUMBERVALUE(MID(K92,1,LEN(K92)-1)),MID(K92,1,LEN(K92)-1)*13),"")</f>
        <v>9</v>
      </c>
      <c r="O92" t="str">
        <f>IF(D92&lt;&gt;"",IFERROR(VLOOKUP(D92, $W$72:$AD$115, 2, 0), "-"), "")</f>
        <v>3M-6M-9M</v>
      </c>
      <c r="P92" s="88">
        <f>+E92</f>
        <v>0</v>
      </c>
      <c r="Q92" s="88">
        <f>+F92</f>
        <v>0</v>
      </c>
      <c r="R92" s="85">
        <f>+L92</f>
        <v>3</v>
      </c>
      <c r="S92" s="85">
        <f>+M92</f>
        <v>6</v>
      </c>
      <c r="T92"/>
      <c r="U92"/>
      <c r="V92"/>
      <c r="W92" t="s">
        <v>215</v>
      </c>
      <c r="X92" s="120" t="s">
        <v>216</v>
      </c>
      <c r="Y92" s="83" t="str">
        <f t="shared" si="20"/>
        <v>3Y</v>
      </c>
      <c r="Z92" s="83" t="str">
        <f t="shared" si="11"/>
        <v>5Y</v>
      </c>
      <c r="AA92" s="83" t="str">
        <f t="shared" si="12"/>
        <v/>
      </c>
      <c r="AB92" s="85">
        <f t="shared" si="13"/>
        <v>39</v>
      </c>
      <c r="AC92" s="85">
        <f t="shared" si="13"/>
        <v>65</v>
      </c>
      <c r="AD92" s="85" t="str">
        <f t="shared" si="13"/>
        <v/>
      </c>
    </row>
    <row r="93" spans="1:30" ht="15">
      <c r="A93" s="1" t="s">
        <v>457</v>
      </c>
      <c r="B93" s="101" t="str">
        <f t="shared" si="14"/>
        <v xml:space="preserve">3v4v5            .  /    .        x     </v>
      </c>
      <c r="C93" s="87" t="str">
        <f t="shared" si="21"/>
        <v>6v9v1</v>
      </c>
      <c r="D93" s="69" t="str">
        <f t="shared" ref="D93:D123" si="22">+C93</f>
        <v>6v9v1</v>
      </c>
      <c r="E93" s="88">
        <f t="shared" ref="E93:E123" si="23">+IF(D93&lt;&gt;"",IFERROR(_xlfn.NUMBERVALUE(MID(B88,LEN(D93)+1,FIND("/",B88)-LEN(D93)-1)),0), "")</f>
        <v>0</v>
      </c>
      <c r="F93" s="86">
        <f t="shared" ref="F93:F123" si="24">+IF(D93&lt;&gt;"",IFERROR(_xlfn.NUMBERVALUE(MID(B88,FIND("/",B88)+1,8)),0), "")</f>
        <v>0</v>
      </c>
      <c r="G93" s="83">
        <f t="shared" ref="G93:G123" si="25">IF(D93&lt;&gt;"", 0, "")</f>
        <v>0</v>
      </c>
      <c r="H93" s="83" t="str">
        <f t="shared" ref="H93:H123" si="26">+IF(D93&lt;&gt;"", IF(LEN(D93)-LEN(SUBSTITUTE(D93,"v",""))&gt;1,"Fly","Spread"), "")</f>
        <v>Fly</v>
      </c>
      <c r="I93" s="83" t="str">
        <f t="shared" ref="I93:I123" si="27">IF(D93&lt;&gt;"",IFERROR(VLOOKUP(D93, $W$72:$AD$115, 3, 0), "-"), "")</f>
        <v>6M</v>
      </c>
      <c r="J93" s="83" t="str">
        <f t="shared" ref="J93:J123" si="28">IF(D93&lt;&gt;"",IFERROR(VLOOKUP(D93, $W$72:$AD$115, 4, 0), "-"), "")</f>
        <v>9M</v>
      </c>
      <c r="K93" s="83" t="str">
        <f t="shared" ref="K93:K123" si="29">IF(D93&lt;&gt;"",IFERROR(VLOOKUP(D93, $W$72:$AD$115, 5, 0), "-"), "")</f>
        <v>1Y</v>
      </c>
      <c r="L93" s="85">
        <f t="shared" ref="L93:N123" si="30">+IFERROR(IF(IFERROR(FIND("M",I93)&gt;0,FALSE),_xlfn.NUMBERVALUE(MID(I93,1,LEN(I93)-1)),MID(I93,1,LEN(I93)-1)*13),"")</f>
        <v>6</v>
      </c>
      <c r="M93" s="85">
        <f t="shared" si="30"/>
        <v>9</v>
      </c>
      <c r="N93" s="85">
        <f t="shared" si="30"/>
        <v>13</v>
      </c>
      <c r="O93" t="str">
        <f t="shared" ref="O93:O123" si="31">IF(D93&lt;&gt;"",IFERROR(VLOOKUP(D93, $W$72:$AD$115, 2, 0), "-"), "")</f>
        <v>6M-9M-1Y</v>
      </c>
      <c r="P93" s="88">
        <f t="shared" ref="P93:Q108" si="32">+E93</f>
        <v>0</v>
      </c>
      <c r="Q93" s="88">
        <f t="shared" si="32"/>
        <v>0</v>
      </c>
      <c r="R93" s="85">
        <f t="shared" ref="R93:S112" si="33">+L93</f>
        <v>6</v>
      </c>
      <c r="S93" s="85">
        <f t="shared" si="33"/>
        <v>9</v>
      </c>
      <c r="T93"/>
      <c r="U93"/>
      <c r="V93"/>
      <c r="W93" t="s">
        <v>217</v>
      </c>
      <c r="X93" s="120" t="s">
        <v>218</v>
      </c>
      <c r="Y93" s="83" t="str">
        <f t="shared" si="20"/>
        <v>3Y</v>
      </c>
      <c r="Z93" s="83" t="str">
        <f t="shared" si="11"/>
        <v>10Y</v>
      </c>
      <c r="AA93" s="83" t="str">
        <f t="shared" si="12"/>
        <v/>
      </c>
      <c r="AB93" s="85">
        <f t="shared" si="13"/>
        <v>39</v>
      </c>
      <c r="AC93" s="85">
        <f t="shared" si="13"/>
        <v>130</v>
      </c>
      <c r="AD93" s="85" t="str">
        <f t="shared" si="13"/>
        <v/>
      </c>
    </row>
    <row r="94" spans="1:30" ht="15">
      <c r="A94" s="1" t="s">
        <v>458</v>
      </c>
      <c r="B94" s="101" t="str">
        <f t="shared" si="14"/>
        <v xml:space="preserve">5v7v10           .  /    .        x     </v>
      </c>
      <c r="C94" s="87" t="str">
        <f t="shared" si="21"/>
        <v>9v1v2</v>
      </c>
      <c r="D94" s="69" t="str">
        <f t="shared" si="22"/>
        <v>9v1v2</v>
      </c>
      <c r="E94" s="88">
        <f t="shared" si="23"/>
        <v>0</v>
      </c>
      <c r="F94" s="86">
        <f t="shared" si="24"/>
        <v>0</v>
      </c>
      <c r="G94" s="83">
        <f t="shared" si="25"/>
        <v>0</v>
      </c>
      <c r="H94" s="83" t="str">
        <f t="shared" si="26"/>
        <v>Fly</v>
      </c>
      <c r="I94" s="83" t="str">
        <f t="shared" si="27"/>
        <v>9M</v>
      </c>
      <c r="J94" s="83" t="str">
        <f t="shared" si="28"/>
        <v>1Y</v>
      </c>
      <c r="K94" s="83" t="str">
        <f t="shared" si="29"/>
        <v>2Y</v>
      </c>
      <c r="L94" s="85">
        <f t="shared" si="30"/>
        <v>9</v>
      </c>
      <c r="M94" s="85">
        <f t="shared" si="30"/>
        <v>13</v>
      </c>
      <c r="N94" s="85">
        <f t="shared" si="30"/>
        <v>26</v>
      </c>
      <c r="O94" t="str">
        <f t="shared" si="31"/>
        <v>9M-1Y-2Y</v>
      </c>
      <c r="P94" s="88">
        <f t="shared" si="32"/>
        <v>0</v>
      </c>
      <c r="Q94" s="88">
        <f t="shared" si="32"/>
        <v>0</v>
      </c>
      <c r="R94" s="85">
        <f t="shared" si="33"/>
        <v>9</v>
      </c>
      <c r="S94" s="85">
        <f t="shared" si="33"/>
        <v>13</v>
      </c>
      <c r="T94"/>
      <c r="U94"/>
      <c r="V94"/>
      <c r="W94" t="s">
        <v>219</v>
      </c>
      <c r="X94" s="120" t="s">
        <v>333</v>
      </c>
      <c r="Y94" s="83" t="str">
        <f t="shared" si="20"/>
        <v>4Y</v>
      </c>
      <c r="Z94" s="83" t="str">
        <f t="shared" si="11"/>
        <v>5Y</v>
      </c>
      <c r="AA94" s="83" t="str">
        <f t="shared" si="12"/>
        <v/>
      </c>
      <c r="AB94" s="85">
        <f t="shared" si="13"/>
        <v>52</v>
      </c>
      <c r="AC94" s="85">
        <f t="shared" si="13"/>
        <v>65</v>
      </c>
      <c r="AD94" s="85" t="str">
        <f t="shared" si="13"/>
        <v/>
      </c>
    </row>
    <row r="95" spans="1:30" ht="15">
      <c r="A95" s="1" t="s">
        <v>472</v>
      </c>
      <c r="B95" s="101" t="str">
        <f t="shared" si="14"/>
        <v xml:space="preserve">12v15v20         .  /    .        x     </v>
      </c>
      <c r="C95" s="87" t="str">
        <f t="shared" si="21"/>
        <v>1v19v2</v>
      </c>
      <c r="D95" s="69" t="str">
        <f t="shared" si="22"/>
        <v>1v19v2</v>
      </c>
      <c r="E95" s="88">
        <f t="shared" si="23"/>
        <v>0</v>
      </c>
      <c r="F95" s="86">
        <f t="shared" si="24"/>
        <v>0</v>
      </c>
      <c r="G95" s="83">
        <f t="shared" si="25"/>
        <v>0</v>
      </c>
      <c r="H95" s="83" t="str">
        <f t="shared" si="26"/>
        <v>Fly</v>
      </c>
      <c r="I95" s="83" t="str">
        <f t="shared" si="27"/>
        <v>1Y</v>
      </c>
      <c r="J95" s="83" t="str">
        <f t="shared" si="28"/>
        <v>19M</v>
      </c>
      <c r="K95" s="83" t="str">
        <f t="shared" si="29"/>
        <v>2Y</v>
      </c>
      <c r="L95" s="85">
        <f t="shared" si="30"/>
        <v>13</v>
      </c>
      <c r="M95" s="85">
        <f t="shared" si="30"/>
        <v>19</v>
      </c>
      <c r="N95" s="85">
        <f t="shared" si="30"/>
        <v>26</v>
      </c>
      <c r="O95" t="str">
        <f t="shared" si="31"/>
        <v>1Y-19M-2Y</v>
      </c>
      <c r="P95" s="88">
        <f t="shared" si="32"/>
        <v>0</v>
      </c>
      <c r="Q95" s="88">
        <f t="shared" si="32"/>
        <v>0</v>
      </c>
      <c r="R95" s="85">
        <f t="shared" si="33"/>
        <v>13</v>
      </c>
      <c r="S95" s="85">
        <f t="shared" si="33"/>
        <v>19</v>
      </c>
      <c r="T95"/>
      <c r="U95"/>
      <c r="V95"/>
      <c r="W95" t="s">
        <v>220</v>
      </c>
      <c r="X95" s="120" t="s">
        <v>221</v>
      </c>
      <c r="Y95" s="83" t="str">
        <f t="shared" si="20"/>
        <v>5Y</v>
      </c>
      <c r="Z95" s="83" t="str">
        <f t="shared" si="11"/>
        <v>6Y</v>
      </c>
      <c r="AA95" s="83" t="str">
        <f t="shared" si="12"/>
        <v/>
      </c>
      <c r="AB95" s="85">
        <f t="shared" si="13"/>
        <v>65</v>
      </c>
      <c r="AC95" s="85">
        <f t="shared" si="13"/>
        <v>78</v>
      </c>
      <c r="AD95" s="85" t="str">
        <f t="shared" si="13"/>
        <v/>
      </c>
    </row>
    <row r="96" spans="1:30" ht="15">
      <c r="A96" s="1" t="s">
        <v>52</v>
      </c>
      <c r="B96" s="101" t="str">
        <f>+MID(A73,$B$72+1,$B$72)</f>
        <v xml:space="preserve">2m3              .  /    .        x     </v>
      </c>
      <c r="C96" s="87" t="str">
        <f t="shared" si="21"/>
        <v>1v2v3</v>
      </c>
      <c r="D96" s="69" t="str">
        <f t="shared" si="22"/>
        <v>1v2v3</v>
      </c>
      <c r="E96" s="88">
        <f t="shared" si="23"/>
        <v>0</v>
      </c>
      <c r="F96" s="86">
        <f t="shared" si="24"/>
        <v>0</v>
      </c>
      <c r="G96" s="83">
        <f t="shared" si="25"/>
        <v>0</v>
      </c>
      <c r="H96" s="83" t="str">
        <f t="shared" si="26"/>
        <v>Fly</v>
      </c>
      <c r="I96" s="83" t="str">
        <f t="shared" si="27"/>
        <v>1Y</v>
      </c>
      <c r="J96" s="83" t="str">
        <f t="shared" si="28"/>
        <v>2Y</v>
      </c>
      <c r="K96" s="83" t="str">
        <f t="shared" si="29"/>
        <v>3Y</v>
      </c>
      <c r="L96" s="85">
        <f t="shared" si="30"/>
        <v>13</v>
      </c>
      <c r="M96" s="85">
        <f t="shared" si="30"/>
        <v>26</v>
      </c>
      <c r="N96" s="85">
        <f t="shared" si="30"/>
        <v>39</v>
      </c>
      <c r="O96" t="str">
        <f t="shared" si="31"/>
        <v>1Y-2Y-3Y</v>
      </c>
      <c r="P96" s="88">
        <f t="shared" si="32"/>
        <v>0</v>
      </c>
      <c r="Q96" s="88">
        <f t="shared" si="32"/>
        <v>0</v>
      </c>
      <c r="R96" s="85">
        <f t="shared" si="33"/>
        <v>13</v>
      </c>
      <c r="S96" s="85">
        <f t="shared" si="33"/>
        <v>26</v>
      </c>
      <c r="T96"/>
      <c r="U96"/>
      <c r="V96"/>
      <c r="W96" t="s">
        <v>222</v>
      </c>
      <c r="X96" s="120" t="s">
        <v>223</v>
      </c>
      <c r="Y96" s="83" t="str">
        <f t="shared" si="20"/>
        <v>5Y</v>
      </c>
      <c r="Z96" s="83" t="str">
        <f t="shared" si="11"/>
        <v>7Y</v>
      </c>
      <c r="AA96" s="83" t="str">
        <f t="shared" si="12"/>
        <v/>
      </c>
      <c r="AB96" s="85">
        <f t="shared" si="13"/>
        <v>65</v>
      </c>
      <c r="AC96" s="85">
        <f t="shared" si="13"/>
        <v>91</v>
      </c>
      <c r="AD96" s="85" t="str">
        <f t="shared" si="13"/>
        <v/>
      </c>
    </row>
    <row r="97" spans="2:30" ht="15">
      <c r="B97" s="101" t="str">
        <f t="shared" ref="B97:B118" si="34">+MID(A74,$B$72+1,$B$72)</f>
        <v xml:space="preserve">3v6           -11.00/    .       3x     </v>
      </c>
      <c r="C97" s="87" t="str">
        <f t="shared" si="21"/>
        <v>2v3v4</v>
      </c>
      <c r="D97" s="69" t="str">
        <f t="shared" si="22"/>
        <v>2v3v4</v>
      </c>
      <c r="E97" s="88">
        <f t="shared" si="23"/>
        <v>0</v>
      </c>
      <c r="F97" s="86">
        <f t="shared" si="24"/>
        <v>0</v>
      </c>
      <c r="G97" s="83">
        <f t="shared" si="25"/>
        <v>0</v>
      </c>
      <c r="H97" s="83" t="str">
        <f t="shared" si="26"/>
        <v>Fly</v>
      </c>
      <c r="I97" s="83" t="str">
        <f t="shared" si="27"/>
        <v>2Y</v>
      </c>
      <c r="J97" s="83" t="str">
        <f t="shared" si="28"/>
        <v>3Y</v>
      </c>
      <c r="K97" s="83" t="str">
        <f t="shared" si="29"/>
        <v>4Y</v>
      </c>
      <c r="L97" s="85">
        <f t="shared" si="30"/>
        <v>26</v>
      </c>
      <c r="M97" s="85">
        <f t="shared" si="30"/>
        <v>39</v>
      </c>
      <c r="N97" s="85">
        <f t="shared" si="30"/>
        <v>52</v>
      </c>
      <c r="O97" t="str">
        <f t="shared" si="31"/>
        <v>2Y-3Y-4Y</v>
      </c>
      <c r="P97" s="88">
        <f t="shared" si="32"/>
        <v>0</v>
      </c>
      <c r="Q97" s="88">
        <f t="shared" si="32"/>
        <v>0</v>
      </c>
      <c r="R97" s="85">
        <f t="shared" si="33"/>
        <v>26</v>
      </c>
      <c r="S97" s="85">
        <f t="shared" si="33"/>
        <v>39</v>
      </c>
      <c r="T97"/>
      <c r="U97"/>
      <c r="V97"/>
      <c r="W97" t="s">
        <v>224</v>
      </c>
      <c r="X97" s="120" t="s">
        <v>225</v>
      </c>
      <c r="Y97" s="83" t="str">
        <f t="shared" si="20"/>
        <v>5Y</v>
      </c>
      <c r="Z97" s="83" t="str">
        <f t="shared" si="11"/>
        <v>10Y</v>
      </c>
      <c r="AA97" s="83" t="str">
        <f t="shared" si="12"/>
        <v/>
      </c>
      <c r="AB97" s="85">
        <f t="shared" si="13"/>
        <v>65</v>
      </c>
      <c r="AC97" s="85">
        <f t="shared" si="13"/>
        <v>130</v>
      </c>
      <c r="AD97" s="85" t="str">
        <f t="shared" si="13"/>
        <v/>
      </c>
    </row>
    <row r="98" spans="2:30" ht="15">
      <c r="B98" s="101" t="str">
        <f t="shared" si="34"/>
        <v xml:space="preserve">6v9              .  /    .        x     </v>
      </c>
      <c r="C98" s="87" t="str">
        <f t="shared" si="21"/>
        <v>3v4v5</v>
      </c>
      <c r="D98" s="69" t="str">
        <f t="shared" si="22"/>
        <v>3v4v5</v>
      </c>
      <c r="E98" s="88">
        <f t="shared" si="23"/>
        <v>0</v>
      </c>
      <c r="F98" s="86">
        <f t="shared" si="24"/>
        <v>0</v>
      </c>
      <c r="G98" s="83">
        <f t="shared" si="25"/>
        <v>0</v>
      </c>
      <c r="H98" s="83" t="str">
        <f t="shared" si="26"/>
        <v>Fly</v>
      </c>
      <c r="I98" s="83" t="str">
        <f t="shared" si="27"/>
        <v>3Y</v>
      </c>
      <c r="J98" s="83" t="str">
        <f t="shared" si="28"/>
        <v>4Y</v>
      </c>
      <c r="K98" s="83" t="str">
        <f t="shared" si="29"/>
        <v>5Y</v>
      </c>
      <c r="L98" s="85">
        <f t="shared" si="30"/>
        <v>39</v>
      </c>
      <c r="M98" s="85">
        <f t="shared" si="30"/>
        <v>52</v>
      </c>
      <c r="N98" s="85">
        <f t="shared" si="30"/>
        <v>65</v>
      </c>
      <c r="O98" t="str">
        <f t="shared" si="31"/>
        <v>3Y-4Y-5Y</v>
      </c>
      <c r="P98" s="88">
        <f t="shared" si="32"/>
        <v>0</v>
      </c>
      <c r="Q98" s="88">
        <f t="shared" si="32"/>
        <v>0</v>
      </c>
      <c r="R98" s="85">
        <f t="shared" si="33"/>
        <v>39</v>
      </c>
      <c r="S98" s="85">
        <f t="shared" si="33"/>
        <v>52</v>
      </c>
      <c r="T98"/>
      <c r="U98"/>
      <c r="V98"/>
      <c r="W98" t="s">
        <v>226</v>
      </c>
      <c r="X98" s="120" t="s">
        <v>227</v>
      </c>
      <c r="Y98" s="83" t="str">
        <f t="shared" si="20"/>
        <v>6Y</v>
      </c>
      <c r="Z98" s="83" t="str">
        <f t="shared" si="11"/>
        <v>7Y</v>
      </c>
      <c r="AA98" s="83" t="str">
        <f t="shared" si="12"/>
        <v/>
      </c>
      <c r="AB98" s="85">
        <f t="shared" si="13"/>
        <v>78</v>
      </c>
      <c r="AC98" s="85">
        <f t="shared" si="13"/>
        <v>91</v>
      </c>
      <c r="AD98" s="85" t="str">
        <f t="shared" si="13"/>
        <v/>
      </c>
    </row>
    <row r="99" spans="2:30" ht="15">
      <c r="B99" s="101" t="str">
        <f t="shared" si="34"/>
        <v xml:space="preserve">6v1              .  /    .        x     </v>
      </c>
      <c r="C99" s="87" t="str">
        <f t="shared" si="21"/>
        <v>5v7v10</v>
      </c>
      <c r="D99" s="69" t="str">
        <f t="shared" si="22"/>
        <v>5v7v10</v>
      </c>
      <c r="E99" s="88">
        <f t="shared" si="23"/>
        <v>0</v>
      </c>
      <c r="F99" s="86">
        <f t="shared" si="24"/>
        <v>0</v>
      </c>
      <c r="G99" s="83">
        <f t="shared" si="25"/>
        <v>0</v>
      </c>
      <c r="H99" s="83" t="str">
        <f t="shared" si="26"/>
        <v>Fly</v>
      </c>
      <c r="I99" s="83" t="str">
        <f t="shared" si="27"/>
        <v>5Y</v>
      </c>
      <c r="J99" s="83" t="str">
        <f t="shared" si="28"/>
        <v>7Y</v>
      </c>
      <c r="K99" s="83" t="str">
        <f t="shared" si="29"/>
        <v>10Y</v>
      </c>
      <c r="L99" s="85">
        <f t="shared" si="30"/>
        <v>65</v>
      </c>
      <c r="M99" s="85">
        <f t="shared" si="30"/>
        <v>91</v>
      </c>
      <c r="N99" s="85">
        <f t="shared" si="30"/>
        <v>130</v>
      </c>
      <c r="O99" t="str">
        <f t="shared" si="31"/>
        <v>5Y-7Y-10Y</v>
      </c>
      <c r="P99" s="88">
        <f t="shared" si="32"/>
        <v>0</v>
      </c>
      <c r="Q99" s="88">
        <f t="shared" si="32"/>
        <v>0</v>
      </c>
      <c r="R99" s="85">
        <f t="shared" si="33"/>
        <v>65</v>
      </c>
      <c r="S99" s="85">
        <f t="shared" si="33"/>
        <v>91</v>
      </c>
      <c r="T99"/>
      <c r="U99"/>
      <c r="V99"/>
      <c r="W99" t="s">
        <v>228</v>
      </c>
      <c r="X99" s="120" t="s">
        <v>229</v>
      </c>
      <c r="Y99" s="83" t="str">
        <f t="shared" si="20"/>
        <v>7Y</v>
      </c>
      <c r="Z99" s="83" t="str">
        <f t="shared" si="11"/>
        <v>10Y</v>
      </c>
      <c r="AA99" s="83" t="str">
        <f t="shared" si="12"/>
        <v/>
      </c>
      <c r="AB99" s="85">
        <f t="shared" si="13"/>
        <v>91</v>
      </c>
      <c r="AC99" s="85">
        <f t="shared" si="13"/>
        <v>130</v>
      </c>
      <c r="AD99" s="85" t="str">
        <f t="shared" si="13"/>
        <v/>
      </c>
    </row>
    <row r="100" spans="2:30" ht="15">
      <c r="B100" s="101" t="str">
        <f t="shared" si="34"/>
        <v xml:space="preserve">9v1           -37.00/ -35.00     3x3    </v>
      </c>
      <c r="C100" s="87" t="str">
        <f t="shared" si="21"/>
        <v>12v15v20</v>
      </c>
      <c r="D100" s="69" t="str">
        <f t="shared" si="22"/>
        <v>12v15v20</v>
      </c>
      <c r="E100" s="88">
        <f t="shared" si="23"/>
        <v>0</v>
      </c>
      <c r="F100" s="86">
        <f t="shared" si="24"/>
        <v>0</v>
      </c>
      <c r="G100" s="83">
        <f t="shared" si="25"/>
        <v>0</v>
      </c>
      <c r="H100" s="83" t="str">
        <f t="shared" si="26"/>
        <v>Fly</v>
      </c>
      <c r="I100" s="83" t="str">
        <f t="shared" si="27"/>
        <v>12Y</v>
      </c>
      <c r="J100" s="83" t="str">
        <f t="shared" si="28"/>
        <v>15Y</v>
      </c>
      <c r="K100" s="83" t="str">
        <f>IF(D100&lt;&gt;"",IFERROR(VLOOKUP(D100, $W$72:$AD$115, 5, 0), "-"), "")</f>
        <v>20Y</v>
      </c>
      <c r="L100" s="85">
        <f t="shared" si="30"/>
        <v>156</v>
      </c>
      <c r="M100" s="85">
        <f t="shared" si="30"/>
        <v>195</v>
      </c>
      <c r="N100" s="85">
        <f t="shared" si="30"/>
        <v>260</v>
      </c>
      <c r="O100" t="str">
        <f t="shared" si="31"/>
        <v>12Y-15Y-20Y</v>
      </c>
      <c r="P100" s="88">
        <f t="shared" si="32"/>
        <v>0</v>
      </c>
      <c r="Q100" s="88">
        <f t="shared" si="32"/>
        <v>0</v>
      </c>
      <c r="R100" s="85">
        <f t="shared" si="33"/>
        <v>156</v>
      </c>
      <c r="S100" s="85">
        <f t="shared" si="33"/>
        <v>195</v>
      </c>
      <c r="T100"/>
      <c r="U100"/>
      <c r="V100"/>
      <c r="W100" t="s">
        <v>230</v>
      </c>
      <c r="X100" s="120" t="s">
        <v>231</v>
      </c>
      <c r="Y100" s="83" t="str">
        <f t="shared" si="20"/>
        <v>9Y</v>
      </c>
      <c r="Z100" s="83" t="str">
        <f t="shared" si="11"/>
        <v>10Y</v>
      </c>
      <c r="AA100" s="83" t="str">
        <f t="shared" si="12"/>
        <v/>
      </c>
      <c r="AB100" s="85">
        <f t="shared" si="13"/>
        <v>117</v>
      </c>
      <c r="AC100" s="85">
        <f t="shared" si="13"/>
        <v>130</v>
      </c>
      <c r="AD100" s="85" t="str">
        <f t="shared" si="13"/>
        <v/>
      </c>
    </row>
    <row r="101" spans="2:30" ht="15">
      <c r="B101" s="101" t="str">
        <f t="shared" si="34"/>
        <v xml:space="preserve">1v2              .  /    .        x     </v>
      </c>
      <c r="C101" s="87" t="str">
        <f>+TRIM(MID(B96,1,8))</f>
        <v>2m3</v>
      </c>
      <c r="D101" s="69" t="str">
        <f>+C101</f>
        <v>2m3</v>
      </c>
      <c r="E101" s="88">
        <f t="shared" si="23"/>
        <v>0</v>
      </c>
      <c r="F101" s="86">
        <f t="shared" si="24"/>
        <v>0</v>
      </c>
      <c r="G101" s="83">
        <f t="shared" si="25"/>
        <v>0</v>
      </c>
      <c r="H101" s="83" t="str">
        <f t="shared" si="26"/>
        <v>Spread</v>
      </c>
      <c r="I101" s="83" t="str">
        <f t="shared" si="27"/>
        <v>2M</v>
      </c>
      <c r="J101" s="83" t="str">
        <f t="shared" si="28"/>
        <v>3M</v>
      </c>
      <c r="K101" s="83" t="str">
        <f t="shared" si="29"/>
        <v/>
      </c>
      <c r="L101" s="85">
        <f t="shared" si="30"/>
        <v>2</v>
      </c>
      <c r="M101" s="85">
        <f t="shared" si="30"/>
        <v>3</v>
      </c>
      <c r="N101" s="85" t="str">
        <f t="shared" si="30"/>
        <v/>
      </c>
      <c r="O101" t="str">
        <f t="shared" si="31"/>
        <v>2M-3M</v>
      </c>
      <c r="P101" s="88">
        <f t="shared" si="32"/>
        <v>0</v>
      </c>
      <c r="Q101" s="88">
        <f t="shared" si="32"/>
        <v>0</v>
      </c>
      <c r="R101" s="85">
        <f t="shared" si="33"/>
        <v>2</v>
      </c>
      <c r="S101" s="85">
        <f t="shared" si="33"/>
        <v>3</v>
      </c>
      <c r="T101"/>
      <c r="U101"/>
      <c r="V101"/>
      <c r="W101" t="s">
        <v>232</v>
      </c>
      <c r="X101" s="120" t="s">
        <v>233</v>
      </c>
      <c r="Y101" s="83" t="str">
        <f t="shared" si="20"/>
        <v>10Y</v>
      </c>
      <c r="Z101" s="83" t="str">
        <f t="shared" si="11"/>
        <v>12Y</v>
      </c>
      <c r="AA101" s="83" t="str">
        <f t="shared" si="12"/>
        <v/>
      </c>
      <c r="AB101" s="85">
        <f t="shared" si="13"/>
        <v>130</v>
      </c>
      <c r="AC101" s="85">
        <f t="shared" si="13"/>
        <v>156</v>
      </c>
      <c r="AD101" s="85" t="str">
        <f t="shared" si="13"/>
        <v/>
      </c>
    </row>
    <row r="102" spans="2:30" ht="15">
      <c r="B102" s="101" t="str">
        <f t="shared" si="34"/>
        <v xml:space="preserve">1v3              .  /    .        x     </v>
      </c>
      <c r="C102" s="87" t="str">
        <f t="shared" si="21"/>
        <v>3v6</v>
      </c>
      <c r="D102" s="69" t="str">
        <f t="shared" si="22"/>
        <v>3v6</v>
      </c>
      <c r="E102" s="88">
        <f t="shared" si="23"/>
        <v>-11</v>
      </c>
      <c r="F102" s="86">
        <f t="shared" si="24"/>
        <v>0</v>
      </c>
      <c r="G102" s="83">
        <f t="shared" si="25"/>
        <v>0</v>
      </c>
      <c r="H102" s="83" t="str">
        <f t="shared" si="26"/>
        <v>Spread</v>
      </c>
      <c r="I102" s="83" t="str">
        <f t="shared" si="27"/>
        <v>3M</v>
      </c>
      <c r="J102" s="83" t="str">
        <f t="shared" si="28"/>
        <v>6M</v>
      </c>
      <c r="K102" s="83" t="str">
        <f t="shared" si="29"/>
        <v/>
      </c>
      <c r="L102" s="85">
        <f t="shared" si="30"/>
        <v>3</v>
      </c>
      <c r="M102" s="85">
        <f t="shared" si="30"/>
        <v>6</v>
      </c>
      <c r="N102" s="85" t="str">
        <f t="shared" si="30"/>
        <v/>
      </c>
      <c r="O102" t="str">
        <f t="shared" si="31"/>
        <v>3M-6M</v>
      </c>
      <c r="P102" s="88">
        <f t="shared" si="32"/>
        <v>-11</v>
      </c>
      <c r="Q102" s="88">
        <f t="shared" si="32"/>
        <v>0</v>
      </c>
      <c r="R102" s="85">
        <f t="shared" si="33"/>
        <v>3</v>
      </c>
      <c r="S102" s="85">
        <f t="shared" si="33"/>
        <v>6</v>
      </c>
      <c r="T102"/>
      <c r="U102"/>
      <c r="V102"/>
      <c r="W102" t="s">
        <v>234</v>
      </c>
      <c r="X102" s="120" t="s">
        <v>235</v>
      </c>
      <c r="Y102" s="83" t="str">
        <f t="shared" si="20"/>
        <v>10Y</v>
      </c>
      <c r="Z102" s="83" t="str">
        <f t="shared" si="11"/>
        <v>15Y</v>
      </c>
      <c r="AA102" s="83" t="str">
        <f t="shared" si="12"/>
        <v/>
      </c>
      <c r="AB102" s="85">
        <f t="shared" si="13"/>
        <v>130</v>
      </c>
      <c r="AC102" s="85">
        <f t="shared" si="13"/>
        <v>195</v>
      </c>
      <c r="AD102" s="85" t="str">
        <f t="shared" si="13"/>
        <v/>
      </c>
    </row>
    <row r="103" spans="2:30" ht="15">
      <c r="B103" s="101" t="str">
        <f t="shared" si="34"/>
        <v xml:space="preserve">2v3              .  / -68.00      x3    </v>
      </c>
      <c r="C103" s="87" t="str">
        <f t="shared" si="21"/>
        <v>6v9</v>
      </c>
      <c r="D103" s="69" t="str">
        <f t="shared" si="22"/>
        <v>6v9</v>
      </c>
      <c r="E103" s="88">
        <f t="shared" si="23"/>
        <v>0</v>
      </c>
      <c r="F103" s="86">
        <f t="shared" si="24"/>
        <v>0</v>
      </c>
      <c r="G103" s="83">
        <f t="shared" si="25"/>
        <v>0</v>
      </c>
      <c r="H103" s="83" t="str">
        <f t="shared" si="26"/>
        <v>Spread</v>
      </c>
      <c r="I103" s="83" t="str">
        <f t="shared" si="27"/>
        <v>6M</v>
      </c>
      <c r="J103" s="83" t="str">
        <f t="shared" si="28"/>
        <v>9M</v>
      </c>
      <c r="K103" s="83" t="str">
        <f t="shared" si="29"/>
        <v/>
      </c>
      <c r="L103" s="85">
        <f t="shared" si="30"/>
        <v>6</v>
      </c>
      <c r="M103" s="85">
        <f t="shared" si="30"/>
        <v>9</v>
      </c>
      <c r="N103" s="85" t="str">
        <f t="shared" si="30"/>
        <v/>
      </c>
      <c r="O103" t="str">
        <f t="shared" si="31"/>
        <v>6M-9M</v>
      </c>
      <c r="P103" s="88">
        <f t="shared" si="32"/>
        <v>0</v>
      </c>
      <c r="Q103" s="88">
        <f t="shared" si="32"/>
        <v>0</v>
      </c>
      <c r="R103" s="85">
        <f t="shared" si="33"/>
        <v>6</v>
      </c>
      <c r="S103" s="85">
        <f t="shared" si="33"/>
        <v>9</v>
      </c>
      <c r="T103"/>
      <c r="U103"/>
      <c r="V103"/>
      <c r="W103" t="s">
        <v>236</v>
      </c>
      <c r="X103" s="120" t="s">
        <v>237</v>
      </c>
      <c r="Y103" s="83" t="str">
        <f t="shared" si="20"/>
        <v>12Y</v>
      </c>
      <c r="Z103" s="83" t="str">
        <f t="shared" si="11"/>
        <v>15Y</v>
      </c>
      <c r="AA103" s="83" t="str">
        <f t="shared" si="12"/>
        <v/>
      </c>
      <c r="AB103" s="85">
        <f t="shared" si="13"/>
        <v>156</v>
      </c>
      <c r="AC103" s="85">
        <f t="shared" si="13"/>
        <v>195</v>
      </c>
      <c r="AD103" s="85" t="str">
        <f t="shared" si="13"/>
        <v/>
      </c>
    </row>
    <row r="104" spans="2:30" ht="15">
      <c r="B104" s="101" t="str">
        <f t="shared" si="34"/>
        <v xml:space="preserve">2v4              .  /    .        x     </v>
      </c>
      <c r="C104" s="87" t="str">
        <f t="shared" si="21"/>
        <v>6v1</v>
      </c>
      <c r="D104" s="69" t="str">
        <f t="shared" si="22"/>
        <v>6v1</v>
      </c>
      <c r="E104" s="88">
        <f t="shared" si="23"/>
        <v>0</v>
      </c>
      <c r="F104" s="86">
        <f t="shared" si="24"/>
        <v>0</v>
      </c>
      <c r="G104" s="83">
        <f t="shared" si="25"/>
        <v>0</v>
      </c>
      <c r="H104" s="83" t="str">
        <f t="shared" si="26"/>
        <v>Spread</v>
      </c>
      <c r="I104" s="83" t="str">
        <f t="shared" si="27"/>
        <v>6Y</v>
      </c>
      <c r="J104" s="83" t="str">
        <f t="shared" si="28"/>
        <v>1Y</v>
      </c>
      <c r="K104" s="83" t="str">
        <f t="shared" si="29"/>
        <v/>
      </c>
      <c r="L104" s="85">
        <f t="shared" si="30"/>
        <v>78</v>
      </c>
      <c r="M104" s="85">
        <f t="shared" si="30"/>
        <v>13</v>
      </c>
      <c r="N104" s="85" t="str">
        <f t="shared" si="30"/>
        <v/>
      </c>
      <c r="O104" t="str">
        <f t="shared" si="31"/>
        <v>6Y-1Y</v>
      </c>
      <c r="P104" s="88">
        <f t="shared" si="32"/>
        <v>0</v>
      </c>
      <c r="Q104" s="88">
        <f t="shared" si="32"/>
        <v>0</v>
      </c>
      <c r="R104" s="85">
        <f t="shared" si="33"/>
        <v>78</v>
      </c>
      <c r="S104" s="85">
        <f t="shared" si="33"/>
        <v>13</v>
      </c>
      <c r="T104"/>
      <c r="U104"/>
      <c r="V104"/>
      <c r="W104" t="s">
        <v>238</v>
      </c>
      <c r="X104" s="120" t="s">
        <v>239</v>
      </c>
      <c r="Y104" s="83" t="str">
        <f t="shared" si="20"/>
        <v>15Y</v>
      </c>
      <c r="Z104" s="83" t="str">
        <f t="shared" si="11"/>
        <v>20Y</v>
      </c>
      <c r="AA104" s="83" t="str">
        <f t="shared" si="12"/>
        <v/>
      </c>
      <c r="AB104" s="85">
        <f t="shared" si="13"/>
        <v>195</v>
      </c>
      <c r="AC104" s="85">
        <f t="shared" si="13"/>
        <v>260</v>
      </c>
      <c r="AD104" s="85" t="str">
        <f t="shared" si="13"/>
        <v/>
      </c>
    </row>
    <row r="105" spans="2:30" ht="15">
      <c r="B105" s="101" t="str">
        <f t="shared" si="34"/>
        <v xml:space="preserve">2v5              .  /    .        x     </v>
      </c>
      <c r="C105" s="87" t="str">
        <f t="shared" si="21"/>
        <v>9v1</v>
      </c>
      <c r="D105" s="69" t="str">
        <f t="shared" si="22"/>
        <v>9v1</v>
      </c>
      <c r="E105" s="88">
        <f t="shared" si="23"/>
        <v>-37</v>
      </c>
      <c r="F105" s="86">
        <f t="shared" si="24"/>
        <v>-35</v>
      </c>
      <c r="G105" s="83">
        <f t="shared" si="25"/>
        <v>0</v>
      </c>
      <c r="H105" s="83" t="str">
        <f t="shared" si="26"/>
        <v>Spread</v>
      </c>
      <c r="I105" s="83" t="str">
        <f t="shared" si="27"/>
        <v>9M</v>
      </c>
      <c r="J105" s="83" t="str">
        <f t="shared" si="28"/>
        <v>1Y</v>
      </c>
      <c r="K105" s="83" t="str">
        <f t="shared" si="29"/>
        <v/>
      </c>
      <c r="L105" s="85">
        <f t="shared" si="30"/>
        <v>9</v>
      </c>
      <c r="M105" s="85">
        <f t="shared" si="30"/>
        <v>13</v>
      </c>
      <c r="N105" s="85" t="str">
        <f t="shared" si="30"/>
        <v/>
      </c>
      <c r="O105" t="str">
        <f t="shared" si="31"/>
        <v>9M-1Y</v>
      </c>
      <c r="P105" s="88">
        <f t="shared" si="32"/>
        <v>-37</v>
      </c>
      <c r="Q105" s="88">
        <f t="shared" si="32"/>
        <v>-35</v>
      </c>
      <c r="R105" s="85">
        <f t="shared" si="33"/>
        <v>9</v>
      </c>
      <c r="S105" s="85">
        <f t="shared" si="33"/>
        <v>13</v>
      </c>
      <c r="T105"/>
      <c r="U105"/>
      <c r="V105"/>
      <c r="W105" t="s">
        <v>240</v>
      </c>
      <c r="X105" s="120" t="s">
        <v>241</v>
      </c>
      <c r="Y105" s="83" t="str">
        <f t="shared" si="20"/>
        <v>4Y</v>
      </c>
      <c r="Z105" s="83" t="str">
        <f t="shared" si="11"/>
        <v>5Y</v>
      </c>
      <c r="AA105" s="83" t="str">
        <f t="shared" si="12"/>
        <v>7Y</v>
      </c>
      <c r="AB105" s="85">
        <f t="shared" si="13"/>
        <v>52</v>
      </c>
      <c r="AC105" s="85">
        <f t="shared" si="13"/>
        <v>65</v>
      </c>
      <c r="AD105" s="85">
        <f t="shared" si="13"/>
        <v>91</v>
      </c>
    </row>
    <row r="106" spans="2:30" ht="15">
      <c r="B106" s="101" t="str">
        <f t="shared" si="34"/>
        <v xml:space="preserve">2v10             .  /    .        x     </v>
      </c>
      <c r="C106" s="87" t="str">
        <f t="shared" si="21"/>
        <v>1v2</v>
      </c>
      <c r="D106" s="69" t="str">
        <f t="shared" si="22"/>
        <v>1v2</v>
      </c>
      <c r="E106" s="88">
        <f t="shared" si="23"/>
        <v>0</v>
      </c>
      <c r="F106" s="86">
        <f t="shared" si="24"/>
        <v>0</v>
      </c>
      <c r="G106" s="83">
        <f t="shared" si="25"/>
        <v>0</v>
      </c>
      <c r="H106" s="83" t="str">
        <f t="shared" si="26"/>
        <v>Spread</v>
      </c>
      <c r="I106" s="83" t="str">
        <f t="shared" si="27"/>
        <v>1Y</v>
      </c>
      <c r="J106" s="83" t="str">
        <f t="shared" si="28"/>
        <v>2Y</v>
      </c>
      <c r="K106" s="83" t="str">
        <f t="shared" si="29"/>
        <v/>
      </c>
      <c r="L106" s="85">
        <f t="shared" si="30"/>
        <v>13</v>
      </c>
      <c r="M106" s="85">
        <f t="shared" si="30"/>
        <v>26</v>
      </c>
      <c r="N106" s="85" t="str">
        <f t="shared" si="30"/>
        <v/>
      </c>
      <c r="O106" t="str">
        <f t="shared" si="31"/>
        <v>1Y-2Y</v>
      </c>
      <c r="P106" s="88">
        <f t="shared" si="32"/>
        <v>0</v>
      </c>
      <c r="Q106" s="88">
        <f t="shared" si="32"/>
        <v>0</v>
      </c>
      <c r="R106" s="85">
        <f t="shared" si="33"/>
        <v>13</v>
      </c>
      <c r="S106" s="85">
        <f t="shared" si="33"/>
        <v>26</v>
      </c>
      <c r="T106"/>
      <c r="U106"/>
      <c r="V106"/>
      <c r="W106" t="s">
        <v>242</v>
      </c>
      <c r="X106" s="120" t="s">
        <v>269</v>
      </c>
      <c r="Y106" s="83" t="str">
        <f t="shared" si="20"/>
        <v>2M</v>
      </c>
      <c r="Z106" s="83" t="str">
        <f t="shared" si="11"/>
        <v>3M</v>
      </c>
      <c r="AA106" s="83" t="str">
        <f t="shared" si="12"/>
        <v/>
      </c>
      <c r="AB106" s="85">
        <f t="shared" si="13"/>
        <v>2</v>
      </c>
      <c r="AC106" s="85">
        <f t="shared" si="13"/>
        <v>3</v>
      </c>
      <c r="AD106" s="85" t="str">
        <f t="shared" si="13"/>
        <v/>
      </c>
    </row>
    <row r="107" spans="2:30" ht="15">
      <c r="B107" s="101" t="str">
        <f t="shared" si="34"/>
        <v xml:space="preserve">3v4              .  /    .        x     </v>
      </c>
      <c r="C107" s="87" t="str">
        <f t="shared" si="21"/>
        <v>1v3</v>
      </c>
      <c r="D107" s="69" t="str">
        <f t="shared" si="22"/>
        <v>1v3</v>
      </c>
      <c r="E107" s="88">
        <f t="shared" si="23"/>
        <v>0</v>
      </c>
      <c r="F107" s="86">
        <f t="shared" si="24"/>
        <v>0</v>
      </c>
      <c r="G107" s="83">
        <f t="shared" si="25"/>
        <v>0</v>
      </c>
      <c r="H107" s="83" t="str">
        <f t="shared" si="26"/>
        <v>Spread</v>
      </c>
      <c r="I107" s="83" t="str">
        <f t="shared" si="27"/>
        <v>1Y</v>
      </c>
      <c r="J107" s="83" t="str">
        <f t="shared" si="28"/>
        <v>3Y</v>
      </c>
      <c r="K107" s="83" t="str">
        <f t="shared" si="29"/>
        <v/>
      </c>
      <c r="L107" s="85">
        <f t="shared" si="30"/>
        <v>13</v>
      </c>
      <c r="M107" s="85">
        <f t="shared" si="30"/>
        <v>39</v>
      </c>
      <c r="N107" s="85" t="str">
        <f t="shared" si="30"/>
        <v/>
      </c>
      <c r="O107" t="str">
        <f t="shared" si="31"/>
        <v>1Y-3Y</v>
      </c>
      <c r="P107" s="88">
        <f t="shared" si="32"/>
        <v>0</v>
      </c>
      <c r="Q107" s="88">
        <f t="shared" si="32"/>
        <v>0</v>
      </c>
      <c r="R107" s="85">
        <f t="shared" si="33"/>
        <v>13</v>
      </c>
      <c r="S107" s="85">
        <f t="shared" si="33"/>
        <v>39</v>
      </c>
      <c r="T107"/>
      <c r="U107"/>
      <c r="V107"/>
      <c r="W107" t="s">
        <v>243</v>
      </c>
      <c r="X107" s="120" t="s">
        <v>244</v>
      </c>
      <c r="Y107" s="83" t="str">
        <f t="shared" si="20"/>
        <v>6Y</v>
      </c>
      <c r="Z107" s="83" t="str">
        <f t="shared" si="11"/>
        <v>1Y</v>
      </c>
      <c r="AA107" s="83" t="str">
        <f t="shared" si="12"/>
        <v/>
      </c>
      <c r="AB107" s="85">
        <f t="shared" si="13"/>
        <v>78</v>
      </c>
      <c r="AC107" s="85">
        <f t="shared" si="13"/>
        <v>13</v>
      </c>
      <c r="AD107" s="85" t="str">
        <f t="shared" si="13"/>
        <v/>
      </c>
    </row>
    <row r="108" spans="2:30" ht="15">
      <c r="B108" s="101" t="str">
        <f t="shared" si="34"/>
        <v xml:space="preserve">3v5              .  /    .        x     </v>
      </c>
      <c r="C108" s="87" t="str">
        <f t="shared" si="21"/>
        <v>2v3</v>
      </c>
      <c r="D108" s="69" t="str">
        <f t="shared" si="22"/>
        <v>2v3</v>
      </c>
      <c r="E108" s="88">
        <f t="shared" si="23"/>
        <v>0</v>
      </c>
      <c r="F108" s="86">
        <f t="shared" si="24"/>
        <v>-68</v>
      </c>
      <c r="G108" s="83">
        <f t="shared" si="25"/>
        <v>0</v>
      </c>
      <c r="H108" s="83" t="str">
        <f t="shared" si="26"/>
        <v>Spread</v>
      </c>
      <c r="I108" s="83" t="str">
        <f t="shared" si="27"/>
        <v>2Y</v>
      </c>
      <c r="J108" s="83" t="str">
        <f t="shared" si="28"/>
        <v>3Y</v>
      </c>
      <c r="K108" s="83" t="str">
        <f t="shared" si="29"/>
        <v/>
      </c>
      <c r="L108" s="85">
        <f t="shared" si="30"/>
        <v>26</v>
      </c>
      <c r="M108" s="85">
        <f t="shared" si="30"/>
        <v>39</v>
      </c>
      <c r="N108" s="85" t="str">
        <f t="shared" si="30"/>
        <v/>
      </c>
      <c r="O108" t="str">
        <f t="shared" si="31"/>
        <v>2Y-3Y</v>
      </c>
      <c r="P108" s="88">
        <f t="shared" si="32"/>
        <v>0</v>
      </c>
      <c r="Q108" s="88">
        <f t="shared" si="32"/>
        <v>-68</v>
      </c>
      <c r="R108" s="85">
        <f t="shared" si="33"/>
        <v>26</v>
      </c>
      <c r="S108" s="85">
        <f t="shared" si="33"/>
        <v>39</v>
      </c>
      <c r="T108"/>
      <c r="U108"/>
      <c r="V108"/>
      <c r="W108" t="s">
        <v>314</v>
      </c>
      <c r="X108" s="120" t="s">
        <v>315</v>
      </c>
      <c r="Y108" s="83" t="str">
        <f t="shared" si="20"/>
        <v>8Y</v>
      </c>
      <c r="Z108" s="83" t="str">
        <f t="shared" si="11"/>
        <v>9Y</v>
      </c>
      <c r="AA108" s="83" t="str">
        <f t="shared" si="12"/>
        <v>10Y</v>
      </c>
      <c r="AB108" s="85">
        <f t="shared" si="13"/>
        <v>104</v>
      </c>
      <c r="AC108" s="85">
        <f t="shared" si="13"/>
        <v>117</v>
      </c>
      <c r="AD108" s="85">
        <f t="shared" si="13"/>
        <v>130</v>
      </c>
    </row>
    <row r="109" spans="2:30" ht="15">
      <c r="B109" s="101" t="str">
        <f t="shared" si="34"/>
        <v xml:space="preserve">4v5              .  /    .        x     </v>
      </c>
      <c r="C109" s="87" t="str">
        <f t="shared" si="21"/>
        <v>2v4</v>
      </c>
      <c r="D109" s="69" t="str">
        <f t="shared" si="22"/>
        <v>2v4</v>
      </c>
      <c r="E109" s="88">
        <f t="shared" si="23"/>
        <v>0</v>
      </c>
      <c r="F109" s="86">
        <f t="shared" si="24"/>
        <v>0</v>
      </c>
      <c r="G109" s="83">
        <f t="shared" si="25"/>
        <v>0</v>
      </c>
      <c r="H109" s="83" t="str">
        <f t="shared" si="26"/>
        <v>Spread</v>
      </c>
      <c r="I109" s="83" t="str">
        <f t="shared" si="27"/>
        <v>2Y</v>
      </c>
      <c r="J109" s="83" t="str">
        <f t="shared" si="28"/>
        <v>4Y</v>
      </c>
      <c r="K109" s="83" t="str">
        <f t="shared" si="29"/>
        <v/>
      </c>
      <c r="L109" s="85">
        <f t="shared" si="30"/>
        <v>26</v>
      </c>
      <c r="M109" s="85">
        <f t="shared" si="30"/>
        <v>52</v>
      </c>
      <c r="N109" s="85" t="str">
        <f t="shared" si="30"/>
        <v/>
      </c>
      <c r="O109" t="str">
        <f t="shared" si="31"/>
        <v>2Y-4Y</v>
      </c>
      <c r="P109" s="88">
        <f t="shared" ref="P109:Q123" si="35">+E109</f>
        <v>0</v>
      </c>
      <c r="Q109" s="88">
        <f t="shared" si="35"/>
        <v>0</v>
      </c>
      <c r="R109" s="85">
        <f t="shared" si="33"/>
        <v>26</v>
      </c>
      <c r="S109" s="85">
        <f t="shared" si="33"/>
        <v>52</v>
      </c>
      <c r="T109"/>
      <c r="U109"/>
      <c r="V109"/>
      <c r="W109" t="s">
        <v>316</v>
      </c>
      <c r="X109" s="120" t="s">
        <v>317</v>
      </c>
      <c r="Y109" s="83" t="str">
        <f t="shared" si="20"/>
        <v>10Y</v>
      </c>
      <c r="Z109" s="83" t="str">
        <f t="shared" si="11"/>
        <v>20Y</v>
      </c>
      <c r="AA109" s="83" t="str">
        <f t="shared" si="12"/>
        <v/>
      </c>
      <c r="AB109" s="85">
        <f t="shared" si="13"/>
        <v>130</v>
      </c>
      <c r="AC109" s="85">
        <f t="shared" si="13"/>
        <v>260</v>
      </c>
      <c r="AD109" s="85" t="str">
        <f t="shared" si="13"/>
        <v/>
      </c>
    </row>
    <row r="110" spans="2:30" ht="15">
      <c r="B110" s="101" t="str">
        <f t="shared" si="34"/>
        <v xml:space="preserve">5v6              .  /    .        x     </v>
      </c>
      <c r="C110" s="87" t="str">
        <f t="shared" si="21"/>
        <v>2v5</v>
      </c>
      <c r="D110" s="69" t="str">
        <f t="shared" si="22"/>
        <v>2v5</v>
      </c>
      <c r="E110" s="88">
        <f t="shared" si="23"/>
        <v>0</v>
      </c>
      <c r="F110" s="86">
        <f t="shared" si="24"/>
        <v>0</v>
      </c>
      <c r="G110" s="83">
        <f t="shared" si="25"/>
        <v>0</v>
      </c>
      <c r="H110" s="83" t="str">
        <f t="shared" si="26"/>
        <v>Spread</v>
      </c>
      <c r="I110" s="83" t="str">
        <f t="shared" si="27"/>
        <v>2Y</v>
      </c>
      <c r="J110" s="83" t="str">
        <f t="shared" si="28"/>
        <v>5Y</v>
      </c>
      <c r="K110" s="83" t="str">
        <f t="shared" si="29"/>
        <v/>
      </c>
      <c r="L110" s="85">
        <f t="shared" si="30"/>
        <v>26</v>
      </c>
      <c r="M110" s="85">
        <f t="shared" si="30"/>
        <v>65</v>
      </c>
      <c r="N110" s="85" t="str">
        <f t="shared" si="30"/>
        <v/>
      </c>
      <c r="O110" t="str">
        <f t="shared" si="31"/>
        <v>2Y-5Y</v>
      </c>
      <c r="P110" s="88">
        <f t="shared" si="35"/>
        <v>0</v>
      </c>
      <c r="Q110" s="88">
        <f t="shared" si="35"/>
        <v>0</v>
      </c>
      <c r="R110" s="85">
        <f t="shared" si="33"/>
        <v>26</v>
      </c>
      <c r="S110" s="85">
        <f t="shared" si="33"/>
        <v>65</v>
      </c>
      <c r="T110"/>
      <c r="U110"/>
      <c r="V110"/>
      <c r="W110" t="s">
        <v>319</v>
      </c>
      <c r="X110" s="120" t="s">
        <v>269</v>
      </c>
      <c r="Y110" s="83" t="str">
        <f t="shared" si="20"/>
        <v>2M</v>
      </c>
      <c r="Z110" s="83" t="str">
        <f t="shared" si="11"/>
        <v>3M</v>
      </c>
      <c r="AA110" s="83" t="str">
        <f t="shared" si="12"/>
        <v/>
      </c>
      <c r="AB110" s="85">
        <f t="shared" si="13"/>
        <v>2</v>
      </c>
      <c r="AC110" s="85">
        <f t="shared" si="13"/>
        <v>3</v>
      </c>
      <c r="AD110" s="85" t="str">
        <f t="shared" si="13"/>
        <v/>
      </c>
    </row>
    <row r="111" spans="2:30" ht="15">
      <c r="B111" s="101" t="str">
        <f t="shared" si="34"/>
        <v xml:space="preserve">5v7              .  /    .        x     </v>
      </c>
      <c r="C111" s="87" t="str">
        <f t="shared" si="21"/>
        <v>2v10</v>
      </c>
      <c r="D111" s="69" t="str">
        <f t="shared" si="22"/>
        <v>2v10</v>
      </c>
      <c r="E111" s="88">
        <f t="shared" si="23"/>
        <v>0</v>
      </c>
      <c r="F111" s="86">
        <f t="shared" si="24"/>
        <v>0</v>
      </c>
      <c r="G111" s="83">
        <f t="shared" si="25"/>
        <v>0</v>
      </c>
      <c r="H111" s="83" t="str">
        <f t="shared" si="26"/>
        <v>Spread</v>
      </c>
      <c r="I111" s="83" t="str">
        <f t="shared" si="27"/>
        <v>2Y</v>
      </c>
      <c r="J111" s="83" t="str">
        <f t="shared" si="28"/>
        <v>10Y</v>
      </c>
      <c r="K111" s="83" t="str">
        <f t="shared" si="29"/>
        <v/>
      </c>
      <c r="L111" s="85">
        <f t="shared" si="30"/>
        <v>26</v>
      </c>
      <c r="M111" s="85">
        <f t="shared" si="30"/>
        <v>130</v>
      </c>
      <c r="N111" s="85" t="str">
        <f t="shared" si="30"/>
        <v/>
      </c>
      <c r="O111" t="str">
        <f t="shared" si="31"/>
        <v>2Y-10Y</v>
      </c>
      <c r="P111" s="88">
        <f t="shared" si="35"/>
        <v>0</v>
      </c>
      <c r="Q111" s="88">
        <f t="shared" si="35"/>
        <v>0</v>
      </c>
      <c r="R111" s="85">
        <f t="shared" si="33"/>
        <v>26</v>
      </c>
      <c r="S111" s="85">
        <f t="shared" si="33"/>
        <v>130</v>
      </c>
      <c r="T111"/>
      <c r="U111"/>
      <c r="V111"/>
      <c r="W111" t="s">
        <v>414</v>
      </c>
      <c r="X111" s="120" t="s">
        <v>415</v>
      </c>
      <c r="Y111" s="83" t="str">
        <f t="shared" si="20"/>
        <v>2Y</v>
      </c>
      <c r="Z111" s="83" t="str">
        <f t="shared" si="11"/>
        <v>3Y</v>
      </c>
      <c r="AA111" s="83" t="str">
        <f t="shared" si="12"/>
        <v>5Y</v>
      </c>
      <c r="AB111" s="85">
        <f t="shared" si="13"/>
        <v>26</v>
      </c>
      <c r="AC111" s="85">
        <f t="shared" si="13"/>
        <v>39</v>
      </c>
      <c r="AD111" s="85">
        <f t="shared" si="13"/>
        <v>65</v>
      </c>
    </row>
    <row r="112" spans="2:30" ht="15">
      <c r="B112" s="101" t="str">
        <f t="shared" si="34"/>
        <v xml:space="preserve">5v10             .  /    .        x     </v>
      </c>
      <c r="C112" s="87" t="str">
        <f t="shared" si="21"/>
        <v>3v4</v>
      </c>
      <c r="D112" s="69" t="str">
        <f t="shared" si="22"/>
        <v>3v4</v>
      </c>
      <c r="E112" s="88">
        <f t="shared" si="23"/>
        <v>0</v>
      </c>
      <c r="F112" s="86">
        <f t="shared" si="24"/>
        <v>0</v>
      </c>
      <c r="G112" s="83">
        <f t="shared" si="25"/>
        <v>0</v>
      </c>
      <c r="H112" s="83" t="str">
        <f t="shared" si="26"/>
        <v>Spread</v>
      </c>
      <c r="I112" s="83" t="str">
        <f t="shared" si="27"/>
        <v>3Y</v>
      </c>
      <c r="J112" s="83" t="str">
        <f t="shared" si="28"/>
        <v>4Y</v>
      </c>
      <c r="K112" s="83" t="str">
        <f t="shared" si="29"/>
        <v/>
      </c>
      <c r="L112" s="85">
        <f t="shared" si="30"/>
        <v>39</v>
      </c>
      <c r="M112" s="85">
        <f t="shared" si="30"/>
        <v>52</v>
      </c>
      <c r="N112" s="85" t="str">
        <f t="shared" si="30"/>
        <v/>
      </c>
      <c r="O112" t="str">
        <f t="shared" si="31"/>
        <v>3Y-4Y</v>
      </c>
      <c r="P112" s="88">
        <f t="shared" si="35"/>
        <v>0</v>
      </c>
      <c r="Q112" s="88">
        <f t="shared" si="35"/>
        <v>0</v>
      </c>
      <c r="R112" s="85">
        <f t="shared" si="33"/>
        <v>39</v>
      </c>
      <c r="S112" s="85">
        <f t="shared" si="33"/>
        <v>52</v>
      </c>
      <c r="T112"/>
      <c r="U112"/>
      <c r="V112"/>
      <c r="W112" t="s">
        <v>416</v>
      </c>
      <c r="X112" s="120" t="s">
        <v>417</v>
      </c>
      <c r="Y112" s="83" t="str">
        <f t="shared" si="20"/>
        <v>5Y</v>
      </c>
      <c r="Z112" s="83" t="str">
        <f t="shared" si="11"/>
        <v>6Y</v>
      </c>
      <c r="AA112" s="83" t="str">
        <f t="shared" si="12"/>
        <v>7Y</v>
      </c>
      <c r="AB112" s="85">
        <f t="shared" si="13"/>
        <v>65</v>
      </c>
      <c r="AC112" s="85">
        <f t="shared" si="13"/>
        <v>78</v>
      </c>
      <c r="AD112" s="85">
        <f t="shared" si="13"/>
        <v>91</v>
      </c>
    </row>
    <row r="113" spans="2:30" ht="15">
      <c r="B113" s="101" t="str">
        <f t="shared" si="34"/>
        <v xml:space="preserve">6v7              .  /    .        x     </v>
      </c>
      <c r="C113" s="87" t="str">
        <f t="shared" si="21"/>
        <v>3v5</v>
      </c>
      <c r="D113" s="69" t="str">
        <f t="shared" si="22"/>
        <v>3v5</v>
      </c>
      <c r="E113" s="88">
        <f t="shared" si="23"/>
        <v>0</v>
      </c>
      <c r="F113" s="86">
        <f t="shared" si="24"/>
        <v>0</v>
      </c>
      <c r="G113" s="83">
        <f t="shared" si="25"/>
        <v>0</v>
      </c>
      <c r="H113" s="83" t="str">
        <f t="shared" si="26"/>
        <v>Spread</v>
      </c>
      <c r="I113" s="83" t="str">
        <f t="shared" si="27"/>
        <v>3Y</v>
      </c>
      <c r="J113" s="83" t="str">
        <f t="shared" si="28"/>
        <v>5Y</v>
      </c>
      <c r="K113" s="83" t="str">
        <f t="shared" si="29"/>
        <v/>
      </c>
      <c r="L113" s="85">
        <f t="shared" si="30"/>
        <v>39</v>
      </c>
      <c r="M113" s="85">
        <f t="shared" si="30"/>
        <v>65</v>
      </c>
      <c r="N113" s="85" t="str">
        <f t="shared" si="30"/>
        <v/>
      </c>
      <c r="O113" t="str">
        <f t="shared" si="31"/>
        <v>3Y-5Y</v>
      </c>
      <c r="P113" s="88">
        <f t="shared" si="35"/>
        <v>0</v>
      </c>
      <c r="Q113" s="88">
        <f t="shared" si="35"/>
        <v>0</v>
      </c>
      <c r="R113" s="85">
        <f t="shared" ref="R113:S123" si="36">+L113</f>
        <v>39</v>
      </c>
      <c r="S113" s="85">
        <f t="shared" si="36"/>
        <v>65</v>
      </c>
      <c r="T113"/>
      <c r="U113"/>
      <c r="V113"/>
      <c r="W113" t="s">
        <v>459</v>
      </c>
      <c r="X113" s="120" t="s">
        <v>460</v>
      </c>
      <c r="Y113" s="83" t="str">
        <f t="shared" si="20"/>
        <v>12Y</v>
      </c>
      <c r="Z113" s="83" t="str">
        <f t="shared" si="11"/>
        <v>15Y</v>
      </c>
      <c r="AA113" s="83" t="s">
        <v>461</v>
      </c>
      <c r="AB113" s="85">
        <f t="shared" si="13"/>
        <v>156</v>
      </c>
      <c r="AC113" s="85">
        <f t="shared" si="13"/>
        <v>195</v>
      </c>
      <c r="AD113" s="85">
        <f>+IFERROR(IF(IFERROR(FIND("M",AA113)&gt;0,FALSE),_xlfn.NUMBERVALUE(MID(AA113,1,LEN(AA113)-1)),MID(AA113,1,LEN(AA113)-1)*13),"")</f>
        <v>260</v>
      </c>
    </row>
    <row r="114" spans="2:30" ht="15">
      <c r="B114" s="101" t="str">
        <f t="shared" si="34"/>
        <v xml:space="preserve">7v10             .  /    .        x     </v>
      </c>
      <c r="C114" s="87" t="str">
        <f t="shared" si="21"/>
        <v>4v5</v>
      </c>
      <c r="D114" s="69" t="str">
        <f t="shared" si="22"/>
        <v>4v5</v>
      </c>
      <c r="E114" s="88">
        <f t="shared" si="23"/>
        <v>0</v>
      </c>
      <c r="F114" s="86">
        <f t="shared" si="24"/>
        <v>0</v>
      </c>
      <c r="G114" s="83">
        <f t="shared" si="25"/>
        <v>0</v>
      </c>
      <c r="H114" s="83" t="str">
        <f t="shared" si="26"/>
        <v>Spread</v>
      </c>
      <c r="I114" s="83" t="str">
        <f t="shared" si="27"/>
        <v>4Y</v>
      </c>
      <c r="J114" s="83" t="str">
        <f t="shared" si="28"/>
        <v>5Y</v>
      </c>
      <c r="K114" s="83" t="str">
        <f t="shared" si="29"/>
        <v/>
      </c>
      <c r="L114" s="85">
        <f t="shared" si="30"/>
        <v>52</v>
      </c>
      <c r="M114" s="85">
        <f t="shared" si="30"/>
        <v>65</v>
      </c>
      <c r="N114" s="85" t="str">
        <f t="shared" si="30"/>
        <v/>
      </c>
      <c r="O114" t="str">
        <f t="shared" si="31"/>
        <v>4Y-5Y</v>
      </c>
      <c r="P114" s="88">
        <f t="shared" si="35"/>
        <v>0</v>
      </c>
      <c r="Q114" s="88">
        <f t="shared" si="35"/>
        <v>0</v>
      </c>
      <c r="R114" s="85">
        <f t="shared" si="36"/>
        <v>52</v>
      </c>
      <c r="S114" s="85">
        <f t="shared" si="36"/>
        <v>65</v>
      </c>
      <c r="T114"/>
      <c r="U114"/>
      <c r="V114"/>
      <c r="W114"/>
      <c r="X114"/>
      <c r="Y114"/>
      <c r="Z114"/>
      <c r="AA114"/>
      <c r="AB114"/>
      <c r="AC114"/>
      <c r="AD114"/>
    </row>
    <row r="115" spans="2:30" ht="15">
      <c r="B115" s="101" t="str">
        <f t="shared" si="34"/>
        <v xml:space="preserve">9v10             .  /    .        x     </v>
      </c>
      <c r="C115" s="87" t="str">
        <f t="shared" si="21"/>
        <v>5v6</v>
      </c>
      <c r="D115" s="69" t="str">
        <f t="shared" si="22"/>
        <v>5v6</v>
      </c>
      <c r="E115" s="88">
        <f t="shared" si="23"/>
        <v>0</v>
      </c>
      <c r="F115" s="86">
        <f t="shared" si="24"/>
        <v>0</v>
      </c>
      <c r="G115" s="83">
        <f t="shared" si="25"/>
        <v>0</v>
      </c>
      <c r="H115" s="83" t="str">
        <f t="shared" si="26"/>
        <v>Spread</v>
      </c>
      <c r="I115" s="83" t="str">
        <f t="shared" si="27"/>
        <v>5Y</v>
      </c>
      <c r="J115" s="83" t="str">
        <f t="shared" si="28"/>
        <v>6Y</v>
      </c>
      <c r="K115" s="83" t="str">
        <f t="shared" si="29"/>
        <v/>
      </c>
      <c r="L115" s="85">
        <f t="shared" si="30"/>
        <v>65</v>
      </c>
      <c r="M115" s="85">
        <f t="shared" si="30"/>
        <v>78</v>
      </c>
      <c r="N115" s="85" t="str">
        <f t="shared" si="30"/>
        <v/>
      </c>
      <c r="O115" t="str">
        <f t="shared" si="31"/>
        <v>5Y-6Y</v>
      </c>
      <c r="P115" s="88">
        <f t="shared" si="35"/>
        <v>0</v>
      </c>
      <c r="Q115" s="88">
        <f t="shared" si="35"/>
        <v>0</v>
      </c>
      <c r="R115" s="85">
        <f t="shared" si="36"/>
        <v>65</v>
      </c>
      <c r="S115" s="85">
        <f t="shared" si="36"/>
        <v>78</v>
      </c>
      <c r="T115"/>
      <c r="U115"/>
      <c r="V115"/>
      <c r="W115"/>
      <c r="X115"/>
      <c r="Y115"/>
      <c r="Z115"/>
      <c r="AA115"/>
      <c r="AB115"/>
      <c r="AC115"/>
      <c r="AD115"/>
    </row>
    <row r="116" spans="2:30" ht="15">
      <c r="B116" s="101" t="str">
        <f t="shared" si="34"/>
        <v xml:space="preserve">10v12            .  /    .        x     </v>
      </c>
      <c r="C116" s="87" t="str">
        <f t="shared" si="21"/>
        <v>5v7</v>
      </c>
      <c r="D116" s="69" t="str">
        <f t="shared" si="22"/>
        <v>5v7</v>
      </c>
      <c r="E116" s="88">
        <f t="shared" si="23"/>
        <v>0</v>
      </c>
      <c r="F116" s="86">
        <f t="shared" si="24"/>
        <v>0</v>
      </c>
      <c r="G116" s="83">
        <f t="shared" si="25"/>
        <v>0</v>
      </c>
      <c r="H116" s="83" t="str">
        <f t="shared" si="26"/>
        <v>Spread</v>
      </c>
      <c r="I116" s="83" t="str">
        <f t="shared" si="27"/>
        <v>5Y</v>
      </c>
      <c r="J116" s="83" t="str">
        <f t="shared" si="28"/>
        <v>7Y</v>
      </c>
      <c r="K116" s="83" t="str">
        <f t="shared" si="29"/>
        <v/>
      </c>
      <c r="L116" s="85">
        <f t="shared" si="30"/>
        <v>65</v>
      </c>
      <c r="M116" s="85">
        <f t="shared" si="30"/>
        <v>91</v>
      </c>
      <c r="N116" s="85" t="str">
        <f t="shared" si="30"/>
        <v/>
      </c>
      <c r="O116" t="str">
        <f t="shared" si="31"/>
        <v>5Y-7Y</v>
      </c>
      <c r="P116" s="88">
        <f t="shared" si="35"/>
        <v>0</v>
      </c>
      <c r="Q116" s="88">
        <f t="shared" si="35"/>
        <v>0</v>
      </c>
      <c r="R116" s="85">
        <f t="shared" si="36"/>
        <v>65</v>
      </c>
      <c r="S116" s="85">
        <f t="shared" si="36"/>
        <v>91</v>
      </c>
      <c r="T116"/>
      <c r="U116"/>
      <c r="V116"/>
      <c r="W116"/>
      <c r="X116"/>
      <c r="Y116"/>
      <c r="Z116"/>
      <c r="AA116"/>
      <c r="AB116"/>
      <c r="AC116"/>
      <c r="AD116"/>
    </row>
    <row r="117" spans="2:30" ht="15">
      <c r="B117" s="101" t="str">
        <f t="shared" si="34"/>
        <v xml:space="preserve">12v15            .  /    .        x     </v>
      </c>
      <c r="C117" s="87" t="str">
        <f t="shared" si="21"/>
        <v>5v10</v>
      </c>
      <c r="D117" s="69" t="str">
        <f t="shared" si="22"/>
        <v>5v10</v>
      </c>
      <c r="E117" s="88">
        <f t="shared" si="23"/>
        <v>0</v>
      </c>
      <c r="F117" s="86">
        <f t="shared" si="24"/>
        <v>0</v>
      </c>
      <c r="G117" s="83">
        <f t="shared" si="25"/>
        <v>0</v>
      </c>
      <c r="H117" s="83" t="str">
        <f t="shared" si="26"/>
        <v>Spread</v>
      </c>
      <c r="I117" s="83" t="str">
        <f t="shared" si="27"/>
        <v>5Y</v>
      </c>
      <c r="J117" s="83" t="str">
        <f t="shared" si="28"/>
        <v>10Y</v>
      </c>
      <c r="K117" s="83" t="str">
        <f t="shared" si="29"/>
        <v/>
      </c>
      <c r="L117" s="85">
        <f t="shared" si="30"/>
        <v>65</v>
      </c>
      <c r="M117" s="85">
        <f t="shared" si="30"/>
        <v>130</v>
      </c>
      <c r="N117" s="85" t="str">
        <f t="shared" si="30"/>
        <v/>
      </c>
      <c r="O117" t="str">
        <f t="shared" si="31"/>
        <v>5Y-10Y</v>
      </c>
      <c r="P117" s="88">
        <f t="shared" si="35"/>
        <v>0</v>
      </c>
      <c r="Q117" s="88">
        <f t="shared" si="35"/>
        <v>0</v>
      </c>
      <c r="R117" s="85">
        <f t="shared" si="36"/>
        <v>65</v>
      </c>
      <c r="S117" s="85">
        <f t="shared" si="36"/>
        <v>130</v>
      </c>
      <c r="T117"/>
      <c r="U117"/>
      <c r="V117"/>
      <c r="W117"/>
      <c r="X117"/>
      <c r="Y117"/>
      <c r="Z117"/>
      <c r="AA117"/>
      <c r="AB117"/>
      <c r="AC117"/>
      <c r="AD117"/>
    </row>
    <row r="118" spans="2:30" ht="15">
      <c r="B118" s="101" t="str">
        <f t="shared" si="34"/>
        <v xml:space="preserve">15v20            .  /    .        x     </v>
      </c>
      <c r="C118" s="87" t="str">
        <f t="shared" si="21"/>
        <v>6v7</v>
      </c>
      <c r="D118" s="69" t="str">
        <f t="shared" si="22"/>
        <v>6v7</v>
      </c>
      <c r="E118" s="88">
        <f t="shared" si="23"/>
        <v>0</v>
      </c>
      <c r="F118" s="86">
        <f t="shared" si="24"/>
        <v>0</v>
      </c>
      <c r="G118" s="83">
        <f t="shared" si="25"/>
        <v>0</v>
      </c>
      <c r="H118" s="83" t="str">
        <f t="shared" si="26"/>
        <v>Spread</v>
      </c>
      <c r="I118" s="83" t="str">
        <f t="shared" si="27"/>
        <v>6Y</v>
      </c>
      <c r="J118" s="83" t="str">
        <f t="shared" si="28"/>
        <v>7Y</v>
      </c>
      <c r="K118" s="83" t="str">
        <f t="shared" si="29"/>
        <v/>
      </c>
      <c r="L118" s="85">
        <f t="shared" si="30"/>
        <v>78</v>
      </c>
      <c r="M118" s="85">
        <f t="shared" si="30"/>
        <v>91</v>
      </c>
      <c r="N118" s="85" t="str">
        <f t="shared" si="30"/>
        <v/>
      </c>
      <c r="O118" t="str">
        <f t="shared" si="31"/>
        <v>6Y-7Y</v>
      </c>
      <c r="P118" s="88">
        <f t="shared" si="35"/>
        <v>0</v>
      </c>
      <c r="Q118" s="88">
        <f t="shared" si="35"/>
        <v>0</v>
      </c>
      <c r="R118" s="85">
        <f t="shared" si="36"/>
        <v>78</v>
      </c>
      <c r="S118" s="85">
        <f t="shared" si="36"/>
        <v>91</v>
      </c>
      <c r="T118"/>
      <c r="U118"/>
      <c r="V118"/>
      <c r="W118"/>
      <c r="X118"/>
      <c r="Y118"/>
      <c r="Z118"/>
      <c r="AA118"/>
      <c r="AB118"/>
      <c r="AC118"/>
      <c r="AD118"/>
    </row>
    <row r="119" spans="2:30" ht="15">
      <c r="C119" s="87" t="str">
        <f t="shared" si="21"/>
        <v>7v10</v>
      </c>
      <c r="D119" s="69" t="str">
        <f t="shared" si="22"/>
        <v>7v10</v>
      </c>
      <c r="E119" s="88">
        <f t="shared" si="23"/>
        <v>0</v>
      </c>
      <c r="F119" s="86">
        <f t="shared" si="24"/>
        <v>0</v>
      </c>
      <c r="G119" s="83">
        <f t="shared" si="25"/>
        <v>0</v>
      </c>
      <c r="H119" s="83" t="str">
        <f t="shared" si="26"/>
        <v>Spread</v>
      </c>
      <c r="I119" s="83" t="str">
        <f t="shared" si="27"/>
        <v>7Y</v>
      </c>
      <c r="J119" s="83" t="str">
        <f t="shared" si="28"/>
        <v>10Y</v>
      </c>
      <c r="K119" s="83" t="str">
        <f t="shared" si="29"/>
        <v/>
      </c>
      <c r="L119" s="85">
        <f t="shared" si="30"/>
        <v>91</v>
      </c>
      <c r="M119" s="85">
        <f t="shared" si="30"/>
        <v>130</v>
      </c>
      <c r="N119" s="85" t="str">
        <f t="shared" si="30"/>
        <v/>
      </c>
      <c r="O119" t="str">
        <f t="shared" si="31"/>
        <v>7Y-10Y</v>
      </c>
      <c r="P119" s="88">
        <f t="shared" si="35"/>
        <v>0</v>
      </c>
      <c r="Q119" s="88">
        <f t="shared" si="35"/>
        <v>0</v>
      </c>
      <c r="R119" s="85">
        <f t="shared" si="36"/>
        <v>91</v>
      </c>
      <c r="S119" s="85">
        <f t="shared" si="36"/>
        <v>130</v>
      </c>
      <c r="T119"/>
      <c r="U119"/>
      <c r="V119"/>
      <c r="W119"/>
      <c r="X119"/>
      <c r="Y119"/>
      <c r="Z119"/>
      <c r="AA119"/>
      <c r="AB119"/>
      <c r="AC119"/>
      <c r="AD119"/>
    </row>
    <row r="120" spans="2:30" ht="15">
      <c r="C120" s="87" t="str">
        <f t="shared" si="21"/>
        <v>9v10</v>
      </c>
      <c r="D120" s="69" t="str">
        <f t="shared" si="22"/>
        <v>9v10</v>
      </c>
      <c r="E120" s="88">
        <f t="shared" si="23"/>
        <v>0</v>
      </c>
      <c r="F120" s="86">
        <f t="shared" si="24"/>
        <v>0</v>
      </c>
      <c r="G120" s="83">
        <f t="shared" si="25"/>
        <v>0</v>
      </c>
      <c r="H120" s="83" t="str">
        <f t="shared" si="26"/>
        <v>Spread</v>
      </c>
      <c r="I120" s="83" t="str">
        <f t="shared" si="27"/>
        <v>9Y</v>
      </c>
      <c r="J120" s="83" t="str">
        <f t="shared" si="28"/>
        <v>10Y</v>
      </c>
      <c r="K120" s="83" t="str">
        <f t="shared" si="29"/>
        <v/>
      </c>
      <c r="L120" s="85">
        <f t="shared" si="30"/>
        <v>117</v>
      </c>
      <c r="M120" s="85">
        <f t="shared" si="30"/>
        <v>130</v>
      </c>
      <c r="N120" s="85" t="str">
        <f t="shared" si="30"/>
        <v/>
      </c>
      <c r="O120" t="str">
        <f t="shared" si="31"/>
        <v>9Y-10Y</v>
      </c>
      <c r="P120" s="88">
        <f t="shared" si="35"/>
        <v>0</v>
      </c>
      <c r="Q120" s="88">
        <f t="shared" si="35"/>
        <v>0</v>
      </c>
      <c r="R120" s="85">
        <f t="shared" si="36"/>
        <v>117</v>
      </c>
      <c r="S120" s="85">
        <f t="shared" si="36"/>
        <v>130</v>
      </c>
      <c r="T120"/>
      <c r="U120"/>
      <c r="V120"/>
      <c r="W120"/>
      <c r="X120"/>
      <c r="Y120"/>
      <c r="Z120"/>
      <c r="AA120"/>
      <c r="AB120"/>
      <c r="AC120"/>
      <c r="AD120"/>
    </row>
    <row r="121" spans="2:30" ht="15">
      <c r="C121" s="87" t="str">
        <f t="shared" si="21"/>
        <v>10v12</v>
      </c>
      <c r="D121" s="69" t="str">
        <f t="shared" si="22"/>
        <v>10v12</v>
      </c>
      <c r="E121" s="88">
        <f t="shared" si="23"/>
        <v>0</v>
      </c>
      <c r="F121" s="86">
        <f t="shared" si="24"/>
        <v>0</v>
      </c>
      <c r="G121" s="83">
        <f t="shared" si="25"/>
        <v>0</v>
      </c>
      <c r="H121" s="83" t="str">
        <f t="shared" si="26"/>
        <v>Spread</v>
      </c>
      <c r="I121" s="83" t="str">
        <f t="shared" si="27"/>
        <v>10Y</v>
      </c>
      <c r="J121" s="83" t="str">
        <f t="shared" si="28"/>
        <v>12Y</v>
      </c>
      <c r="K121" s="83" t="str">
        <f t="shared" si="29"/>
        <v/>
      </c>
      <c r="L121" s="85">
        <f t="shared" si="30"/>
        <v>130</v>
      </c>
      <c r="M121" s="85">
        <f t="shared" si="30"/>
        <v>156</v>
      </c>
      <c r="N121" s="85" t="str">
        <f t="shared" si="30"/>
        <v/>
      </c>
      <c r="O121" t="str">
        <f t="shared" si="31"/>
        <v>10Y-12Y</v>
      </c>
      <c r="P121" s="88">
        <f t="shared" si="35"/>
        <v>0</v>
      </c>
      <c r="Q121" s="88">
        <f t="shared" si="35"/>
        <v>0</v>
      </c>
      <c r="R121" s="85">
        <f t="shared" si="36"/>
        <v>130</v>
      </c>
      <c r="S121" s="85">
        <f t="shared" si="36"/>
        <v>156</v>
      </c>
      <c r="T121"/>
      <c r="U121"/>
      <c r="V121"/>
      <c r="W121"/>
      <c r="X121"/>
      <c r="Y121"/>
      <c r="Z121"/>
      <c r="AA121"/>
      <c r="AB121"/>
      <c r="AC121"/>
      <c r="AD121"/>
    </row>
    <row r="122" spans="2:30" ht="15">
      <c r="C122" s="87" t="str">
        <f t="shared" si="21"/>
        <v>12v15</v>
      </c>
      <c r="D122" s="69" t="str">
        <f t="shared" si="22"/>
        <v>12v15</v>
      </c>
      <c r="E122" s="88">
        <f t="shared" si="23"/>
        <v>0</v>
      </c>
      <c r="F122" s="86">
        <f t="shared" si="24"/>
        <v>0</v>
      </c>
      <c r="G122" s="83">
        <f t="shared" si="25"/>
        <v>0</v>
      </c>
      <c r="H122" s="83" t="str">
        <f t="shared" si="26"/>
        <v>Spread</v>
      </c>
      <c r="I122" s="83" t="str">
        <f t="shared" si="27"/>
        <v>12Y</v>
      </c>
      <c r="J122" s="83" t="str">
        <f t="shared" si="28"/>
        <v>15Y</v>
      </c>
      <c r="K122" s="83" t="str">
        <f t="shared" si="29"/>
        <v/>
      </c>
      <c r="L122" s="85">
        <f t="shared" si="30"/>
        <v>156</v>
      </c>
      <c r="M122" s="85">
        <f t="shared" si="30"/>
        <v>195</v>
      </c>
      <c r="N122" s="85" t="str">
        <f t="shared" si="30"/>
        <v/>
      </c>
      <c r="O122" t="str">
        <f t="shared" si="31"/>
        <v>12Y-15Y</v>
      </c>
      <c r="P122" s="88">
        <f t="shared" si="35"/>
        <v>0</v>
      </c>
      <c r="Q122" s="88">
        <f t="shared" si="35"/>
        <v>0</v>
      </c>
      <c r="R122" s="85">
        <f t="shared" si="36"/>
        <v>156</v>
      </c>
      <c r="S122" s="85">
        <f t="shared" si="36"/>
        <v>195</v>
      </c>
      <c r="T122"/>
      <c r="U122"/>
      <c r="V122"/>
      <c r="W122"/>
      <c r="X122"/>
      <c r="Y122"/>
      <c r="Z122"/>
      <c r="AA122"/>
      <c r="AB122"/>
      <c r="AC122"/>
      <c r="AD122"/>
    </row>
    <row r="123" spans="2:30" ht="15">
      <c r="C123" s="87" t="str">
        <f t="shared" si="21"/>
        <v>15v20</v>
      </c>
      <c r="D123" s="69" t="str">
        <f t="shared" si="22"/>
        <v>15v20</v>
      </c>
      <c r="E123" s="88">
        <f t="shared" si="23"/>
        <v>0</v>
      </c>
      <c r="F123" s="86">
        <f t="shared" si="24"/>
        <v>0</v>
      </c>
      <c r="G123" s="83">
        <f t="shared" si="25"/>
        <v>0</v>
      </c>
      <c r="H123" s="83" t="str">
        <f t="shared" si="26"/>
        <v>Spread</v>
      </c>
      <c r="I123" s="83" t="str">
        <f t="shared" si="27"/>
        <v>15Y</v>
      </c>
      <c r="J123" s="83" t="str">
        <f t="shared" si="28"/>
        <v>20Y</v>
      </c>
      <c r="K123" s="83" t="str">
        <f t="shared" si="29"/>
        <v/>
      </c>
      <c r="L123" s="85">
        <f t="shared" si="30"/>
        <v>195</v>
      </c>
      <c r="M123" s="85">
        <f t="shared" si="30"/>
        <v>260</v>
      </c>
      <c r="N123" s="85" t="str">
        <f t="shared" si="30"/>
        <v/>
      </c>
      <c r="O123" t="str">
        <f t="shared" si="31"/>
        <v>15Y-20Y</v>
      </c>
      <c r="P123" s="88">
        <f t="shared" si="35"/>
        <v>0</v>
      </c>
      <c r="Q123" s="88">
        <f t="shared" si="35"/>
        <v>0</v>
      </c>
      <c r="R123" s="85">
        <f t="shared" si="36"/>
        <v>195</v>
      </c>
      <c r="S123" s="85">
        <f t="shared" si="36"/>
        <v>260</v>
      </c>
      <c r="T123"/>
      <c r="U123"/>
      <c r="V123"/>
      <c r="W123"/>
      <c r="X123"/>
      <c r="Y123"/>
      <c r="Z123"/>
      <c r="AA123"/>
      <c r="AB123"/>
      <c r="AC123"/>
      <c r="AD123"/>
    </row>
  </sheetData>
  <mergeCells count="2">
    <mergeCell ref="D72:G72"/>
    <mergeCell ref="D90:G9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>
    <tabColor theme="8" tint="0.79998168889431442"/>
  </sheetPr>
  <dimension ref="A1:S64"/>
  <sheetViews>
    <sheetView zoomScale="90" zoomScaleNormal="90" workbookViewId="0">
      <pane xSplit="1" ySplit="3" topLeftCell="B30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9.140625" defaultRowHeight="12.75"/>
  <cols>
    <col min="1" max="1" width="58.7109375" style="1" customWidth="1"/>
    <col min="2" max="2" width="4.42578125" style="2" customWidth="1"/>
    <col min="3" max="6" width="11.42578125" style="2" customWidth="1"/>
    <col min="7" max="7" width="7.5703125" style="2" bestFit="1" customWidth="1"/>
    <col min="8" max="9" width="11.42578125" style="2" customWidth="1"/>
    <col min="10" max="10" width="12.42578125" style="2" customWidth="1"/>
    <col min="11" max="12" width="11.42578125" style="2" customWidth="1"/>
    <col min="13" max="14" width="11.42578125" style="1" customWidth="1"/>
    <col min="15" max="15" width="10.42578125" style="1" customWidth="1"/>
    <col min="16" max="22" width="9.140625" style="1"/>
    <col min="23" max="23" width="4.42578125" style="1" customWidth="1"/>
    <col min="24" max="16384" width="9.140625" style="1"/>
  </cols>
  <sheetData>
    <row r="1" spans="1:15">
      <c r="A1" s="3" t="s">
        <v>245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 s="49" customFormat="1">
      <c r="A2" s="49" t="e">
        <f ca="1">_xll.BPGE("430/1/1",,"cols=1;rows=26")</f>
        <v>#NAME?</v>
      </c>
      <c r="C2" s="49">
        <v>3</v>
      </c>
      <c r="D2" s="49">
        <v>7</v>
      </c>
      <c r="E2" s="49">
        <v>21</v>
      </c>
      <c r="F2" s="49">
        <v>27</v>
      </c>
      <c r="G2" s="49">
        <v>38</v>
      </c>
    </row>
    <row r="3" spans="1:15" ht="15">
      <c r="A3" s="70" t="s">
        <v>480</v>
      </c>
      <c r="B3" s="1"/>
      <c r="C3" s="23" t="s">
        <v>55</v>
      </c>
      <c r="D3" s="24" t="s">
        <v>72</v>
      </c>
      <c r="E3" s="25" t="s">
        <v>29</v>
      </c>
      <c r="F3" s="26" t="s">
        <v>30</v>
      </c>
      <c r="G3" s="24" t="s">
        <v>58</v>
      </c>
      <c r="H3" s="1"/>
      <c r="I3" s="24" t="s">
        <v>28</v>
      </c>
      <c r="J3" s="24" t="s">
        <v>32</v>
      </c>
      <c r="K3" s="24" t="s">
        <v>14</v>
      </c>
      <c r="L3" s="24" t="s">
        <v>33</v>
      </c>
      <c r="M3"/>
      <c r="N3"/>
      <c r="O3"/>
    </row>
    <row r="4" spans="1:15" ht="15">
      <c r="A4" s="70" t="s">
        <v>503</v>
      </c>
      <c r="B4" s="1"/>
      <c r="C4" s="37" t="str">
        <f>MID(A4,$C$2,6)</f>
        <v>DIC 23</v>
      </c>
      <c r="D4" s="27">
        <f>IFERROR(VALUE(MID(A4,FIND(C4,A4)+$D$2,5)),"")</f>
        <v>135</v>
      </c>
      <c r="E4" s="33" t="str">
        <f>IFERROR(VALUE(MID(A4,$E$2,5)),"")</f>
        <v/>
      </c>
      <c r="F4" s="34" t="str">
        <f>IFERROR(VALUE(MID(A4,$F$2,5)),"")</f>
        <v/>
      </c>
      <c r="G4" s="30" t="str">
        <f>MID(A4,$G$2,5)</f>
        <v xml:space="preserve">   MS</v>
      </c>
      <c r="H4" s="1"/>
      <c r="I4" s="95" t="str" cm="1">
        <f t="array" ref="I4:I20">+TRANSPOSE(_xlfn.TEXTSPLIT(_xlfn.TEXTJOIN(",",TRUE,C4:C27),","))</f>
        <v>DIC 23</v>
      </c>
      <c r="J4" s="135" t="str" cm="1">
        <f t="array" ref="J4:J20">+IFERROR(VLOOKUP(LEFT(_xlfn.ANCHORARRAY(I4),3),$N$5:$O$16,2,FALSE)&amp;RIGHT(_xlfn.ANCHORARRAY(I4),2),VLOOKUP(RIGHT(_xlfn.ANCHORARRAY(I4),3),N16:O20,2))</f>
        <v>dc23</v>
      </c>
      <c r="K4" s="98" t="str" cm="1">
        <f t="array" ref="K4:K20">+IF(VLOOKUP(_xlfn.ANCHORARRAY(I4),$C$4:$G$28,3,0)=0,"",VLOOKUP(_xlfn.ANCHORARRAY($I4),$C$4:$G$28,3,0))</f>
        <v/>
      </c>
      <c r="L4" s="98" t="str" cm="1">
        <f t="array" ref="L4:L20">+IF(VLOOKUP(_xlfn.ANCHORARRAY($I4),$C$4:$G$28,4,0)=0,"",VLOOKUP(_xlfn.ANCHORARRAY($I4),$C$4:$G$28,4,0))</f>
        <v/>
      </c>
      <c r="M4"/>
      <c r="N4" s="136" t="s">
        <v>73</v>
      </c>
      <c r="O4" t="s">
        <v>34</v>
      </c>
    </row>
    <row r="5" spans="1:15" ht="15">
      <c r="A5" s="70" t="s">
        <v>504</v>
      </c>
      <c r="B5" s="1"/>
      <c r="C5" s="37" t="str">
        <f t="shared" ref="C5:C20" si="0">MID(A5,$C$2,6)</f>
        <v>24 DOS</v>
      </c>
      <c r="D5" s="27">
        <f t="shared" ref="D5:D20" si="1">IFERROR(VALUE(MID(A5,FIND(C5,A5)+$D$2,5)),"")</f>
        <v>408</v>
      </c>
      <c r="E5" s="33" t="str">
        <f t="shared" ref="E5:E20" si="2">IFERROR(VALUE(MID(A5,$E$2,5)),"")</f>
        <v/>
      </c>
      <c r="F5" s="34" t="str">
        <f t="shared" ref="F5:F20" si="3">IFERROR(VALUE(MID(A5,$F$2,5)),"")</f>
        <v/>
      </c>
      <c r="G5" s="30" t="str">
        <f t="shared" ref="G5:G20" si="4">MID(A5,$G$2,5)</f>
        <v xml:space="preserve">     </v>
      </c>
      <c r="H5" s="1"/>
      <c r="I5" s="95" t="str">
        <v>24 DOS</v>
      </c>
      <c r="J5" s="135" t="str">
        <v>sp24</v>
      </c>
      <c r="K5" s="98" t="str">
        <v/>
      </c>
      <c r="L5" s="98" t="str">
        <v/>
      </c>
      <c r="M5"/>
      <c r="N5" s="66" t="s">
        <v>76</v>
      </c>
      <c r="O5" t="s">
        <v>36</v>
      </c>
    </row>
    <row r="6" spans="1:15" ht="15">
      <c r="A6" s="70" t="s">
        <v>505</v>
      </c>
      <c r="B6" s="1"/>
      <c r="C6" s="37" t="str">
        <f t="shared" si="0"/>
        <v>DIC 24</v>
      </c>
      <c r="D6" s="27">
        <f t="shared" si="1"/>
        <v>499</v>
      </c>
      <c r="E6" s="33" t="str">
        <f t="shared" si="2"/>
        <v/>
      </c>
      <c r="F6" s="34" t="str">
        <f t="shared" si="3"/>
        <v/>
      </c>
      <c r="G6" s="30" t="str">
        <f t="shared" si="4"/>
        <v xml:space="preserve">     </v>
      </c>
      <c r="H6" s="1"/>
      <c r="I6" s="95" t="str">
        <v>DIC 24</v>
      </c>
      <c r="J6" s="135" t="str">
        <v>dc24</v>
      </c>
      <c r="K6" s="98" t="str">
        <v/>
      </c>
      <c r="L6" s="98" t="str">
        <v/>
      </c>
      <c r="M6"/>
      <c r="N6" s="66" t="s">
        <v>77</v>
      </c>
      <c r="O6" t="s">
        <v>37</v>
      </c>
    </row>
    <row r="7" spans="1:15" ht="15">
      <c r="A7" s="70" t="s">
        <v>506</v>
      </c>
      <c r="B7" s="1"/>
      <c r="C7" s="37" t="str">
        <f t="shared" si="0"/>
        <v>25 MAR</v>
      </c>
      <c r="D7" s="27">
        <f t="shared" si="1"/>
        <v>590</v>
      </c>
      <c r="E7" s="33" t="str">
        <f t="shared" si="2"/>
        <v/>
      </c>
      <c r="F7" s="34" t="str">
        <f t="shared" si="3"/>
        <v/>
      </c>
      <c r="G7" s="30" t="str">
        <f t="shared" si="4"/>
        <v xml:space="preserve">     </v>
      </c>
      <c r="H7" s="1"/>
      <c r="I7" s="95" t="str">
        <v>25 MAR</v>
      </c>
      <c r="J7" s="135" t="str">
        <v>sp24</v>
      </c>
      <c r="K7" s="98" t="str">
        <v/>
      </c>
      <c r="L7" s="98" t="str">
        <v/>
      </c>
      <c r="M7"/>
      <c r="N7" t="s">
        <v>79</v>
      </c>
      <c r="O7" t="s">
        <v>39</v>
      </c>
    </row>
    <row r="8" spans="1:15" ht="15">
      <c r="A8" s="70" t="s">
        <v>507</v>
      </c>
      <c r="B8" s="1"/>
      <c r="C8" s="37" t="str">
        <f t="shared" si="0"/>
        <v>MAR 26</v>
      </c>
      <c r="D8" s="27">
        <f t="shared" si="1"/>
        <v>954</v>
      </c>
      <c r="E8" s="33" t="str">
        <f t="shared" si="2"/>
        <v/>
      </c>
      <c r="F8" s="34" t="str">
        <f t="shared" si="3"/>
        <v/>
      </c>
      <c r="G8" s="30" t="str">
        <f t="shared" si="4"/>
        <v xml:space="preserve">     </v>
      </c>
      <c r="H8" s="1"/>
      <c r="I8" s="95" t="str">
        <v>MAR 26</v>
      </c>
      <c r="J8" s="135" t="str">
        <v>mz26</v>
      </c>
      <c r="K8" s="98" t="str">
        <v/>
      </c>
      <c r="L8" s="98" t="str">
        <v/>
      </c>
      <c r="M8"/>
      <c r="N8" t="s">
        <v>80</v>
      </c>
      <c r="O8" t="s">
        <v>40</v>
      </c>
    </row>
    <row r="9" spans="1:15" ht="15">
      <c r="A9" s="70" t="s">
        <v>508</v>
      </c>
      <c r="B9" s="1"/>
      <c r="C9" s="37" t="str">
        <f t="shared" si="0"/>
        <v>SEP 26</v>
      </c>
      <c r="D9" s="27">
        <f t="shared" si="1"/>
        <v>1136</v>
      </c>
      <c r="E9" s="33" t="str">
        <f t="shared" si="2"/>
        <v/>
      </c>
      <c r="F9" s="34" t="str">
        <f t="shared" si="3"/>
        <v/>
      </c>
      <c r="G9" s="30" t="str">
        <f t="shared" si="4"/>
        <v xml:space="preserve">     </v>
      </c>
      <c r="H9" s="1"/>
      <c r="I9" s="95" t="str">
        <v>SEP 26</v>
      </c>
      <c r="J9" s="135" t="str">
        <v>sp26</v>
      </c>
      <c r="K9" s="98" t="str">
        <v/>
      </c>
      <c r="L9" s="98" t="str">
        <v/>
      </c>
      <c r="M9"/>
      <c r="N9" t="s">
        <v>82</v>
      </c>
      <c r="O9" t="s">
        <v>41</v>
      </c>
    </row>
    <row r="10" spans="1:15" ht="15">
      <c r="A10" s="70" t="s">
        <v>509</v>
      </c>
      <c r="B10" s="1"/>
      <c r="C10" s="37" t="str">
        <f t="shared" si="0"/>
        <v>27 TRE</v>
      </c>
      <c r="D10" s="27">
        <f t="shared" si="1"/>
        <v>1318</v>
      </c>
      <c r="E10" s="33" t="str">
        <f t="shared" si="2"/>
        <v/>
      </c>
      <c r="F10" s="34" t="str">
        <f t="shared" si="3"/>
        <v/>
      </c>
      <c r="G10" s="30" t="str">
        <f t="shared" si="4"/>
        <v xml:space="preserve">     </v>
      </c>
      <c r="H10" s="1"/>
      <c r="I10" s="95" t="str">
        <v>27 TRE</v>
      </c>
      <c r="J10" s="135" t="str">
        <v>sp24</v>
      </c>
      <c r="K10" s="98" t="str">
        <v/>
      </c>
      <c r="L10" s="98" t="str">
        <v/>
      </c>
      <c r="M10"/>
      <c r="N10" t="s">
        <v>83</v>
      </c>
      <c r="O10" t="s">
        <v>42</v>
      </c>
    </row>
    <row r="11" spans="1:15" ht="15">
      <c r="A11" s="70" t="s">
        <v>510</v>
      </c>
      <c r="B11" s="1"/>
      <c r="C11" s="37" t="str">
        <f t="shared" si="0"/>
        <v>JUN 27</v>
      </c>
      <c r="D11" s="27">
        <f t="shared" si="1"/>
        <v>1409</v>
      </c>
      <c r="E11" s="33" t="str">
        <f t="shared" si="2"/>
        <v/>
      </c>
      <c r="F11" s="34" t="str">
        <f t="shared" si="3"/>
        <v/>
      </c>
      <c r="G11" s="30" t="str">
        <f t="shared" si="4"/>
        <v xml:space="preserve">     </v>
      </c>
      <c r="H11" s="1"/>
      <c r="I11" s="95" t="str">
        <v>JUN 27</v>
      </c>
      <c r="J11" s="135" t="str">
        <v>jn27</v>
      </c>
      <c r="K11" s="98" t="str">
        <v/>
      </c>
      <c r="L11" s="98" t="str">
        <v/>
      </c>
      <c r="M11"/>
      <c r="N11" t="s">
        <v>85</v>
      </c>
      <c r="O11" t="s">
        <v>43</v>
      </c>
    </row>
    <row r="12" spans="1:15" ht="15">
      <c r="A12" s="70" t="s">
        <v>511</v>
      </c>
      <c r="B12" s="1"/>
      <c r="C12" s="37" t="str">
        <f t="shared" si="0"/>
        <v>MAY 29</v>
      </c>
      <c r="D12" s="27">
        <f t="shared" si="1"/>
        <v>2137</v>
      </c>
      <c r="E12" s="33" t="str">
        <f t="shared" si="2"/>
        <v/>
      </c>
      <c r="F12" s="34" t="str">
        <f t="shared" si="3"/>
        <v/>
      </c>
      <c r="G12" s="30" t="str">
        <f t="shared" si="4"/>
        <v xml:space="preserve">     </v>
      </c>
      <c r="H12" s="1"/>
      <c r="I12" s="95" t="str">
        <v>MAY 29</v>
      </c>
      <c r="J12" s="135" t="str">
        <v>my29</v>
      </c>
      <c r="K12" s="98" t="str">
        <v/>
      </c>
      <c r="L12" s="98" t="str">
        <v/>
      </c>
      <c r="M12"/>
      <c r="N12" t="s">
        <v>86</v>
      </c>
      <c r="O12" t="s">
        <v>44</v>
      </c>
    </row>
    <row r="13" spans="1:15" ht="15">
      <c r="A13" s="70" t="s">
        <v>610</v>
      </c>
      <c r="B13" s="1"/>
      <c r="C13" s="37" t="str">
        <f t="shared" si="0"/>
        <v>MAY 31</v>
      </c>
      <c r="D13" s="27">
        <f t="shared" si="1"/>
        <v>2865</v>
      </c>
      <c r="E13" s="33" t="str">
        <f t="shared" si="2"/>
        <v/>
      </c>
      <c r="F13" s="34" t="str">
        <f t="shared" si="3"/>
        <v/>
      </c>
      <c r="G13" s="30" t="str">
        <f t="shared" si="4"/>
        <v xml:space="preserve">   UD</v>
      </c>
      <c r="H13" s="1"/>
      <c r="I13" s="95" t="str">
        <v>MAY 31</v>
      </c>
      <c r="J13" s="135" t="str">
        <v>my31</v>
      </c>
      <c r="K13" s="98" t="str">
        <v/>
      </c>
      <c r="L13" s="98" t="str">
        <v/>
      </c>
      <c r="M13"/>
      <c r="N13" t="s">
        <v>88</v>
      </c>
      <c r="O13" t="s">
        <v>46</v>
      </c>
    </row>
    <row r="14" spans="1:15" ht="15">
      <c r="A14" s="70" t="s">
        <v>512</v>
      </c>
      <c r="B14" s="1"/>
      <c r="C14" s="37" t="str">
        <f t="shared" si="0"/>
        <v>MAY 33</v>
      </c>
      <c r="D14" s="27">
        <f t="shared" si="1"/>
        <v>3593</v>
      </c>
      <c r="E14" s="33" t="str">
        <f t="shared" si="2"/>
        <v/>
      </c>
      <c r="F14" s="34" t="str">
        <f t="shared" si="3"/>
        <v/>
      </c>
      <c r="G14" s="30" t="str">
        <f t="shared" si="4"/>
        <v xml:space="preserve">     </v>
      </c>
      <c r="H14" s="1"/>
      <c r="I14" s="95" t="str">
        <v>MAY 33</v>
      </c>
      <c r="J14" s="135" t="str">
        <v>my33</v>
      </c>
      <c r="K14" s="98" t="str">
        <v/>
      </c>
      <c r="L14" s="98" t="str">
        <v/>
      </c>
      <c r="M14"/>
      <c r="N14" t="s">
        <v>89</v>
      </c>
      <c r="O14" t="s">
        <v>47</v>
      </c>
    </row>
    <row r="15" spans="1:15" ht="15">
      <c r="A15" s="70" t="s">
        <v>513</v>
      </c>
      <c r="B15" s="1"/>
      <c r="C15" s="37" t="str">
        <f t="shared" si="0"/>
        <v>NOV 34</v>
      </c>
      <c r="D15" s="27">
        <f t="shared" si="1"/>
        <v>4139</v>
      </c>
      <c r="E15" s="33" t="str">
        <f t="shared" si="2"/>
        <v/>
      </c>
      <c r="F15" s="34" t="str">
        <f t="shared" si="3"/>
        <v/>
      </c>
      <c r="G15" s="30" t="str">
        <f t="shared" si="4"/>
        <v xml:space="preserve">     </v>
      </c>
      <c r="H15" s="1"/>
      <c r="I15" s="95" t="str">
        <v>NOV 34</v>
      </c>
      <c r="J15" s="135" t="str">
        <v>nv34</v>
      </c>
      <c r="K15" s="98" t="str">
        <v/>
      </c>
      <c r="L15" s="98" t="str">
        <v/>
      </c>
      <c r="M15"/>
      <c r="N15" t="s">
        <v>91</v>
      </c>
      <c r="O15" t="s">
        <v>48</v>
      </c>
    </row>
    <row r="16" spans="1:15" ht="15">
      <c r="A16" s="70" t="s">
        <v>514</v>
      </c>
      <c r="B16" s="1"/>
      <c r="C16" s="37" t="str">
        <f t="shared" si="0"/>
        <v>NOV 36</v>
      </c>
      <c r="D16" s="27">
        <f t="shared" si="1"/>
        <v>4867</v>
      </c>
      <c r="E16" s="33" t="str">
        <f t="shared" si="2"/>
        <v/>
      </c>
      <c r="F16" s="34" t="str">
        <f t="shared" si="3"/>
        <v/>
      </c>
      <c r="G16" s="30" t="str">
        <f t="shared" si="4"/>
        <v xml:space="preserve">     </v>
      </c>
      <c r="H16" s="1"/>
      <c r="I16" s="95" t="str">
        <v>NOV 36</v>
      </c>
      <c r="J16" s="135" t="str">
        <v>nv36</v>
      </c>
      <c r="K16" s="98" t="str">
        <v/>
      </c>
      <c r="L16" s="98" t="str">
        <v/>
      </c>
      <c r="M16"/>
      <c r="N16" t="s">
        <v>105</v>
      </c>
      <c r="O16" t="s">
        <v>106</v>
      </c>
    </row>
    <row r="17" spans="1:15" ht="15">
      <c r="A17" s="70" t="s">
        <v>515</v>
      </c>
      <c r="B17" s="1"/>
      <c r="C17" s="37" t="str">
        <f t="shared" si="0"/>
        <v>NOV 38</v>
      </c>
      <c r="D17" s="27">
        <f t="shared" si="1"/>
        <v>5595</v>
      </c>
      <c r="E17" s="33" t="str">
        <f t="shared" si="2"/>
        <v/>
      </c>
      <c r="F17" s="34" t="str">
        <f t="shared" si="3"/>
        <v/>
      </c>
      <c r="G17" s="30" t="str">
        <f t="shared" si="4"/>
        <v xml:space="preserve">     </v>
      </c>
      <c r="H17" s="1"/>
      <c r="I17" s="95" t="str">
        <v>NOV 38</v>
      </c>
      <c r="J17" s="135" t="str">
        <v>nv38</v>
      </c>
      <c r="K17" s="98" t="str">
        <v/>
      </c>
      <c r="L17" s="98" t="str">
        <v/>
      </c>
      <c r="M17"/>
      <c r="N17" t="s">
        <v>107</v>
      </c>
      <c r="O17" t="s">
        <v>108</v>
      </c>
    </row>
    <row r="18" spans="1:15" ht="15">
      <c r="A18" s="70" t="s">
        <v>516</v>
      </c>
      <c r="B18" s="1"/>
      <c r="C18" s="37" t="str">
        <f t="shared" si="0"/>
        <v>NOV 42</v>
      </c>
      <c r="D18" s="27">
        <f t="shared" si="1"/>
        <v>7051</v>
      </c>
      <c r="E18" s="33" t="str">
        <f t="shared" si="2"/>
        <v/>
      </c>
      <c r="F18" s="34" t="str">
        <f t="shared" si="3"/>
        <v/>
      </c>
      <c r="G18" s="30" t="str">
        <f t="shared" si="4"/>
        <v xml:space="preserve">     </v>
      </c>
      <c r="H18" s="1"/>
      <c r="I18" s="95" t="str">
        <v>NOV 42</v>
      </c>
      <c r="J18" s="135" t="str">
        <v>nv42</v>
      </c>
      <c r="K18" s="98" t="str">
        <v/>
      </c>
      <c r="L18" s="98" t="str">
        <v/>
      </c>
      <c r="M18"/>
      <c r="N18" t="s">
        <v>109</v>
      </c>
      <c r="O18"/>
    </row>
    <row r="19" spans="1:15" ht="15">
      <c r="A19" s="70" t="s">
        <v>517</v>
      </c>
      <c r="B19" s="1"/>
      <c r="C19" s="37" t="str">
        <f t="shared" si="0"/>
        <v>NOV 47</v>
      </c>
      <c r="D19" s="27">
        <f t="shared" si="1"/>
        <v>8871</v>
      </c>
      <c r="E19" s="33" t="str">
        <f t="shared" si="2"/>
        <v/>
      </c>
      <c r="F19" s="34" t="str">
        <f t="shared" si="3"/>
        <v/>
      </c>
      <c r="G19" s="30" t="str">
        <f t="shared" si="4"/>
        <v xml:space="preserve">     </v>
      </c>
      <c r="H19" s="1"/>
      <c r="I19" s="95" t="str">
        <v>NOV 47</v>
      </c>
      <c r="J19" s="135" t="str">
        <v>nv47</v>
      </c>
      <c r="K19" s="98" t="str">
        <v/>
      </c>
      <c r="L19" s="98" t="str">
        <v/>
      </c>
      <c r="M19"/>
      <c r="N19" t="s">
        <v>174</v>
      </c>
      <c r="O19"/>
    </row>
    <row r="20" spans="1:15" ht="15">
      <c r="A20" s="70" t="s">
        <v>518</v>
      </c>
      <c r="B20" s="1"/>
      <c r="C20" s="37" t="str">
        <f t="shared" si="0"/>
        <v>JUL 53</v>
      </c>
      <c r="D20" s="27">
        <f t="shared" si="1"/>
        <v>10964</v>
      </c>
      <c r="E20" s="33" t="str">
        <f t="shared" si="2"/>
        <v/>
      </c>
      <c r="F20" s="34" t="str">
        <f t="shared" si="3"/>
        <v/>
      </c>
      <c r="G20" s="30" t="str">
        <f t="shared" si="4"/>
        <v xml:space="preserve">     </v>
      </c>
      <c r="H20" s="1"/>
      <c r="I20" s="95" t="str">
        <v>JUL 53</v>
      </c>
      <c r="J20" s="135" t="str">
        <v>jl53</v>
      </c>
      <c r="K20" s="98" t="str">
        <v/>
      </c>
      <c r="L20" s="98" t="str">
        <v/>
      </c>
      <c r="M20"/>
      <c r="N20"/>
      <c r="O20"/>
    </row>
    <row r="21" spans="1:15">
      <c r="A21" s="70" t="s">
        <v>52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1:15">
      <c r="A22" s="70" t="s">
        <v>246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1:15">
      <c r="A23" s="70" t="s">
        <v>247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>
      <c r="A24" s="70" t="s">
        <v>248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5">
      <c r="A26" s="1" t="s">
        <v>52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15">
      <c r="A32" t="s">
        <v>249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7" s="49" customFormat="1" ht="15">
      <c r="A33" s="21" t="e">
        <f ca="1">_xll.BPGE("430/8/1",,"cols=1;rows=26")</f>
        <v>#NAME?</v>
      </c>
      <c r="B33" s="53"/>
      <c r="C33" s="53"/>
      <c r="D33" s="53"/>
      <c r="E33" s="53">
        <v>25</v>
      </c>
      <c r="F33" s="53">
        <v>31</v>
      </c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</row>
    <row r="34" spans="1:17" ht="15">
      <c r="A34" s="69" t="s">
        <v>250</v>
      </c>
      <c r="C34" s="23" t="s">
        <v>55</v>
      </c>
      <c r="D34" s="24" t="s">
        <v>72</v>
      </c>
      <c r="E34" s="25" t="s">
        <v>29</v>
      </c>
      <c r="F34" s="26" t="s">
        <v>30</v>
      </c>
      <c r="G34" s="24" t="s">
        <v>58</v>
      </c>
      <c r="I34" s="24" t="s">
        <v>28</v>
      </c>
      <c r="J34" s="24" t="s">
        <v>32</v>
      </c>
      <c r="K34" s="24" t="s">
        <v>14</v>
      </c>
      <c r="L34" s="24" t="s">
        <v>33</v>
      </c>
      <c r="M34"/>
      <c r="N34"/>
      <c r="O34"/>
      <c r="P34" s="2"/>
      <c r="Q34" s="2"/>
    </row>
    <row r="35" spans="1:17" ht="15">
      <c r="A35" s="69" t="s">
        <v>519</v>
      </c>
      <c r="C35" s="37" t="str">
        <f>+MID(A35,LEN(D35)+5,6)</f>
        <v>NOV 23</v>
      </c>
      <c r="D35" s="27">
        <f>+IFERROR(VALUE(MID(A35,4,FIND(" ",A35,4)-4)),"")</f>
        <v>114</v>
      </c>
      <c r="E35" s="33" t="str">
        <f>IFERROR(VALUE(MID(A35,$E$33,5)),"")</f>
        <v/>
      </c>
      <c r="F35" s="34" t="str">
        <f>IFERROR(VALUE(MID(A35,$F$33,5)),"")</f>
        <v/>
      </c>
      <c r="G35" s="30"/>
      <c r="H35" s="41"/>
      <c r="I35" s="95" t="str" cm="1">
        <f t="array" ref="I35:I44">+TRANSPOSE(_xlfn.TEXTSPLIT(_xlfn.TEXTJOIN(",",TRUE,C35:C58),","))</f>
        <v>NOV 23</v>
      </c>
      <c r="J35" s="135" t="str" cm="1">
        <f t="array" ref="J35:J44">+IFERROR(VLOOKUP(LEFT(_xlfn.ANCHORARRAY(I35),3),$N$35:$O$46,2,FALSE)&amp;RIGHT(_xlfn.ANCHORARRAY(I35),2),VLOOKUP(RIGHT(_xlfn.ANCHORARRAY(I35),3),N47:O51,2))</f>
        <v>nv23</v>
      </c>
      <c r="K35" s="98" t="str" cm="1">
        <f t="array" ref="K35:K44">+IF(VLOOKUP(_xlfn.ANCHORARRAY($I35),$C$35:$G$44,3,0)=0,"",VLOOKUP(_xlfn.ANCHORARRAY($I35),$C$35:$G$44,3,0))</f>
        <v/>
      </c>
      <c r="L35" s="98" t="str" cm="1">
        <f t="array" ref="L35:L44">+IF(VLOOKUP(_xlfn.ANCHORARRAY($I35),$C$35:$G$44,4,0)=0,"",VLOOKUP(_xlfn.ANCHORARRAY($I35),$C$35:$G$44,4,0))</f>
        <v/>
      </c>
      <c r="M35"/>
      <c r="N35" s="136" t="s">
        <v>73</v>
      </c>
      <c r="O35" t="s">
        <v>34</v>
      </c>
      <c r="P35" s="2"/>
      <c r="Q35" s="2"/>
    </row>
    <row r="36" spans="1:17" ht="15">
      <c r="A36" s="69" t="s">
        <v>520</v>
      </c>
      <c r="C36" s="37" t="str">
        <f t="shared" ref="C36:C44" si="5">+MID(A36,LEN(D36)+5,6)</f>
        <v>DIC 25</v>
      </c>
      <c r="D36" s="27">
        <f>+IFERROR(VALUE(MID(A36,4,FIND(" ",A36,4)-4)),"")</f>
        <v>863</v>
      </c>
      <c r="E36" s="33" t="str">
        <f t="shared" ref="E36:E44" si="6">IFERROR(VALUE(MID(A36,$E$33,5)),"")</f>
        <v/>
      </c>
      <c r="F36" s="34" t="str">
        <f t="shared" ref="F36:F44" si="7">IFERROR(VALUE(MID(A36,$F$33,5)),"")</f>
        <v/>
      </c>
      <c r="G36" s="31"/>
      <c r="H36" s="41"/>
      <c r="I36" s="95" t="str">
        <v>DIC 25</v>
      </c>
      <c r="J36" s="135" t="str">
        <v>dc25</v>
      </c>
      <c r="K36" s="98" t="str">
        <v/>
      </c>
      <c r="L36" s="98" t="str">
        <v/>
      </c>
      <c r="M36"/>
      <c r="N36" s="66" t="s">
        <v>76</v>
      </c>
      <c r="O36" t="s">
        <v>36</v>
      </c>
      <c r="P36" s="2"/>
      <c r="Q36" s="2"/>
    </row>
    <row r="37" spans="1:17" ht="15">
      <c r="A37" s="69" t="s">
        <v>521</v>
      </c>
      <c r="C37" s="37" t="str">
        <f t="shared" si="5"/>
        <v>DIC 26</v>
      </c>
      <c r="D37" s="27">
        <f t="shared" ref="D37:D44" si="8">+IFERROR(VALUE(MID(A37,4,FIND(" ",A37,4)-4)),"")</f>
        <v>1227</v>
      </c>
      <c r="E37" s="33" t="str">
        <f t="shared" si="6"/>
        <v/>
      </c>
      <c r="F37" s="34" t="str">
        <f t="shared" si="7"/>
        <v/>
      </c>
      <c r="G37" s="30"/>
      <c r="H37" s="41"/>
      <c r="I37" s="95" t="str">
        <v>DIC 26</v>
      </c>
      <c r="J37" s="135" t="str">
        <v>dc26</v>
      </c>
      <c r="K37" s="98" t="str">
        <v/>
      </c>
      <c r="L37" s="98" t="str">
        <v/>
      </c>
      <c r="M37"/>
      <c r="N37" s="66" t="s">
        <v>77</v>
      </c>
      <c r="O37" t="s">
        <v>37</v>
      </c>
      <c r="P37" s="2"/>
      <c r="Q37" s="2"/>
    </row>
    <row r="38" spans="1:17" ht="15">
      <c r="A38" s="69" t="s">
        <v>522</v>
      </c>
      <c r="C38" s="37" t="str">
        <f t="shared" si="5"/>
        <v>NOV 28</v>
      </c>
      <c r="D38" s="27">
        <f t="shared" si="8"/>
        <v>1955</v>
      </c>
      <c r="E38" s="33" t="str">
        <f t="shared" si="6"/>
        <v/>
      </c>
      <c r="F38" s="34" t="str">
        <f t="shared" si="7"/>
        <v/>
      </c>
      <c r="G38" s="31"/>
      <c r="H38" s="41"/>
      <c r="I38" s="95" t="str">
        <v>NOV 28</v>
      </c>
      <c r="J38" s="135" t="str">
        <v>nv28</v>
      </c>
      <c r="K38" s="98" t="str">
        <v/>
      </c>
      <c r="L38" s="98" t="str">
        <v/>
      </c>
      <c r="M38"/>
      <c r="N38" t="s">
        <v>79</v>
      </c>
      <c r="O38" t="s">
        <v>39</v>
      </c>
      <c r="P38" s="2"/>
      <c r="Q38" s="2"/>
    </row>
    <row r="39" spans="1:17" ht="15">
      <c r="A39" s="69" t="s">
        <v>523</v>
      </c>
      <c r="B39"/>
      <c r="C39" s="37" t="str">
        <f t="shared" si="5"/>
        <v>NOV 31</v>
      </c>
      <c r="D39" s="27">
        <f t="shared" si="8"/>
        <v>3047</v>
      </c>
      <c r="E39" s="33" t="str">
        <f t="shared" si="6"/>
        <v/>
      </c>
      <c r="F39" s="34" t="str">
        <f t="shared" si="7"/>
        <v/>
      </c>
      <c r="G39" s="30"/>
      <c r="H39" s="41"/>
      <c r="I39" s="95" t="str">
        <v>NOV 31</v>
      </c>
      <c r="J39" s="135" t="str">
        <v>nv31</v>
      </c>
      <c r="K39" s="98" t="str">
        <v/>
      </c>
      <c r="L39" s="98" t="str">
        <v/>
      </c>
      <c r="M39"/>
      <c r="N39" t="s">
        <v>80</v>
      </c>
      <c r="O39" t="s">
        <v>40</v>
      </c>
    </row>
    <row r="40" spans="1:17" ht="15">
      <c r="A40" s="69" t="s">
        <v>524</v>
      </c>
      <c r="B40"/>
      <c r="C40" s="37" t="str">
        <f t="shared" si="5"/>
        <v>NOV 35</v>
      </c>
      <c r="D40" s="27">
        <f t="shared" si="8"/>
        <v>4503</v>
      </c>
      <c r="E40" s="33" t="str">
        <f t="shared" si="6"/>
        <v/>
      </c>
      <c r="F40" s="34" t="str">
        <f t="shared" si="7"/>
        <v/>
      </c>
      <c r="G40" s="31"/>
      <c r="H40" s="41"/>
      <c r="I40" s="95" t="str">
        <v>NOV 35</v>
      </c>
      <c r="J40" s="135" t="str">
        <v>nv35</v>
      </c>
      <c r="K40" s="98" t="str">
        <v/>
      </c>
      <c r="L40" s="98" t="str">
        <v/>
      </c>
      <c r="M40"/>
      <c r="N40" t="s">
        <v>82</v>
      </c>
      <c r="O40" t="s">
        <v>41</v>
      </c>
    </row>
    <row r="41" spans="1:17" ht="15">
      <c r="A41" s="69" t="s">
        <v>525</v>
      </c>
      <c r="B41"/>
      <c r="C41" s="37" t="str">
        <f t="shared" si="5"/>
        <v>NOV 40</v>
      </c>
      <c r="D41" s="27">
        <f t="shared" si="8"/>
        <v>6323</v>
      </c>
      <c r="E41" s="33" t="str">
        <f t="shared" si="6"/>
        <v/>
      </c>
      <c r="F41" s="34" t="str">
        <f t="shared" si="7"/>
        <v/>
      </c>
      <c r="G41" s="30"/>
      <c r="H41" s="41"/>
      <c r="I41" s="95" t="str">
        <v>NOV 40</v>
      </c>
      <c r="J41" s="135" t="str">
        <v>nv40</v>
      </c>
      <c r="K41" s="98" t="str">
        <v/>
      </c>
      <c r="L41" s="98" t="str">
        <v/>
      </c>
      <c r="M41"/>
      <c r="N41" t="s">
        <v>83</v>
      </c>
      <c r="O41" t="s">
        <v>42</v>
      </c>
    </row>
    <row r="42" spans="1:17" ht="15">
      <c r="A42" s="69" t="s">
        <v>526</v>
      </c>
      <c r="B42"/>
      <c r="C42" s="37" t="str">
        <f t="shared" si="5"/>
        <v>NOV 43</v>
      </c>
      <c r="D42" s="27">
        <f t="shared" si="8"/>
        <v>7415</v>
      </c>
      <c r="E42" s="33" t="str">
        <f t="shared" si="6"/>
        <v/>
      </c>
      <c r="F42" s="34" t="str">
        <f t="shared" si="7"/>
        <v/>
      </c>
      <c r="G42" s="31"/>
      <c r="H42" s="41"/>
      <c r="I42" s="95" t="str">
        <v>NOV 43</v>
      </c>
      <c r="J42" s="135" t="str">
        <v>nv43</v>
      </c>
      <c r="K42" s="98" t="str">
        <v/>
      </c>
      <c r="L42" s="98" t="str">
        <v/>
      </c>
      <c r="M42"/>
      <c r="N42" t="s">
        <v>85</v>
      </c>
      <c r="O42" t="s">
        <v>43</v>
      </c>
    </row>
    <row r="43" spans="1:17" ht="15">
      <c r="A43" s="69" t="s">
        <v>527</v>
      </c>
      <c r="B43"/>
      <c r="C43" s="37" t="str">
        <f t="shared" si="5"/>
        <v>NOV 46</v>
      </c>
      <c r="D43" s="27">
        <f t="shared" si="8"/>
        <v>8507</v>
      </c>
      <c r="E43" s="33" t="str">
        <f t="shared" si="6"/>
        <v/>
      </c>
      <c r="F43" s="34" t="str">
        <f t="shared" si="7"/>
        <v/>
      </c>
      <c r="G43" s="31"/>
      <c r="H43" s="41"/>
      <c r="I43" s="95" t="str">
        <v>NOV 46</v>
      </c>
      <c r="J43" s="135" t="str">
        <v>nv46</v>
      </c>
      <c r="K43" s="98" t="str">
        <v/>
      </c>
      <c r="L43" s="98" t="str">
        <v/>
      </c>
      <c r="M43"/>
      <c r="N43" t="s">
        <v>86</v>
      </c>
      <c r="O43" t="s">
        <v>44</v>
      </c>
    </row>
    <row r="44" spans="1:17" ht="15">
      <c r="A44" s="69" t="s">
        <v>528</v>
      </c>
      <c r="B44"/>
      <c r="C44" s="37" t="str">
        <f t="shared" si="5"/>
        <v>NOV 50</v>
      </c>
      <c r="D44" s="27">
        <f t="shared" si="8"/>
        <v>9963</v>
      </c>
      <c r="E44" s="33" t="str">
        <f t="shared" si="6"/>
        <v/>
      </c>
      <c r="F44" s="34" t="str">
        <f t="shared" si="7"/>
        <v/>
      </c>
      <c r="G44" s="31"/>
      <c r="H44"/>
      <c r="I44" s="95" t="str">
        <v>NOV 50</v>
      </c>
      <c r="J44" s="135" t="str">
        <v>nv50</v>
      </c>
      <c r="K44" s="98" t="str">
        <v/>
      </c>
      <c r="L44" s="98" t="str">
        <v/>
      </c>
      <c r="M44"/>
      <c r="N44" t="s">
        <v>88</v>
      </c>
      <c r="O44" t="s">
        <v>46</v>
      </c>
    </row>
    <row r="45" spans="1:17" ht="15">
      <c r="A45" s="69" t="s">
        <v>52</v>
      </c>
      <c r="B45"/>
      <c r="C45"/>
      <c r="D45"/>
      <c r="E45"/>
      <c r="F45"/>
      <c r="G45"/>
      <c r="H45"/>
      <c r="I45" s="95"/>
      <c r="J45" s="135"/>
      <c r="K45" s="98"/>
      <c r="L45" s="98"/>
      <c r="M45"/>
      <c r="N45" t="s">
        <v>89</v>
      </c>
      <c r="O45" t="s">
        <v>47</v>
      </c>
    </row>
    <row r="46" spans="1:17" ht="15">
      <c r="A46" s="69" t="s">
        <v>52</v>
      </c>
      <c r="B46"/>
      <c r="C46"/>
      <c r="D46"/>
      <c r="E46"/>
      <c r="F46"/>
      <c r="G46"/>
      <c r="H46"/>
      <c r="I46" s="95"/>
      <c r="J46" s="135"/>
      <c r="K46" s="98"/>
      <c r="L46" s="98"/>
      <c r="M46"/>
      <c r="N46" t="s">
        <v>91</v>
      </c>
      <c r="O46" t="s">
        <v>48</v>
      </c>
    </row>
    <row r="47" spans="1:17" ht="15">
      <c r="A47" s="69" t="s">
        <v>52</v>
      </c>
      <c r="B47"/>
      <c r="C47"/>
      <c r="D47"/>
      <c r="E47"/>
      <c r="F47"/>
      <c r="G47"/>
      <c r="H47"/>
      <c r="I47" s="95"/>
      <c r="J47" s="135"/>
      <c r="K47" s="98"/>
      <c r="L47" s="98"/>
      <c r="M47"/>
      <c r="N47" t="s">
        <v>105</v>
      </c>
      <c r="O47" t="s">
        <v>106</v>
      </c>
    </row>
    <row r="48" spans="1:17" ht="15">
      <c r="A48" s="69" t="s">
        <v>52</v>
      </c>
      <c r="B48"/>
      <c r="C48"/>
      <c r="D48"/>
      <c r="E48"/>
      <c r="F48"/>
      <c r="G48"/>
      <c r="H48"/>
      <c r="I48" s="95"/>
      <c r="J48" s="135"/>
      <c r="K48" s="98"/>
      <c r="L48" s="98"/>
      <c r="M48"/>
      <c r="N48" t="s">
        <v>107</v>
      </c>
      <c r="O48" t="s">
        <v>108</v>
      </c>
    </row>
    <row r="49" spans="1:19" ht="15">
      <c r="A49" s="69" t="s">
        <v>251</v>
      </c>
      <c r="B49"/>
      <c r="C49"/>
      <c r="D49"/>
      <c r="E49"/>
      <c r="F49"/>
      <c r="G49"/>
      <c r="H49"/>
      <c r="I49" s="95"/>
      <c r="J49" s="135"/>
      <c r="K49" s="98"/>
      <c r="L49" s="98"/>
      <c r="M49"/>
      <c r="N49" t="s">
        <v>109</v>
      </c>
      <c r="O49"/>
    </row>
    <row r="50" spans="1:19" ht="15">
      <c r="A50" s="69" t="s">
        <v>52</v>
      </c>
      <c r="B50"/>
      <c r="C50"/>
      <c r="D50"/>
      <c r="E50"/>
      <c r="F50"/>
      <c r="G50"/>
      <c r="H50"/>
      <c r="I50" s="95"/>
      <c r="J50" s="135"/>
      <c r="K50" s="98"/>
      <c r="L50" s="98"/>
      <c r="M50"/>
      <c r="N50" t="s">
        <v>174</v>
      </c>
      <c r="O50"/>
    </row>
    <row r="51" spans="1:19" ht="15">
      <c r="A51" s="69" t="s">
        <v>52</v>
      </c>
      <c r="B51"/>
      <c r="C51"/>
      <c r="D51"/>
      <c r="E51"/>
      <c r="F51"/>
      <c r="G51"/>
      <c r="H51"/>
      <c r="I51" s="95"/>
      <c r="J51" s="135"/>
      <c r="K51" s="98"/>
      <c r="L51" s="98"/>
      <c r="M51"/>
      <c r="N51"/>
      <c r="O51"/>
    </row>
    <row r="52" spans="1:19" ht="15">
      <c r="A52" s="69" t="s">
        <v>52</v>
      </c>
      <c r="B52"/>
      <c r="C52"/>
      <c r="D52"/>
      <c r="E52"/>
      <c r="F52"/>
      <c r="G52"/>
      <c r="H52"/>
      <c r="I52"/>
      <c r="J52" s="1"/>
      <c r="K52" s="1"/>
      <c r="L52" s="1"/>
    </row>
    <row r="53" spans="1:19" ht="15">
      <c r="A53" s="69" t="s">
        <v>252</v>
      </c>
      <c r="B53"/>
      <c r="C53"/>
      <c r="D53"/>
      <c r="E53"/>
      <c r="F53"/>
      <c r="G53"/>
      <c r="H53"/>
      <c r="I53"/>
      <c r="J53" s="1"/>
      <c r="K53" s="1"/>
      <c r="L53" s="1"/>
    </row>
    <row r="54" spans="1:19" ht="15">
      <c r="A54" s="1" t="s">
        <v>52</v>
      </c>
      <c r="B54"/>
      <c r="C54"/>
      <c r="D54"/>
      <c r="E54"/>
      <c r="F54"/>
      <c r="G54"/>
      <c r="H54"/>
      <c r="I54"/>
      <c r="J54" s="1"/>
      <c r="K54" s="1"/>
      <c r="L54" s="1"/>
    </row>
    <row r="55" spans="1:19" ht="15">
      <c r="A55" s="1" t="s">
        <v>52</v>
      </c>
      <c r="B55"/>
      <c r="C55"/>
      <c r="D55"/>
      <c r="E55"/>
      <c r="F55"/>
      <c r="G55"/>
      <c r="H55"/>
      <c r="I55"/>
      <c r="J55" s="1"/>
      <c r="K55" s="1"/>
      <c r="L55" s="1"/>
    </row>
    <row r="56" spans="1:19" ht="15">
      <c r="A56" s="1" t="s">
        <v>52</v>
      </c>
      <c r="B56"/>
      <c r="C56"/>
      <c r="D56"/>
      <c r="E56"/>
      <c r="F56"/>
      <c r="G56"/>
      <c r="H56"/>
      <c r="I56"/>
      <c r="J56" s="1"/>
      <c r="K56" s="1"/>
      <c r="L56" s="1"/>
    </row>
    <row r="57" spans="1:19" ht="15">
      <c r="A57" s="1" t="s">
        <v>52</v>
      </c>
      <c r="B57"/>
      <c r="C57"/>
      <c r="D57"/>
      <c r="E57"/>
      <c r="F57"/>
      <c r="G57"/>
      <c r="H57"/>
      <c r="I57"/>
      <c r="J57" s="1"/>
      <c r="K57" s="1"/>
      <c r="L57" s="1"/>
    </row>
    <row r="58" spans="1:19" ht="15">
      <c r="A58" s="1" t="s">
        <v>52</v>
      </c>
      <c r="B58"/>
      <c r="C58"/>
      <c r="D58"/>
      <c r="E58"/>
      <c r="F58"/>
      <c r="G58"/>
      <c r="H58"/>
      <c r="I58"/>
      <c r="J58" s="1"/>
      <c r="K58" s="1"/>
      <c r="L58" s="1"/>
    </row>
    <row r="59" spans="1:19" ht="15">
      <c r="B59"/>
      <c r="C59"/>
      <c r="D59"/>
      <c r="E59"/>
      <c r="F59"/>
      <c r="G59"/>
      <c r="H59"/>
      <c r="I59"/>
      <c r="J59" s="1"/>
      <c r="K59" s="1"/>
      <c r="L59" s="1"/>
    </row>
    <row r="60" spans="1:19" ht="15">
      <c r="B60"/>
      <c r="C60"/>
      <c r="D60"/>
      <c r="E60"/>
      <c r="F60"/>
      <c r="G60"/>
      <c r="H60"/>
      <c r="I60"/>
      <c r="J60" s="1"/>
      <c r="K60" s="1"/>
      <c r="L60" s="1"/>
    </row>
    <row r="61" spans="1:19" ht="15">
      <c r="B61"/>
      <c r="C61"/>
      <c r="D61"/>
      <c r="E61"/>
      <c r="F61"/>
      <c r="G61"/>
      <c r="H61"/>
      <c r="I61"/>
      <c r="J61" s="1"/>
      <c r="K61" s="1"/>
      <c r="L61" s="1"/>
    </row>
    <row r="62" spans="1:19" ht="1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</row>
    <row r="63" spans="1:19" ht="1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</row>
    <row r="64" spans="1:19" ht="1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theme="8" tint="0.79998168889431442"/>
  </sheetPr>
  <dimension ref="A1:O57"/>
  <sheetViews>
    <sheetView zoomScale="90" zoomScaleNormal="90" workbookViewId="0">
      <pane xSplit="1" ySplit="4" topLeftCell="D10" activePane="bottomRight" state="frozen"/>
      <selection pane="topRight" activeCell="B1" sqref="B1"/>
      <selection pane="bottomLeft" activeCell="A5" sqref="A5"/>
      <selection pane="bottomRight" activeCell="E29" sqref="E29"/>
    </sheetView>
  </sheetViews>
  <sheetFormatPr baseColWidth="10" defaultColWidth="9.140625" defaultRowHeight="12.75"/>
  <cols>
    <col min="1" max="1" width="92.140625" style="1" bestFit="1" customWidth="1"/>
    <col min="2" max="2" width="4.42578125" style="2" customWidth="1"/>
    <col min="3" max="3" width="11.28515625" style="2" customWidth="1"/>
    <col min="4" max="4" width="12" style="2" customWidth="1"/>
    <col min="5" max="10" width="11.42578125" style="2" customWidth="1"/>
    <col min="11" max="11" width="4.42578125" style="1" customWidth="1"/>
    <col min="12" max="13" width="9.140625" style="1" customWidth="1"/>
    <col min="14" max="16384" width="9.140625" style="1"/>
  </cols>
  <sheetData>
    <row r="1" spans="1:15">
      <c r="A1" s="3" t="s">
        <v>253</v>
      </c>
      <c r="B1" s="1"/>
      <c r="C1" s="1"/>
      <c r="D1" s="1"/>
      <c r="E1" s="1"/>
      <c r="F1" s="1"/>
      <c r="G1" s="1"/>
      <c r="H1" s="1"/>
      <c r="I1" s="1"/>
      <c r="J1" s="1"/>
    </row>
    <row r="2" spans="1:15" s="49" customFormat="1">
      <c r="A2" s="49" t="e">
        <f ca="1">_xll.BPGE("1257/1/1",,"cols=1;rows=26")</f>
        <v>#NAME?</v>
      </c>
    </row>
    <row r="3" spans="1:15">
      <c r="A3" s="70" t="s">
        <v>867</v>
      </c>
      <c r="B3" s="1"/>
      <c r="C3" s="1">
        <v>15</v>
      </c>
      <c r="D3" s="1"/>
      <c r="E3" s="1">
        <f>+FIND("/",A5)</f>
        <v>45</v>
      </c>
      <c r="F3" s="1">
        <v>49</v>
      </c>
      <c r="G3" s="1">
        <f>+LEN(A5)-12</f>
        <v>68</v>
      </c>
      <c r="H3" s="1"/>
      <c r="I3" s="1"/>
      <c r="J3" s="1"/>
    </row>
    <row r="4" spans="1:15" ht="15">
      <c r="A4" s="70" t="s">
        <v>52</v>
      </c>
      <c r="B4" s="1"/>
      <c r="C4" s="23" t="s">
        <v>55</v>
      </c>
      <c r="D4" s="24" t="s">
        <v>72</v>
      </c>
      <c r="E4" s="25" t="s">
        <v>29</v>
      </c>
      <c r="F4" s="26" t="s">
        <v>30</v>
      </c>
      <c r="G4" s="24" t="s">
        <v>58</v>
      </c>
      <c r="H4" s="1"/>
      <c r="I4" s="24" t="s">
        <v>28</v>
      </c>
      <c r="J4" s="24" t="s">
        <v>32</v>
      </c>
      <c r="K4" s="24" t="s">
        <v>14</v>
      </c>
      <c r="L4" s="24" t="s">
        <v>33</v>
      </c>
      <c r="M4"/>
      <c r="N4"/>
      <c r="O4"/>
    </row>
    <row r="5" spans="1:15" ht="15">
      <c r="A5" s="70" t="s">
        <v>692</v>
      </c>
      <c r="B5" s="1"/>
      <c r="C5" s="37" t="str">
        <f>MID(A5,$C$3,5)</f>
        <v>DIC23</v>
      </c>
      <c r="D5" s="27">
        <f>IFERROR(VALUE(MID(A5,4,FIND(C5,A5)-4)),"")</f>
        <v>135</v>
      </c>
      <c r="E5" s="33" t="str">
        <f>+MID($A5,E$3-6,5)</f>
        <v xml:space="preserve">     </v>
      </c>
      <c r="F5" s="34" t="str">
        <f>+MID($A5,F$3,5)</f>
        <v xml:space="preserve">     </v>
      </c>
      <c r="G5" s="30">
        <f>IFERROR(VALUE(MID(A5,$G$3,8)),"")</f>
        <v>11.42</v>
      </c>
      <c r="H5" s="1"/>
      <c r="I5" s="95" t="str" cm="1">
        <f t="array" ref="I5:I21">+TRANSPOSE(_xlfn.TEXTSPLIT(_xlfn.TEXTJOIN(",",TRUE,C5:C28),","))</f>
        <v>DIC23</v>
      </c>
      <c r="J5" s="135" t="str" cm="1">
        <f t="array" ref="J5:J21">+IFERROR(VLOOKUP(LEFT(_xlfn.ANCHORARRAY(I5),3),$N$5:$O$16,2,FALSE)&amp;RIGHT(_xlfn.ANCHORARRAY(I5),2),VLOOKUP(RIGHT(_xlfn.ANCHORARRAY(I5),3),N17:O21,2))</f>
        <v>dc23</v>
      </c>
      <c r="K5" s="98" t="str" cm="1">
        <f t="array" ref="K5:K21">+IF(VLOOKUP(_xlfn.ANCHORARRAY(I5),$C$4:$G$28,3,0)=0,"",VLOOKUP(_xlfn.ANCHORARRAY($I5),$C$4:$G$28,3,0))</f>
        <v xml:space="preserve">     </v>
      </c>
      <c r="L5" s="98" t="str" cm="1">
        <f t="array" ref="L5:L21">+IF(VLOOKUP(_xlfn.ANCHORARRAY($I5),$C$4:$G$28,4,0)=0,"",VLOOKUP(_xlfn.ANCHORARRAY($I5),$C$4:$G$28,4,0))</f>
        <v xml:space="preserve">     </v>
      </c>
      <c r="M5"/>
      <c r="N5" s="136" t="s">
        <v>73</v>
      </c>
      <c r="O5" t="s">
        <v>34</v>
      </c>
    </row>
    <row r="6" spans="1:15" ht="15">
      <c r="A6" s="70" t="s">
        <v>693</v>
      </c>
      <c r="B6" s="1"/>
      <c r="C6" s="37" t="str">
        <f t="shared" ref="C6:C21" si="0">MID(A6,$C$3,5)</f>
        <v>SEP24</v>
      </c>
      <c r="D6" s="27">
        <f t="shared" ref="D6:D21" si="1">IFERROR(VALUE(MID(A6,4,FIND(C6,A6)-4)),"")</f>
        <v>408</v>
      </c>
      <c r="E6" s="33" t="str">
        <f t="shared" ref="E6:E20" si="2">+MID($A6,E$3-6,5)</f>
        <v xml:space="preserve">     </v>
      </c>
      <c r="F6" s="36" t="str">
        <f t="shared" ref="F6:F16" si="3">+MID($A6,F$3,5)</f>
        <v xml:space="preserve">     </v>
      </c>
      <c r="G6" s="30">
        <f t="shared" ref="G6:G21" si="4">IFERROR(VALUE(MID(A6,$G$3,8)),"")</f>
        <v>10.99</v>
      </c>
      <c r="H6" s="1"/>
      <c r="I6" s="95" t="str">
        <v>SEP24</v>
      </c>
      <c r="J6" s="135" t="str">
        <v>sp24</v>
      </c>
      <c r="K6" s="98" t="str">
        <v xml:space="preserve">     </v>
      </c>
      <c r="L6" s="98" t="str">
        <v xml:space="preserve">     </v>
      </c>
      <c r="M6"/>
      <c r="N6" s="66" t="s">
        <v>76</v>
      </c>
      <c r="O6" t="s">
        <v>36</v>
      </c>
    </row>
    <row r="7" spans="1:15" ht="15">
      <c r="A7" s="70" t="s">
        <v>694</v>
      </c>
      <c r="B7" s="1"/>
      <c r="C7" s="37" t="str">
        <f t="shared" si="0"/>
        <v>DIC24</v>
      </c>
      <c r="D7" s="27">
        <f t="shared" si="1"/>
        <v>499</v>
      </c>
      <c r="E7" s="33" t="str">
        <f t="shared" si="2"/>
        <v xml:space="preserve">     </v>
      </c>
      <c r="F7" s="34" t="str">
        <f t="shared" si="3"/>
        <v xml:space="preserve">     </v>
      </c>
      <c r="G7" s="30">
        <f t="shared" si="4"/>
        <v>10.58</v>
      </c>
      <c r="H7" s="1"/>
      <c r="I7" s="95" t="str">
        <v>DIC24</v>
      </c>
      <c r="J7" s="135" t="str">
        <v>dc24</v>
      </c>
      <c r="K7" s="98" t="str">
        <v xml:space="preserve">     </v>
      </c>
      <c r="L7" s="98" t="str">
        <v xml:space="preserve">     </v>
      </c>
      <c r="M7"/>
      <c r="N7" s="66" t="s">
        <v>77</v>
      </c>
      <c r="O7" t="s">
        <v>37</v>
      </c>
    </row>
    <row r="8" spans="1:15" ht="15">
      <c r="A8" s="70" t="s">
        <v>695</v>
      </c>
      <c r="B8" s="1"/>
      <c r="C8" s="37" t="str">
        <f t="shared" si="0"/>
        <v>MAR25</v>
      </c>
      <c r="D8" s="27">
        <f t="shared" si="1"/>
        <v>590</v>
      </c>
      <c r="E8" s="33" t="str">
        <f t="shared" si="2"/>
        <v xml:space="preserve">     </v>
      </c>
      <c r="F8" s="36" t="str">
        <f t="shared" si="3"/>
        <v xml:space="preserve">     </v>
      </c>
      <c r="G8" s="30">
        <f t="shared" si="4"/>
        <v>10.1</v>
      </c>
      <c r="H8" s="1"/>
      <c r="I8" s="95" t="str">
        <v>MAR25</v>
      </c>
      <c r="J8" s="135" t="str">
        <v>mz25</v>
      </c>
      <c r="K8" s="98" t="str">
        <v xml:space="preserve">     </v>
      </c>
      <c r="L8" s="98" t="str">
        <v xml:space="preserve">     </v>
      </c>
      <c r="M8"/>
      <c r="N8" t="s">
        <v>79</v>
      </c>
      <c r="O8" t="s">
        <v>39</v>
      </c>
    </row>
    <row r="9" spans="1:15" ht="15">
      <c r="A9" s="70" t="s">
        <v>696</v>
      </c>
      <c r="B9" s="1"/>
      <c r="C9" s="37" t="str">
        <f t="shared" si="0"/>
        <v>MAR26</v>
      </c>
      <c r="D9" s="27">
        <f t="shared" si="1"/>
        <v>954</v>
      </c>
      <c r="E9" s="33" t="str">
        <f t="shared" si="2"/>
        <v xml:space="preserve">     </v>
      </c>
      <c r="F9" s="34" t="str">
        <f t="shared" si="3"/>
        <v xml:space="preserve">     </v>
      </c>
      <c r="G9" s="30">
        <f t="shared" si="4"/>
        <v>9.57</v>
      </c>
      <c r="H9" s="1"/>
      <c r="I9" s="95" t="str">
        <v>MAR26</v>
      </c>
      <c r="J9" s="135" t="str">
        <v>mz26</v>
      </c>
      <c r="K9" s="98" t="str">
        <v xml:space="preserve">     </v>
      </c>
      <c r="L9" s="98" t="str">
        <v xml:space="preserve">     </v>
      </c>
      <c r="M9"/>
      <c r="N9" t="s">
        <v>80</v>
      </c>
      <c r="O9" t="s">
        <v>40</v>
      </c>
    </row>
    <row r="10" spans="1:15" ht="15">
      <c r="A10" s="70" t="s">
        <v>697</v>
      </c>
      <c r="B10" s="1"/>
      <c r="C10" s="37" t="str">
        <f t="shared" si="0"/>
        <v>SEP26</v>
      </c>
      <c r="D10" s="27">
        <f t="shared" si="1"/>
        <v>1136</v>
      </c>
      <c r="E10" s="35" t="str">
        <f t="shared" si="2"/>
        <v xml:space="preserve">     </v>
      </c>
      <c r="F10" s="36" t="str">
        <f t="shared" si="3"/>
        <v xml:space="preserve">     </v>
      </c>
      <c r="G10" s="30">
        <f t="shared" si="4"/>
        <v>9.56</v>
      </c>
      <c r="H10" s="1"/>
      <c r="I10" s="95" t="str">
        <v>SEP26</v>
      </c>
      <c r="J10" s="135" t="str">
        <v>sp26</v>
      </c>
      <c r="K10" s="98" t="str">
        <v xml:space="preserve">     </v>
      </c>
      <c r="L10" s="98" t="str">
        <v xml:space="preserve">     </v>
      </c>
      <c r="M10"/>
      <c r="N10" t="s">
        <v>82</v>
      </c>
      <c r="O10" t="s">
        <v>41</v>
      </c>
    </row>
    <row r="11" spans="1:15" ht="15">
      <c r="A11" s="70" t="s">
        <v>698</v>
      </c>
      <c r="B11" s="1"/>
      <c r="C11" s="37" t="str">
        <f t="shared" si="0"/>
        <v>MAR27</v>
      </c>
      <c r="D11" s="27">
        <f t="shared" si="1"/>
        <v>1318</v>
      </c>
      <c r="E11" s="33" t="str">
        <f t="shared" si="2"/>
        <v xml:space="preserve">     </v>
      </c>
      <c r="F11" s="34" t="str">
        <f t="shared" si="3"/>
        <v xml:space="preserve">     </v>
      </c>
      <c r="G11" s="30">
        <f t="shared" si="4"/>
        <v>9.33</v>
      </c>
      <c r="H11" s="1"/>
      <c r="I11" s="95" t="str">
        <v>MAR27</v>
      </c>
      <c r="J11" s="135" t="str">
        <v>mz27</v>
      </c>
      <c r="K11" s="98" t="str">
        <v xml:space="preserve">     </v>
      </c>
      <c r="L11" s="98" t="str">
        <v xml:space="preserve">     </v>
      </c>
      <c r="M11"/>
      <c r="N11" t="s">
        <v>83</v>
      </c>
      <c r="O11" t="s">
        <v>42</v>
      </c>
    </row>
    <row r="12" spans="1:15" ht="15">
      <c r="A12" s="70" t="s">
        <v>699</v>
      </c>
      <c r="B12" s="1"/>
      <c r="C12" s="37" t="str">
        <f t="shared" si="0"/>
        <v>JUN27</v>
      </c>
      <c r="D12" s="27">
        <f t="shared" si="1"/>
        <v>1409</v>
      </c>
      <c r="E12" s="35" t="str">
        <f t="shared" si="2"/>
        <v xml:space="preserve">     </v>
      </c>
      <c r="F12" s="36" t="str">
        <f t="shared" si="3"/>
        <v xml:space="preserve">     </v>
      </c>
      <c r="G12" s="30">
        <f t="shared" si="4"/>
        <v>9.2200000000000006</v>
      </c>
      <c r="H12" s="1"/>
      <c r="I12" s="95" t="str">
        <v>JUN27</v>
      </c>
      <c r="J12" s="135" t="str">
        <v>jn27</v>
      </c>
      <c r="K12" s="98" t="str">
        <v xml:space="preserve">     </v>
      </c>
      <c r="L12" s="98" t="str">
        <v xml:space="preserve">     </v>
      </c>
      <c r="M12"/>
      <c r="N12" t="s">
        <v>85</v>
      </c>
      <c r="O12" t="s">
        <v>43</v>
      </c>
    </row>
    <row r="13" spans="1:15" ht="15">
      <c r="A13" s="70" t="s">
        <v>700</v>
      </c>
      <c r="B13" s="1"/>
      <c r="C13" s="37" t="str">
        <f t="shared" si="0"/>
        <v>MAY29</v>
      </c>
      <c r="D13" s="27">
        <f t="shared" si="1"/>
        <v>2137</v>
      </c>
      <c r="E13" s="33" t="str">
        <f t="shared" si="2"/>
        <v xml:space="preserve">     </v>
      </c>
      <c r="F13" s="34" t="str">
        <f t="shared" si="3"/>
        <v xml:space="preserve">     </v>
      </c>
      <c r="G13" s="30">
        <f t="shared" si="4"/>
        <v>8.84</v>
      </c>
      <c r="H13" s="1"/>
      <c r="I13" s="95" t="str">
        <v>MAY29</v>
      </c>
      <c r="J13" s="135" t="str">
        <v>my29</v>
      </c>
      <c r="K13" s="98" t="str">
        <v xml:space="preserve">     </v>
      </c>
      <c r="L13" s="98" t="str">
        <v xml:space="preserve">     </v>
      </c>
      <c r="M13"/>
      <c r="N13" t="s">
        <v>86</v>
      </c>
      <c r="O13" t="s">
        <v>44</v>
      </c>
    </row>
    <row r="14" spans="1:15" ht="15">
      <c r="A14" s="70" t="s">
        <v>701</v>
      </c>
      <c r="B14" s="1"/>
      <c r="C14" s="37" t="str">
        <f t="shared" si="0"/>
        <v>MAY31</v>
      </c>
      <c r="D14" s="27">
        <f t="shared" si="1"/>
        <v>2865</v>
      </c>
      <c r="E14" s="35" t="str">
        <f t="shared" si="2"/>
        <v xml:space="preserve">     </v>
      </c>
      <c r="F14" s="36" t="str">
        <f t="shared" si="3"/>
        <v xml:space="preserve">     </v>
      </c>
      <c r="G14" s="30">
        <f t="shared" si="4"/>
        <v>8.82</v>
      </c>
      <c r="H14" s="1"/>
      <c r="I14" s="95" t="str">
        <v>MAY31</v>
      </c>
      <c r="J14" s="135" t="str">
        <v>my31</v>
      </c>
      <c r="K14" s="98" t="str">
        <v xml:space="preserve">     </v>
      </c>
      <c r="L14" s="98" t="str">
        <v xml:space="preserve">     </v>
      </c>
      <c r="M14"/>
      <c r="N14" t="s">
        <v>88</v>
      </c>
      <c r="O14" t="s">
        <v>46</v>
      </c>
    </row>
    <row r="15" spans="1:15" ht="15">
      <c r="A15" s="70" t="s">
        <v>702</v>
      </c>
      <c r="B15" s="1"/>
      <c r="C15" s="37" t="str">
        <f t="shared" si="0"/>
        <v>MAY33</v>
      </c>
      <c r="D15" s="27">
        <f t="shared" si="1"/>
        <v>3593</v>
      </c>
      <c r="E15" s="33" t="str">
        <f t="shared" si="2"/>
        <v xml:space="preserve">     </v>
      </c>
      <c r="F15" s="34" t="str">
        <f t="shared" si="3"/>
        <v xml:space="preserve">     </v>
      </c>
      <c r="G15" s="30">
        <f t="shared" si="4"/>
        <v>8.82</v>
      </c>
      <c r="H15" s="1"/>
      <c r="I15" s="95" t="str">
        <v>MAY33</v>
      </c>
      <c r="J15" s="135" t="str">
        <v>my33</v>
      </c>
      <c r="K15" s="98" t="str">
        <v xml:space="preserve">     </v>
      </c>
      <c r="L15" s="98" t="str">
        <v xml:space="preserve">     </v>
      </c>
      <c r="M15"/>
      <c r="N15" t="s">
        <v>89</v>
      </c>
      <c r="O15" t="s">
        <v>47</v>
      </c>
    </row>
    <row r="16" spans="1:15" ht="15">
      <c r="A16" s="70" t="s">
        <v>703</v>
      </c>
      <c r="B16" s="1"/>
      <c r="C16" s="37" t="str">
        <f t="shared" si="0"/>
        <v>NOV34</v>
      </c>
      <c r="D16" s="27">
        <f t="shared" si="1"/>
        <v>4139</v>
      </c>
      <c r="E16" s="35" t="str">
        <f t="shared" si="2"/>
        <v xml:space="preserve">     </v>
      </c>
      <c r="F16" s="36" t="str">
        <f t="shared" si="3"/>
        <v xml:space="preserve">     </v>
      </c>
      <c r="G16" s="30">
        <f t="shared" si="4"/>
        <v>8.82</v>
      </c>
      <c r="H16" s="1"/>
      <c r="I16" s="95" t="str">
        <v>NOV34</v>
      </c>
      <c r="J16" s="135" t="str">
        <v>nv34</v>
      </c>
      <c r="K16" s="98" t="str">
        <v xml:space="preserve">     </v>
      </c>
      <c r="L16" s="98" t="str">
        <v xml:space="preserve">     </v>
      </c>
      <c r="M16"/>
      <c r="N16" t="s">
        <v>91</v>
      </c>
      <c r="O16" t="s">
        <v>48</v>
      </c>
    </row>
    <row r="17" spans="1:15" ht="15">
      <c r="A17" s="70" t="s">
        <v>704</v>
      </c>
      <c r="B17" s="1"/>
      <c r="C17" s="37" t="str">
        <f t="shared" si="0"/>
        <v>NOV36</v>
      </c>
      <c r="D17" s="27">
        <f t="shared" si="1"/>
        <v>4867</v>
      </c>
      <c r="E17" s="35" t="str">
        <f t="shared" si="2"/>
        <v xml:space="preserve">     </v>
      </c>
      <c r="F17" s="36" t="str">
        <f>+MID($A17,F$3,5)</f>
        <v xml:space="preserve">     </v>
      </c>
      <c r="G17" s="30">
        <f t="shared" si="4"/>
        <v>8.81</v>
      </c>
      <c r="H17" s="1"/>
      <c r="I17" s="95" t="str">
        <v>NOV36</v>
      </c>
      <c r="J17" s="135" t="str">
        <v>nv36</v>
      </c>
      <c r="K17" s="98" t="str">
        <v xml:space="preserve">     </v>
      </c>
      <c r="L17" s="98" t="str">
        <v xml:space="preserve">     </v>
      </c>
      <c r="M17"/>
      <c r="N17" t="s">
        <v>105</v>
      </c>
      <c r="O17" t="s">
        <v>106</v>
      </c>
    </row>
    <row r="18" spans="1:15" ht="15">
      <c r="A18" s="70" t="s">
        <v>705</v>
      </c>
      <c r="B18" s="1"/>
      <c r="C18" s="37" t="str">
        <f t="shared" si="0"/>
        <v>NOV38</v>
      </c>
      <c r="D18" s="27">
        <f t="shared" si="1"/>
        <v>5595</v>
      </c>
      <c r="E18" s="33" t="str">
        <f t="shared" si="2"/>
        <v xml:space="preserve">     </v>
      </c>
      <c r="F18" s="34" t="str">
        <f>+MID($A18,F$3,5)</f>
        <v xml:space="preserve">     </v>
      </c>
      <c r="G18" s="30">
        <f t="shared" si="4"/>
        <v>8.8800000000000008</v>
      </c>
      <c r="H18" s="1"/>
      <c r="I18" s="95" t="str">
        <v>NOV38</v>
      </c>
      <c r="J18" s="135" t="str">
        <v>nv38</v>
      </c>
      <c r="K18" s="98" t="str">
        <v xml:space="preserve">     </v>
      </c>
      <c r="L18" s="98" t="str">
        <v xml:space="preserve">     </v>
      </c>
      <c r="M18"/>
      <c r="N18" t="s">
        <v>107</v>
      </c>
      <c r="O18" t="s">
        <v>108</v>
      </c>
    </row>
    <row r="19" spans="1:15" ht="15">
      <c r="A19" s="70" t="s">
        <v>706</v>
      </c>
      <c r="B19" s="1"/>
      <c r="C19" s="37" t="str">
        <f t="shared" si="0"/>
        <v>NOV42</v>
      </c>
      <c r="D19" s="27">
        <f t="shared" si="1"/>
        <v>7051</v>
      </c>
      <c r="E19" s="35" t="str">
        <f t="shared" si="2"/>
        <v xml:space="preserve">     </v>
      </c>
      <c r="F19" s="36" t="str">
        <f>+MID($A19,F$3,5)</f>
        <v xml:space="preserve">     </v>
      </c>
      <c r="G19" s="30">
        <f t="shared" si="4"/>
        <v>8.91</v>
      </c>
      <c r="H19" s="1"/>
      <c r="I19" s="95" t="str">
        <v>NOV42</v>
      </c>
      <c r="J19" s="135" t="str">
        <v>nv42</v>
      </c>
      <c r="K19" s="98" t="str">
        <v xml:space="preserve">     </v>
      </c>
      <c r="L19" s="98" t="str">
        <v xml:space="preserve">     </v>
      </c>
      <c r="M19"/>
      <c r="N19" t="s">
        <v>109</v>
      </c>
      <c r="O19"/>
    </row>
    <row r="20" spans="1:15" ht="15">
      <c r="A20" s="70" t="s">
        <v>707</v>
      </c>
      <c r="B20" s="1"/>
      <c r="C20" s="37" t="str">
        <f t="shared" si="0"/>
        <v>NOV47</v>
      </c>
      <c r="D20" s="27">
        <f t="shared" si="1"/>
        <v>8871</v>
      </c>
      <c r="E20" s="33" t="str">
        <f t="shared" si="2"/>
        <v xml:space="preserve">     </v>
      </c>
      <c r="F20" s="34" t="str">
        <f>+MID($A20,F$3,5)</f>
        <v xml:space="preserve">     </v>
      </c>
      <c r="G20" s="30">
        <f t="shared" si="4"/>
        <v>8.8699999999999992</v>
      </c>
      <c r="H20" s="1"/>
      <c r="I20" s="95" t="str">
        <v>NOV47</v>
      </c>
      <c r="J20" s="135" t="str">
        <v>nv47</v>
      </c>
      <c r="K20" s="98" t="str">
        <v xml:space="preserve">     </v>
      </c>
      <c r="L20" s="98" t="str">
        <v xml:space="preserve">     </v>
      </c>
      <c r="M20"/>
      <c r="N20" t="s">
        <v>174</v>
      </c>
      <c r="O20"/>
    </row>
    <row r="21" spans="1:15" ht="15">
      <c r="A21" s="70" t="s">
        <v>708</v>
      </c>
      <c r="B21" s="1"/>
      <c r="C21" s="37" t="str">
        <f t="shared" si="0"/>
        <v>JUL53</v>
      </c>
      <c r="D21" s="27">
        <f t="shared" si="1"/>
        <v>10964</v>
      </c>
      <c r="E21" s="35" t="str">
        <f>+MID($A21,E$3-5,4)</f>
        <v xml:space="preserve">    </v>
      </c>
      <c r="F21" s="36" t="str">
        <f>+MID($A21,F$3,5)</f>
        <v xml:space="preserve">     </v>
      </c>
      <c r="G21" s="30">
        <f t="shared" si="4"/>
        <v>8.9</v>
      </c>
      <c r="H21" s="1"/>
      <c r="I21" s="95" t="str">
        <v>JUL53</v>
      </c>
      <c r="J21" s="135" t="str">
        <v>jl53</v>
      </c>
      <c r="K21" s="98" t="str">
        <v xml:space="preserve">    </v>
      </c>
      <c r="L21" s="98" t="str">
        <v xml:space="preserve">     </v>
      </c>
      <c r="M21"/>
      <c r="N21"/>
      <c r="O21"/>
    </row>
    <row r="22" spans="1:15">
      <c r="A22" s="1" t="s">
        <v>812</v>
      </c>
      <c r="B22" s="1"/>
      <c r="C22" s="1"/>
      <c r="D22" s="1"/>
      <c r="E22" s="1"/>
      <c r="F22" s="1"/>
      <c r="G22" s="1"/>
      <c r="H22" s="1"/>
      <c r="I22" s="1"/>
      <c r="J22" s="1"/>
    </row>
    <row r="23" spans="1:15">
      <c r="A23" s="1" t="s">
        <v>52</v>
      </c>
      <c r="B23" s="1"/>
      <c r="C23" s="1"/>
      <c r="D23" s="1"/>
      <c r="E23" s="1"/>
      <c r="F23" s="1"/>
      <c r="G23" s="1"/>
      <c r="H23" s="1"/>
      <c r="I23" s="1"/>
      <c r="J23" s="1"/>
    </row>
    <row r="24" spans="1:15">
      <c r="A24" s="1" t="s">
        <v>52</v>
      </c>
      <c r="B24" s="1"/>
      <c r="C24" s="1"/>
      <c r="D24" s="1"/>
      <c r="E24" s="1"/>
      <c r="F24" s="1"/>
      <c r="G24" s="1"/>
      <c r="H24" s="1"/>
      <c r="I24" s="1"/>
      <c r="J24" s="1"/>
    </row>
    <row r="25" spans="1:15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</row>
    <row r="26" spans="1:15">
      <c r="A26" s="1" t="s">
        <v>52</v>
      </c>
      <c r="B26" s="1"/>
      <c r="C26" s="1"/>
      <c r="D26" s="1"/>
      <c r="E26" s="1"/>
      <c r="F26" s="1"/>
      <c r="G26" s="1"/>
      <c r="H26" s="1"/>
      <c r="I26" s="1"/>
      <c r="J26" s="1"/>
    </row>
    <row r="27" spans="1:15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</row>
    <row r="28" spans="1:15">
      <c r="A28" s="1" t="s">
        <v>52</v>
      </c>
      <c r="B28" s="1"/>
      <c r="C28" s="1"/>
      <c r="D28" s="1"/>
      <c r="E28" s="1"/>
      <c r="F28" s="1"/>
      <c r="G28" s="1"/>
      <c r="H28" s="1"/>
      <c r="I28" s="1"/>
      <c r="J28" s="1"/>
    </row>
    <row r="29" spans="1:15">
      <c r="B29" s="1"/>
      <c r="C29" s="1"/>
      <c r="D29" s="1"/>
      <c r="E29" s="1"/>
      <c r="F29" s="1"/>
      <c r="G29" s="1"/>
      <c r="H29" s="1"/>
      <c r="I29" s="1"/>
      <c r="J29" s="1"/>
    </row>
    <row r="30" spans="1:15" s="49" customFormat="1">
      <c r="A30" s="49" t="e">
        <f ca="1">_xll.BPGE("1257/9/1",,"cols=1;rows=26")</f>
        <v>#NAME?</v>
      </c>
      <c r="C30" s="49">
        <v>16</v>
      </c>
      <c r="D30" s="49">
        <v>6</v>
      </c>
      <c r="E30" s="49">
        <f>FIND("/",A33)</f>
        <v>45</v>
      </c>
      <c r="F30" s="49">
        <v>8</v>
      </c>
      <c r="G30" s="49">
        <v>80</v>
      </c>
    </row>
    <row r="31" spans="1:15" ht="15">
      <c r="A31" s="70" t="s">
        <v>867</v>
      </c>
      <c r="B31" s="1"/>
      <c r="C31" s="23" t="s">
        <v>55</v>
      </c>
      <c r="D31" s="24" t="s">
        <v>72</v>
      </c>
      <c r="E31" s="25" t="s">
        <v>29</v>
      </c>
      <c r="F31" s="26" t="s">
        <v>30</v>
      </c>
      <c r="G31" s="24" t="s">
        <v>58</v>
      </c>
      <c r="H31" s="1"/>
      <c r="I31" s="24" t="s">
        <v>28</v>
      </c>
      <c r="J31" s="24" t="s">
        <v>32</v>
      </c>
      <c r="K31" s="24" t="s">
        <v>14</v>
      </c>
      <c r="L31" s="24" t="s">
        <v>33</v>
      </c>
      <c r="M31"/>
      <c r="N31"/>
      <c r="O31"/>
    </row>
    <row r="32" spans="1:15" ht="15">
      <c r="A32" s="70" t="s">
        <v>52</v>
      </c>
      <c r="B32" s="1"/>
      <c r="C32" s="37"/>
      <c r="D32" s="27"/>
      <c r="E32" s="33"/>
      <c r="F32" s="34"/>
      <c r="G32" s="30"/>
      <c r="H32" s="1"/>
      <c r="I32" s="95" t="str" cm="1">
        <f t="array" ref="I32:I41">+TRANSPOSE(_xlfn.TEXTSPLIT(_xlfn.TEXTJOIN(",",TRUE,C32:C55),","))</f>
        <v>NOV23</v>
      </c>
      <c r="J32" s="135" t="str" cm="1">
        <f t="array" ref="J32:J41">+IFERROR(VLOOKUP(LEFT(_xlfn.ANCHORARRAY(I32),3),$N$5:$O$16,2,FALSE)&amp;RIGHT(_xlfn.ANCHORARRAY(I32),2),VLOOKUP(RIGHT(_xlfn.ANCHORARRAY(I32),3),N44:O48,2))</f>
        <v>nv23</v>
      </c>
      <c r="K32" s="98" t="str" cm="1">
        <f t="array" ref="K32:K41">+IF(VLOOKUP(_xlfn.ANCHORARRAY($I32),$C$32:$G$42,3,0)=0,"",VLOOKUP(_xlfn.ANCHORARRAY($I32),$C$32:$G$42,3,0))</f>
        <v/>
      </c>
      <c r="L32" s="98" t="str" cm="1">
        <f t="array" ref="L32:L41">+IF(VLOOKUP(_xlfn.ANCHORARRAY($I32),$C$32:$G$42,4,0)=0,"",VLOOKUP(_xlfn.ANCHORARRAY($I32),$C$32:$G$42,4,0))</f>
        <v/>
      </c>
      <c r="M32"/>
      <c r="N32" s="136" t="s">
        <v>73</v>
      </c>
      <c r="O32" t="s">
        <v>34</v>
      </c>
    </row>
    <row r="33" spans="1:15" ht="15">
      <c r="A33" s="70" t="s">
        <v>709</v>
      </c>
      <c r="B33" s="1"/>
      <c r="C33" s="38" t="str">
        <f>MID(A33,$C$30,5)</f>
        <v>NOV23</v>
      </c>
      <c r="D33" s="28">
        <f>IFERROR(VALUE(MID(A33,$D$30,5)),"")</f>
        <v>114</v>
      </c>
      <c r="E33" s="35" t="str">
        <f t="shared" ref="E33" si="5">+IFERROR(VALUE(MID($A33,FIND("/",A33)-6,5)),"")</f>
        <v/>
      </c>
      <c r="F33" s="36" t="str">
        <f>+IFERROR(VALUE(MID($A33,FIND("/",A33)+1,$F$30)),"")</f>
        <v/>
      </c>
      <c r="G33" s="121">
        <f>IFERROR(VALUE(MID(A33,$G$30-11,10)),"")</f>
        <v>6.37</v>
      </c>
      <c r="H33" s="1"/>
      <c r="I33" s="95" t="str">
        <v>DIC25</v>
      </c>
      <c r="J33" s="135" t="str">
        <v>dc25</v>
      </c>
      <c r="K33" s="98" t="str">
        <v/>
      </c>
      <c r="L33" s="98" t="str">
        <v/>
      </c>
      <c r="M33"/>
      <c r="N33" s="66" t="s">
        <v>76</v>
      </c>
      <c r="O33" t="s">
        <v>36</v>
      </c>
    </row>
    <row r="34" spans="1:15" ht="15">
      <c r="A34" s="70" t="s">
        <v>710</v>
      </c>
      <c r="B34" s="1"/>
      <c r="C34" s="38" t="str">
        <f t="shared" ref="C34:C42" si="6">MID(A34,$C$30,5)</f>
        <v>DIC25</v>
      </c>
      <c r="D34" s="28">
        <f t="shared" ref="D34:D42" si="7">IFERROR(VALUE(MID(A34,$D$30,5)),"")</f>
        <v>863</v>
      </c>
      <c r="E34" s="35" t="str">
        <f>+IFERROR(VALUE(MID($A34,FIND("/",A34)-6,5)),"")</f>
        <v/>
      </c>
      <c r="F34" s="36" t="str">
        <f t="shared" ref="F34:F42" si="8">+IFERROR(VALUE(MID($A34,FIND("/",A34)+1,$F$30)),"")</f>
        <v/>
      </c>
      <c r="G34" s="121">
        <f t="shared" ref="G34:G42" si="9">IFERROR(VALUE(MID(A34,$G$30-11,10)),"")</f>
        <v>5.56</v>
      </c>
      <c r="H34" s="1"/>
      <c r="I34" s="95" t="str">
        <v>DIC26</v>
      </c>
      <c r="J34" s="135" t="str">
        <v>dc26</v>
      </c>
      <c r="K34" s="98" t="str">
        <v/>
      </c>
      <c r="L34" s="98" t="str">
        <v/>
      </c>
      <c r="M34"/>
      <c r="N34" s="66" t="s">
        <v>77</v>
      </c>
      <c r="O34" t="s">
        <v>37</v>
      </c>
    </row>
    <row r="35" spans="1:15" ht="15">
      <c r="A35" s="70" t="s">
        <v>711</v>
      </c>
      <c r="B35" s="1"/>
      <c r="C35" s="38" t="str">
        <f t="shared" si="6"/>
        <v>DIC26</v>
      </c>
      <c r="D35" s="28">
        <f t="shared" si="7"/>
        <v>1227</v>
      </c>
      <c r="E35" s="35" t="str">
        <f t="shared" ref="E35:E42" si="10">+IFERROR(VALUE(MID($A35,FIND("/",A35)-6,5)),"")</f>
        <v/>
      </c>
      <c r="F35" s="122" t="str">
        <f t="shared" si="8"/>
        <v/>
      </c>
      <c r="G35" s="121">
        <f t="shared" si="9"/>
        <v>5.37</v>
      </c>
      <c r="H35" s="1"/>
      <c r="I35" s="95" t="str">
        <v>NOV28</v>
      </c>
      <c r="J35" s="135" t="str">
        <v>nv28</v>
      </c>
      <c r="K35" s="98" t="str">
        <v/>
      </c>
      <c r="L35" s="98" t="str">
        <v/>
      </c>
      <c r="M35"/>
      <c r="N35" t="s">
        <v>79</v>
      </c>
      <c r="O35" t="s">
        <v>39</v>
      </c>
    </row>
    <row r="36" spans="1:15" ht="15">
      <c r="A36" s="70" t="s">
        <v>712</v>
      </c>
      <c r="B36" s="1"/>
      <c r="C36" s="38" t="str">
        <f t="shared" si="6"/>
        <v>NOV28</v>
      </c>
      <c r="D36" s="28">
        <f t="shared" si="7"/>
        <v>1955</v>
      </c>
      <c r="E36" s="35" t="str">
        <f t="shared" si="10"/>
        <v/>
      </c>
      <c r="F36" s="122" t="str">
        <f t="shared" si="8"/>
        <v/>
      </c>
      <c r="G36" s="121">
        <f t="shared" si="9"/>
        <v>4.58</v>
      </c>
      <c r="H36" s="1"/>
      <c r="I36" s="95" t="str">
        <v>NOV31</v>
      </c>
      <c r="J36" s="135" t="str">
        <v>nv31</v>
      </c>
      <c r="K36" s="98" t="str">
        <v/>
      </c>
      <c r="L36" s="98" t="str">
        <v/>
      </c>
      <c r="M36"/>
      <c r="N36" t="s">
        <v>80</v>
      </c>
      <c r="O36" t="s">
        <v>40</v>
      </c>
    </row>
    <row r="37" spans="1:15" ht="15">
      <c r="A37" s="70" t="s">
        <v>713</v>
      </c>
      <c r="B37" s="1"/>
      <c r="C37" s="38" t="str">
        <f t="shared" si="6"/>
        <v>NOV31</v>
      </c>
      <c r="D37" s="28">
        <f t="shared" si="7"/>
        <v>3047</v>
      </c>
      <c r="E37" s="35" t="str">
        <f t="shared" si="10"/>
        <v/>
      </c>
      <c r="F37" s="122" t="str">
        <f t="shared" si="8"/>
        <v/>
      </c>
      <c r="G37" s="121">
        <f t="shared" si="9"/>
        <v>4.45</v>
      </c>
      <c r="H37" s="1"/>
      <c r="I37" s="95" t="str">
        <v>NOV35</v>
      </c>
      <c r="J37" s="135" t="str">
        <v>nv35</v>
      </c>
      <c r="K37" s="98" t="str">
        <v/>
      </c>
      <c r="L37" s="98" t="str">
        <v/>
      </c>
      <c r="M37"/>
      <c r="N37" t="s">
        <v>82</v>
      </c>
      <c r="O37" t="s">
        <v>41</v>
      </c>
    </row>
    <row r="38" spans="1:15" ht="15">
      <c r="A38" s="70" t="s">
        <v>714</v>
      </c>
      <c r="B38" s="1"/>
      <c r="C38" s="38" t="str">
        <f t="shared" si="6"/>
        <v>NOV35</v>
      </c>
      <c r="D38" s="28">
        <f t="shared" si="7"/>
        <v>4503</v>
      </c>
      <c r="E38" s="35" t="str">
        <f t="shared" si="10"/>
        <v/>
      </c>
      <c r="F38" s="122" t="str">
        <f t="shared" si="8"/>
        <v/>
      </c>
      <c r="G38" s="121">
        <f t="shared" si="9"/>
        <v>4.2699999999999996</v>
      </c>
      <c r="H38" s="1"/>
      <c r="I38" s="95" t="str">
        <v>NOV40</v>
      </c>
      <c r="J38" s="135" t="str">
        <v>nv40</v>
      </c>
      <c r="K38" s="98" t="str">
        <v/>
      </c>
      <c r="L38" s="98" t="str">
        <v/>
      </c>
      <c r="M38"/>
      <c r="N38" t="s">
        <v>83</v>
      </c>
      <c r="O38" t="s">
        <v>42</v>
      </c>
    </row>
    <row r="39" spans="1:15" ht="15">
      <c r="A39" s="70" t="s">
        <v>715</v>
      </c>
      <c r="B39" s="1"/>
      <c r="C39" s="38" t="str">
        <f t="shared" si="6"/>
        <v>NOV40</v>
      </c>
      <c r="D39" s="28">
        <f t="shared" si="7"/>
        <v>6323</v>
      </c>
      <c r="E39" s="35" t="str">
        <f t="shared" si="10"/>
        <v/>
      </c>
      <c r="F39" s="122" t="str">
        <f t="shared" si="8"/>
        <v/>
      </c>
      <c r="G39" s="121">
        <f t="shared" si="9"/>
        <v>4.34</v>
      </c>
      <c r="H39" s="1"/>
      <c r="I39" s="95" t="str">
        <v>NOV43</v>
      </c>
      <c r="J39" s="135" t="str">
        <v>nv43</v>
      </c>
      <c r="K39" s="98" t="str">
        <v/>
      </c>
      <c r="L39" s="98" t="str">
        <v/>
      </c>
      <c r="M39"/>
      <c r="N39" t="s">
        <v>85</v>
      </c>
      <c r="O39" t="s">
        <v>43</v>
      </c>
    </row>
    <row r="40" spans="1:15" ht="15">
      <c r="A40" s="70" t="s">
        <v>716</v>
      </c>
      <c r="B40" s="1"/>
      <c r="C40" s="38" t="str">
        <f t="shared" si="6"/>
        <v>NOV43</v>
      </c>
      <c r="D40" s="28">
        <f t="shared" si="7"/>
        <v>7415</v>
      </c>
      <c r="E40" s="35" t="str">
        <f t="shared" si="10"/>
        <v/>
      </c>
      <c r="F40" s="122" t="str">
        <f t="shared" si="8"/>
        <v/>
      </c>
      <c r="G40" s="121">
        <f t="shared" si="9"/>
        <v>4.43</v>
      </c>
      <c r="H40" s="1"/>
      <c r="I40" s="95" t="str">
        <v>NOV46</v>
      </c>
      <c r="J40" s="135" t="str">
        <v>nv46</v>
      </c>
      <c r="K40" s="98" t="str">
        <v/>
      </c>
      <c r="L40" s="98" t="str">
        <v/>
      </c>
      <c r="M40"/>
      <c r="N40" t="s">
        <v>86</v>
      </c>
      <c r="O40" t="s">
        <v>44</v>
      </c>
    </row>
    <row r="41" spans="1:15" ht="15">
      <c r="A41" s="70" t="s">
        <v>717</v>
      </c>
      <c r="B41" s="1"/>
      <c r="C41" s="38" t="str">
        <f t="shared" si="6"/>
        <v>NOV46</v>
      </c>
      <c r="D41" s="28">
        <f t="shared" si="7"/>
        <v>8507</v>
      </c>
      <c r="E41" s="35" t="str">
        <f t="shared" si="10"/>
        <v/>
      </c>
      <c r="F41" s="122" t="str">
        <f t="shared" si="8"/>
        <v/>
      </c>
      <c r="G41" s="121">
        <f t="shared" si="9"/>
        <v>4.42</v>
      </c>
      <c r="H41" s="1"/>
      <c r="I41" s="95" t="str">
        <v>NOV50</v>
      </c>
      <c r="J41" s="135" t="str">
        <v>nv50</v>
      </c>
      <c r="K41" s="98" t="str">
        <v/>
      </c>
      <c r="L41" s="98" t="str">
        <v/>
      </c>
      <c r="M41"/>
      <c r="N41" t="s">
        <v>88</v>
      </c>
      <c r="O41" t="s">
        <v>46</v>
      </c>
    </row>
    <row r="42" spans="1:15" ht="15">
      <c r="A42" s="70" t="s">
        <v>718</v>
      </c>
      <c r="B42" s="1"/>
      <c r="C42" s="38" t="str">
        <f t="shared" si="6"/>
        <v>NOV50</v>
      </c>
      <c r="D42" s="28">
        <f t="shared" si="7"/>
        <v>9963</v>
      </c>
      <c r="E42" s="35" t="str">
        <f t="shared" si="10"/>
        <v/>
      </c>
      <c r="F42" s="122" t="str">
        <f t="shared" si="8"/>
        <v/>
      </c>
      <c r="G42" s="121">
        <f t="shared" si="9"/>
        <v>4.4400000000000004</v>
      </c>
      <c r="H42" s="1"/>
      <c r="I42" s="95"/>
      <c r="J42" s="135"/>
      <c r="K42" s="98"/>
      <c r="L42" s="98"/>
      <c r="M42"/>
      <c r="N42" t="s">
        <v>89</v>
      </c>
      <c r="O42" t="s">
        <v>47</v>
      </c>
    </row>
    <row r="43" spans="1:15" ht="15">
      <c r="A43" s="70" t="s">
        <v>52</v>
      </c>
      <c r="B43" s="1"/>
      <c r="C43" s="1"/>
      <c r="D43" s="1"/>
      <c r="E43" s="1"/>
      <c r="F43" s="1"/>
      <c r="G43" s="1"/>
      <c r="H43" s="1"/>
      <c r="I43" s="95"/>
      <c r="J43" s="135"/>
      <c r="K43" s="98"/>
      <c r="L43" s="98"/>
      <c r="M43"/>
      <c r="N43" t="s">
        <v>91</v>
      </c>
      <c r="O43" t="s">
        <v>48</v>
      </c>
    </row>
    <row r="44" spans="1:15" ht="15">
      <c r="A44" s="70" t="s">
        <v>52</v>
      </c>
      <c r="B44" s="1"/>
      <c r="C44" s="1"/>
      <c r="D44" s="1"/>
      <c r="E44" s="1"/>
      <c r="F44" s="1"/>
      <c r="G44" s="1"/>
      <c r="H44" s="1"/>
      <c r="I44" s="95"/>
      <c r="J44" s="135"/>
      <c r="K44" s="98"/>
      <c r="L44" s="98"/>
      <c r="M44"/>
      <c r="N44" t="s">
        <v>105</v>
      </c>
      <c r="O44" t="s">
        <v>106</v>
      </c>
    </row>
    <row r="45" spans="1:15" ht="15">
      <c r="A45" s="1" t="s">
        <v>52</v>
      </c>
      <c r="B45" s="1"/>
      <c r="C45" s="1"/>
      <c r="D45" s="1"/>
      <c r="E45" s="1"/>
      <c r="F45" s="1"/>
      <c r="G45" s="1"/>
      <c r="H45" s="1"/>
      <c r="I45" s="95"/>
      <c r="J45" s="135"/>
      <c r="K45" s="98"/>
      <c r="L45" s="98"/>
      <c r="M45"/>
      <c r="N45" t="s">
        <v>107</v>
      </c>
      <c r="O45" t="s">
        <v>108</v>
      </c>
    </row>
    <row r="46" spans="1:15" ht="15">
      <c r="A46" s="1" t="s">
        <v>52</v>
      </c>
      <c r="B46" s="1"/>
      <c r="C46" s="1"/>
      <c r="D46" s="1"/>
      <c r="E46" s="1"/>
      <c r="F46" s="1"/>
      <c r="G46" s="1"/>
      <c r="H46" s="1"/>
      <c r="I46" s="95"/>
      <c r="J46" s="135"/>
      <c r="K46" s="98"/>
      <c r="L46" s="98"/>
      <c r="M46"/>
      <c r="N46" t="s">
        <v>109</v>
      </c>
      <c r="O46"/>
    </row>
    <row r="47" spans="1:15" ht="15">
      <c r="A47" s="1" t="s">
        <v>52</v>
      </c>
      <c r="B47" s="1"/>
      <c r="C47" s="1"/>
      <c r="D47" s="1"/>
      <c r="E47" s="1"/>
      <c r="F47" s="1"/>
      <c r="G47" s="1"/>
      <c r="H47" s="1"/>
      <c r="I47" s="95"/>
      <c r="J47" s="135"/>
      <c r="K47" s="98"/>
      <c r="L47" s="98"/>
      <c r="M47"/>
      <c r="N47" t="s">
        <v>174</v>
      </c>
      <c r="O47"/>
    </row>
    <row r="48" spans="1:15" ht="15">
      <c r="A48" s="1" t="s">
        <v>52</v>
      </c>
      <c r="B48" s="1"/>
      <c r="C48" s="1"/>
      <c r="D48" s="1"/>
      <c r="E48" s="1"/>
      <c r="F48" s="1"/>
      <c r="G48" s="1"/>
      <c r="H48" s="1"/>
      <c r="I48" s="95"/>
      <c r="J48" s="135"/>
      <c r="K48" s="98"/>
      <c r="L48" s="98"/>
      <c r="M48"/>
      <c r="N48"/>
      <c r="O48"/>
    </row>
    <row r="49" spans="1:1" s="1" customFormat="1">
      <c r="A49" s="1" t="s">
        <v>52</v>
      </c>
    </row>
    <row r="50" spans="1:1" s="1" customFormat="1">
      <c r="A50" s="1" t="s">
        <v>52</v>
      </c>
    </row>
    <row r="51" spans="1:1" s="1" customFormat="1">
      <c r="A51" s="1" t="s">
        <v>52</v>
      </c>
    </row>
    <row r="52" spans="1:1" s="1" customFormat="1">
      <c r="A52" s="1" t="s">
        <v>52</v>
      </c>
    </row>
    <row r="53" spans="1:1" s="1" customFormat="1">
      <c r="A53" s="1" t="s">
        <v>52</v>
      </c>
    </row>
    <row r="54" spans="1:1" s="1" customFormat="1">
      <c r="A54" s="1" t="s">
        <v>52</v>
      </c>
    </row>
    <row r="55" spans="1:1" s="1" customFormat="1">
      <c r="A55" s="1" t="s">
        <v>52</v>
      </c>
    </row>
    <row r="56" spans="1:1" s="1" customFormat="1"/>
    <row r="57" spans="1:1" s="1" customFormat="1"/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8" tint="0.79998168889431442"/>
  </sheetPr>
  <dimension ref="A1:T58"/>
  <sheetViews>
    <sheetView zoomScale="90" zoomScaleNormal="9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3" sqref="E3"/>
    </sheetView>
  </sheetViews>
  <sheetFormatPr baseColWidth="10" defaultColWidth="9.140625" defaultRowHeight="12.75"/>
  <cols>
    <col min="1" max="1" width="92.140625" style="1" customWidth="1"/>
    <col min="2" max="11" width="11.42578125" style="2" customWidth="1"/>
    <col min="12" max="16384" width="9.140625" style="1"/>
  </cols>
  <sheetData>
    <row r="1" spans="1:15">
      <c r="A1" s="3" t="s">
        <v>254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5" s="49" customFormat="1">
      <c r="A2" s="49" t="e">
        <f ca="1">_xll.BPGE("865/1/1",,"cols=1;rows=26")</f>
        <v>#NAME?</v>
      </c>
      <c r="C2" s="49">
        <v>16</v>
      </c>
      <c r="E2" s="49">
        <v>47</v>
      </c>
      <c r="F2" s="49">
        <v>55</v>
      </c>
      <c r="G2" s="49">
        <v>72</v>
      </c>
    </row>
    <row r="3" spans="1:15" ht="15">
      <c r="A3" s="70" t="s">
        <v>255</v>
      </c>
      <c r="B3" s="1"/>
      <c r="C3" s="23" t="s">
        <v>55</v>
      </c>
      <c r="D3" s="24" t="s">
        <v>72</v>
      </c>
      <c r="E3" s="25" t="s">
        <v>29</v>
      </c>
      <c r="F3" s="26" t="s">
        <v>30</v>
      </c>
      <c r="G3" s="24" t="s">
        <v>58</v>
      </c>
      <c r="H3" s="1"/>
      <c r="I3" s="24" t="s">
        <v>28</v>
      </c>
      <c r="J3" s="24" t="s">
        <v>32</v>
      </c>
      <c r="K3" s="24" t="s">
        <v>14</v>
      </c>
      <c r="L3" s="24" t="s">
        <v>33</v>
      </c>
    </row>
    <row r="4" spans="1:15" ht="15">
      <c r="A4" s="70" t="s">
        <v>611</v>
      </c>
      <c r="B4" s="1"/>
      <c r="C4" s="37" t="str">
        <f>+TRIM(MID(A4,16,4))</f>
        <v>DC23</v>
      </c>
      <c r="D4" s="27">
        <f>IF(C4="","",VALUE(MID(A4,5,FIND(" ",A4,5)-5)))</f>
        <v>135</v>
      </c>
      <c r="E4" s="33" t="str">
        <f>IFERROR(VALUE(MID($A4,E$2,5)),"")</f>
        <v/>
      </c>
      <c r="F4" s="36" t="str">
        <f>IFERROR(VALUE(MID($A4,F$2,5)),"")</f>
        <v/>
      </c>
      <c r="G4" s="123">
        <f>IFERROR(VALUE(MID($A4,G$2,6)),"")</f>
        <v>11.42</v>
      </c>
      <c r="H4" s="1"/>
      <c r="I4" s="95" t="str" cm="1">
        <f t="array" ref="I4:I21">+TRANSPOSE(_xlfn.TEXTSPLIT(_xlfn.TEXTJOIN(",",TRUE,C4:C27),","))</f>
        <v>DC23</v>
      </c>
      <c r="J4" s="135" t="str" cm="1">
        <f t="array" ref="J4:J21">+IFERROR(LOWER(LEFT(TRIM(_xlfn.ANCHORARRAY(I4)),2))&amp;VALUE(RIGHT(TRIM(_xlfn.ANCHORARRAY(I4)),2)),VLOOKUP(TRIM(_xlfn.ANCHORARRAY(I4)),N4:O7,2,-1))</f>
        <v>dc23</v>
      </c>
      <c r="K4" s="98" t="str" cm="1">
        <f t="array" ref="K4:K21">+IF(VLOOKUP(_xlfn.ANCHORARRAY(I4),$C$3:$G$23,3,0)=0,"",VLOOKUP(_xlfn.ANCHORARRAY($I4),$C$3:$G$23,3,0))</f>
        <v/>
      </c>
      <c r="L4" s="98" t="str" cm="1">
        <f t="array" ref="L4:L21">+IF(VLOOKUP(_xlfn.ANCHORARRAY($I4),$C$3:$G$23,4,0)=0,"",VLOOKUP(_xlfn.ANCHORARRAY($I4),$C$3:$G$23,4,0))</f>
        <v/>
      </c>
      <c r="N4" s="1" t="s">
        <v>105</v>
      </c>
      <c r="O4" s="1" t="s">
        <v>106</v>
      </c>
    </row>
    <row r="5" spans="1:15" ht="15">
      <c r="A5" s="70" t="s">
        <v>612</v>
      </c>
      <c r="B5" s="1"/>
      <c r="C5" s="37" t="str">
        <f t="shared" ref="C5:C23" si="0">+TRIM(MID(A5,16,4))</f>
        <v>DOS</v>
      </c>
      <c r="D5" s="27">
        <f t="shared" ref="D5:D23" si="1">IF(C5="","",VALUE(MID(A5,5,FIND(" ",A5,5)-5)))</f>
        <v>408</v>
      </c>
      <c r="E5" s="33" t="str">
        <f t="shared" ref="E5:F23" si="2">IFERROR(VALUE(MID($A5,E$2,5)),"")</f>
        <v/>
      </c>
      <c r="F5" s="36" t="str">
        <f t="shared" si="2"/>
        <v/>
      </c>
      <c r="G5" s="123">
        <f t="shared" ref="G5:G23" si="3">IFERROR(VALUE(MID($A5,G$2,6)),"")</f>
        <v>10.99</v>
      </c>
      <c r="H5" s="1"/>
      <c r="I5" s="95" t="str">
        <v>DOS</v>
      </c>
      <c r="J5" s="135" t="str">
        <v>sp24</v>
      </c>
      <c r="K5" s="98" t="str">
        <v/>
      </c>
      <c r="L5" s="98" t="str">
        <v/>
      </c>
      <c r="N5" s="1" t="s">
        <v>107</v>
      </c>
      <c r="O5" s="1" t="s">
        <v>108</v>
      </c>
    </row>
    <row r="6" spans="1:15" ht="15">
      <c r="A6" s="70" t="s">
        <v>576</v>
      </c>
      <c r="B6" s="1"/>
      <c r="C6" s="37" t="str">
        <f t="shared" si="0"/>
        <v>DC24</v>
      </c>
      <c r="D6" s="27">
        <f t="shared" si="1"/>
        <v>499</v>
      </c>
      <c r="E6" s="33" t="str">
        <f>IFERROR(VALUE(MID($A6,E$2,5)),"")</f>
        <v/>
      </c>
      <c r="F6" s="36" t="str">
        <f t="shared" si="2"/>
        <v/>
      </c>
      <c r="G6" s="123">
        <f t="shared" si="3"/>
        <v>10.58</v>
      </c>
      <c r="H6" s="1"/>
      <c r="I6" s="95" t="str">
        <v>DC24</v>
      </c>
      <c r="J6" s="135" t="str">
        <v>dc24</v>
      </c>
      <c r="K6" s="98" t="str">
        <v/>
      </c>
      <c r="L6" s="98" t="str">
        <v/>
      </c>
      <c r="N6" s="1" t="s">
        <v>109</v>
      </c>
    </row>
    <row r="7" spans="1:15" ht="15">
      <c r="A7" s="70" t="s">
        <v>577</v>
      </c>
      <c r="B7" s="1"/>
      <c r="C7" s="37" t="str">
        <f t="shared" si="0"/>
        <v>MZ25</v>
      </c>
      <c r="D7" s="27">
        <f t="shared" si="1"/>
        <v>590</v>
      </c>
      <c r="E7" s="33" t="str">
        <f t="shared" si="2"/>
        <v/>
      </c>
      <c r="F7" s="36" t="str">
        <f t="shared" si="2"/>
        <v/>
      </c>
      <c r="G7" s="123">
        <f t="shared" si="3"/>
        <v>10.1</v>
      </c>
      <c r="H7" s="1"/>
      <c r="I7" s="95" t="str">
        <v>MZ25</v>
      </c>
      <c r="J7" s="135" t="str">
        <v>mz25</v>
      </c>
      <c r="K7" s="98" t="str">
        <v/>
      </c>
      <c r="L7" s="98" t="str">
        <v/>
      </c>
      <c r="N7" s="1" t="s">
        <v>110</v>
      </c>
    </row>
    <row r="8" spans="1:15" ht="15">
      <c r="A8" s="70" t="s">
        <v>618</v>
      </c>
      <c r="B8" s="1"/>
      <c r="C8" s="37" t="str">
        <f t="shared" si="0"/>
        <v>MZ26</v>
      </c>
      <c r="D8" s="27">
        <f t="shared" si="1"/>
        <v>954</v>
      </c>
      <c r="E8" s="33" t="str">
        <f t="shared" si="2"/>
        <v/>
      </c>
      <c r="F8" s="36" t="str">
        <f t="shared" si="2"/>
        <v/>
      </c>
      <c r="G8" s="123">
        <f t="shared" si="3"/>
        <v>9.57</v>
      </c>
      <c r="H8" s="1"/>
      <c r="I8" s="95" t="str">
        <v>MZ26</v>
      </c>
      <c r="J8" s="135" t="str">
        <v>mz26</v>
      </c>
      <c r="K8" s="98" t="str">
        <v/>
      </c>
      <c r="L8" s="98" t="str">
        <v/>
      </c>
    </row>
    <row r="9" spans="1:15" ht="15">
      <c r="A9" s="70" t="s">
        <v>619</v>
      </c>
      <c r="B9" s="1"/>
      <c r="C9" s="37" t="str">
        <f t="shared" si="0"/>
        <v>SP26</v>
      </c>
      <c r="D9" s="27">
        <f t="shared" si="1"/>
        <v>1136</v>
      </c>
      <c r="E9" s="33" t="str">
        <f t="shared" si="2"/>
        <v/>
      </c>
      <c r="F9" s="36" t="str">
        <f t="shared" si="2"/>
        <v/>
      </c>
      <c r="G9" s="123">
        <f t="shared" si="3"/>
        <v>9.56</v>
      </c>
      <c r="H9" s="1"/>
      <c r="I9" s="95" t="str">
        <v>SP26</v>
      </c>
      <c r="J9" s="135" t="str">
        <v>sp26</v>
      </c>
      <c r="K9" s="98" t="str">
        <v/>
      </c>
      <c r="L9" s="98" t="str">
        <v/>
      </c>
    </row>
    <row r="10" spans="1:15" ht="15">
      <c r="A10" s="70" t="s">
        <v>620</v>
      </c>
      <c r="B10" s="1"/>
      <c r="C10" s="37" t="str">
        <f t="shared" si="0"/>
        <v>TRES</v>
      </c>
      <c r="D10" s="27">
        <f t="shared" si="1"/>
        <v>1318</v>
      </c>
      <c r="E10" s="33" t="str">
        <f t="shared" si="2"/>
        <v/>
      </c>
      <c r="F10" s="36" t="str">
        <f t="shared" si="2"/>
        <v/>
      </c>
      <c r="G10" s="123">
        <f t="shared" si="3"/>
        <v>9.33</v>
      </c>
      <c r="H10" s="1"/>
      <c r="I10" s="95" t="str">
        <v>TRES</v>
      </c>
      <c r="J10" s="135" t="str">
        <v>mz27</v>
      </c>
      <c r="K10" s="98" t="str">
        <v/>
      </c>
      <c r="L10" s="98" t="str">
        <v/>
      </c>
    </row>
    <row r="11" spans="1:15" ht="15">
      <c r="A11" s="70" t="s">
        <v>621</v>
      </c>
      <c r="B11" s="1"/>
      <c r="C11" s="37" t="str">
        <f t="shared" si="0"/>
        <v>JN27</v>
      </c>
      <c r="D11" s="27">
        <f t="shared" si="1"/>
        <v>1409</v>
      </c>
      <c r="E11" s="33" t="str">
        <f t="shared" si="2"/>
        <v/>
      </c>
      <c r="F11" s="36" t="str">
        <f t="shared" si="2"/>
        <v/>
      </c>
      <c r="G11" s="123">
        <f t="shared" si="3"/>
        <v>9.2200000000000006</v>
      </c>
      <c r="H11" s="1"/>
      <c r="I11" s="95" t="str">
        <v>JN27</v>
      </c>
      <c r="J11" s="135" t="str">
        <v>jn27</v>
      </c>
      <c r="K11" s="98" t="str">
        <v/>
      </c>
      <c r="L11" s="98" t="str">
        <v/>
      </c>
    </row>
    <row r="12" spans="1:15" ht="15">
      <c r="A12" s="70" t="s">
        <v>622</v>
      </c>
      <c r="B12" s="1"/>
      <c r="C12" s="37" t="str">
        <f t="shared" si="0"/>
        <v>MY29</v>
      </c>
      <c r="D12" s="27">
        <f t="shared" si="1"/>
        <v>2137</v>
      </c>
      <c r="E12" s="33" t="str">
        <f t="shared" si="2"/>
        <v/>
      </c>
      <c r="F12" s="36" t="str">
        <f t="shared" si="2"/>
        <v/>
      </c>
      <c r="G12" s="123">
        <f t="shared" si="3"/>
        <v>8.84</v>
      </c>
      <c r="H12" s="1"/>
      <c r="I12" s="95" t="str">
        <v>MY29</v>
      </c>
      <c r="J12" s="135" t="str">
        <v>my29</v>
      </c>
      <c r="K12" s="98" t="str">
        <v/>
      </c>
      <c r="L12" s="98" t="str">
        <v/>
      </c>
    </row>
    <row r="13" spans="1:15" ht="15">
      <c r="A13" s="70" t="s">
        <v>623</v>
      </c>
      <c r="B13" s="1"/>
      <c r="C13" s="37" t="str">
        <f t="shared" si="0"/>
        <v>MY31</v>
      </c>
      <c r="D13" s="27">
        <f t="shared" si="1"/>
        <v>2865</v>
      </c>
      <c r="E13" s="33" t="str">
        <f t="shared" si="2"/>
        <v/>
      </c>
      <c r="F13" s="36" t="str">
        <f t="shared" si="2"/>
        <v/>
      </c>
      <c r="G13" s="123">
        <f t="shared" si="3"/>
        <v>8.82</v>
      </c>
      <c r="H13" s="1"/>
      <c r="I13" s="95" t="str">
        <v>MY31</v>
      </c>
      <c r="J13" s="135" t="str">
        <v>my31</v>
      </c>
      <c r="K13" s="98" t="str">
        <v/>
      </c>
      <c r="L13" s="98" t="str">
        <v/>
      </c>
    </row>
    <row r="14" spans="1:15" ht="15">
      <c r="A14" s="70" t="s">
        <v>624</v>
      </c>
      <c r="B14" s="1"/>
      <c r="C14" s="37" t="str">
        <f t="shared" si="0"/>
        <v>MY33</v>
      </c>
      <c r="D14" s="27">
        <f t="shared" si="1"/>
        <v>3593</v>
      </c>
      <c r="E14" s="33" t="str">
        <f t="shared" si="2"/>
        <v/>
      </c>
      <c r="F14" s="36" t="str">
        <f t="shared" si="2"/>
        <v/>
      </c>
      <c r="G14" s="123">
        <f t="shared" si="3"/>
        <v>8.82</v>
      </c>
      <c r="H14" s="1"/>
      <c r="I14" s="95" t="str">
        <v>MY33</v>
      </c>
      <c r="J14" s="135" t="str">
        <v>my33</v>
      </c>
      <c r="K14" s="98" t="str">
        <v/>
      </c>
      <c r="L14" s="98" t="str">
        <v/>
      </c>
    </row>
    <row r="15" spans="1:15" ht="15">
      <c r="A15" s="70" t="s">
        <v>625</v>
      </c>
      <c r="B15" s="1"/>
      <c r="C15" s="37" t="str">
        <f t="shared" si="0"/>
        <v>NV34</v>
      </c>
      <c r="D15" s="27">
        <f t="shared" si="1"/>
        <v>4139</v>
      </c>
      <c r="E15" s="33" t="str">
        <f t="shared" si="2"/>
        <v/>
      </c>
      <c r="F15" s="36" t="str">
        <f t="shared" si="2"/>
        <v/>
      </c>
      <c r="G15" s="123">
        <f t="shared" si="3"/>
        <v>8.82</v>
      </c>
      <c r="H15" s="1"/>
      <c r="I15" s="95" t="str">
        <v>NV34</v>
      </c>
      <c r="J15" s="135" t="str">
        <v>nv34</v>
      </c>
      <c r="K15" s="98" t="str">
        <v/>
      </c>
      <c r="L15" s="98" t="str">
        <v/>
      </c>
    </row>
    <row r="16" spans="1:15" ht="15">
      <c r="A16" s="70" t="s">
        <v>784</v>
      </c>
      <c r="B16" s="1"/>
      <c r="C16" s="37" t="str">
        <f t="shared" si="0"/>
        <v>NV36</v>
      </c>
      <c r="D16" s="27">
        <f t="shared" si="1"/>
        <v>4867</v>
      </c>
      <c r="E16" s="33" t="str">
        <f t="shared" si="2"/>
        <v/>
      </c>
      <c r="F16" s="36" t="str">
        <f t="shared" si="2"/>
        <v/>
      </c>
      <c r="G16" s="123">
        <f t="shared" si="3"/>
        <v>8.81</v>
      </c>
      <c r="H16" s="1"/>
      <c r="I16" s="95" t="str">
        <v>NV36</v>
      </c>
      <c r="J16" s="135" t="str">
        <v>nv36</v>
      </c>
      <c r="K16" s="98" t="str">
        <v/>
      </c>
      <c r="L16" s="98" t="str">
        <v/>
      </c>
    </row>
    <row r="17" spans="1:12" ht="15">
      <c r="A17" s="70" t="s">
        <v>785</v>
      </c>
      <c r="B17" s="1"/>
      <c r="C17" s="37" t="str">
        <f t="shared" si="0"/>
        <v>NV38</v>
      </c>
      <c r="D17" s="27">
        <f t="shared" si="1"/>
        <v>5595</v>
      </c>
      <c r="E17" s="33" t="str">
        <f t="shared" si="2"/>
        <v/>
      </c>
      <c r="F17" s="36" t="str">
        <f t="shared" si="2"/>
        <v/>
      </c>
      <c r="G17" s="123">
        <f t="shared" si="3"/>
        <v>8.8800000000000008</v>
      </c>
      <c r="H17" s="1"/>
      <c r="I17" s="95" t="str">
        <v>NV38</v>
      </c>
      <c r="J17" s="135" t="str">
        <v>nv38</v>
      </c>
      <c r="K17" s="98" t="str">
        <v/>
      </c>
      <c r="L17" s="98" t="str">
        <v/>
      </c>
    </row>
    <row r="18" spans="1:12" ht="15">
      <c r="A18" s="70" t="s">
        <v>786</v>
      </c>
      <c r="B18" s="1"/>
      <c r="C18" s="37" t="str">
        <f t="shared" si="0"/>
        <v>NV42</v>
      </c>
      <c r="D18" s="27">
        <f t="shared" si="1"/>
        <v>7051</v>
      </c>
      <c r="E18" s="33" t="str">
        <f t="shared" si="2"/>
        <v/>
      </c>
      <c r="F18" s="36" t="str">
        <f t="shared" si="2"/>
        <v/>
      </c>
      <c r="G18" s="123">
        <f t="shared" si="3"/>
        <v>8.91</v>
      </c>
      <c r="H18" s="1"/>
      <c r="I18" s="95" t="str">
        <v>NV42</v>
      </c>
      <c r="J18" s="135" t="str">
        <v>nv42</v>
      </c>
      <c r="K18" s="98" t="str">
        <v/>
      </c>
      <c r="L18" s="98" t="str">
        <v/>
      </c>
    </row>
    <row r="19" spans="1:12" ht="15">
      <c r="A19" s="70" t="s">
        <v>787</v>
      </c>
      <c r="B19" s="1"/>
      <c r="C19" s="37" t="str">
        <f t="shared" si="0"/>
        <v>NV47</v>
      </c>
      <c r="D19" s="27">
        <f t="shared" si="1"/>
        <v>8871</v>
      </c>
      <c r="E19" s="33" t="str">
        <f t="shared" si="2"/>
        <v/>
      </c>
      <c r="F19" s="36" t="str">
        <f t="shared" si="2"/>
        <v/>
      </c>
      <c r="G19" s="123">
        <f t="shared" si="3"/>
        <v>8.8699999999999992</v>
      </c>
      <c r="H19" s="1"/>
      <c r="I19" s="95" t="str">
        <v>NV47</v>
      </c>
      <c r="J19" s="135" t="str">
        <v>nv47</v>
      </c>
      <c r="K19" s="98" t="str">
        <v/>
      </c>
      <c r="L19" s="98" t="str">
        <v/>
      </c>
    </row>
    <row r="20" spans="1:12" ht="15">
      <c r="A20" s="70" t="s">
        <v>788</v>
      </c>
      <c r="B20" s="1"/>
      <c r="C20" s="37" t="str">
        <f t="shared" si="0"/>
        <v>JL53</v>
      </c>
      <c r="D20" s="27">
        <f t="shared" si="1"/>
        <v>10964</v>
      </c>
      <c r="E20" s="33" t="str">
        <f t="shared" si="2"/>
        <v/>
      </c>
      <c r="F20" s="36" t="str">
        <f t="shared" si="2"/>
        <v/>
      </c>
      <c r="G20" s="123">
        <f t="shared" si="3"/>
        <v>8.9</v>
      </c>
      <c r="H20" s="1"/>
      <c r="I20" s="95" t="str">
        <v>JL53</v>
      </c>
      <c r="J20" s="135" t="str">
        <v>jl53</v>
      </c>
      <c r="K20" s="98" t="str">
        <v/>
      </c>
      <c r="L20" s="98" t="str">
        <v/>
      </c>
    </row>
    <row r="21" spans="1:12" ht="15">
      <c r="A21" s="1" t="s">
        <v>489</v>
      </c>
      <c r="B21" s="1"/>
      <c r="C21" s="37" t="str">
        <f t="shared" si="0"/>
        <v>MY35</v>
      </c>
      <c r="D21" s="27">
        <f t="shared" si="1"/>
        <v>19999</v>
      </c>
      <c r="E21" s="33" t="str">
        <f t="shared" si="2"/>
        <v/>
      </c>
      <c r="F21" s="36" t="str">
        <f t="shared" si="2"/>
        <v/>
      </c>
      <c r="G21" s="31" t="str">
        <f t="shared" si="3"/>
        <v/>
      </c>
      <c r="H21" s="1"/>
      <c r="I21" s="1" t="str">
        <v>MY35</v>
      </c>
      <c r="J21" s="1" t="str">
        <v>my35</v>
      </c>
      <c r="K21" s="1" t="str">
        <v/>
      </c>
      <c r="L21" s="1" t="str">
        <v/>
      </c>
    </row>
    <row r="22" spans="1:12" ht="15">
      <c r="A22" s="1" t="s">
        <v>52</v>
      </c>
      <c r="B22" s="1"/>
      <c r="C22" s="37" t="str">
        <f t="shared" si="0"/>
        <v/>
      </c>
      <c r="D22" s="27" t="str">
        <f t="shared" si="1"/>
        <v/>
      </c>
      <c r="E22" s="33" t="str">
        <f t="shared" si="2"/>
        <v/>
      </c>
      <c r="F22" s="36" t="str">
        <f t="shared" si="2"/>
        <v/>
      </c>
      <c r="G22" s="31" t="str">
        <f t="shared" si="3"/>
        <v/>
      </c>
      <c r="H22" s="1"/>
      <c r="I22" s="1"/>
      <c r="J22" s="1"/>
      <c r="K22" s="1"/>
    </row>
    <row r="23" spans="1:12" ht="15">
      <c r="A23" s="1" t="s">
        <v>52</v>
      </c>
      <c r="B23" s="1"/>
      <c r="C23" s="37" t="str">
        <f t="shared" si="0"/>
        <v/>
      </c>
      <c r="D23" s="27" t="str">
        <f t="shared" si="1"/>
        <v/>
      </c>
      <c r="E23" s="33" t="str">
        <f t="shared" si="2"/>
        <v/>
      </c>
      <c r="F23" s="36" t="str">
        <f t="shared" si="2"/>
        <v/>
      </c>
      <c r="G23" s="31" t="str">
        <f t="shared" si="3"/>
        <v/>
      </c>
      <c r="H23" s="1"/>
      <c r="I23" s="1"/>
      <c r="J23" s="1"/>
      <c r="K23" s="1"/>
    </row>
    <row r="24" spans="1:12">
      <c r="A24" s="1" t="s">
        <v>52</v>
      </c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2">
      <c r="A25" s="1" t="s">
        <v>52</v>
      </c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2">
      <c r="A26" s="1" t="s">
        <v>52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2">
      <c r="A27" s="1" t="s">
        <v>52</v>
      </c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2"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2"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2"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2"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2" ht="15">
      <c r="A32" t="s">
        <v>52</v>
      </c>
    </row>
    <row r="33" spans="1:20" s="49" customFormat="1" ht="15">
      <c r="A33" s="21" t="e">
        <f ca="1">_xll.BPGE("865/4/1",,"cols=1;rows=26")</f>
        <v>#NAME?</v>
      </c>
      <c r="B33" s="53"/>
      <c r="C33" s="53">
        <v>19</v>
      </c>
      <c r="D33" s="53"/>
      <c r="E33" s="53">
        <v>48</v>
      </c>
      <c r="F33" s="53">
        <v>55</v>
      </c>
      <c r="G33" s="53">
        <v>73</v>
      </c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</row>
    <row r="34" spans="1:20" ht="15">
      <c r="A34" s="70" t="s">
        <v>255</v>
      </c>
      <c r="C34" s="23" t="s">
        <v>55</v>
      </c>
      <c r="D34" s="24" t="s">
        <v>72</v>
      </c>
      <c r="E34" s="25" t="s">
        <v>29</v>
      </c>
      <c r="F34" s="26" t="s">
        <v>30</v>
      </c>
      <c r="G34" s="24" t="s">
        <v>58</v>
      </c>
      <c r="I34" s="24" t="s">
        <v>28</v>
      </c>
      <c r="J34" s="24" t="s">
        <v>32</v>
      </c>
      <c r="K34" s="24" t="s">
        <v>14</v>
      </c>
      <c r="L34" s="24" t="s">
        <v>33</v>
      </c>
      <c r="P34" s="2"/>
      <c r="Q34" s="2"/>
      <c r="R34" s="2"/>
      <c r="S34" s="2"/>
      <c r="T34" s="2"/>
    </row>
    <row r="35" spans="1:20" ht="15">
      <c r="A35" s="70" t="s">
        <v>578</v>
      </c>
      <c r="C35" s="38" t="str">
        <f>+MID(A35,$C$33,4)</f>
        <v>NV23</v>
      </c>
      <c r="D35" s="27">
        <f>IF(C35="","",VALUE(MID(A35,5,FIND(" ",A35,5)-5)))</f>
        <v>114</v>
      </c>
      <c r="E35" s="35" t="str">
        <f>IFERROR(VALUE(MID($A35,E$33,5)),"")</f>
        <v/>
      </c>
      <c r="F35" s="36" t="str">
        <f>IFERROR(VALUE(MID($A35,F$33,5)),"")</f>
        <v/>
      </c>
      <c r="G35" s="31">
        <f>IFERROR(VALUE(MID($A35,$G$33,6)),"")</f>
        <v>6.37</v>
      </c>
      <c r="I35" s="95" t="str" cm="1">
        <f t="array" ref="I35:I43">+TRANSPOSE(_xlfn.TEXTSPLIT(_xlfn.TEXTJOIN(",",TRUE,C35:C58),","))</f>
        <v>NV23</v>
      </c>
      <c r="J35" s="135" t="str" cm="1">
        <f t="array" ref="J35:J43">+IFERROR(LOWER(LEFT(TRIM(_xlfn.ANCHORARRAY(I35)),2))&amp;VALUE(RIGHT(TRIM(_xlfn.ANCHORARRAY(I35)),2)),VLOOKUP(TRIM(_xlfn.ANCHORARRAY(I35)),N35:O38,2,-1))</f>
        <v>nv23</v>
      </c>
      <c r="K35" s="98" t="str" cm="1">
        <f t="array" ref="K35:K43">+IF(VLOOKUP(_xlfn.ANCHORARRAY($I35),$C$34:$G$43,3,0)=0,"",VLOOKUP(_xlfn.ANCHORARRAY($I35),$C$34:$G$43,3,0))</f>
        <v/>
      </c>
      <c r="L35" s="98" t="str" cm="1">
        <f t="array" ref="L35:L43">+IF(VLOOKUP(_xlfn.ANCHORARRAY($I35),$C$34:$G$43,4,0)=0,"",VLOOKUP(_xlfn.ANCHORARRAY($I35),$C$34:$G$43,4,0))</f>
        <v/>
      </c>
      <c r="N35" s="1" t="s">
        <v>105</v>
      </c>
      <c r="O35" s="1" t="s">
        <v>106</v>
      </c>
      <c r="P35" s="2"/>
      <c r="Q35" s="2"/>
      <c r="R35" s="2"/>
      <c r="S35" s="2"/>
      <c r="T35" s="2"/>
    </row>
    <row r="36" spans="1:20" ht="15">
      <c r="A36" s="70" t="s">
        <v>574</v>
      </c>
      <c r="C36" s="38" t="str">
        <f t="shared" ref="C36:C43" si="4">+MID(A36,$C$33,4)</f>
        <v>DC25</v>
      </c>
      <c r="D36" s="27">
        <f t="shared" ref="D36:D43" si="5">IF(C36="","",VALUE(MID(A36,5,FIND(" ",A36,5)-5)))</f>
        <v>863</v>
      </c>
      <c r="E36" s="35" t="str">
        <f t="shared" ref="E36:F43" si="6">IFERROR(VALUE(MID($A36,E$33,5)),"")</f>
        <v/>
      </c>
      <c r="F36" s="36" t="str">
        <f t="shared" si="6"/>
        <v/>
      </c>
      <c r="G36" s="31">
        <f t="shared" ref="G36:G43" si="7">IFERROR(VALUE(MID($A36,$G$33,6)),"")</f>
        <v>5.56</v>
      </c>
      <c r="I36" s="95" t="str">
        <v>DC25</v>
      </c>
      <c r="J36" s="135" t="str">
        <v>dc25</v>
      </c>
      <c r="K36" s="98" t="str">
        <v/>
      </c>
      <c r="L36" s="98" t="str">
        <v/>
      </c>
      <c r="N36" s="1" t="s">
        <v>107</v>
      </c>
      <c r="O36" s="1" t="s">
        <v>108</v>
      </c>
      <c r="P36" s="2"/>
      <c r="Q36" s="2"/>
      <c r="R36" s="2"/>
      <c r="S36" s="2"/>
      <c r="T36" s="2"/>
    </row>
    <row r="37" spans="1:20" ht="15">
      <c r="A37" s="70" t="s">
        <v>613</v>
      </c>
      <c r="C37" s="38" t="str">
        <f t="shared" si="4"/>
        <v>DC26</v>
      </c>
      <c r="D37" s="27">
        <f t="shared" si="5"/>
        <v>1227</v>
      </c>
      <c r="E37" s="35" t="str">
        <f t="shared" si="6"/>
        <v/>
      </c>
      <c r="F37" s="36" t="str">
        <f t="shared" si="6"/>
        <v/>
      </c>
      <c r="G37" s="31">
        <f t="shared" si="7"/>
        <v>5.37</v>
      </c>
      <c r="I37" s="95" t="str">
        <v>DC26</v>
      </c>
      <c r="J37" s="135" t="str">
        <v>dc26</v>
      </c>
      <c r="K37" s="98" t="str">
        <v/>
      </c>
      <c r="L37" s="98" t="str">
        <v/>
      </c>
      <c r="N37" s="1" t="s">
        <v>109</v>
      </c>
      <c r="P37" s="2"/>
      <c r="Q37" s="2"/>
      <c r="R37" s="2"/>
      <c r="S37" s="2"/>
      <c r="T37" s="2"/>
    </row>
    <row r="38" spans="1:20" ht="15">
      <c r="A38" s="70" t="s">
        <v>614</v>
      </c>
      <c r="B38"/>
      <c r="C38" s="38" t="str">
        <f t="shared" si="4"/>
        <v>NV28</v>
      </c>
      <c r="D38" s="27">
        <f t="shared" si="5"/>
        <v>1955</v>
      </c>
      <c r="E38" s="35" t="str">
        <f t="shared" si="6"/>
        <v/>
      </c>
      <c r="F38" s="36" t="str">
        <f t="shared" si="6"/>
        <v/>
      </c>
      <c r="G38" s="31">
        <f t="shared" si="7"/>
        <v>4.58</v>
      </c>
      <c r="H38"/>
      <c r="I38" s="95" t="str">
        <v>NV28</v>
      </c>
      <c r="J38" s="135" t="str">
        <v>nv28</v>
      </c>
      <c r="K38" s="98" t="str">
        <v/>
      </c>
      <c r="L38" s="98" t="str">
        <v/>
      </c>
      <c r="N38" s="1" t="s">
        <v>110</v>
      </c>
      <c r="P38"/>
      <c r="Q38"/>
      <c r="R38"/>
      <c r="S38"/>
    </row>
    <row r="39" spans="1:20" ht="15">
      <c r="A39" s="70" t="s">
        <v>615</v>
      </c>
      <c r="B39"/>
      <c r="C39" s="38" t="str">
        <f t="shared" si="4"/>
        <v>NV31</v>
      </c>
      <c r="D39" s="27">
        <f t="shared" si="5"/>
        <v>3047</v>
      </c>
      <c r="E39" s="35" t="str">
        <f t="shared" si="6"/>
        <v/>
      </c>
      <c r="F39" s="36" t="str">
        <f t="shared" si="6"/>
        <v/>
      </c>
      <c r="G39" s="31">
        <f t="shared" si="7"/>
        <v>4.45</v>
      </c>
      <c r="H39"/>
      <c r="I39" s="95" t="str">
        <v>NV31</v>
      </c>
      <c r="J39" s="135" t="str">
        <v>nv31</v>
      </c>
      <c r="K39" s="98" t="str">
        <v/>
      </c>
      <c r="L39" s="98" t="str">
        <v/>
      </c>
      <c r="P39"/>
      <c r="Q39"/>
      <c r="R39"/>
      <c r="S39"/>
    </row>
    <row r="40" spans="1:20" ht="15">
      <c r="A40" s="70" t="s">
        <v>616</v>
      </c>
      <c r="B40"/>
      <c r="C40" s="38" t="str">
        <f t="shared" si="4"/>
        <v>NV35</v>
      </c>
      <c r="D40" s="27">
        <f t="shared" si="5"/>
        <v>4503</v>
      </c>
      <c r="E40" s="35" t="str">
        <f t="shared" si="6"/>
        <v/>
      </c>
      <c r="F40" s="36" t="str">
        <f t="shared" si="6"/>
        <v/>
      </c>
      <c r="G40" s="31">
        <f t="shared" si="7"/>
        <v>4.2699999999999996</v>
      </c>
      <c r="H40"/>
      <c r="I40" s="95" t="str">
        <v>NV35</v>
      </c>
      <c r="J40" s="135" t="str">
        <v>nv35</v>
      </c>
      <c r="K40" s="98" t="str">
        <v/>
      </c>
      <c r="L40" s="98" t="str">
        <v/>
      </c>
      <c r="P40"/>
      <c r="Q40"/>
      <c r="R40"/>
      <c r="S40"/>
    </row>
    <row r="41" spans="1:20" ht="15">
      <c r="A41" s="70" t="s">
        <v>575</v>
      </c>
      <c r="B41"/>
      <c r="C41" s="38" t="str">
        <f t="shared" si="4"/>
        <v>NV40</v>
      </c>
      <c r="D41" s="27">
        <f t="shared" si="5"/>
        <v>6323</v>
      </c>
      <c r="E41" s="35" t="str">
        <f t="shared" si="6"/>
        <v/>
      </c>
      <c r="F41" s="36" t="str">
        <f t="shared" si="6"/>
        <v/>
      </c>
      <c r="G41" s="31">
        <f t="shared" si="7"/>
        <v>4.34</v>
      </c>
      <c r="H41"/>
      <c r="I41" s="95" t="str">
        <v>NV40</v>
      </c>
      <c r="J41" s="135" t="str">
        <v>nv40</v>
      </c>
      <c r="K41" s="98" t="str">
        <v/>
      </c>
      <c r="L41" s="98" t="str">
        <v/>
      </c>
      <c r="P41"/>
      <c r="Q41"/>
      <c r="R41"/>
      <c r="S41"/>
    </row>
    <row r="42" spans="1:20" ht="15">
      <c r="A42" s="70" t="s">
        <v>617</v>
      </c>
      <c r="B42"/>
      <c r="C42" s="38" t="str">
        <f t="shared" si="4"/>
        <v>NV43</v>
      </c>
      <c r="D42" s="27">
        <f t="shared" si="5"/>
        <v>7415</v>
      </c>
      <c r="E42" s="35" t="str">
        <f t="shared" si="6"/>
        <v/>
      </c>
      <c r="F42" s="36" t="str">
        <f t="shared" si="6"/>
        <v/>
      </c>
      <c r="G42" s="31">
        <f t="shared" si="7"/>
        <v>4.43</v>
      </c>
      <c r="H42"/>
      <c r="I42" s="95" t="str">
        <v>NV43</v>
      </c>
      <c r="J42" s="135" t="str">
        <v>nv43</v>
      </c>
      <c r="K42" s="98" t="str">
        <v/>
      </c>
      <c r="L42" s="98" t="str">
        <v/>
      </c>
      <c r="P42"/>
      <c r="Q42"/>
      <c r="R42"/>
      <c r="S42"/>
    </row>
    <row r="43" spans="1:20" ht="15">
      <c r="A43" s="70" t="s">
        <v>626</v>
      </c>
      <c r="B43"/>
      <c r="C43" s="38" t="str">
        <f t="shared" si="4"/>
        <v>NV46</v>
      </c>
      <c r="D43" s="27">
        <f t="shared" si="5"/>
        <v>8507</v>
      </c>
      <c r="E43" s="35" t="str">
        <f t="shared" si="6"/>
        <v/>
      </c>
      <c r="F43" s="36" t="str">
        <f t="shared" si="6"/>
        <v/>
      </c>
      <c r="G43" s="31">
        <f t="shared" si="7"/>
        <v>4.42</v>
      </c>
      <c r="H43"/>
      <c r="I43" s="95" t="str">
        <v>NV46</v>
      </c>
      <c r="J43" s="135" t="str">
        <v>nv46</v>
      </c>
      <c r="K43" s="98" t="str">
        <v/>
      </c>
      <c r="L43" s="98" t="str">
        <v/>
      </c>
      <c r="P43"/>
      <c r="Q43"/>
      <c r="R43"/>
      <c r="S43"/>
    </row>
    <row r="44" spans="1:20" ht="15">
      <c r="A44" s="70" t="s">
        <v>627</v>
      </c>
      <c r="B44"/>
      <c r="C44"/>
      <c r="D44"/>
      <c r="E44"/>
      <c r="F44"/>
      <c r="G44"/>
      <c r="H44"/>
      <c r="I44" s="95"/>
      <c r="J44" s="135"/>
      <c r="K44" s="98"/>
      <c r="L44" s="98"/>
      <c r="P44"/>
      <c r="Q44"/>
      <c r="R44"/>
      <c r="S44"/>
    </row>
    <row r="45" spans="1:20" ht="15">
      <c r="A45" s="1" t="s">
        <v>52</v>
      </c>
      <c r="B45"/>
      <c r="C45"/>
      <c r="D45"/>
      <c r="E45"/>
      <c r="F45"/>
      <c r="G45"/>
      <c r="H45"/>
      <c r="I45" s="95"/>
      <c r="J45" s="135"/>
      <c r="K45" s="98"/>
      <c r="L45" s="98"/>
      <c r="P45"/>
      <c r="Q45"/>
      <c r="R45"/>
      <c r="S45"/>
    </row>
    <row r="46" spans="1:20" ht="15">
      <c r="A46" s="1" t="s">
        <v>52</v>
      </c>
      <c r="B46"/>
      <c r="C46"/>
      <c r="D46"/>
      <c r="E46"/>
      <c r="F46"/>
      <c r="G46"/>
      <c r="H46"/>
      <c r="I46" s="95"/>
      <c r="J46" s="135"/>
      <c r="K46" s="98"/>
      <c r="L46" s="98"/>
      <c r="P46"/>
      <c r="Q46"/>
      <c r="R46"/>
      <c r="S46"/>
    </row>
    <row r="47" spans="1:20" ht="15">
      <c r="A47" s="1" t="s">
        <v>52</v>
      </c>
      <c r="B47"/>
      <c r="C47"/>
      <c r="D47"/>
      <c r="E47"/>
      <c r="F47"/>
      <c r="G47"/>
      <c r="H47"/>
      <c r="I47" s="95"/>
      <c r="J47" s="135"/>
      <c r="K47" s="98"/>
      <c r="L47" s="98"/>
      <c r="P47"/>
      <c r="Q47"/>
      <c r="R47"/>
      <c r="S47"/>
    </row>
    <row r="48" spans="1:20" ht="15">
      <c r="A48" s="1" t="s">
        <v>52</v>
      </c>
      <c r="B48"/>
      <c r="C48"/>
      <c r="D48"/>
      <c r="E48"/>
      <c r="F48"/>
      <c r="G48"/>
      <c r="H48"/>
      <c r="I48" s="95"/>
      <c r="J48" s="135"/>
      <c r="K48" s="98"/>
      <c r="L48" s="98"/>
      <c r="P48"/>
      <c r="Q48"/>
      <c r="R48"/>
      <c r="S48"/>
    </row>
    <row r="49" spans="1:19" ht="15">
      <c r="A49" s="1" t="s">
        <v>52</v>
      </c>
      <c r="B49"/>
      <c r="C49"/>
      <c r="D49"/>
      <c r="E49"/>
      <c r="F49"/>
      <c r="G49"/>
      <c r="H49"/>
      <c r="I49" s="95"/>
      <c r="J49" s="135"/>
      <c r="K49" s="98"/>
      <c r="L49" s="98"/>
      <c r="P49"/>
      <c r="Q49"/>
      <c r="R49"/>
      <c r="S49"/>
    </row>
    <row r="50" spans="1:19" ht="15">
      <c r="A50" s="1" t="s">
        <v>52</v>
      </c>
      <c r="B50"/>
      <c r="C50"/>
      <c r="D50"/>
      <c r="E50"/>
      <c r="F50"/>
      <c r="G50"/>
      <c r="H50"/>
      <c r="I50" s="95"/>
      <c r="J50" s="135"/>
      <c r="K50" s="98"/>
      <c r="L50" s="98"/>
      <c r="P50"/>
      <c r="Q50"/>
      <c r="R50"/>
      <c r="S50"/>
    </row>
    <row r="51" spans="1:19" ht="15">
      <c r="A51" s="1" t="s">
        <v>52</v>
      </c>
      <c r="B51"/>
      <c r="C51"/>
      <c r="D51"/>
      <c r="E51"/>
      <c r="F51"/>
      <c r="G51"/>
      <c r="H51"/>
      <c r="I51" s="95"/>
      <c r="J51" s="135"/>
      <c r="K51" s="98"/>
      <c r="L51" s="98"/>
      <c r="P51"/>
      <c r="Q51"/>
      <c r="R51"/>
      <c r="S51"/>
    </row>
    <row r="52" spans="1:19" ht="15">
      <c r="A52" s="1" t="s">
        <v>52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</row>
    <row r="53" spans="1:19" ht="15">
      <c r="A53" s="1" t="s">
        <v>52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</row>
    <row r="54" spans="1:19" ht="15">
      <c r="A54" s="1" t="s">
        <v>52</v>
      </c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  <row r="55" spans="1:19" ht="15">
      <c r="A55" s="1" t="s">
        <v>52</v>
      </c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</row>
    <row r="56" spans="1:19" ht="15">
      <c r="A56" s="1" t="s">
        <v>52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  <row r="57" spans="1:19">
      <c r="A57" s="1" t="s">
        <v>52</v>
      </c>
    </row>
    <row r="58" spans="1:19">
      <c r="A58" s="1" t="s">
        <v>52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5610E-7B87-4AD3-8CF1-486756820E7A}">
  <sheetPr codeName="Hoja3"/>
  <dimension ref="A1:AF39"/>
  <sheetViews>
    <sheetView topLeftCell="R1" workbookViewId="0">
      <selection activeCell="AC2" sqref="AC2"/>
    </sheetView>
  </sheetViews>
  <sheetFormatPr baseColWidth="10" defaultColWidth="11.42578125" defaultRowHeight="15"/>
  <cols>
    <col min="9" max="9" width="11.85546875" bestFit="1" customWidth="1"/>
    <col min="30" max="30" width="11.85546875" bestFit="1" customWidth="1"/>
  </cols>
  <sheetData>
    <row r="1" spans="1:32">
      <c r="A1" t="s">
        <v>256</v>
      </c>
      <c r="B1" t="s">
        <v>257</v>
      </c>
      <c r="C1" t="s">
        <v>258</v>
      </c>
      <c r="D1" t="s">
        <v>259</v>
      </c>
      <c r="E1" t="s">
        <v>260</v>
      </c>
      <c r="F1" t="s">
        <v>261</v>
      </c>
      <c r="G1" t="s">
        <v>262</v>
      </c>
      <c r="H1" t="s">
        <v>263</v>
      </c>
      <c r="I1" t="s">
        <v>8</v>
      </c>
      <c r="J1" t="s">
        <v>5</v>
      </c>
      <c r="K1" t="s">
        <v>4</v>
      </c>
      <c r="L1" t="s">
        <v>6</v>
      </c>
      <c r="M1" s="132" t="s">
        <v>264</v>
      </c>
      <c r="N1" s="134" t="s">
        <v>265</v>
      </c>
      <c r="O1" s="133" t="s">
        <v>266</v>
      </c>
      <c r="P1" s="134" t="s">
        <v>265</v>
      </c>
      <c r="Q1" t="str">
        <f>+G1</f>
        <v>CONCAT</v>
      </c>
      <c r="R1" t="s">
        <v>263</v>
      </c>
      <c r="S1" t="s">
        <v>8</v>
      </c>
      <c r="T1" t="s">
        <v>5</v>
      </c>
      <c r="U1" t="s">
        <v>4</v>
      </c>
      <c r="V1" t="s">
        <v>6</v>
      </c>
      <c r="W1" s="132" t="s">
        <v>267</v>
      </c>
      <c r="X1" s="134" t="s">
        <v>265</v>
      </c>
      <c r="Y1" s="133" t="s">
        <v>268</v>
      </c>
      <c r="Z1" s="134" t="s">
        <v>265</v>
      </c>
      <c r="AA1" t="s">
        <v>424</v>
      </c>
      <c r="AB1" t="s">
        <v>425</v>
      </c>
      <c r="AC1" t="s">
        <v>270</v>
      </c>
      <c r="AD1" t="s">
        <v>271</v>
      </c>
      <c r="AE1" t="s">
        <v>272</v>
      </c>
    </row>
    <row r="2" spans="1:32">
      <c r="A2" t="str" cm="1">
        <f t="array" aca="1" ref="A2:A39" ca="1">_xlfn._xlws.SORT(_xlfn.UNIQUE(TRANSPOSE(_xlfn.TEXTSPLIT(_xlfn.TEXTJOIN(",",TRUE,ENMX!O100:O120,RTMX!O109:O129,TMEX6!O86:O106,GFIM!O92:O123,SIFM!O109:O129),","))),,-1)</f>
        <v>9Y-10Y</v>
      </c>
      <c r="B2" t="str" cm="1">
        <f t="array" aca="1" ref="B2:B29" ca="1">+_xlfn._xlws.SORT(_xlfn.UNIQUE(IF(LEN(_xlfn.ANCHORARRAY(A2))-LEN(SUBSTITUTE(_xlfn.ANCHORARRAY(A2),"-",""))&gt;1,"",_xlfn.ANCHORARRAY(A2))),,-1)</f>
        <v>9Y-10Y</v>
      </c>
      <c r="C2" t="str" cm="1">
        <f t="array" aca="1" ref="C2:C29" ca="1">+IFERROR(MID(_xlfn.ANCHORARRAY(B2),1,IFERROR(FIND("M",_xlfn.ANCHORARRAY(B2)),FIND("Y",_xlfn.ANCHORARRAY(B2)))),"")</f>
        <v>9Y</v>
      </c>
      <c r="D2" t="str" cm="1">
        <f t="array" aca="1" ref="D2:D29" ca="1">+IFERROR(MID(_xlfn.ANCHORARRAY(B2),LEN(_xlfn.ANCHORARRAY(C2))+2,LEN(_xlfn.ANCHORARRAY(B2))-LEN(_xlfn.ANCHORARRAY(C2))-1),"")</f>
        <v>10Y</v>
      </c>
      <c r="E2" cm="1">
        <f t="array" aca="1" ref="E2:E29" ca="1">+IFERROR(VALUE(MID(_xlfn.ANCHORARRAY(C2),1,LEN(_xlfn.ANCHORARRAY(C2))-1)*(MID(_xlfn.ANCHORARRAY(C2),LEN(_xlfn.ANCHORARRAY(C2)),LEN(_xlfn.ANCHORARRAY(C2)))="M"))*1+VALUE(MID(_xlfn.ANCHORARRAY(C2),1,LEN(_xlfn.ANCHORARRAY(C2))-1)*(MID(_xlfn.ANCHORARRAY(C2),LEN(_xlfn.ANCHORARRAY(C2)),LEN(_xlfn.ANCHORARRAY(C2)))="Y")*13),"")</f>
        <v>117</v>
      </c>
      <c r="F2" cm="1">
        <f t="array" aca="1" ref="F2:F29" ca="1">+IFERROR(VALUE(MID(_xlfn.ANCHORARRAY(D2),1,LEN(_xlfn.ANCHORARRAY(D2))-1)*(MID(_xlfn.ANCHORARRAY(D2),LEN(_xlfn.ANCHORARRAY(D2)),LEN(_xlfn.ANCHORARRAY(D2)))="M")*1+MID(_xlfn.ANCHORARRAY(D2),1,LEN(_xlfn.ANCHORARRAY(D2))-1)*(MID(_xlfn.ANCHORARRAY(D2),LEN(_xlfn.ANCHORARRAY(D2)),LEN(_xlfn.ANCHORARRAY(D2)))="Y")*13),"")</f>
        <v>130</v>
      </c>
      <c r="G2" t="str" cm="1">
        <f t="array" aca="1" ref="G2:G29" ca="1">+_xlfn.ANCHORARRAY(E2)&amp;"-"&amp;_xlfn.ANCHORARRAY(F2)</f>
        <v>117-130</v>
      </c>
      <c r="H2" t="str" cm="1">
        <f t="array" aca="1" ref="H2:H29" ca="1">+IF(IFERROR(VLOOKUP(_xlfn.ANCHORARRAY($B2),INDIRECT(H$1&amp;"!O86:Q106"),2,FALSE),"")&lt;&gt;0,IFERROR(VLOOKUP(_xlfn.ANCHORARRAY($B2),INDIRECT(H$1&amp;"!O86:Q106"),2,FALSE),""),"")</f>
        <v/>
      </c>
      <c r="I2" t="str" cm="1">
        <f t="array" aca="1" ref="I2:I29" ca="1">+IF(IFERROR(VLOOKUP(_xlfn.ANCHORARRAY($B2),INDIRECT(I$1&amp;"!O92:Q123"),2,FALSE),"")&lt;&gt;0,IFERROR(VLOOKUP(_xlfn.ANCHORARRAY($B2),INDIRECT(I$1&amp;"!O92:Q123"),2,FALSE),""),"")</f>
        <v/>
      </c>
      <c r="J2" t="str" cm="1">
        <f t="array" aca="1" ref="J2:J29" ca="1">+IF(IFERROR(VLOOKUP(_xlfn.ANCHORARRAY($B2),INDIRECT(J$1&amp;"!O109:Q118"),2,FALSE),"")&lt;&gt;0,IFERROR(VLOOKUP(_xlfn.ANCHORARRAY($B2),INDIRECT(J$1&amp;"!O109:Q118"),2,FALSE),""),"")</f>
        <v/>
      </c>
      <c r="K2" t="str" cm="1">
        <f t="array" aca="1" ref="K2:K29" ca="1">+IF(IFERROR(VLOOKUP(_xlfn.ANCHORARRAY($B2),INDIRECT(K$1&amp;"!O100:Q120"),2,FALSE),"")&lt;&gt;0,IFERROR(VLOOKUP(_xlfn.ANCHORARRAY($B2),INDIRECT(K$1&amp;"!O100:Q120"),2,FALSE),""),"")</f>
        <v/>
      </c>
      <c r="L2" t="str" cm="1">
        <f t="array" aca="1" ref="L2:L29" ca="1">+IF(IFERROR(VLOOKUP(_xlfn.ANCHORARRAY($B2),INDIRECT(L$1&amp;"!O109:Q130"),2,FALSE),"")&lt;&gt;0,IFERROR(VLOOKUP(_xlfn.ANCHORARRAY($B2),INDIRECT(L$1&amp;"!O109:Q130"),2,FALSE),""),"")</f>
        <v/>
      </c>
      <c r="M2" s="128" t="str">
        <f ca="1">+IF(MAX(H2:L2)=0,"",MAX(H2:L2))</f>
        <v/>
      </c>
      <c r="N2" s="129" t="str">
        <f ca="1">+IF(M2="","",IFERROR(INDEX($A$1:$L$1,1,MATCH(M2,$A2:$L2,0)),""))</f>
        <v/>
      </c>
      <c r="O2" t="str">
        <f ca="1">+IF(MIN(H2:L2)=0,"",MIN(H2:L2))</f>
        <v/>
      </c>
      <c r="P2" s="129" t="str">
        <f t="shared" ref="P2:P26" ca="1" si="0">+IF(O2="","",IFERROR(INDEX($H$1:$L$1,1,MATCH(O2,$H2:$L2,0)),""))</f>
        <v/>
      </c>
      <c r="Q2" s="86" t="str" cm="1">
        <f t="array" aca="1" ref="Q2:Q29" ca="1">+_xlfn.ANCHORARRAY(G2)</f>
        <v>117-130</v>
      </c>
      <c r="R2" t="str" cm="1">
        <f t="array" aca="1" ref="R2:R29" ca="1">+IF(IFERROR(VLOOKUP(_xlfn.ANCHORARRAY($B2),INDIRECT(R$1&amp;"!O86:Q106"),3,FALSE),"")&lt;&gt;0,IFERROR(VLOOKUP(_xlfn.ANCHORARRAY($B2),INDIRECT(R$1&amp;"!O86:Q106"),3,FALSE),""),"")</f>
        <v/>
      </c>
      <c r="S2" t="str" cm="1">
        <f t="array" aca="1" ref="S2:S29" ca="1">+IF(IFERROR(VLOOKUP(_xlfn.ANCHORARRAY($B2),INDIRECT(S$1&amp;"!O92:Q123"),3,FALSE),"")&lt;&gt;0,IFERROR(VLOOKUP(_xlfn.ANCHORARRAY($B2),INDIRECT(S$1&amp;"!O92:Q123"),3,FALSE),""),"")</f>
        <v/>
      </c>
      <c r="T2" t="str" cm="1">
        <f t="array" aca="1" ref="T2:T29" ca="1">+IF(IFERROR(VLOOKUP(_xlfn.ANCHORARRAY($B2),INDIRECT(T$1&amp;"!O109:Q118"),3,FALSE),"")&lt;&gt;0,IFERROR(VLOOKUP(_xlfn.ANCHORARRAY($B2),INDIRECT(T$1&amp;"!O109:Q118"),3,FALSE),""),"")</f>
        <v/>
      </c>
      <c r="U2" t="str" cm="1">
        <f t="array" aca="1" ref="U2:U29" ca="1">+IF(IFERROR(VLOOKUP(_xlfn.ANCHORARRAY($B2),INDIRECT(U$1&amp;"!O100:Q120"),3,FALSE),"")&lt;&gt;0,IFERROR(VLOOKUP(_xlfn.ANCHORARRAY($B2),INDIRECT(U$1&amp;"!O100:Q120"),3,FALSE),""),"")</f>
        <v/>
      </c>
      <c r="V2" t="str" cm="1">
        <f t="array" aca="1" ref="V2:V29" ca="1">+IF(IFERROR(VLOOKUP(_xlfn.ANCHORARRAY($B2),INDIRECT(V$1&amp;"!O109:Q130"),3,FALSE),"")&lt;&gt;0,IFERROR(VLOOKUP(_xlfn.ANCHORARRAY($B2),INDIRECT(V$1&amp;"!O109:Q130"),3,FALSE),""),"")</f>
        <v/>
      </c>
      <c r="W2" s="128" t="str">
        <f t="shared" ref="W2:W26" ca="1" si="1">+IF(MAX(R2:V2)=0,"",MAX(R2:V2))</f>
        <v/>
      </c>
      <c r="X2" s="129" t="str">
        <f t="shared" ref="X2:X26" ca="1" si="2">+IF(W2="","",IFERROR(INDEX($R$1:$V$1,1,MATCH(W2,$R2:$V2,0)),""))</f>
        <v/>
      </c>
      <c r="Y2" t="str">
        <f t="shared" ref="Y2:Y26" ca="1" si="3">+IF(MIN(R2:V2)=0,"",MIN(R2:V2))</f>
        <v/>
      </c>
      <c r="Z2" s="129" t="str">
        <f t="shared" ref="Z2:Z26" ca="1" si="4">+IF(Y2="","",IFERROR(INDEX($R$1:$V$1,1,MATCH(Y2,$R2:$V2,0)),""))</f>
        <v/>
      </c>
      <c r="AA2" t="str" cm="1">
        <f t="array" aca="1" ref="AA2:AA29" ca="1">+_xlfn.ANCHORARRAY(G2)</f>
        <v>117-130</v>
      </c>
      <c r="AB2" t="str" cm="1">
        <f t="array" aca="1" ref="AB2:AB29" ca="1">+_xlfn.ANCHORARRAY(B2)</f>
        <v>9Y-10Y</v>
      </c>
      <c r="AC2" cm="1">
        <f t="array" aca="1" ref="AC2:AC7" ca="1">+VALUE(_xlfn.TEXTSPLIT(_xlfn.TEXTJOIN(",",TRUE,IF(IFERROR((((_xlfn.ANCHORARRAY(H2)&lt;&gt;"")+(_xlfn.ANCHORARRAY(I2)&lt;&gt;"")+(_xlfn.ANCHORARRAY(J2)&lt;&gt;"")+(_xlfn.ANCHORARRAY(K2)&lt;&gt;"")+(_xlfn.ANCHORARRAY(L2)&lt;&gt;"")+(_xlfn.ANCHORARRAY(R2)&lt;&gt;"")+(_xlfn.ANCHORARRAY(S2)&lt;&gt;"")+(_xlfn.ANCHORARRAY(T2)&lt;&gt;"")+(_xlfn.ANCHORARRAY(U2)&lt;&gt;"")+(_xlfn.ANCHORARRAY(V2)&lt;&gt;""))&gt;0)*_xlfn.ANCHORARRAY(E2),"")=0,"",IFERROR((((_xlfn.ANCHORARRAY(H2)&lt;&gt;"")+(_xlfn.ANCHORARRAY(I2)&lt;&gt;"")+(_xlfn.ANCHORARRAY(J2)&lt;&gt;"")+(_xlfn.ANCHORARRAY(K2)&lt;&gt;"")+(_xlfn.ANCHORARRAY(L2)&lt;&gt;"")+(_xlfn.ANCHORARRAY(R2)&lt;&gt;"")+(_xlfn.ANCHORARRAY(S2)&lt;&gt;"")+(_xlfn.ANCHORARRAY(T2)&lt;&gt;"")+(_xlfn.ANCHORARRAY(U2)&lt;&gt;"")+(_xlfn.ANCHORARRAY(V2)&lt;&gt;""))&gt;0)*_xlfn.ANCHORARRAY(E2),""))),,","))</f>
        <v>9</v>
      </c>
      <c r="AD2" cm="1">
        <f t="array" aca="1" ref="AD2:AD7" ca="1">+VALUE(_xlfn.TEXTSPLIT(_xlfn.TEXTJOIN(",",TRUE,IF(IFERROR((((_xlfn.ANCHORARRAY(H2)&lt;&gt;"")+(_xlfn.ANCHORARRAY(I2)&lt;&gt;"")+(_xlfn.ANCHORARRAY(J2)&lt;&gt;"")+(_xlfn.ANCHORARRAY(K2)&lt;&gt;"")+(_xlfn.ANCHORARRAY(L2)&lt;&gt;"")+(_xlfn.ANCHORARRAY(R2)&lt;&gt;"")+(_xlfn.ANCHORARRAY(S2)&lt;&gt;"")+(_xlfn.ANCHORARRAY(T2)&lt;&gt;"")+(_xlfn.ANCHORARRAY(U2)&lt;&gt;"")+(_xlfn.ANCHORARRAY(V2)&lt;&gt;""))&gt;0)*_xlfn.ANCHORARRAY(F2),"")=0,"",IFERROR((((_xlfn.ANCHORARRAY(H2)&lt;&gt;"")+(_xlfn.ANCHORARRAY(I2)&lt;&gt;"")+(_xlfn.ANCHORARRAY(J2)&lt;&gt;"")+(_xlfn.ANCHORARRAY(K2)&lt;&gt;"")+(_xlfn.ANCHORARRAY(L2)&lt;&gt;"")+(_xlfn.ANCHORARRAY(R2)&lt;&gt;"")+(_xlfn.ANCHORARRAY(S2)&lt;&gt;"")+(_xlfn.ANCHORARRAY(T2)&lt;&gt;"")+(_xlfn.ANCHORARRAY(U2)&lt;&gt;"")+(_xlfn.ANCHORARRAY(V2)&lt;&gt;""))&gt;0)*_xlfn.ANCHORARRAY(F2),""))),,","))</f>
        <v>13</v>
      </c>
      <c r="AE2" t="str" cm="1">
        <f t="array" aca="1" ref="AE2:AE7" ca="1">+_xlfn.ANCHORARRAY(AC2)&amp;"-"&amp;_xlfn.ANCHORARRAY(AD2)</f>
        <v>9-13</v>
      </c>
      <c r="AF2" t="str" cm="1">
        <f t="array" aca="1" ref="AF2:AF7" ca="1">+VLOOKUP(_xlfn.ANCHORARRAY(AE2),SPREAD_NAME,2,FALSE)</f>
        <v>9M-1Y</v>
      </c>
    </row>
    <row r="3" spans="1:32">
      <c r="A3" t="str">
        <f ca="1"/>
        <v>9M-1Y-2Y</v>
      </c>
      <c r="B3" t="str">
        <f ca="1"/>
        <v>9M-1Y</v>
      </c>
      <c r="C3" t="str">
        <f ca="1"/>
        <v>9M</v>
      </c>
      <c r="D3" t="str">
        <f ca="1"/>
        <v>1Y</v>
      </c>
      <c r="E3">
        <f ca="1"/>
        <v>9</v>
      </c>
      <c r="F3">
        <f ca="1"/>
        <v>13</v>
      </c>
      <c r="G3" t="str">
        <f ca="1"/>
        <v>9-13</v>
      </c>
      <c r="H3">
        <f ca="1"/>
        <v>-37</v>
      </c>
      <c r="I3">
        <f ca="1"/>
        <v>-37</v>
      </c>
      <c r="J3">
        <f ca="1"/>
        <v>-38</v>
      </c>
      <c r="K3" t="str">
        <f ca="1"/>
        <v/>
      </c>
      <c r="L3" t="str">
        <f ca="1"/>
        <v/>
      </c>
      <c r="M3" s="128">
        <f t="shared" ref="M3:M27" ca="1" si="5">+IF(MAX(H3:L3)=0,"",MAX(H3:L3))</f>
        <v>-37</v>
      </c>
      <c r="N3" s="129" t="str">
        <f t="shared" ref="N3:N26" ca="1" si="6">+IF(M3="","",IFERROR(INDEX($A$1:$L$1,1,MATCH(M3,$A3:$L3,0)),""))</f>
        <v>TMEX6</v>
      </c>
      <c r="O3">
        <f t="shared" ref="O3:O27" ca="1" si="7">+IF(MIN(H3:L3)=0,"",MIN(H3:L3))</f>
        <v>-38</v>
      </c>
      <c r="P3" s="129" t="str">
        <f t="shared" ca="1" si="0"/>
        <v>RTMX</v>
      </c>
      <c r="Q3" s="86" t="str">
        <f ca="1"/>
        <v>9-13</v>
      </c>
      <c r="R3">
        <f ca="1"/>
        <v>-35</v>
      </c>
      <c r="S3">
        <f ca="1"/>
        <v>-35</v>
      </c>
      <c r="T3">
        <f ca="1"/>
        <v>-35</v>
      </c>
      <c r="U3" t="str">
        <f ca="1"/>
        <v/>
      </c>
      <c r="V3" t="str">
        <f ca="1"/>
        <v/>
      </c>
      <c r="W3" s="128">
        <f t="shared" ca="1" si="1"/>
        <v>-35</v>
      </c>
      <c r="X3" s="129" t="str">
        <f t="shared" ca="1" si="2"/>
        <v>TMEX6</v>
      </c>
      <c r="Y3">
        <f t="shared" ca="1" si="3"/>
        <v>-35</v>
      </c>
      <c r="Z3" s="129" t="str">
        <f t="shared" ca="1" si="4"/>
        <v>TMEX6</v>
      </c>
      <c r="AA3" t="str">
        <f ca="1"/>
        <v>9-13</v>
      </c>
      <c r="AB3" t="str">
        <f ca="1"/>
        <v>9M-1Y</v>
      </c>
      <c r="AC3">
        <f ca="1"/>
        <v>6</v>
      </c>
      <c r="AD3">
        <f ca="1"/>
        <v>9</v>
      </c>
      <c r="AE3" t="str">
        <f ca="1"/>
        <v>6-9</v>
      </c>
      <c r="AF3" t="str">
        <f ca="1"/>
        <v>6M-9M</v>
      </c>
    </row>
    <row r="4" spans="1:32">
      <c r="A4" t="str">
        <f ca="1"/>
        <v>9M-1Y</v>
      </c>
      <c r="B4" t="str">
        <f ca="1"/>
        <v>7Y-10Y</v>
      </c>
      <c r="C4" t="str">
        <f ca="1"/>
        <v>7Y</v>
      </c>
      <c r="D4" t="str">
        <f ca="1"/>
        <v>10Y</v>
      </c>
      <c r="E4">
        <f ca="1"/>
        <v>91</v>
      </c>
      <c r="F4">
        <f ca="1"/>
        <v>130</v>
      </c>
      <c r="G4" t="str">
        <f ca="1"/>
        <v>91-130</v>
      </c>
      <c r="H4" t="str">
        <f ca="1"/>
        <v/>
      </c>
      <c r="I4" t="str">
        <f ca="1"/>
        <v/>
      </c>
      <c r="J4" t="str">
        <f ca="1"/>
        <v/>
      </c>
      <c r="K4" t="str">
        <f ca="1"/>
        <v/>
      </c>
      <c r="L4" t="str">
        <f ca="1"/>
        <v/>
      </c>
      <c r="M4" s="128" t="str">
        <f ca="1">+IF(MAX(H4:L4)=0,"",MAX(H4:L4))</f>
        <v/>
      </c>
      <c r="N4" s="129" t="str">
        <f ca="1">+IF(M4="","",IFERROR(INDEX($A$1:$L$1,1,MATCH(M4,$A4:$L4,0)),""))</f>
        <v/>
      </c>
      <c r="O4" t="str">
        <f t="shared" ca="1" si="7"/>
        <v/>
      </c>
      <c r="P4" s="129" t="str">
        <f t="shared" ca="1" si="0"/>
        <v/>
      </c>
      <c r="Q4" s="86" t="str">
        <f ca="1"/>
        <v>91-130</v>
      </c>
      <c r="R4" t="str">
        <f ca="1"/>
        <v/>
      </c>
      <c r="S4" t="str">
        <f ca="1"/>
        <v/>
      </c>
      <c r="T4" t="str">
        <f ca="1"/>
        <v/>
      </c>
      <c r="U4" t="str">
        <f ca="1"/>
        <v/>
      </c>
      <c r="V4" t="str">
        <f ca="1"/>
        <v/>
      </c>
      <c r="W4" s="128" t="str">
        <f t="shared" ca="1" si="1"/>
        <v/>
      </c>
      <c r="X4" s="129" t="str">
        <f t="shared" ca="1" si="2"/>
        <v/>
      </c>
      <c r="Y4" t="str">
        <f t="shared" ca="1" si="3"/>
        <v/>
      </c>
      <c r="Z4" s="129" t="str">
        <f t="shared" ca="1" si="4"/>
        <v/>
      </c>
      <c r="AA4" t="str">
        <f ca="1"/>
        <v>91-130</v>
      </c>
      <c r="AB4" t="str">
        <f ca="1"/>
        <v>7Y-10Y</v>
      </c>
      <c r="AC4">
        <f ca="1"/>
        <v>52</v>
      </c>
      <c r="AD4">
        <f ca="1"/>
        <v>65</v>
      </c>
      <c r="AE4" t="str">
        <f ca="1"/>
        <v>52-65</v>
      </c>
      <c r="AF4" t="str">
        <f ca="1"/>
        <v>4Y-5Y</v>
      </c>
    </row>
    <row r="5" spans="1:32">
      <c r="A5" t="str">
        <f ca="1"/>
        <v>7Y-10Y</v>
      </c>
      <c r="B5" t="str">
        <f ca="1"/>
        <v>6Y-7Y</v>
      </c>
      <c r="C5" t="str">
        <f ca="1"/>
        <v>6Y</v>
      </c>
      <c r="D5" t="str">
        <f ca="1"/>
        <v>7Y</v>
      </c>
      <c r="E5">
        <f ca="1"/>
        <v>78</v>
      </c>
      <c r="F5">
        <f ca="1"/>
        <v>91</v>
      </c>
      <c r="G5" t="str">
        <f ca="1"/>
        <v>78-91</v>
      </c>
      <c r="H5" t="str">
        <f ca="1"/>
        <v/>
      </c>
      <c r="I5" t="str">
        <f ca="1"/>
        <v/>
      </c>
      <c r="J5" t="str">
        <f ca="1"/>
        <v/>
      </c>
      <c r="K5" t="str">
        <f ca="1"/>
        <v/>
      </c>
      <c r="L5" t="str">
        <f ca="1"/>
        <v/>
      </c>
      <c r="M5" s="128" t="str">
        <f t="shared" ca="1" si="5"/>
        <v/>
      </c>
      <c r="N5" s="129" t="str">
        <f t="shared" ca="1" si="6"/>
        <v/>
      </c>
      <c r="O5" t="str">
        <f t="shared" ca="1" si="7"/>
        <v/>
      </c>
      <c r="P5" s="129" t="str">
        <f t="shared" ca="1" si="0"/>
        <v/>
      </c>
      <c r="Q5" s="86" t="str">
        <f ca="1"/>
        <v>78-91</v>
      </c>
      <c r="R5" t="str">
        <f ca="1"/>
        <v/>
      </c>
      <c r="S5" t="str">
        <f ca="1"/>
        <v/>
      </c>
      <c r="T5" t="str">
        <f ca="1"/>
        <v/>
      </c>
      <c r="U5" t="str">
        <f ca="1"/>
        <v/>
      </c>
      <c r="V5" t="str">
        <f ca="1"/>
        <v/>
      </c>
      <c r="W5" s="128" t="str">
        <f t="shared" ca="1" si="1"/>
        <v/>
      </c>
      <c r="X5" s="129" t="str">
        <f t="shared" ca="1" si="2"/>
        <v/>
      </c>
      <c r="Y5" t="str">
        <f t="shared" ca="1" si="3"/>
        <v/>
      </c>
      <c r="Z5" s="129" t="str">
        <f t="shared" ca="1" si="4"/>
        <v/>
      </c>
      <c r="AA5" t="str">
        <f ca="1"/>
        <v>78-91</v>
      </c>
      <c r="AB5" t="str">
        <f ca="1"/>
        <v>6Y-7Y</v>
      </c>
      <c r="AC5">
        <f ca="1"/>
        <v>39</v>
      </c>
      <c r="AD5">
        <f ca="1"/>
        <v>52</v>
      </c>
      <c r="AE5" t="str">
        <f ca="1"/>
        <v>39-52</v>
      </c>
      <c r="AF5" t="str">
        <f ca="1"/>
        <v>3Y-4Y</v>
      </c>
    </row>
    <row r="6" spans="1:32">
      <c r="A6" t="str">
        <f ca="1"/>
        <v>6Y-7Y</v>
      </c>
      <c r="B6" t="str">
        <f ca="1"/>
        <v>6Y-1Y</v>
      </c>
      <c r="C6" t="str">
        <f ca="1"/>
        <v>6Y</v>
      </c>
      <c r="D6" t="str">
        <f ca="1"/>
        <v>1Y</v>
      </c>
      <c r="E6">
        <f ca="1"/>
        <v>78</v>
      </c>
      <c r="F6">
        <f ca="1"/>
        <v>13</v>
      </c>
      <c r="G6" t="str">
        <f ca="1"/>
        <v>78-13</v>
      </c>
      <c r="H6" t="str">
        <f ca="1"/>
        <v/>
      </c>
      <c r="I6" t="str">
        <f ca="1"/>
        <v/>
      </c>
      <c r="J6" t="str">
        <f ca="1"/>
        <v/>
      </c>
      <c r="K6" t="str">
        <f ca="1"/>
        <v/>
      </c>
      <c r="L6" t="str">
        <f ca="1"/>
        <v/>
      </c>
      <c r="M6" s="128" t="str">
        <f t="shared" ca="1" si="5"/>
        <v/>
      </c>
      <c r="N6" s="129" t="str">
        <f t="shared" ca="1" si="6"/>
        <v/>
      </c>
      <c r="O6" t="str">
        <f t="shared" ca="1" si="7"/>
        <v/>
      </c>
      <c r="P6" s="129" t="str">
        <f t="shared" ca="1" si="0"/>
        <v/>
      </c>
      <c r="Q6" s="86" t="str">
        <f ca="1"/>
        <v>78-13</v>
      </c>
      <c r="R6" t="str">
        <f ca="1"/>
        <v/>
      </c>
      <c r="S6" t="str">
        <f ca="1"/>
        <v/>
      </c>
      <c r="T6" t="str">
        <f ca="1"/>
        <v/>
      </c>
      <c r="U6" t="str">
        <f ca="1"/>
        <v/>
      </c>
      <c r="V6" t="str">
        <f ca="1"/>
        <v/>
      </c>
      <c r="W6" s="128" t="str">
        <f t="shared" ca="1" si="1"/>
        <v/>
      </c>
      <c r="X6" s="129" t="str">
        <f t="shared" ca="1" si="2"/>
        <v/>
      </c>
      <c r="Y6" t="str">
        <f t="shared" ca="1" si="3"/>
        <v/>
      </c>
      <c r="Z6" s="129" t="str">
        <f t="shared" ca="1" si="4"/>
        <v/>
      </c>
      <c r="AA6" t="str">
        <f ca="1"/>
        <v>78-13</v>
      </c>
      <c r="AB6" t="str">
        <f ca="1"/>
        <v>6Y-1Y</v>
      </c>
      <c r="AC6">
        <f ca="1"/>
        <v>3</v>
      </c>
      <c r="AD6">
        <f ca="1"/>
        <v>6</v>
      </c>
      <c r="AE6" t="str">
        <f ca="1"/>
        <v>3-6</v>
      </c>
      <c r="AF6" t="str">
        <f ca="1"/>
        <v>3M-6M</v>
      </c>
    </row>
    <row r="7" spans="1:32">
      <c r="A7" t="str">
        <f ca="1"/>
        <v>6Y-1Y</v>
      </c>
      <c r="B7" t="str">
        <f ca="1"/>
        <v>6M-9M</v>
      </c>
      <c r="C7" t="str">
        <f ca="1"/>
        <v>6M</v>
      </c>
      <c r="D7" t="str">
        <f ca="1"/>
        <v>9M</v>
      </c>
      <c r="E7">
        <f ca="1"/>
        <v>6</v>
      </c>
      <c r="F7">
        <f ca="1"/>
        <v>9</v>
      </c>
      <c r="G7" t="str">
        <f ca="1"/>
        <v>6-9</v>
      </c>
      <c r="H7">
        <f ca="1"/>
        <v>-19</v>
      </c>
      <c r="I7" t="str">
        <f ca="1"/>
        <v/>
      </c>
      <c r="J7" t="str">
        <f ca="1"/>
        <v/>
      </c>
      <c r="K7">
        <f ca="1"/>
        <v>-19</v>
      </c>
      <c r="L7" t="str">
        <f ca="1"/>
        <v/>
      </c>
      <c r="M7" s="128">
        <f t="shared" ca="1" si="5"/>
        <v>-19</v>
      </c>
      <c r="N7" s="129" t="str">
        <f t="shared" ca="1" si="6"/>
        <v>TMEX6</v>
      </c>
      <c r="O7">
        <f t="shared" ca="1" si="7"/>
        <v>-19</v>
      </c>
      <c r="P7" s="129" t="str">
        <f t="shared" ca="1" si="0"/>
        <v>TMEX6</v>
      </c>
      <c r="Q7" s="86" t="str">
        <f ca="1"/>
        <v>6-9</v>
      </c>
      <c r="R7">
        <f ca="1"/>
        <v>-14.5</v>
      </c>
      <c r="S7" t="str">
        <f ca="1"/>
        <v/>
      </c>
      <c r="T7" t="str">
        <f ca="1"/>
        <v/>
      </c>
      <c r="U7">
        <f ca="1"/>
        <v>-14</v>
      </c>
      <c r="V7" t="str">
        <f ca="1"/>
        <v/>
      </c>
      <c r="W7" s="128">
        <f t="shared" ca="1" si="1"/>
        <v>-14</v>
      </c>
      <c r="X7" s="129" t="str">
        <f t="shared" ca="1" si="2"/>
        <v>ENMX</v>
      </c>
      <c r="Y7">
        <f t="shared" ca="1" si="3"/>
        <v>-14.5</v>
      </c>
      <c r="Z7" s="129" t="str">
        <f t="shared" ca="1" si="4"/>
        <v>TMEX6</v>
      </c>
      <c r="AA7" t="str">
        <f ca="1"/>
        <v>6-9</v>
      </c>
      <c r="AB7" t="str">
        <f ca="1"/>
        <v>6M-9M</v>
      </c>
      <c r="AC7">
        <f ca="1"/>
        <v>26</v>
      </c>
      <c r="AD7">
        <f ca="1"/>
        <v>39</v>
      </c>
      <c r="AE7" t="str">
        <f ca="1"/>
        <v>26-39</v>
      </c>
      <c r="AF7" t="str">
        <f ca="1"/>
        <v>2Y-3Y</v>
      </c>
    </row>
    <row r="8" spans="1:32">
      <c r="A8" t="str">
        <f ca="1"/>
        <v>6M-9M-1Y</v>
      </c>
      <c r="B8" t="str">
        <f ca="1"/>
        <v>5Y-7Y</v>
      </c>
      <c r="C8" t="str">
        <f ca="1"/>
        <v>5Y</v>
      </c>
      <c r="D8" t="str">
        <f ca="1"/>
        <v>7Y</v>
      </c>
      <c r="E8">
        <f ca="1"/>
        <v>65</v>
      </c>
      <c r="F8">
        <f ca="1"/>
        <v>91</v>
      </c>
      <c r="G8" t="str">
        <f ca="1"/>
        <v>65-91</v>
      </c>
      <c r="H8" t="str">
        <f ca="1"/>
        <v/>
      </c>
      <c r="I8" t="str">
        <f ca="1"/>
        <v/>
      </c>
      <c r="J8" t="str">
        <f ca="1"/>
        <v/>
      </c>
      <c r="K8" t="str">
        <f ca="1"/>
        <v/>
      </c>
      <c r="L8" t="str">
        <f ca="1"/>
        <v/>
      </c>
      <c r="M8" s="128" t="str">
        <f t="shared" ca="1" si="5"/>
        <v/>
      </c>
      <c r="N8" s="129" t="str">
        <f t="shared" ca="1" si="6"/>
        <v/>
      </c>
      <c r="O8" t="str">
        <f t="shared" ca="1" si="7"/>
        <v/>
      </c>
      <c r="P8" s="129" t="str">
        <f t="shared" ca="1" si="0"/>
        <v/>
      </c>
      <c r="Q8" s="86" t="str">
        <f ca="1"/>
        <v>65-91</v>
      </c>
      <c r="R8" t="str">
        <f ca="1"/>
        <v/>
      </c>
      <c r="S8" t="str">
        <f ca="1"/>
        <v/>
      </c>
      <c r="T8" t="str">
        <f ca="1"/>
        <v/>
      </c>
      <c r="U8" t="str">
        <f ca="1"/>
        <v/>
      </c>
      <c r="V8" t="str">
        <f ca="1"/>
        <v/>
      </c>
      <c r="W8" s="128" t="str">
        <f t="shared" ca="1" si="1"/>
        <v/>
      </c>
      <c r="X8" s="129" t="str">
        <f t="shared" ca="1" si="2"/>
        <v/>
      </c>
      <c r="Y8" t="str">
        <f t="shared" ca="1" si="3"/>
        <v/>
      </c>
      <c r="Z8" s="129" t="str">
        <f t="shared" ca="1" si="4"/>
        <v/>
      </c>
      <c r="AA8" t="str">
        <f ca="1"/>
        <v>65-91</v>
      </c>
      <c r="AB8" t="str">
        <f ca="1"/>
        <v>5Y-7Y</v>
      </c>
    </row>
    <row r="9" spans="1:32">
      <c r="A9" t="str">
        <f ca="1"/>
        <v>6M-9M</v>
      </c>
      <c r="B9" t="str">
        <f ca="1"/>
        <v>5Y-6Y</v>
      </c>
      <c r="C9" t="str">
        <f ca="1"/>
        <v>5Y</v>
      </c>
      <c r="D9" t="str">
        <f ca="1"/>
        <v>6Y</v>
      </c>
      <c r="E9">
        <f ca="1"/>
        <v>65</v>
      </c>
      <c r="F9">
        <f ca="1"/>
        <v>78</v>
      </c>
      <c r="G9" t="str">
        <f ca="1"/>
        <v>65-78</v>
      </c>
      <c r="H9" t="str">
        <f ca="1"/>
        <v/>
      </c>
      <c r="I9" t="str">
        <f ca="1"/>
        <v/>
      </c>
      <c r="J9" t="str">
        <f ca="1"/>
        <v/>
      </c>
      <c r="K9" t="str">
        <f ca="1"/>
        <v/>
      </c>
      <c r="L9" t="str">
        <f ca="1"/>
        <v/>
      </c>
      <c r="M9" s="128" t="str">
        <f t="shared" ca="1" si="5"/>
        <v/>
      </c>
      <c r="N9" s="129" t="str">
        <f t="shared" ca="1" si="6"/>
        <v/>
      </c>
      <c r="O9" t="str">
        <f t="shared" ca="1" si="7"/>
        <v/>
      </c>
      <c r="P9" s="129" t="str">
        <f t="shared" ca="1" si="0"/>
        <v/>
      </c>
      <c r="Q9" s="86" t="str">
        <f ca="1"/>
        <v>65-78</v>
      </c>
      <c r="R9" t="str">
        <f ca="1"/>
        <v/>
      </c>
      <c r="S9" t="str">
        <f ca="1"/>
        <v/>
      </c>
      <c r="T9" t="str">
        <f ca="1"/>
        <v/>
      </c>
      <c r="U9" t="str">
        <f ca="1"/>
        <v/>
      </c>
      <c r="V9" t="str">
        <f ca="1"/>
        <v/>
      </c>
      <c r="W9" s="128" t="str">
        <f t="shared" ca="1" si="1"/>
        <v/>
      </c>
      <c r="X9" s="129" t="str">
        <f t="shared" ca="1" si="2"/>
        <v/>
      </c>
      <c r="Y9" t="str">
        <f t="shared" ca="1" si="3"/>
        <v/>
      </c>
      <c r="Z9" s="129" t="str">
        <f t="shared" ca="1" si="4"/>
        <v/>
      </c>
      <c r="AA9" t="str">
        <f ca="1"/>
        <v>65-78</v>
      </c>
      <c r="AB9" t="str">
        <f ca="1"/>
        <v>5Y-6Y</v>
      </c>
    </row>
    <row r="10" spans="1:32">
      <c r="A10" t="str">
        <f ca="1"/>
        <v>5Y-7Y-10Y</v>
      </c>
      <c r="B10" t="str">
        <f ca="1"/>
        <v>5Y-10Y</v>
      </c>
      <c r="C10" t="str">
        <f ca="1"/>
        <v>5Y</v>
      </c>
      <c r="D10" t="str">
        <f ca="1"/>
        <v>10Y</v>
      </c>
      <c r="E10">
        <f ca="1"/>
        <v>65</v>
      </c>
      <c r="F10">
        <f ca="1"/>
        <v>130</v>
      </c>
      <c r="G10" t="str">
        <f ca="1"/>
        <v>65-130</v>
      </c>
      <c r="H10" t="str">
        <f ca="1"/>
        <v/>
      </c>
      <c r="I10" t="str">
        <f ca="1"/>
        <v/>
      </c>
      <c r="J10" t="str">
        <f ca="1"/>
        <v/>
      </c>
      <c r="K10" t="str">
        <f ca="1"/>
        <v/>
      </c>
      <c r="L10" t="str">
        <f ca="1"/>
        <v/>
      </c>
      <c r="M10" s="128" t="str">
        <f t="shared" ca="1" si="5"/>
        <v/>
      </c>
      <c r="N10" s="129" t="str">
        <f t="shared" ca="1" si="6"/>
        <v/>
      </c>
      <c r="O10" t="str">
        <f t="shared" ca="1" si="7"/>
        <v/>
      </c>
      <c r="P10" s="129" t="str">
        <f t="shared" ca="1" si="0"/>
        <v/>
      </c>
      <c r="Q10" s="86" t="str">
        <f ca="1"/>
        <v>65-130</v>
      </c>
      <c r="R10" t="str">
        <f ca="1"/>
        <v/>
      </c>
      <c r="S10" t="str">
        <f ca="1"/>
        <v/>
      </c>
      <c r="T10" t="str">
        <f ca="1"/>
        <v/>
      </c>
      <c r="U10" t="str">
        <f ca="1"/>
        <v/>
      </c>
      <c r="V10" t="str">
        <f ca="1"/>
        <v/>
      </c>
      <c r="W10" s="128" t="str">
        <f t="shared" ca="1" si="1"/>
        <v/>
      </c>
      <c r="X10" s="129" t="str">
        <f t="shared" ca="1" si="2"/>
        <v/>
      </c>
      <c r="Y10" t="str">
        <f t="shared" ca="1" si="3"/>
        <v/>
      </c>
      <c r="Z10" s="129" t="str">
        <f t="shared" ca="1" si="4"/>
        <v/>
      </c>
      <c r="AA10" t="str">
        <f ca="1"/>
        <v>65-130</v>
      </c>
      <c r="AB10" t="str">
        <f ca="1"/>
        <v>5Y-10Y</v>
      </c>
    </row>
    <row r="11" spans="1:32">
      <c r="A11" t="str">
        <f ca="1"/>
        <v>5Y-7Y</v>
      </c>
      <c r="B11" t="str">
        <f ca="1"/>
        <v>4Y-5Y</v>
      </c>
      <c r="C11" t="str">
        <f ca="1"/>
        <v>4Y</v>
      </c>
      <c r="D11" t="str">
        <f ca="1"/>
        <v>5Y</v>
      </c>
      <c r="E11">
        <f ca="1"/>
        <v>52</v>
      </c>
      <c r="F11">
        <f ca="1"/>
        <v>65</v>
      </c>
      <c r="G11" t="str">
        <f ca="1"/>
        <v>52-65</v>
      </c>
      <c r="H11">
        <f ca="1"/>
        <v>-22</v>
      </c>
      <c r="I11" t="str">
        <f ca="1"/>
        <v/>
      </c>
      <c r="J11" t="str">
        <f ca="1"/>
        <v/>
      </c>
      <c r="K11" t="str">
        <f ca="1"/>
        <v/>
      </c>
      <c r="L11" t="str">
        <f ca="1"/>
        <v/>
      </c>
      <c r="M11" s="128">
        <f t="shared" ca="1" si="5"/>
        <v>-22</v>
      </c>
      <c r="N11" s="129" t="str">
        <f t="shared" ca="1" si="6"/>
        <v>TMEX6</v>
      </c>
      <c r="O11">
        <f t="shared" ca="1" si="7"/>
        <v>-22</v>
      </c>
      <c r="P11" s="129" t="str">
        <f t="shared" ca="1" si="0"/>
        <v>TMEX6</v>
      </c>
      <c r="Q11" s="86" t="str">
        <f ca="1"/>
        <v>52-65</v>
      </c>
      <c r="R11">
        <f ca="1"/>
        <v>-19</v>
      </c>
      <c r="S11" t="str">
        <f ca="1"/>
        <v/>
      </c>
      <c r="T11" t="str">
        <f ca="1"/>
        <v/>
      </c>
      <c r="U11" t="str">
        <f ca="1"/>
        <v/>
      </c>
      <c r="V11" t="str">
        <f ca="1"/>
        <v/>
      </c>
      <c r="W11" s="128">
        <f t="shared" ca="1" si="1"/>
        <v>-19</v>
      </c>
      <c r="X11" s="129" t="str">
        <f t="shared" ca="1" si="2"/>
        <v>TMEX6</v>
      </c>
      <c r="Y11">
        <f t="shared" ca="1" si="3"/>
        <v>-19</v>
      </c>
      <c r="Z11" s="129" t="str">
        <f t="shared" ca="1" si="4"/>
        <v>TMEX6</v>
      </c>
      <c r="AA11" t="str">
        <f ca="1"/>
        <v>52-65</v>
      </c>
      <c r="AB11" t="str">
        <f ca="1"/>
        <v>4Y-5Y</v>
      </c>
    </row>
    <row r="12" spans="1:32">
      <c r="A12" t="str">
        <f ca="1"/>
        <v>5Y-6Y</v>
      </c>
      <c r="B12" t="str">
        <f ca="1"/>
        <v>3Y-5Y</v>
      </c>
      <c r="C12" t="str">
        <f ca="1"/>
        <v>3Y</v>
      </c>
      <c r="D12" t="str">
        <f ca="1"/>
        <v>5Y</v>
      </c>
      <c r="E12">
        <f ca="1"/>
        <v>39</v>
      </c>
      <c r="F12">
        <f ca="1"/>
        <v>65</v>
      </c>
      <c r="G12" t="str">
        <f ca="1"/>
        <v>39-65</v>
      </c>
      <c r="H12" t="str">
        <f ca="1"/>
        <v/>
      </c>
      <c r="I12" t="str">
        <f ca="1"/>
        <v/>
      </c>
      <c r="J12" t="str">
        <f ca="1"/>
        <v/>
      </c>
      <c r="K12" t="str">
        <f ca="1"/>
        <v/>
      </c>
      <c r="L12" t="str">
        <f ca="1"/>
        <v/>
      </c>
      <c r="M12" s="128" t="str">
        <f t="shared" ca="1" si="5"/>
        <v/>
      </c>
      <c r="N12" s="129" t="str">
        <f t="shared" ca="1" si="6"/>
        <v/>
      </c>
      <c r="O12" t="str">
        <f t="shared" ca="1" si="7"/>
        <v/>
      </c>
      <c r="P12" s="129" t="str">
        <f t="shared" ca="1" si="0"/>
        <v/>
      </c>
      <c r="Q12" s="86" t="str">
        <f ca="1"/>
        <v>39-65</v>
      </c>
      <c r="R12" t="str">
        <f ca="1"/>
        <v/>
      </c>
      <c r="S12" t="str">
        <f ca="1"/>
        <v/>
      </c>
      <c r="T12" t="str">
        <f ca="1"/>
        <v/>
      </c>
      <c r="U12" t="str">
        <f ca="1"/>
        <v/>
      </c>
      <c r="V12" t="str">
        <f ca="1"/>
        <v/>
      </c>
      <c r="W12" s="128" t="str">
        <f t="shared" ca="1" si="1"/>
        <v/>
      </c>
      <c r="X12" s="129" t="str">
        <f t="shared" ca="1" si="2"/>
        <v/>
      </c>
      <c r="Y12" t="str">
        <f t="shared" ca="1" si="3"/>
        <v/>
      </c>
      <c r="Z12" s="129" t="str">
        <f t="shared" ca="1" si="4"/>
        <v/>
      </c>
      <c r="AA12" t="str">
        <f ca="1"/>
        <v>39-65</v>
      </c>
      <c r="AB12" t="str">
        <f ca="1"/>
        <v>3Y-5Y</v>
      </c>
    </row>
    <row r="13" spans="1:32">
      <c r="A13" t="str">
        <f ca="1"/>
        <v>5Y-10Y</v>
      </c>
      <c r="B13" t="str">
        <f ca="1"/>
        <v>3Y-4Y</v>
      </c>
      <c r="C13" t="str">
        <f ca="1"/>
        <v>3Y</v>
      </c>
      <c r="D13" t="str">
        <f ca="1"/>
        <v>4Y</v>
      </c>
      <c r="E13">
        <f ca="1"/>
        <v>39</v>
      </c>
      <c r="F13">
        <f ca="1"/>
        <v>52</v>
      </c>
      <c r="G13" t="str">
        <f ca="1"/>
        <v>39-52</v>
      </c>
      <c r="H13">
        <f ca="1"/>
        <v>-40.5</v>
      </c>
      <c r="I13" t="str">
        <f ca="1"/>
        <v/>
      </c>
      <c r="J13" t="str">
        <f ca="1"/>
        <v/>
      </c>
      <c r="K13" t="str">
        <f ca="1"/>
        <v/>
      </c>
      <c r="L13" t="str">
        <f ca="1"/>
        <v/>
      </c>
      <c r="M13" s="128">
        <f t="shared" ca="1" si="5"/>
        <v>-40.5</v>
      </c>
      <c r="N13" s="129" t="str">
        <f t="shared" ca="1" si="6"/>
        <v>TMEX6</v>
      </c>
      <c r="O13">
        <f t="shared" ca="1" si="7"/>
        <v>-40.5</v>
      </c>
      <c r="P13" s="129" t="str">
        <f t="shared" ca="1" si="0"/>
        <v>TMEX6</v>
      </c>
      <c r="Q13" s="86" t="str">
        <f ca="1"/>
        <v>39-52</v>
      </c>
      <c r="R13">
        <f ca="1"/>
        <v>-36</v>
      </c>
      <c r="S13" t="str">
        <f ca="1"/>
        <v/>
      </c>
      <c r="T13" t="str">
        <f ca="1"/>
        <v/>
      </c>
      <c r="U13" t="str">
        <f ca="1"/>
        <v/>
      </c>
      <c r="V13" t="str">
        <f ca="1"/>
        <v/>
      </c>
      <c r="W13" s="128">
        <f t="shared" ca="1" si="1"/>
        <v>-36</v>
      </c>
      <c r="X13" s="129" t="str">
        <f t="shared" ca="1" si="2"/>
        <v>TMEX6</v>
      </c>
      <c r="Y13">
        <f t="shared" ca="1" si="3"/>
        <v>-36</v>
      </c>
      <c r="Z13" s="129" t="str">
        <f t="shared" ca="1" si="4"/>
        <v>TMEX6</v>
      </c>
      <c r="AA13" t="str">
        <f ca="1"/>
        <v>39-52</v>
      </c>
      <c r="AB13" t="str">
        <f ca="1"/>
        <v>3Y-4Y</v>
      </c>
    </row>
    <row r="14" spans="1:32">
      <c r="A14" t="str">
        <f ca="1"/>
        <v>4Y-5Y</v>
      </c>
      <c r="B14" t="str">
        <f ca="1"/>
        <v>3M-6M</v>
      </c>
      <c r="C14" t="str">
        <f ca="1"/>
        <v>3M</v>
      </c>
      <c r="D14" t="str">
        <f ca="1"/>
        <v>6M</v>
      </c>
      <c r="E14">
        <f ca="1"/>
        <v>3</v>
      </c>
      <c r="F14">
        <f ca="1"/>
        <v>6</v>
      </c>
      <c r="G14" t="str">
        <f ca="1"/>
        <v>3-6</v>
      </c>
      <c r="H14">
        <f ca="1"/>
        <v>-11</v>
      </c>
      <c r="I14">
        <f ca="1"/>
        <v>-11</v>
      </c>
      <c r="J14" t="str">
        <f ca="1"/>
        <v/>
      </c>
      <c r="K14" t="str">
        <f ca="1"/>
        <v/>
      </c>
      <c r="L14" t="str">
        <f ca="1"/>
        <v/>
      </c>
      <c r="M14" s="128">
        <f t="shared" ca="1" si="5"/>
        <v>-11</v>
      </c>
      <c r="N14" s="129" t="str">
        <f t="shared" ca="1" si="6"/>
        <v>TMEX6</v>
      </c>
      <c r="O14">
        <f t="shared" ca="1" si="7"/>
        <v>-11</v>
      </c>
      <c r="P14" s="129" t="str">
        <f t="shared" ca="1" si="0"/>
        <v>TMEX6</v>
      </c>
      <c r="Q14" s="86" t="str">
        <f ca="1"/>
        <v>3-6</v>
      </c>
      <c r="R14">
        <f ca="1"/>
        <v>-8</v>
      </c>
      <c r="S14" t="str">
        <f ca="1"/>
        <v/>
      </c>
      <c r="T14" t="str">
        <f ca="1"/>
        <v/>
      </c>
      <c r="U14">
        <f ca="1"/>
        <v>-6</v>
      </c>
      <c r="V14" t="str">
        <f ca="1"/>
        <v/>
      </c>
      <c r="W14" s="128">
        <f t="shared" ca="1" si="1"/>
        <v>-6</v>
      </c>
      <c r="X14" s="129" t="str">
        <f t="shared" ca="1" si="2"/>
        <v>ENMX</v>
      </c>
      <c r="Y14">
        <f t="shared" ca="1" si="3"/>
        <v>-8</v>
      </c>
      <c r="Z14" s="129" t="str">
        <f t="shared" ca="1" si="4"/>
        <v>TMEX6</v>
      </c>
      <c r="AA14" t="str">
        <f ca="1"/>
        <v>3-6</v>
      </c>
      <c r="AB14" t="str">
        <f ca="1"/>
        <v>3M-6M</v>
      </c>
    </row>
    <row r="15" spans="1:32">
      <c r="A15" t="str">
        <f ca="1"/>
        <v>3Y-5Y</v>
      </c>
      <c r="B15" t="str">
        <f ca="1"/>
        <v>2Y-5Y</v>
      </c>
      <c r="C15" t="str">
        <f ca="1"/>
        <v>2Y</v>
      </c>
      <c r="D15" t="str">
        <f ca="1"/>
        <v>5Y</v>
      </c>
      <c r="E15">
        <f ca="1"/>
        <v>26</v>
      </c>
      <c r="F15">
        <f ca="1"/>
        <v>65</v>
      </c>
      <c r="G15" t="str">
        <f ca="1"/>
        <v>26-65</v>
      </c>
      <c r="H15" t="str">
        <f ca="1"/>
        <v/>
      </c>
      <c r="I15" t="str">
        <f ca="1"/>
        <v/>
      </c>
      <c r="J15" t="str">
        <f ca="1"/>
        <v/>
      </c>
      <c r="K15" t="str">
        <f ca="1"/>
        <v/>
      </c>
      <c r="L15" t="str">
        <f ca="1"/>
        <v/>
      </c>
      <c r="M15" s="128" t="str">
        <f t="shared" ca="1" si="5"/>
        <v/>
      </c>
      <c r="N15" s="129" t="str">
        <f t="shared" ca="1" si="6"/>
        <v/>
      </c>
      <c r="O15" t="str">
        <f t="shared" ca="1" si="7"/>
        <v/>
      </c>
      <c r="P15" s="129" t="str">
        <f t="shared" ca="1" si="0"/>
        <v/>
      </c>
      <c r="Q15" s="86" t="str">
        <f ca="1"/>
        <v>26-65</v>
      </c>
      <c r="R15" t="str">
        <f ca="1"/>
        <v/>
      </c>
      <c r="S15" t="str">
        <f ca="1"/>
        <v/>
      </c>
      <c r="T15" t="str">
        <f ca="1"/>
        <v/>
      </c>
      <c r="U15" t="str">
        <f ca="1"/>
        <v/>
      </c>
      <c r="V15" t="str">
        <f ca="1"/>
        <v/>
      </c>
      <c r="W15" s="128" t="str">
        <f t="shared" ca="1" si="1"/>
        <v/>
      </c>
      <c r="X15" s="129" t="str">
        <f t="shared" ca="1" si="2"/>
        <v/>
      </c>
      <c r="Y15" t="str">
        <f t="shared" ca="1" si="3"/>
        <v/>
      </c>
      <c r="Z15" s="129" t="str">
        <f t="shared" ca="1" si="4"/>
        <v/>
      </c>
      <c r="AA15" t="str">
        <f ca="1"/>
        <v>26-65</v>
      </c>
      <c r="AB15" t="str">
        <f ca="1"/>
        <v>2Y-5Y</v>
      </c>
    </row>
    <row r="16" spans="1:32">
      <c r="A16" t="str">
        <f ca="1"/>
        <v>3Y-4Y-5Y</v>
      </c>
      <c r="B16" t="str">
        <f ca="1"/>
        <v>2Y-4Y</v>
      </c>
      <c r="C16" t="str">
        <f ca="1"/>
        <v>2Y</v>
      </c>
      <c r="D16" t="str">
        <f ca="1"/>
        <v>4Y</v>
      </c>
      <c r="E16">
        <f ca="1"/>
        <v>26</v>
      </c>
      <c r="F16">
        <f ca="1"/>
        <v>52</v>
      </c>
      <c r="G16" t="str">
        <f ca="1"/>
        <v>26-52</v>
      </c>
      <c r="H16" t="str">
        <f ca="1"/>
        <v/>
      </c>
      <c r="I16" t="str">
        <f ca="1"/>
        <v/>
      </c>
      <c r="J16" t="str">
        <f ca="1"/>
        <v/>
      </c>
      <c r="K16" t="str">
        <f ca="1"/>
        <v/>
      </c>
      <c r="L16" t="str">
        <f ca="1"/>
        <v/>
      </c>
      <c r="M16" s="128" t="str">
        <f t="shared" ca="1" si="5"/>
        <v/>
      </c>
      <c r="N16" s="129" t="str">
        <f t="shared" ca="1" si="6"/>
        <v/>
      </c>
      <c r="O16" t="str">
        <f t="shared" ca="1" si="7"/>
        <v/>
      </c>
      <c r="P16" s="129" t="str">
        <f t="shared" ca="1" si="0"/>
        <v/>
      </c>
      <c r="Q16" s="86" t="str">
        <f ca="1"/>
        <v>26-52</v>
      </c>
      <c r="R16" t="str">
        <f ca="1"/>
        <v/>
      </c>
      <c r="S16" t="str">
        <f ca="1"/>
        <v/>
      </c>
      <c r="T16" t="str">
        <f ca="1"/>
        <v/>
      </c>
      <c r="U16" t="str">
        <f ca="1"/>
        <v/>
      </c>
      <c r="V16" t="str">
        <f ca="1"/>
        <v/>
      </c>
      <c r="W16" s="128" t="str">
        <f t="shared" ca="1" si="1"/>
        <v/>
      </c>
      <c r="X16" s="129" t="str">
        <f t="shared" ca="1" si="2"/>
        <v/>
      </c>
      <c r="Y16" t="str">
        <f t="shared" ca="1" si="3"/>
        <v/>
      </c>
      <c r="Z16" s="129" t="str">
        <f t="shared" ca="1" si="4"/>
        <v/>
      </c>
      <c r="AA16" t="str">
        <f ca="1"/>
        <v>26-52</v>
      </c>
      <c r="AB16" t="str">
        <f ca="1"/>
        <v>2Y-4Y</v>
      </c>
    </row>
    <row r="17" spans="1:28">
      <c r="A17" t="str">
        <f ca="1"/>
        <v>3Y-4Y</v>
      </c>
      <c r="B17" t="str">
        <f ca="1"/>
        <v>2Y-3Y</v>
      </c>
      <c r="C17" t="str">
        <f ca="1"/>
        <v>2Y</v>
      </c>
      <c r="D17" t="str">
        <f ca="1"/>
        <v>3Y</v>
      </c>
      <c r="E17">
        <f ca="1"/>
        <v>26</v>
      </c>
      <c r="F17">
        <f ca="1"/>
        <v>39</v>
      </c>
      <c r="G17" t="str">
        <f ca="1"/>
        <v>26-39</v>
      </c>
      <c r="H17">
        <f ca="1"/>
        <v>-72</v>
      </c>
      <c r="I17" t="str">
        <f ca="1"/>
        <v/>
      </c>
      <c r="J17" t="str">
        <f ca="1"/>
        <v/>
      </c>
      <c r="K17" t="str">
        <f ca="1"/>
        <v/>
      </c>
      <c r="L17" t="str">
        <f ca="1"/>
        <v/>
      </c>
      <c r="M17" s="128">
        <f t="shared" ca="1" si="5"/>
        <v>-72</v>
      </c>
      <c r="N17" s="129" t="str">
        <f t="shared" ca="1" si="6"/>
        <v>TMEX6</v>
      </c>
      <c r="O17">
        <f t="shared" ca="1" si="7"/>
        <v>-72</v>
      </c>
      <c r="P17" s="129" t="str">
        <f t="shared" ca="1" si="0"/>
        <v>TMEX6</v>
      </c>
      <c r="Q17" s="86" t="str">
        <f ca="1"/>
        <v>26-39</v>
      </c>
      <c r="R17">
        <f ca="1"/>
        <v>-68</v>
      </c>
      <c r="S17">
        <f ca="1"/>
        <v>-68</v>
      </c>
      <c r="T17" t="str">
        <f ca="1"/>
        <v/>
      </c>
      <c r="U17" t="str">
        <f ca="1"/>
        <v/>
      </c>
      <c r="V17" t="str">
        <f ca="1"/>
        <v/>
      </c>
      <c r="W17" s="128">
        <f t="shared" ca="1" si="1"/>
        <v>-68</v>
      </c>
      <c r="X17" s="129" t="str">
        <f t="shared" ca="1" si="2"/>
        <v>TMEX6</v>
      </c>
      <c r="Y17">
        <f t="shared" ca="1" si="3"/>
        <v>-68</v>
      </c>
      <c r="Z17" s="129" t="str">
        <f t="shared" ca="1" si="4"/>
        <v>TMEX6</v>
      </c>
      <c r="AA17" t="str">
        <f ca="1"/>
        <v>26-39</v>
      </c>
      <c r="AB17" t="str">
        <f ca="1"/>
        <v>2Y-3Y</v>
      </c>
    </row>
    <row r="18" spans="1:28">
      <c r="A18" t="str">
        <f ca="1"/>
        <v>3M-6M-9M</v>
      </c>
      <c r="B18" t="str">
        <f ca="1"/>
        <v>2Y-10Y</v>
      </c>
      <c r="C18" t="str">
        <f ca="1"/>
        <v>2Y</v>
      </c>
      <c r="D18" t="str">
        <f ca="1"/>
        <v>10Y</v>
      </c>
      <c r="E18">
        <f ca="1"/>
        <v>26</v>
      </c>
      <c r="F18">
        <f ca="1"/>
        <v>130</v>
      </c>
      <c r="G18" t="str">
        <f ca="1"/>
        <v>26-130</v>
      </c>
      <c r="H18" t="str">
        <f ca="1"/>
        <v/>
      </c>
      <c r="I18" t="str">
        <f ca="1"/>
        <v/>
      </c>
      <c r="J18" t="str">
        <f ca="1"/>
        <v/>
      </c>
      <c r="K18" t="str">
        <f ca="1"/>
        <v/>
      </c>
      <c r="L18" t="str">
        <f ca="1"/>
        <v/>
      </c>
      <c r="M18" s="128" t="str">
        <f t="shared" ca="1" si="5"/>
        <v/>
      </c>
      <c r="N18" s="129" t="str">
        <f t="shared" ca="1" si="6"/>
        <v/>
      </c>
      <c r="O18" t="str">
        <f t="shared" ca="1" si="7"/>
        <v/>
      </c>
      <c r="P18" s="129" t="str">
        <f t="shared" ca="1" si="0"/>
        <v/>
      </c>
      <c r="Q18" s="86" t="str">
        <f ca="1"/>
        <v>26-130</v>
      </c>
      <c r="R18" t="str">
        <f ca="1"/>
        <v/>
      </c>
      <c r="S18" t="str">
        <f ca="1"/>
        <v/>
      </c>
      <c r="T18" t="str">
        <f ca="1"/>
        <v/>
      </c>
      <c r="U18" t="str">
        <f ca="1"/>
        <v/>
      </c>
      <c r="V18" t="str">
        <f ca="1"/>
        <v/>
      </c>
      <c r="W18" s="128" t="str">
        <f t="shared" ca="1" si="1"/>
        <v/>
      </c>
      <c r="X18" s="129" t="str">
        <f t="shared" ca="1" si="2"/>
        <v/>
      </c>
      <c r="Y18" t="str">
        <f t="shared" ca="1" si="3"/>
        <v/>
      </c>
      <c r="Z18" s="129" t="str">
        <f t="shared" ca="1" si="4"/>
        <v/>
      </c>
      <c r="AA18" t="str">
        <f ca="1"/>
        <v>26-130</v>
      </c>
      <c r="AB18" t="str">
        <f ca="1"/>
        <v>2Y-10Y</v>
      </c>
    </row>
    <row r="19" spans="1:28">
      <c r="A19" t="str">
        <f ca="1"/>
        <v>3M-6M</v>
      </c>
      <c r="B19" t="str">
        <f ca="1"/>
        <v>2M-3M</v>
      </c>
      <c r="C19" t="str">
        <f ca="1"/>
        <v>2M</v>
      </c>
      <c r="D19" t="str">
        <f ca="1"/>
        <v>3M</v>
      </c>
      <c r="E19">
        <f ca="1"/>
        <v>2</v>
      </c>
      <c r="F19">
        <f ca="1"/>
        <v>3</v>
      </c>
      <c r="G19" t="str">
        <f ca="1"/>
        <v>2-3</v>
      </c>
      <c r="H19" t="str">
        <f ca="1"/>
        <v/>
      </c>
      <c r="I19" t="str">
        <f ca="1"/>
        <v/>
      </c>
      <c r="J19" t="str">
        <f ca="1"/>
        <v/>
      </c>
      <c r="K19" t="str">
        <f ca="1"/>
        <v/>
      </c>
      <c r="L19" t="str">
        <f ca="1"/>
        <v/>
      </c>
      <c r="M19" s="128" t="str">
        <f t="shared" ca="1" si="5"/>
        <v/>
      </c>
      <c r="N19" s="129" t="str">
        <f t="shared" ca="1" si="6"/>
        <v/>
      </c>
      <c r="O19" t="str">
        <f t="shared" ca="1" si="7"/>
        <v/>
      </c>
      <c r="P19" s="129" t="str">
        <f t="shared" ca="1" si="0"/>
        <v/>
      </c>
      <c r="Q19" s="86" t="str">
        <f ca="1"/>
        <v>2-3</v>
      </c>
      <c r="R19" t="str">
        <f ca="1"/>
        <v/>
      </c>
      <c r="S19" t="str">
        <f ca="1"/>
        <v/>
      </c>
      <c r="T19" t="str">
        <f ca="1"/>
        <v/>
      </c>
      <c r="U19" t="str">
        <f ca="1"/>
        <v/>
      </c>
      <c r="V19" t="str">
        <f ca="1"/>
        <v/>
      </c>
      <c r="W19" s="128" t="str">
        <f t="shared" ca="1" si="1"/>
        <v/>
      </c>
      <c r="X19" s="129" t="str">
        <f t="shared" ca="1" si="2"/>
        <v/>
      </c>
      <c r="Y19" t="str">
        <f t="shared" ca="1" si="3"/>
        <v/>
      </c>
      <c r="Z19" s="129" t="str">
        <f t="shared" ca="1" si="4"/>
        <v/>
      </c>
      <c r="AA19" t="str">
        <f ca="1"/>
        <v>2-3</v>
      </c>
      <c r="AB19" t="str">
        <f ca="1"/>
        <v>2M-3M</v>
      </c>
    </row>
    <row r="20" spans="1:28">
      <c r="A20" t="str">
        <f ca="1"/>
        <v>2Y-5Y-10Y</v>
      </c>
      <c r="B20" t="str">
        <f ca="1"/>
        <v>20Y-30Y</v>
      </c>
      <c r="C20" t="str">
        <f ca="1"/>
        <v>20Y</v>
      </c>
      <c r="D20" t="str">
        <f ca="1"/>
        <v>30Y</v>
      </c>
      <c r="E20">
        <f ca="1"/>
        <v>260</v>
      </c>
      <c r="F20">
        <f ca="1"/>
        <v>390</v>
      </c>
      <c r="G20" t="str">
        <f ca="1"/>
        <v>260-390</v>
      </c>
      <c r="H20" t="str">
        <f ca="1"/>
        <v/>
      </c>
      <c r="I20" t="str">
        <f ca="1"/>
        <v/>
      </c>
      <c r="J20" t="str">
        <f ca="1"/>
        <v/>
      </c>
      <c r="K20" t="str">
        <f ca="1"/>
        <v/>
      </c>
      <c r="L20" t="str">
        <f ca="1"/>
        <v/>
      </c>
      <c r="M20" s="128" t="str">
        <f t="shared" ca="1" si="5"/>
        <v/>
      </c>
      <c r="N20" s="129" t="str">
        <f t="shared" ca="1" si="6"/>
        <v/>
      </c>
      <c r="O20" t="str">
        <f t="shared" ca="1" si="7"/>
        <v/>
      </c>
      <c r="P20" s="129" t="str">
        <f t="shared" ca="1" si="0"/>
        <v/>
      </c>
      <c r="Q20" s="86" t="str">
        <f ca="1"/>
        <v>260-390</v>
      </c>
      <c r="R20" t="str">
        <f ca="1"/>
        <v/>
      </c>
      <c r="S20" t="str">
        <f ca="1"/>
        <v/>
      </c>
      <c r="T20" t="str">
        <f ca="1"/>
        <v/>
      </c>
      <c r="U20" t="str">
        <f ca="1"/>
        <v/>
      </c>
      <c r="V20" t="str">
        <f ca="1"/>
        <v/>
      </c>
      <c r="W20" s="128" t="str">
        <f t="shared" ca="1" si="1"/>
        <v/>
      </c>
      <c r="X20" s="129" t="str">
        <f t="shared" ca="1" si="2"/>
        <v/>
      </c>
      <c r="Y20" t="str">
        <f t="shared" ca="1" si="3"/>
        <v/>
      </c>
      <c r="Z20" s="129" t="str">
        <f t="shared" ca="1" si="4"/>
        <v/>
      </c>
      <c r="AA20" t="str">
        <f ca="1"/>
        <v>260-390</v>
      </c>
      <c r="AB20" t="str">
        <f ca="1"/>
        <v>20Y-30Y</v>
      </c>
    </row>
    <row r="21" spans="1:28">
      <c r="A21" t="str">
        <f ca="1"/>
        <v>2Y-5Y</v>
      </c>
      <c r="B21" t="str">
        <f ca="1"/>
        <v>1Y-3Y</v>
      </c>
      <c r="C21" t="str">
        <f ca="1"/>
        <v>1Y</v>
      </c>
      <c r="D21" t="str">
        <f ca="1"/>
        <v>3Y</v>
      </c>
      <c r="E21">
        <f ca="1"/>
        <v>13</v>
      </c>
      <c r="F21">
        <f ca="1"/>
        <v>39</v>
      </c>
      <c r="G21" t="str">
        <f ca="1"/>
        <v>13-39</v>
      </c>
      <c r="H21" t="str">
        <f ca="1"/>
        <v/>
      </c>
      <c r="I21" t="str">
        <f ca="1"/>
        <v/>
      </c>
      <c r="J21" t="str">
        <f ca="1"/>
        <v/>
      </c>
      <c r="K21" t="str">
        <f ca="1"/>
        <v/>
      </c>
      <c r="L21" t="str">
        <f ca="1"/>
        <v/>
      </c>
      <c r="M21" s="128" t="str">
        <f t="shared" ca="1" si="5"/>
        <v/>
      </c>
      <c r="N21" s="129" t="str">
        <f t="shared" ca="1" si="6"/>
        <v/>
      </c>
      <c r="O21" t="str">
        <f t="shared" ca="1" si="7"/>
        <v/>
      </c>
      <c r="P21" s="129" t="str">
        <f t="shared" ca="1" si="0"/>
        <v/>
      </c>
      <c r="Q21" s="86" t="str">
        <f ca="1"/>
        <v>13-39</v>
      </c>
      <c r="R21" t="str">
        <f ca="1"/>
        <v/>
      </c>
      <c r="S21" t="str">
        <f ca="1"/>
        <v/>
      </c>
      <c r="T21" t="str">
        <f ca="1"/>
        <v/>
      </c>
      <c r="U21" t="str">
        <f ca="1"/>
        <v/>
      </c>
      <c r="V21" t="str">
        <f ca="1"/>
        <v/>
      </c>
      <c r="W21" s="128" t="str">
        <f t="shared" ca="1" si="1"/>
        <v/>
      </c>
      <c r="X21" s="129" t="str">
        <f t="shared" ca="1" si="2"/>
        <v/>
      </c>
      <c r="Y21" t="str">
        <f t="shared" ca="1" si="3"/>
        <v/>
      </c>
      <c r="Z21" s="129" t="str">
        <f t="shared" ca="1" si="4"/>
        <v/>
      </c>
      <c r="AA21" t="str">
        <f ca="1"/>
        <v>13-39</v>
      </c>
      <c r="AB21" t="str">
        <f ca="1"/>
        <v>1Y-3Y</v>
      </c>
    </row>
    <row r="22" spans="1:28">
      <c r="A22" t="str">
        <f ca="1"/>
        <v>2Y-4Y</v>
      </c>
      <c r="B22" t="str">
        <f ca="1"/>
        <v>1Y-2Y</v>
      </c>
      <c r="C22" t="str">
        <f ca="1"/>
        <v>1Y</v>
      </c>
      <c r="D22" t="str">
        <f ca="1"/>
        <v>2Y</v>
      </c>
      <c r="E22">
        <f ca="1"/>
        <v>13</v>
      </c>
      <c r="F22">
        <f ca="1"/>
        <v>26</v>
      </c>
      <c r="G22" t="str">
        <f ca="1"/>
        <v>13-26</v>
      </c>
      <c r="H22" t="str">
        <f ca="1"/>
        <v/>
      </c>
      <c r="I22" t="str">
        <f ca="1"/>
        <v/>
      </c>
      <c r="J22" t="str">
        <f ca="1"/>
        <v/>
      </c>
      <c r="K22" t="str">
        <f ca="1"/>
        <v/>
      </c>
      <c r="L22" t="str">
        <f ca="1"/>
        <v/>
      </c>
      <c r="M22" s="128" t="str">
        <f t="shared" ca="1" si="5"/>
        <v/>
      </c>
      <c r="N22" s="129" t="str">
        <f t="shared" ca="1" si="6"/>
        <v/>
      </c>
      <c r="O22" t="str">
        <f t="shared" ca="1" si="7"/>
        <v/>
      </c>
      <c r="P22" s="129" t="str">
        <f t="shared" ca="1" si="0"/>
        <v/>
      </c>
      <c r="Q22" s="86" t="str">
        <f ca="1"/>
        <v>13-26</v>
      </c>
      <c r="R22" t="str">
        <f ca="1"/>
        <v/>
      </c>
      <c r="S22" t="str">
        <f ca="1"/>
        <v/>
      </c>
      <c r="T22" t="str">
        <f ca="1"/>
        <v/>
      </c>
      <c r="U22" t="str">
        <f ca="1"/>
        <v/>
      </c>
      <c r="V22" t="str">
        <f ca="1"/>
        <v/>
      </c>
      <c r="W22" s="128" t="str">
        <f t="shared" ca="1" si="1"/>
        <v/>
      </c>
      <c r="X22" s="129" t="str">
        <f t="shared" ca="1" si="2"/>
        <v/>
      </c>
      <c r="Y22" t="str">
        <f t="shared" ca="1" si="3"/>
        <v/>
      </c>
      <c r="Z22" s="129" t="str">
        <f t="shared" ca="1" si="4"/>
        <v/>
      </c>
      <c r="AA22" t="str">
        <f ca="1"/>
        <v>13-26</v>
      </c>
      <c r="AB22" t="str">
        <f ca="1"/>
        <v>1Y-2Y</v>
      </c>
    </row>
    <row r="23" spans="1:28">
      <c r="A23" t="str">
        <f ca="1"/>
        <v>2Y-3Y-4Y</v>
      </c>
      <c r="B23" t="str">
        <f ca="1"/>
        <v>1Y-1Y</v>
      </c>
      <c r="C23" t="str">
        <f ca="1"/>
        <v>1Y</v>
      </c>
      <c r="D23" t="str">
        <f ca="1"/>
        <v>1Y</v>
      </c>
      <c r="E23">
        <f ca="1"/>
        <v>13</v>
      </c>
      <c r="F23">
        <f ca="1"/>
        <v>13</v>
      </c>
      <c r="G23" t="str">
        <f ca="1"/>
        <v>13-13</v>
      </c>
      <c r="H23" t="str">
        <f ca="1"/>
        <v/>
      </c>
      <c r="I23" t="str">
        <f ca="1"/>
        <v/>
      </c>
      <c r="J23" t="str">
        <f ca="1"/>
        <v/>
      </c>
      <c r="K23" t="str">
        <f ca="1"/>
        <v/>
      </c>
      <c r="L23" t="str">
        <f ca="1"/>
        <v/>
      </c>
      <c r="M23" s="128" t="str">
        <f t="shared" ca="1" si="5"/>
        <v/>
      </c>
      <c r="N23" s="129" t="str">
        <f t="shared" ca="1" si="6"/>
        <v/>
      </c>
      <c r="O23" t="str">
        <f t="shared" ca="1" si="7"/>
        <v/>
      </c>
      <c r="P23" s="129" t="str">
        <f t="shared" ca="1" si="0"/>
        <v/>
      </c>
      <c r="Q23" s="86" t="str">
        <f ca="1"/>
        <v>13-13</v>
      </c>
      <c r="R23" t="str">
        <f ca="1"/>
        <v/>
      </c>
      <c r="S23" t="str">
        <f ca="1"/>
        <v/>
      </c>
      <c r="T23" t="str">
        <f ca="1"/>
        <v/>
      </c>
      <c r="U23" t="str">
        <f ca="1"/>
        <v/>
      </c>
      <c r="V23" t="str">
        <f ca="1"/>
        <v/>
      </c>
      <c r="W23" s="128" t="str">
        <f t="shared" ca="1" si="1"/>
        <v/>
      </c>
      <c r="X23" s="129" t="str">
        <f t="shared" ca="1" si="2"/>
        <v/>
      </c>
      <c r="Y23" t="str">
        <f t="shared" ca="1" si="3"/>
        <v/>
      </c>
      <c r="Z23" s="129" t="str">
        <f t="shared" ca="1" si="4"/>
        <v/>
      </c>
      <c r="AA23" t="str">
        <f ca="1"/>
        <v>13-13</v>
      </c>
      <c r="AB23" t="str">
        <f ca="1"/>
        <v>1Y-1Y</v>
      </c>
    </row>
    <row r="24" spans="1:28">
      <c r="A24" t="str">
        <f ca="1"/>
        <v>2Y-3Y</v>
      </c>
      <c r="B24" t="str">
        <f ca="1"/>
        <v>15Y-20Y</v>
      </c>
      <c r="C24" t="str">
        <f ca="1"/>
        <v>15Y</v>
      </c>
      <c r="D24" t="str">
        <f ca="1"/>
        <v>20Y</v>
      </c>
      <c r="E24">
        <f ca="1"/>
        <v>195</v>
      </c>
      <c r="F24">
        <f ca="1"/>
        <v>260</v>
      </c>
      <c r="G24" t="str">
        <f ca="1"/>
        <v>195-260</v>
      </c>
      <c r="H24" t="str">
        <f ca="1"/>
        <v/>
      </c>
      <c r="I24" t="str">
        <f ca="1"/>
        <v/>
      </c>
      <c r="J24" t="str">
        <f ca="1"/>
        <v/>
      </c>
      <c r="K24" t="str">
        <f ca="1"/>
        <v/>
      </c>
      <c r="L24" t="str">
        <f ca="1"/>
        <v/>
      </c>
      <c r="M24" s="128" t="str">
        <f t="shared" ca="1" si="5"/>
        <v/>
      </c>
      <c r="N24" s="129" t="str">
        <f t="shared" ca="1" si="6"/>
        <v/>
      </c>
      <c r="O24" t="str">
        <f t="shared" ca="1" si="7"/>
        <v/>
      </c>
      <c r="P24" s="129" t="str">
        <f t="shared" ca="1" si="0"/>
        <v/>
      </c>
      <c r="Q24" s="86" t="str">
        <f ca="1"/>
        <v>195-260</v>
      </c>
      <c r="R24" t="str">
        <f ca="1"/>
        <v/>
      </c>
      <c r="S24" t="str">
        <f ca="1"/>
        <v/>
      </c>
      <c r="T24" t="str">
        <f ca="1"/>
        <v/>
      </c>
      <c r="U24" t="str">
        <f ca="1"/>
        <v/>
      </c>
      <c r="V24" t="str">
        <f ca="1"/>
        <v/>
      </c>
      <c r="W24" s="128" t="str">
        <f t="shared" ca="1" si="1"/>
        <v/>
      </c>
      <c r="X24" s="129" t="str">
        <f t="shared" ca="1" si="2"/>
        <v/>
      </c>
      <c r="Y24" t="str">
        <f t="shared" ca="1" si="3"/>
        <v/>
      </c>
      <c r="Z24" s="129" t="str">
        <f t="shared" ca="1" si="4"/>
        <v/>
      </c>
      <c r="AA24" t="str">
        <f ca="1"/>
        <v>195-260</v>
      </c>
      <c r="AB24" t="str">
        <f ca="1"/>
        <v>15Y-20Y</v>
      </c>
    </row>
    <row r="25" spans="1:28">
      <c r="A25" t="str">
        <f ca="1"/>
        <v>2Y-10Y</v>
      </c>
      <c r="B25" t="str">
        <f ca="1"/>
        <v>12Y-15Y</v>
      </c>
      <c r="C25" t="str">
        <f ca="1"/>
        <v>12Y</v>
      </c>
      <c r="D25" t="str">
        <f ca="1"/>
        <v>15Y</v>
      </c>
      <c r="E25">
        <f ca="1"/>
        <v>156</v>
      </c>
      <c r="F25">
        <f ca="1"/>
        <v>195</v>
      </c>
      <c r="G25" t="str">
        <f ca="1"/>
        <v>156-195</v>
      </c>
      <c r="H25" t="str">
        <f ca="1"/>
        <v/>
      </c>
      <c r="I25" t="str">
        <f ca="1"/>
        <v/>
      </c>
      <c r="J25" t="str">
        <f ca="1"/>
        <v/>
      </c>
      <c r="K25" t="str">
        <f ca="1"/>
        <v/>
      </c>
      <c r="L25" t="str">
        <f ca="1"/>
        <v/>
      </c>
      <c r="M25" s="128" t="str">
        <f t="shared" ca="1" si="5"/>
        <v/>
      </c>
      <c r="N25" s="129" t="str">
        <f t="shared" ca="1" si="6"/>
        <v/>
      </c>
      <c r="O25" t="str">
        <f t="shared" ca="1" si="7"/>
        <v/>
      </c>
      <c r="P25" s="129" t="str">
        <f t="shared" ca="1" si="0"/>
        <v/>
      </c>
      <c r="Q25" s="86" t="str">
        <f ca="1"/>
        <v>156-195</v>
      </c>
      <c r="R25" t="str">
        <f ca="1"/>
        <v/>
      </c>
      <c r="S25" t="str">
        <f ca="1"/>
        <v/>
      </c>
      <c r="T25" t="str">
        <f ca="1"/>
        <v/>
      </c>
      <c r="U25" t="str">
        <f ca="1"/>
        <v/>
      </c>
      <c r="V25" t="str">
        <f ca="1"/>
        <v/>
      </c>
      <c r="W25" s="128" t="str">
        <f t="shared" ca="1" si="1"/>
        <v/>
      </c>
      <c r="X25" s="129" t="str">
        <f t="shared" ca="1" si="2"/>
        <v/>
      </c>
      <c r="Y25" t="str">
        <f t="shared" ca="1" si="3"/>
        <v/>
      </c>
      <c r="Z25" s="129" t="str">
        <f t="shared" ca="1" si="4"/>
        <v/>
      </c>
      <c r="AA25" t="str">
        <f ca="1"/>
        <v>156-195</v>
      </c>
      <c r="AB25" t="str">
        <f ca="1"/>
        <v>12Y-15Y</v>
      </c>
    </row>
    <row r="26" spans="1:28">
      <c r="A26" t="str">
        <f ca="1"/>
        <v>2M-3M</v>
      </c>
      <c r="B26" t="str">
        <f ca="1"/>
        <v>10Y-20Y</v>
      </c>
      <c r="C26" t="str">
        <f ca="1"/>
        <v>10Y</v>
      </c>
      <c r="D26" t="str">
        <f ca="1"/>
        <v>20Y</v>
      </c>
      <c r="E26">
        <f ca="1"/>
        <v>130</v>
      </c>
      <c r="F26">
        <f ca="1"/>
        <v>260</v>
      </c>
      <c r="G26" t="str">
        <f ca="1"/>
        <v>130-260</v>
      </c>
      <c r="H26" t="str">
        <f ca="1"/>
        <v/>
      </c>
      <c r="I26" t="str">
        <f ca="1"/>
        <v/>
      </c>
      <c r="J26" t="str">
        <f ca="1"/>
        <v/>
      </c>
      <c r="K26" t="str">
        <f ca="1"/>
        <v/>
      </c>
      <c r="L26" t="str">
        <f ca="1"/>
        <v/>
      </c>
      <c r="M26" s="130" t="str">
        <f t="shared" ca="1" si="5"/>
        <v/>
      </c>
      <c r="N26" s="129" t="str">
        <f t="shared" ca="1" si="6"/>
        <v/>
      </c>
      <c r="O26" s="131" t="str">
        <f t="shared" ca="1" si="7"/>
        <v/>
      </c>
      <c r="P26" s="129" t="str">
        <f t="shared" ca="1" si="0"/>
        <v/>
      </c>
      <c r="Q26" s="86" t="str">
        <f ca="1"/>
        <v>130-260</v>
      </c>
      <c r="R26" t="str">
        <f ca="1"/>
        <v/>
      </c>
      <c r="S26" t="str">
        <f ca="1"/>
        <v/>
      </c>
      <c r="T26" t="str">
        <f ca="1"/>
        <v/>
      </c>
      <c r="U26" t="str">
        <f ca="1"/>
        <v/>
      </c>
      <c r="V26" t="str">
        <f ca="1"/>
        <v/>
      </c>
      <c r="W26" s="130" t="str">
        <f t="shared" ca="1" si="1"/>
        <v/>
      </c>
      <c r="X26" s="129" t="str">
        <f t="shared" ca="1" si="2"/>
        <v/>
      </c>
      <c r="Y26" s="131" t="str">
        <f t="shared" ca="1" si="3"/>
        <v/>
      </c>
      <c r="Z26" s="129" t="str">
        <f t="shared" ca="1" si="4"/>
        <v/>
      </c>
      <c r="AA26" t="str">
        <f ca="1"/>
        <v>130-260</v>
      </c>
      <c r="AB26" t="str">
        <f ca="1"/>
        <v>10Y-20Y</v>
      </c>
    </row>
    <row r="27" spans="1:28">
      <c r="A27" t="str">
        <f ca="1"/>
        <v>20Y-30Y</v>
      </c>
      <c r="B27" t="str">
        <f ca="1"/>
        <v>10Y-15Y</v>
      </c>
      <c r="C27" t="str">
        <f ca="1"/>
        <v>10Y</v>
      </c>
      <c r="D27" t="str">
        <f ca="1"/>
        <v>15Y</v>
      </c>
      <c r="E27">
        <f ca="1"/>
        <v>130</v>
      </c>
      <c r="F27">
        <f ca="1"/>
        <v>195</v>
      </c>
      <c r="G27" t="str">
        <f ca="1"/>
        <v>130-195</v>
      </c>
      <c r="H27" t="str">
        <f ca="1"/>
        <v/>
      </c>
      <c r="I27" t="str">
        <f ca="1"/>
        <v/>
      </c>
      <c r="J27" t="str">
        <f ca="1"/>
        <v/>
      </c>
      <c r="K27" t="str">
        <f ca="1"/>
        <v/>
      </c>
      <c r="L27" t="str">
        <f ca="1"/>
        <v/>
      </c>
      <c r="M27" s="128" t="str">
        <f t="shared" ca="1" si="5"/>
        <v/>
      </c>
      <c r="N27" s="86"/>
      <c r="O27" t="str">
        <f t="shared" ca="1" si="7"/>
        <v/>
      </c>
      <c r="P27" s="86"/>
      <c r="Q27" s="86" t="str">
        <f ca="1"/>
        <v>130-195</v>
      </c>
      <c r="R27" t="str">
        <f ca="1"/>
        <v/>
      </c>
      <c r="S27" t="str">
        <f ca="1"/>
        <v/>
      </c>
      <c r="T27" t="str">
        <f ca="1"/>
        <v/>
      </c>
      <c r="U27" t="str">
        <f ca="1"/>
        <v/>
      </c>
      <c r="V27" t="str">
        <f ca="1"/>
        <v/>
      </c>
      <c r="AA27" t="str">
        <f ca="1"/>
        <v>130-195</v>
      </c>
      <c r="AB27" t="str">
        <f ca="1"/>
        <v>10Y-15Y</v>
      </c>
    </row>
    <row r="28" spans="1:28">
      <c r="A28" t="str">
        <f ca="1"/>
        <v>1Y-3Y</v>
      </c>
      <c r="B28" t="str">
        <f ca="1"/>
        <v>10Y-12Y</v>
      </c>
      <c r="C28" t="str">
        <f ca="1"/>
        <v>10Y</v>
      </c>
      <c r="D28" t="str">
        <f ca="1"/>
        <v>12Y</v>
      </c>
      <c r="E28">
        <f ca="1"/>
        <v>130</v>
      </c>
      <c r="F28">
        <f ca="1"/>
        <v>156</v>
      </c>
      <c r="G28" t="str">
        <f ca="1"/>
        <v>130-156</v>
      </c>
      <c r="H28" t="str">
        <f ca="1"/>
        <v/>
      </c>
      <c r="I28" t="str">
        <f ca="1"/>
        <v/>
      </c>
      <c r="J28" t="str">
        <f ca="1"/>
        <v/>
      </c>
      <c r="K28" t="str">
        <f ca="1"/>
        <v/>
      </c>
      <c r="L28" t="str">
        <f ca="1"/>
        <v/>
      </c>
      <c r="M28" s="128"/>
      <c r="N28" s="86"/>
      <c r="P28" s="86" t="str">
        <f t="shared" ref="P28:P38" ca="1" si="8">+IFERROR(INDEX($A$1:$L$1,1,MATCH(O28,$A28:$L28,0)),"")</f>
        <v/>
      </c>
      <c r="Q28" s="86" t="str">
        <f ca="1"/>
        <v>130-156</v>
      </c>
      <c r="R28" t="str">
        <f ca="1"/>
        <v/>
      </c>
      <c r="S28" t="str">
        <f ca="1"/>
        <v/>
      </c>
      <c r="T28" t="str">
        <f ca="1"/>
        <v/>
      </c>
      <c r="U28" t="str">
        <f ca="1"/>
        <v/>
      </c>
      <c r="V28" t="str">
        <f ca="1"/>
        <v/>
      </c>
      <c r="AA28" t="str">
        <f ca="1"/>
        <v>130-156</v>
      </c>
      <c r="AB28" t="str">
        <f ca="1"/>
        <v>10Y-12Y</v>
      </c>
    </row>
    <row r="29" spans="1:28">
      <c r="A29" t="str">
        <f ca="1"/>
        <v>1Y-2Y-3Y</v>
      </c>
      <c r="B29" t="str">
        <f ca="1"/>
        <v/>
      </c>
      <c r="C29" t="str">
        <f ca="1"/>
        <v/>
      </c>
      <c r="D29" t="str">
        <f ca="1"/>
        <v/>
      </c>
      <c r="E29" t="str">
        <f ca="1"/>
        <v/>
      </c>
      <c r="F29" t="str">
        <f ca="1"/>
        <v/>
      </c>
      <c r="G29" t="str">
        <f ca="1"/>
        <v>-</v>
      </c>
      <c r="H29" t="str">
        <f ca="1"/>
        <v/>
      </c>
      <c r="I29" t="str">
        <f ca="1"/>
        <v/>
      </c>
      <c r="J29" t="str">
        <f ca="1"/>
        <v/>
      </c>
      <c r="K29" t="str">
        <f ca="1"/>
        <v/>
      </c>
      <c r="L29" t="str">
        <f ca="1"/>
        <v/>
      </c>
      <c r="M29" s="128"/>
      <c r="N29" s="86"/>
      <c r="P29" s="86" t="str">
        <f t="shared" ca="1" si="8"/>
        <v/>
      </c>
      <c r="Q29" s="86" t="str">
        <f ca="1"/>
        <v>-</v>
      </c>
      <c r="R29" t="str">
        <f ca="1"/>
        <v/>
      </c>
      <c r="S29" t="str">
        <f ca="1"/>
        <v/>
      </c>
      <c r="T29" t="str">
        <f ca="1"/>
        <v/>
      </c>
      <c r="U29" t="str">
        <f ca="1"/>
        <v/>
      </c>
      <c r="V29" t="str">
        <f ca="1"/>
        <v/>
      </c>
      <c r="AA29" t="str">
        <f ca="1"/>
        <v>-</v>
      </c>
      <c r="AB29" t="str">
        <f ca="1"/>
        <v/>
      </c>
    </row>
    <row r="30" spans="1:28">
      <c r="A30" t="str">
        <f ca="1"/>
        <v>1Y-2Y</v>
      </c>
      <c r="M30" s="128"/>
      <c r="N30" s="86"/>
      <c r="P30" s="86" t="str">
        <f t="shared" ca="1" si="8"/>
        <v/>
      </c>
      <c r="Q30" s="86"/>
    </row>
    <row r="31" spans="1:28">
      <c r="A31" t="str">
        <f ca="1"/>
        <v>1Y-1Y</v>
      </c>
      <c r="M31" s="128"/>
      <c r="N31" s="86"/>
      <c r="P31" s="86" t="str">
        <f t="shared" ca="1" si="8"/>
        <v/>
      </c>
      <c r="Q31" s="86"/>
    </row>
    <row r="32" spans="1:28">
      <c r="A32" t="str">
        <f ca="1"/>
        <v>1Y-19M-2Y</v>
      </c>
      <c r="M32" s="128"/>
      <c r="N32" s="86"/>
      <c r="P32" s="86" t="str">
        <f t="shared" ca="1" si="8"/>
        <v/>
      </c>
      <c r="Q32" s="86"/>
    </row>
    <row r="33" spans="1:17">
      <c r="A33" t="str">
        <f ca="1"/>
        <v>15Y-20Y</v>
      </c>
      <c r="M33" s="128"/>
      <c r="N33" s="86"/>
      <c r="P33" s="86" t="str">
        <f t="shared" ca="1" si="8"/>
        <v/>
      </c>
      <c r="Q33" s="86"/>
    </row>
    <row r="34" spans="1:17">
      <c r="A34" t="str">
        <f ca="1"/>
        <v>12Y-15Y-20Y</v>
      </c>
      <c r="M34" s="128"/>
      <c r="N34" s="86"/>
      <c r="P34" s="86" t="str">
        <f t="shared" ca="1" si="8"/>
        <v/>
      </c>
      <c r="Q34" s="86"/>
    </row>
    <row r="35" spans="1:17">
      <c r="A35" t="str">
        <f ca="1"/>
        <v>12Y-15Y</v>
      </c>
      <c r="M35" s="128"/>
      <c r="N35" s="86"/>
      <c r="P35" s="86" t="str">
        <f t="shared" ca="1" si="8"/>
        <v/>
      </c>
      <c r="Q35" s="86"/>
    </row>
    <row r="36" spans="1:17">
      <c r="A36" t="str">
        <f ca="1"/>
        <v>10Y-20Y</v>
      </c>
      <c r="M36" s="128"/>
      <c r="N36" s="86"/>
      <c r="P36" s="86" t="str">
        <f t="shared" ca="1" si="8"/>
        <v/>
      </c>
      <c r="Q36" s="86"/>
    </row>
    <row r="37" spans="1:17">
      <c r="A37" t="str">
        <f ca="1"/>
        <v>10Y-15Y</v>
      </c>
      <c r="M37" s="128"/>
      <c r="N37" s="86"/>
      <c r="P37" s="86" t="str">
        <f t="shared" ca="1" si="8"/>
        <v/>
      </c>
      <c r="Q37" s="86"/>
    </row>
    <row r="38" spans="1:17">
      <c r="A38" t="str">
        <f ca="1"/>
        <v>10Y-12Y-15Y</v>
      </c>
      <c r="M38" s="128"/>
      <c r="N38" s="86"/>
      <c r="P38" s="86" t="str">
        <f t="shared" ca="1" si="8"/>
        <v/>
      </c>
      <c r="Q38" s="86"/>
    </row>
    <row r="39" spans="1:17">
      <c r="A39" t="str">
        <f ca="1"/>
        <v>10Y-12Y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419B4-E2B1-4923-B580-9BA45C941E98}">
  <sheetPr codeName="Hoja1"/>
  <dimension ref="A1:AG28"/>
  <sheetViews>
    <sheetView topLeftCell="J1" workbookViewId="0">
      <selection activeCell="W12" sqref="W12"/>
    </sheetView>
  </sheetViews>
  <sheetFormatPr baseColWidth="10" defaultColWidth="11.42578125" defaultRowHeight="15"/>
  <sheetData>
    <row r="1" spans="1:33">
      <c r="A1" t="s">
        <v>257</v>
      </c>
      <c r="B1" t="s">
        <v>258</v>
      </c>
      <c r="C1" t="s">
        <v>259</v>
      </c>
      <c r="D1" t="s">
        <v>419</v>
      </c>
      <c r="E1" t="s">
        <v>260</v>
      </c>
      <c r="F1" t="s">
        <v>261</v>
      </c>
      <c r="G1" t="s">
        <v>420</v>
      </c>
      <c r="H1" t="s">
        <v>262</v>
      </c>
      <c r="I1" t="s">
        <v>263</v>
      </c>
      <c r="J1" t="s">
        <v>8</v>
      </c>
      <c r="K1" t="s">
        <v>5</v>
      </c>
      <c r="L1" t="s">
        <v>4</v>
      </c>
      <c r="M1" t="s">
        <v>6</v>
      </c>
      <c r="N1" s="132" t="s">
        <v>264</v>
      </c>
      <c r="O1" s="134" t="s">
        <v>265</v>
      </c>
      <c r="P1" s="133" t="s">
        <v>266</v>
      </c>
      <c r="Q1" s="134" t="s">
        <v>265</v>
      </c>
      <c r="R1" t="str">
        <f>+H1</f>
        <v>CONCAT</v>
      </c>
      <c r="S1" t="s">
        <v>263</v>
      </c>
      <c r="T1" t="s">
        <v>8</v>
      </c>
      <c r="U1" t="s">
        <v>5</v>
      </c>
      <c r="V1" t="s">
        <v>4</v>
      </c>
      <c r="W1" t="s">
        <v>6</v>
      </c>
      <c r="X1" s="132" t="s">
        <v>267</v>
      </c>
      <c r="Y1" s="134" t="s">
        <v>265</v>
      </c>
      <c r="Z1" s="133" t="s">
        <v>268</v>
      </c>
      <c r="AA1" s="134" t="s">
        <v>265</v>
      </c>
      <c r="AB1" t="s">
        <v>424</v>
      </c>
      <c r="AC1" t="s">
        <v>425</v>
      </c>
      <c r="AD1" t="s">
        <v>270</v>
      </c>
      <c r="AE1" t="s">
        <v>271</v>
      </c>
      <c r="AF1" t="s">
        <v>421</v>
      </c>
      <c r="AG1" t="s">
        <v>272</v>
      </c>
    </row>
    <row r="2" spans="1:33">
      <c r="A2" t="str" cm="1">
        <f t="array" aca="1" ref="A2:A13" ca="1">+_xlfn._xlws.SORT(_xlfn.UNIQUE(IF(LEN(_xlfn.ANCHORARRAY(Spreads!A2))-LEN(SUBSTITUTE(_xlfn.ANCHORARRAY(Spreads!A2),"-",""))&gt;1,_xlfn.ANCHORARRAY(Spreads!A2),"")),,-1)</f>
        <v>9M-1Y-2Y</v>
      </c>
      <c r="B2" t="str" cm="1">
        <f t="array" aca="1" ref="B2:B13" ca="1">+IFERROR(MID(_xlfn.ANCHORARRAY(A2),1,FIND("-",_xlfn.ANCHORARRAY(A2))-1),"")</f>
        <v>9M</v>
      </c>
      <c r="C2" t="str" cm="1">
        <f t="array" aca="1" ref="C2:C13" ca="1">+IFERROR(MID(_xlfn.ANCHORARRAY(A2),LEN(_xlfn.ANCHORARRAY(B2))+2,FIND("-",_xlfn.ANCHORARRAY(A2),LEN(_xlfn.ANCHORARRAY(B2))+2)-LEN(_xlfn.ANCHORARRAY(B2))-2),"")</f>
        <v>1Y</v>
      </c>
      <c r="D2" t="str" cm="1">
        <f t="array" aca="1" ref="D2:D13" ca="1">+IFERROR(MID(_xlfn.ANCHORARRAY(A2),LEN(_xlfn.ANCHORARRAY(B2))+LEN(_xlfn.ANCHORARRAY(C2))+3,LEN(_xlfn.ANCHORARRAY(A2))-LEN(_xlfn.ANCHORARRAY(B2)&amp;"-"&amp;_xlfn.ANCHORARRAY(C2)&amp;"-")),"")</f>
        <v>2Y</v>
      </c>
      <c r="E2" cm="1">
        <f t="array" aca="1" ref="E2:E13" ca="1">+IFERROR(VALUE(MID(_xlfn.ANCHORARRAY(B2),1,LEN(_xlfn.ANCHORARRAY(B2))-1)*(MID(_xlfn.ANCHORARRAY(B2),LEN(_xlfn.ANCHORARRAY(B2)),LEN(_xlfn.ANCHORARRAY(B2)))="M"))*1+VALUE(MID(_xlfn.ANCHORARRAY(B2),1,LEN(_xlfn.ANCHORARRAY(B2))-1)*(MID(_xlfn.ANCHORARRAY(B2),LEN(_xlfn.ANCHORARRAY(B2)),LEN(_xlfn.ANCHORARRAY(B2)))="Y")*13),"")</f>
        <v>9</v>
      </c>
      <c r="F2" cm="1">
        <f t="array" aca="1" ref="F2:F13" ca="1">+IFERROR(VALUE(MID(_xlfn.ANCHORARRAY(C2),1,LEN(_xlfn.ANCHORARRAY(C2))-1)*(MID(_xlfn.ANCHORARRAY(C2),LEN(_xlfn.ANCHORARRAY(C2)),LEN(_xlfn.ANCHORARRAY(C2)))="M")*1+MID(_xlfn.ANCHORARRAY(C2),1,LEN(_xlfn.ANCHORARRAY(C2))-1)*(MID(_xlfn.ANCHORARRAY(C2),LEN(_xlfn.ANCHORARRAY(C2)),LEN(_xlfn.ANCHORARRAY(C2)))="Y")*13),"")</f>
        <v>13</v>
      </c>
      <c r="G2" cm="1">
        <f t="array" aca="1" ref="G2:G13" ca="1">+IFERROR(VALUE(MID(_xlfn.ANCHORARRAY(D2),1,LEN(_xlfn.ANCHORARRAY(D2))-1)*(MID(_xlfn.ANCHORARRAY(D2),LEN(_xlfn.ANCHORARRAY(D2)),LEN(_xlfn.ANCHORARRAY(D2)))="M")*1+MID(_xlfn.ANCHORARRAY(D2),1,LEN(_xlfn.ANCHORARRAY(D2))-1)*(MID(_xlfn.ANCHORARRAY(D2),LEN(_xlfn.ANCHORARRAY(D2)),LEN(_xlfn.ANCHORARRAY(D2)))="Y")*13),"")</f>
        <v>26</v>
      </c>
      <c r="H2" t="str" cm="1">
        <f t="array" aca="1" ref="H2:H13" ca="1">+_xlfn.ANCHORARRAY(E2)&amp;"-"&amp;_xlfn.ANCHORARRAY(F2)&amp;"-"&amp;_xlfn.ANCHORARRAY(G2)</f>
        <v>9-13-26</v>
      </c>
      <c r="I2" t="str" cm="1">
        <f t="array" aca="1" ref="I2:I13" ca="1">+IF(IFERROR(VLOOKUP(_xlfn.ANCHORARRAY($A2),INDIRECT(I$1&amp;"!O86:Q106"),2,FALSE),"")&lt;&gt;0,IFERROR(VLOOKUP(_xlfn.ANCHORARRAY($A2),INDIRECT(I$1&amp;"!O86:Q106"),2,FALSE),""),"")</f>
        <v/>
      </c>
      <c r="J2" t="str" cm="1">
        <f t="array" aca="1" ref="J2:J13" ca="1">+IF(IFERROR(VLOOKUP(_xlfn.ANCHORARRAY($A2),INDIRECT(J$1&amp;"!O86:Q106"),2,FALSE),"")&lt;&gt;0,IFERROR(VLOOKUP(_xlfn.ANCHORARRAY($A2),INDIRECT(J$1&amp;"!O86:Q106"),2,FALSE),""),"")</f>
        <v/>
      </c>
      <c r="K2" t="str" cm="1">
        <f t="array" aca="1" ref="K2:K13" ca="1">+IF(IFERROR(VLOOKUP(_xlfn.ANCHORARRAY($A2),INDIRECT(K$1&amp;"!O86:Q106"),2,FALSE),"")&lt;&gt;0,IFERROR(VLOOKUP(_xlfn.ANCHORARRAY($A2),INDIRECT(K$1&amp;"!O86:Q106"),2,FALSE),""),"")</f>
        <v/>
      </c>
      <c r="L2" t="str" cm="1">
        <f t="array" aca="1" ref="L2:L13" ca="1">+IF(IFERROR(VLOOKUP(_xlfn.ANCHORARRAY($A2),INDIRECT(L$1&amp;"!O86:Q106"),2,FALSE),"")&lt;&gt;0,IFERROR(VLOOKUP(_xlfn.ANCHORARRAY($A2),INDIRECT(L$1&amp;"!O86:Q106"),2,FALSE),""),"")</f>
        <v/>
      </c>
      <c r="M2" t="str" cm="1">
        <f t="array" aca="1" ref="M2:M13" ca="1">+IF(IFERROR(VLOOKUP(_xlfn.ANCHORARRAY($A2),INDIRECT(M$1&amp;"!O86:Q106"),2,FALSE),"")&lt;&gt;0,IFERROR(VLOOKUP(_xlfn.ANCHORARRAY($A2),INDIRECT(M$1&amp;"!O86:Q106"),2,FALSE),""),"")</f>
        <v/>
      </c>
      <c r="N2" s="128" t="str">
        <f ca="1">+IF(MAX(I2:M2)=0,"",MAX(I2:M2))</f>
        <v/>
      </c>
      <c r="O2" s="129" t="str">
        <f t="shared" ref="O2:O6" ca="1" si="0">+IF(N2="","",IFERROR(INDEX($I$1:$M$1,1,MATCH(N2,$I2:$M2,0)),""))</f>
        <v/>
      </c>
      <c r="P2" t="str">
        <f ca="1">+IF(MIN(I2:M2)=0,"",MIN(I2:M2))</f>
        <v/>
      </c>
      <c r="Q2" s="129" t="str">
        <f ca="1">+IF(P2="","",IFERROR(INDEX($I$1:$M$1,1,MATCH(P2,$I2:$M2,0)),""))</f>
        <v/>
      </c>
      <c r="R2" s="86" t="str" cm="1">
        <f t="array" aca="1" ref="R2:R13" ca="1">+_xlfn.ANCHORARRAY(H2)</f>
        <v>9-13-26</v>
      </c>
      <c r="S2" t="str" cm="1">
        <f t="array" aca="1" ref="S2:S13" ca="1">+IF(IFERROR(VLOOKUP(_xlfn.ANCHORARRAY($A2),INDIRECT(S$1&amp;"!O86:Q130"),3,FALSE),"")&lt;&gt;0,IFERROR(VLOOKUP(_xlfn.ANCHORARRAY($A2),INDIRECT(S$1&amp;"!O86:Q130"),3,FALSE),""),"")</f>
        <v/>
      </c>
      <c r="T2" t="str" cm="1">
        <f t="array" aca="1" ref="T2:T13" ca="1">+IF(IFERROR(VLOOKUP(_xlfn.ANCHORARRAY($A2),INDIRECT(T$1&amp;"!O86:Q130"),3,FALSE),"")&lt;&gt;0,IFERROR(VLOOKUP(_xlfn.ANCHORARRAY($A2),INDIRECT(T$1&amp;"!O86:Q130"),3,FALSE),""),"")</f>
        <v/>
      </c>
      <c r="U2" t="str" cm="1">
        <f t="array" aca="1" ref="U2:U13" ca="1">+IF(IFERROR(VLOOKUP(_xlfn.ANCHORARRAY($A2),INDIRECT(U$1&amp;"!O86:Q130"),3,FALSE),"")&lt;&gt;0,IFERROR(VLOOKUP(_xlfn.ANCHORARRAY($A2),INDIRECT(U$1&amp;"!O86:Q130"),3,FALSE),""),"")</f>
        <v/>
      </c>
      <c r="V2" t="str" cm="1">
        <f t="array" aca="1" ref="V2:V13" ca="1">+IF(IFERROR(VLOOKUP(_xlfn.ANCHORARRAY($A2),INDIRECT(V$1&amp;"!O86:Q130"),3,FALSE),"")&lt;&gt;0,IFERROR(VLOOKUP(_xlfn.ANCHORARRAY($A2),INDIRECT(V$1&amp;"!O86:Q130"),3,FALSE),""),"")</f>
        <v/>
      </c>
      <c r="W2" t="str" cm="1">
        <f t="array" aca="1" ref="W2:W13" ca="1">+IF(IFERROR(VLOOKUP(_xlfn.ANCHORARRAY($A2),INDIRECT(W$1&amp;"!O86:Q130"),3,FALSE),"")&lt;&gt;0,IFERROR(VLOOKUP(_xlfn.ANCHORARRAY($A2),INDIRECT(W$1&amp;"!O86:Q130"),3,FALSE),""),"")</f>
        <v/>
      </c>
      <c r="X2" s="128" t="str">
        <f t="shared" ref="X2:X26" ca="1" si="1">+IF(MAX(S2:W2)=0,"",MAX(S2:W2))</f>
        <v/>
      </c>
      <c r="Y2" s="129" t="str">
        <f t="shared" ref="Y2:Y6" ca="1" si="2">+IF(X2="","",IFERROR(INDEX($S$1:$W$1,1,MATCH(X2,$S2:$W2,0)),""))</f>
        <v/>
      </c>
      <c r="Z2" t="str">
        <f ca="1">+IF(MIN(S2:W2)=0,"",MIN(S2:W2))</f>
        <v/>
      </c>
      <c r="AA2" s="129" t="str">
        <f ca="1">+IF(Z2="","",IFERROR(INDEX($S$1:$W$1,1,MATCH(Z2,$S2:$W2,0)),""))</f>
        <v/>
      </c>
      <c r="AB2" t="str" cm="1">
        <f t="array" aca="1" ref="AB2:AB13" ca="1">+_xlfn.ANCHORARRAY(H2)</f>
        <v>9-13-26</v>
      </c>
      <c r="AC2" t="str" cm="1">
        <f t="array" aca="1" ref="AC2:AC13" ca="1">+_xlfn.ANCHORARRAY(A2)</f>
        <v>9M-1Y-2Y</v>
      </c>
      <c r="AD2" cm="1">
        <f t="array" aca="1" ref="AD2:AD3" ca="1">+VALUE(_xlfn.TEXTSPLIT(_xlfn.TEXTJOIN(",",TRUE,IF(IFERROR((((_xlfn.ANCHORARRAY(I2)&lt;&gt;"")+(_xlfn.ANCHORARRAY(J2)&lt;&gt;"")+(_xlfn.ANCHORARRAY(K2)&lt;&gt;"")+(_xlfn.ANCHORARRAY(L2)&lt;&gt;"")+(_xlfn.ANCHORARRAY(M2)&lt;&gt;"")+(_xlfn.ANCHORARRAY(S2)&lt;&gt;"")+(_xlfn.ANCHORARRAY(T2)&lt;&gt;"")+(_xlfn.ANCHORARRAY(U2)&lt;&gt;"")+(_xlfn.ANCHORARRAY(V2)&lt;&gt;"")+(_xlfn.ANCHORARRAY(W2)&lt;&gt;""))&gt;0)*_xlfn.ANCHORARRAY(E2),"")=0,"",IFERROR((((_xlfn.ANCHORARRAY(I2)&lt;&gt;"")+(_xlfn.ANCHORARRAY(J2)&lt;&gt;"")+(_xlfn.ANCHORARRAY(K2)&lt;&gt;"")+(_xlfn.ANCHORARRAY(L2)&lt;&gt;"")+(_xlfn.ANCHORARRAY(M2)&lt;&gt;"")+(_xlfn.ANCHORARRAY(S2)&lt;&gt;"")+(_xlfn.ANCHORARRAY(T2)&lt;&gt;"")+(_xlfn.ANCHORARRAY(U2)&lt;&gt;"")+(_xlfn.ANCHORARRAY(V2)&lt;&gt;"")+(_xlfn.ANCHORARRAY(W2)&lt;&gt;""))&gt;0)*_xlfn.ANCHORARRAY(E2),""))),,","))</f>
        <v>3</v>
      </c>
      <c r="AE2" cm="1">
        <f t="array" aca="1" ref="AE2:AE3" ca="1">+VALUE(_xlfn.TEXTSPLIT(_xlfn.TEXTJOIN(",",TRUE,IF(IFERROR((((_xlfn.ANCHORARRAY(I2)&lt;&gt;"")+(_xlfn.ANCHORARRAY(J2)&lt;&gt;"")+(_xlfn.ANCHORARRAY(K2)&lt;&gt;"")+(_xlfn.ANCHORARRAY(L2)&lt;&gt;"")+(_xlfn.ANCHORARRAY(M2)&lt;&gt;"")+(_xlfn.ANCHORARRAY(S2)&lt;&gt;"")+(_xlfn.ANCHORARRAY(T2)&lt;&gt;"")+(_xlfn.ANCHORARRAY(U2)&lt;&gt;"")+(_xlfn.ANCHORARRAY(V2)&lt;&gt;"")+(_xlfn.ANCHORARRAY(W2)&lt;&gt;""))&gt;0)*_xlfn.ANCHORARRAY(F2),"")=0,"",IFERROR((((_xlfn.ANCHORARRAY(I2)&lt;&gt;"")+(_xlfn.ANCHORARRAY(J2)&lt;&gt;"")+(_xlfn.ANCHORARRAY(K2)&lt;&gt;"")+(_xlfn.ANCHORARRAY(L2)&lt;&gt;"")+(_xlfn.ANCHORARRAY(M2)&lt;&gt;"")+(_xlfn.ANCHORARRAY(S2)&lt;&gt;"")+(_xlfn.ANCHORARRAY(T2)&lt;&gt;"")+(_xlfn.ANCHORARRAY(U2)&lt;&gt;"")+(_xlfn.ANCHORARRAY(V2)&lt;&gt;"")+(_xlfn.ANCHORARRAY(W2)&lt;&gt;""))&gt;0)*_xlfn.ANCHORARRAY(F2),""))),,","))</f>
        <v>6</v>
      </c>
      <c r="AF2" cm="1">
        <f t="array" aca="1" ref="AF2:AF3" ca="1">+VALUE(_xlfn.TEXTSPLIT(_xlfn.TEXTJOIN(",",TRUE,IF(IFERROR((((_xlfn.ANCHORARRAY(I2)&lt;&gt;"")+(_xlfn.ANCHORARRAY(J2)&lt;&gt;"")+(_xlfn.ANCHORARRAY(K2)&lt;&gt;"")+(_xlfn.ANCHORARRAY(L2)&lt;&gt;"")+(_xlfn.ANCHORARRAY(M2)&lt;&gt;"")+(_xlfn.ANCHORARRAY(S2)&lt;&gt;"")+(_xlfn.ANCHORARRAY(T2)&lt;&gt;"")+(_xlfn.ANCHORARRAY(U2)&lt;&gt;"")+(_xlfn.ANCHORARRAY(V2)&lt;&gt;"")+(_xlfn.ANCHORARRAY(W2)&lt;&gt;""))&gt;0)*_xlfn.ANCHORARRAY(G2),"")=0,"",IFERROR((((_xlfn.ANCHORARRAY(I2)&lt;&gt;"")+(_xlfn.ANCHORARRAY(J2)&lt;&gt;"")+(_xlfn.ANCHORARRAY(K2)&lt;&gt;"")+(_xlfn.ANCHORARRAY(L2)&lt;&gt;"")+(_xlfn.ANCHORARRAY(M2)&lt;&gt;"")+(_xlfn.ANCHORARRAY(S2)&lt;&gt;"")+(_xlfn.ANCHORARRAY(T2)&lt;&gt;"")+(_xlfn.ANCHORARRAY(U2)&lt;&gt;"")+(_xlfn.ANCHORARRAY(V2)&lt;&gt;"")+(_xlfn.ANCHORARRAY(W2)&lt;&gt;""))&gt;0)*_xlfn.ANCHORARRAY(G2),""))),,","))</f>
        <v>9</v>
      </c>
      <c r="AG2" t="str" cm="1">
        <f t="array" aca="1" ref="AG2:AG3" ca="1">+_xlfn.ANCHORARRAY(AD2)&amp;"-"&amp;_xlfn.ANCHORARRAY(AE2)&amp;"-"&amp;_xlfn.ANCHORARRAY(AF2)</f>
        <v>3-6-9</v>
      </c>
    </row>
    <row r="3" spans="1:33">
      <c r="A3" t="str">
        <f ca="1"/>
        <v>6M-9M-1Y</v>
      </c>
      <c r="B3" t="str">
        <f ca="1"/>
        <v>6M</v>
      </c>
      <c r="C3" t="str">
        <f ca="1"/>
        <v>9M</v>
      </c>
      <c r="D3" t="str">
        <f ca="1"/>
        <v>1Y</v>
      </c>
      <c r="E3">
        <f ca="1"/>
        <v>6</v>
      </c>
      <c r="F3">
        <f ca="1"/>
        <v>9</v>
      </c>
      <c r="G3">
        <f ca="1"/>
        <v>13</v>
      </c>
      <c r="H3" t="str">
        <f ca="1"/>
        <v>6-9-13</v>
      </c>
      <c r="I3" t="str">
        <f ca="1"/>
        <v/>
      </c>
      <c r="J3" t="str">
        <f ca="1"/>
        <v/>
      </c>
      <c r="K3" t="str">
        <f ca="1"/>
        <v/>
      </c>
      <c r="L3" t="str">
        <f ca="1"/>
        <v/>
      </c>
      <c r="M3" t="str">
        <f ca="1"/>
        <v/>
      </c>
      <c r="N3" s="128" t="str">
        <f t="shared" ref="N3:N27" ca="1" si="3">+IF(MAX(I3:M3)=0,"",MAX(I3:M3))</f>
        <v/>
      </c>
      <c r="O3" s="129" t="str">
        <f t="shared" ca="1" si="0"/>
        <v/>
      </c>
      <c r="P3" t="str">
        <f t="shared" ref="P3:P27" ca="1" si="4">+IF(MIN(I3:M3)=0,"",MIN(I3:M3))</f>
        <v/>
      </c>
      <c r="Q3" s="129" t="str">
        <f t="shared" ref="Q3:Q26" ca="1" si="5">+IF(P3="","",IFERROR(INDEX($I$1:$M$1,1,MATCH(P3,$I3:$M3,0)),""))</f>
        <v/>
      </c>
      <c r="R3" s="86" t="str">
        <f ca="1"/>
        <v>6-9-13</v>
      </c>
      <c r="S3" t="str">
        <f ca="1"/>
        <v/>
      </c>
      <c r="T3" t="str">
        <f ca="1"/>
        <v/>
      </c>
      <c r="U3" t="str">
        <f ca="1"/>
        <v/>
      </c>
      <c r="V3" t="str">
        <f ca="1"/>
        <v/>
      </c>
      <c r="W3" t="str">
        <f ca="1"/>
        <v/>
      </c>
      <c r="X3" s="128" t="str">
        <f t="shared" ca="1" si="1"/>
        <v/>
      </c>
      <c r="Y3" s="129" t="str">
        <f t="shared" ca="1" si="2"/>
        <v/>
      </c>
      <c r="Z3" t="str">
        <f t="shared" ref="Z3:Z26" ca="1" si="6">+IF(MIN(S3:W3)=0,"",MIN(S3:W3))</f>
        <v/>
      </c>
      <c r="AA3" s="129" t="str">
        <f t="shared" ref="AA3:AA26" ca="1" si="7">+IF(Z3="","",IFERROR(INDEX($S$1:$W$1,1,MATCH(Z3,$S3:$W3,0)),""))</f>
        <v/>
      </c>
      <c r="AB3" t="str">
        <f ca="1"/>
        <v>6-9-13</v>
      </c>
      <c r="AC3" t="str">
        <f ca="1"/>
        <v>6M-9M-1Y</v>
      </c>
      <c r="AD3">
        <f ca="1"/>
        <v>13</v>
      </c>
      <c r="AE3">
        <f ca="1"/>
        <v>26</v>
      </c>
      <c r="AF3">
        <f ca="1"/>
        <v>39</v>
      </c>
      <c r="AG3" t="str">
        <f ca="1"/>
        <v>13-26-39</v>
      </c>
    </row>
    <row r="4" spans="1:33">
      <c r="A4" t="str">
        <f ca="1"/>
        <v>5Y-7Y-10Y</v>
      </c>
      <c r="B4" t="str">
        <f ca="1"/>
        <v>5Y</v>
      </c>
      <c r="C4" t="str">
        <f ca="1"/>
        <v>7Y</v>
      </c>
      <c r="D4" t="str">
        <f ca="1"/>
        <v>10Y</v>
      </c>
      <c r="E4">
        <f ca="1"/>
        <v>65</v>
      </c>
      <c r="F4">
        <f ca="1"/>
        <v>91</v>
      </c>
      <c r="G4">
        <f ca="1"/>
        <v>130</v>
      </c>
      <c r="H4" t="str">
        <f ca="1"/>
        <v>65-91-130</v>
      </c>
      <c r="I4" t="str">
        <f ca="1"/>
        <v/>
      </c>
      <c r="J4" t="str">
        <f ca="1"/>
        <v/>
      </c>
      <c r="K4" t="str">
        <f ca="1"/>
        <v/>
      </c>
      <c r="L4" t="str">
        <f ca="1"/>
        <v/>
      </c>
      <c r="M4" t="str">
        <f ca="1"/>
        <v/>
      </c>
      <c r="N4" s="128" t="str">
        <f ca="1">+IF(MAX(I4:M4)=0,"",MAX(I4:M4))</f>
        <v/>
      </c>
      <c r="O4" s="129" t="str">
        <f t="shared" ca="1" si="0"/>
        <v/>
      </c>
      <c r="P4" t="str">
        <f t="shared" ca="1" si="4"/>
        <v/>
      </c>
      <c r="Q4" s="129" t="str">
        <f t="shared" ca="1" si="5"/>
        <v/>
      </c>
      <c r="R4" s="86" t="str">
        <f ca="1"/>
        <v>65-91-130</v>
      </c>
      <c r="S4" t="str">
        <f ca="1"/>
        <v/>
      </c>
      <c r="T4" t="str">
        <f ca="1"/>
        <v/>
      </c>
      <c r="U4" t="str">
        <f ca="1"/>
        <v/>
      </c>
      <c r="V4" t="str">
        <f ca="1"/>
        <v/>
      </c>
      <c r="W4" t="str">
        <f ca="1"/>
        <v/>
      </c>
      <c r="X4" s="128" t="str">
        <f t="shared" ca="1" si="1"/>
        <v/>
      </c>
      <c r="Y4" s="129" t="str">
        <f t="shared" ca="1" si="2"/>
        <v/>
      </c>
      <c r="Z4" t="str">
        <f t="shared" ca="1" si="6"/>
        <v/>
      </c>
      <c r="AA4" s="129" t="str">
        <f t="shared" ca="1" si="7"/>
        <v/>
      </c>
      <c r="AB4" t="str">
        <f ca="1"/>
        <v>65-91-130</v>
      </c>
      <c r="AC4" t="str">
        <f ca="1"/>
        <v>5Y-7Y-10Y</v>
      </c>
    </row>
    <row r="5" spans="1:33">
      <c r="A5" t="str">
        <f ca="1"/>
        <v>3Y-4Y-5Y</v>
      </c>
      <c r="B5" t="str">
        <f ca="1"/>
        <v>3Y</v>
      </c>
      <c r="C5" t="str">
        <f ca="1"/>
        <v>4Y</v>
      </c>
      <c r="D5" t="str">
        <f ca="1"/>
        <v>5Y</v>
      </c>
      <c r="E5">
        <f ca="1"/>
        <v>39</v>
      </c>
      <c r="F5">
        <f ca="1"/>
        <v>52</v>
      </c>
      <c r="G5">
        <f ca="1"/>
        <v>65</v>
      </c>
      <c r="H5" t="str">
        <f ca="1"/>
        <v>39-52-65</v>
      </c>
      <c r="I5" t="str">
        <f ca="1"/>
        <v/>
      </c>
      <c r="J5" t="str">
        <f ca="1"/>
        <v/>
      </c>
      <c r="K5" t="str">
        <f ca="1"/>
        <v/>
      </c>
      <c r="L5" t="str">
        <f ca="1"/>
        <v/>
      </c>
      <c r="M5" t="str">
        <f ca="1"/>
        <v/>
      </c>
      <c r="N5" s="128" t="str">
        <f t="shared" ca="1" si="3"/>
        <v/>
      </c>
      <c r="O5" s="129" t="str">
        <f t="shared" ca="1" si="0"/>
        <v/>
      </c>
      <c r="P5" t="str">
        <f t="shared" ca="1" si="4"/>
        <v/>
      </c>
      <c r="Q5" s="129" t="str">
        <f t="shared" ca="1" si="5"/>
        <v/>
      </c>
      <c r="R5" s="86" t="str">
        <f ca="1"/>
        <v>39-52-65</v>
      </c>
      <c r="S5" t="str">
        <f ca="1"/>
        <v/>
      </c>
      <c r="T5" t="str">
        <f ca="1"/>
        <v/>
      </c>
      <c r="U5" t="str">
        <f ca="1"/>
        <v/>
      </c>
      <c r="V5" t="str">
        <f ca="1"/>
        <v/>
      </c>
      <c r="W5" t="str">
        <f ca="1"/>
        <v/>
      </c>
      <c r="X5" s="128" t="str">
        <f t="shared" ca="1" si="1"/>
        <v/>
      </c>
      <c r="Y5" s="129" t="str">
        <f t="shared" ca="1" si="2"/>
        <v/>
      </c>
      <c r="Z5" t="str">
        <f t="shared" ca="1" si="6"/>
        <v/>
      </c>
      <c r="AA5" s="129" t="str">
        <f t="shared" ca="1" si="7"/>
        <v/>
      </c>
      <c r="AB5" t="str">
        <f ca="1"/>
        <v>39-52-65</v>
      </c>
      <c r="AC5" t="str">
        <f ca="1"/>
        <v>3Y-4Y-5Y</v>
      </c>
    </row>
    <row r="6" spans="1:33">
      <c r="A6" t="str">
        <f ca="1"/>
        <v>3M-6M-9M</v>
      </c>
      <c r="B6" t="str">
        <f ca="1"/>
        <v>3M</v>
      </c>
      <c r="C6" t="str">
        <f ca="1"/>
        <v>6M</v>
      </c>
      <c r="D6" t="str">
        <f ca="1"/>
        <v>9M</v>
      </c>
      <c r="E6">
        <f ca="1"/>
        <v>3</v>
      </c>
      <c r="F6">
        <f ca="1"/>
        <v>6</v>
      </c>
      <c r="G6">
        <f ca="1"/>
        <v>9</v>
      </c>
      <c r="H6" t="str">
        <f ca="1"/>
        <v>3-6-9</v>
      </c>
      <c r="I6" t="str">
        <f ca="1"/>
        <v/>
      </c>
      <c r="J6" t="str">
        <f ca="1"/>
        <v/>
      </c>
      <c r="K6" t="str">
        <f ca="1"/>
        <v/>
      </c>
      <c r="L6" t="str">
        <f ca="1"/>
        <v/>
      </c>
      <c r="M6" t="str">
        <f ca="1"/>
        <v/>
      </c>
      <c r="N6" s="128" t="str">
        <f t="shared" ca="1" si="3"/>
        <v/>
      </c>
      <c r="O6" s="129" t="str">
        <f t="shared" ca="1" si="0"/>
        <v/>
      </c>
      <c r="P6" t="str">
        <f t="shared" ca="1" si="4"/>
        <v/>
      </c>
      <c r="Q6" s="129" t="str">
        <f t="shared" ca="1" si="5"/>
        <v/>
      </c>
      <c r="R6" s="86" t="str">
        <f ca="1"/>
        <v>3-6-9</v>
      </c>
      <c r="S6">
        <f ca="1"/>
        <v>12</v>
      </c>
      <c r="T6" t="str">
        <f ca="1"/>
        <v/>
      </c>
      <c r="U6" t="str">
        <f ca="1"/>
        <v/>
      </c>
      <c r="V6" t="str">
        <f ca="1"/>
        <v/>
      </c>
      <c r="W6" t="str">
        <f ca="1"/>
        <v/>
      </c>
      <c r="X6" s="128">
        <f t="shared" ca="1" si="1"/>
        <v>12</v>
      </c>
      <c r="Y6" s="129" t="str">
        <f t="shared" ca="1" si="2"/>
        <v>TMEX6</v>
      </c>
      <c r="Z6">
        <f t="shared" ca="1" si="6"/>
        <v>12</v>
      </c>
      <c r="AA6" s="129" t="str">
        <f t="shared" ca="1" si="7"/>
        <v>TMEX6</v>
      </c>
      <c r="AB6" t="str">
        <f ca="1"/>
        <v>3-6-9</v>
      </c>
      <c r="AC6" t="str">
        <f ca="1"/>
        <v>3M-6M-9M</v>
      </c>
    </row>
    <row r="7" spans="1:33">
      <c r="A7" t="str">
        <f ca="1"/>
        <v>2Y-5Y-10Y</v>
      </c>
      <c r="B7" t="str">
        <f ca="1"/>
        <v>2Y</v>
      </c>
      <c r="C7" t="str">
        <f ca="1"/>
        <v>5Y</v>
      </c>
      <c r="D7" t="str">
        <f ca="1"/>
        <v>10Y</v>
      </c>
      <c r="E7">
        <f ca="1"/>
        <v>26</v>
      </c>
      <c r="F7">
        <f ca="1"/>
        <v>65</v>
      </c>
      <c r="G7">
        <f ca="1"/>
        <v>130</v>
      </c>
      <c r="H7" t="str">
        <f ca="1"/>
        <v>26-65-130</v>
      </c>
      <c r="I7" t="str">
        <f ca="1"/>
        <v/>
      </c>
      <c r="J7" t="str">
        <f ca="1"/>
        <v/>
      </c>
      <c r="K7" t="str">
        <f ca="1"/>
        <v/>
      </c>
      <c r="L7" t="str">
        <f ca="1"/>
        <v/>
      </c>
      <c r="M7" t="str">
        <f ca="1"/>
        <v/>
      </c>
      <c r="N7" s="128" t="str">
        <f t="shared" ca="1" si="3"/>
        <v/>
      </c>
      <c r="O7" s="129" t="str">
        <f ca="1">+IF(N7="","",IFERROR(INDEX($I$1:$M$1,1,MATCH(N7,$I7:$M7,0)),""))</f>
        <v/>
      </c>
      <c r="P7" t="str">
        <f ca="1">+IF(MIN(I7:M7)=0,"",MIN(I7:M7))</f>
        <v/>
      </c>
      <c r="Q7" s="129" t="str">
        <f t="shared" ca="1" si="5"/>
        <v/>
      </c>
      <c r="R7" s="86" t="str">
        <f ca="1"/>
        <v>26-65-130</v>
      </c>
      <c r="S7" t="str">
        <f ca="1"/>
        <v/>
      </c>
      <c r="T7" t="str">
        <f ca="1"/>
        <v/>
      </c>
      <c r="U7" t="str">
        <f ca="1"/>
        <v/>
      </c>
      <c r="V7" t="str">
        <f ca="1"/>
        <v/>
      </c>
      <c r="W7" t="str">
        <f ca="1"/>
        <v/>
      </c>
      <c r="X7" s="128" t="str">
        <f t="shared" ca="1" si="1"/>
        <v/>
      </c>
      <c r="Y7" s="129" t="str">
        <f ca="1">+IF(X7="","",IFERROR(INDEX($S$1:$W$1,1,MATCH(X7,$S7:$W7,0)),""))</f>
        <v/>
      </c>
      <c r="Z7" t="str">
        <f t="shared" ca="1" si="6"/>
        <v/>
      </c>
      <c r="AA7" s="129" t="str">
        <f t="shared" ca="1" si="7"/>
        <v/>
      </c>
      <c r="AB7" t="str">
        <f ca="1"/>
        <v>26-65-130</v>
      </c>
      <c r="AC7" t="str">
        <f ca="1"/>
        <v>2Y-5Y-10Y</v>
      </c>
    </row>
    <row r="8" spans="1:33">
      <c r="A8" t="str">
        <f ca="1"/>
        <v>2Y-3Y-4Y</v>
      </c>
      <c r="B8" t="str">
        <f ca="1"/>
        <v>2Y</v>
      </c>
      <c r="C8" t="str">
        <f ca="1"/>
        <v>3Y</v>
      </c>
      <c r="D8" t="str">
        <f ca="1"/>
        <v>4Y</v>
      </c>
      <c r="E8">
        <f ca="1"/>
        <v>26</v>
      </c>
      <c r="F8">
        <f ca="1"/>
        <v>39</v>
      </c>
      <c r="G8">
        <f ca="1"/>
        <v>52</v>
      </c>
      <c r="H8" t="str">
        <f ca="1"/>
        <v>26-39-52</v>
      </c>
      <c r="I8" t="str">
        <f ca="1"/>
        <v/>
      </c>
      <c r="J8" t="str">
        <f ca="1"/>
        <v/>
      </c>
      <c r="K8" t="str">
        <f ca="1"/>
        <v/>
      </c>
      <c r="L8" t="str">
        <f ca="1"/>
        <v/>
      </c>
      <c r="M8" t="str">
        <f ca="1"/>
        <v/>
      </c>
      <c r="N8" s="128" t="str">
        <f t="shared" ca="1" si="3"/>
        <v/>
      </c>
      <c r="O8" s="129" t="str">
        <f t="shared" ref="O8:O26" ca="1" si="8">+IF(N8="","",IFERROR(INDEX($I$1:$M$1,1,MATCH(N8,$I8:$M8,0)),""))</f>
        <v/>
      </c>
      <c r="P8" t="str">
        <f t="shared" ca="1" si="4"/>
        <v/>
      </c>
      <c r="Q8" s="129" t="str">
        <f t="shared" ca="1" si="5"/>
        <v/>
      </c>
      <c r="R8" s="86" t="str">
        <f ca="1"/>
        <v>26-39-52</v>
      </c>
      <c r="S8" t="str">
        <f ca="1"/>
        <v/>
      </c>
      <c r="T8" t="str">
        <f ca="1"/>
        <v/>
      </c>
      <c r="U8" t="str">
        <f ca="1"/>
        <v/>
      </c>
      <c r="V8" t="str">
        <f ca="1"/>
        <v/>
      </c>
      <c r="W8" t="str">
        <f ca="1"/>
        <v/>
      </c>
      <c r="X8" s="128" t="str">
        <f t="shared" ca="1" si="1"/>
        <v/>
      </c>
      <c r="Y8" s="129" t="str">
        <f t="shared" ref="Y8:Y26" ca="1" si="9">+IF(X8="","",IFERROR(INDEX($S$1:$W$1,1,MATCH(X8,$S8:$W8,0)),""))</f>
        <v/>
      </c>
      <c r="Z8" t="str">
        <f t="shared" ca="1" si="6"/>
        <v/>
      </c>
      <c r="AA8" s="129" t="str">
        <f t="shared" ca="1" si="7"/>
        <v/>
      </c>
      <c r="AB8" t="str">
        <f ca="1"/>
        <v>26-39-52</v>
      </c>
      <c r="AC8" t="str">
        <f ca="1"/>
        <v>2Y-3Y-4Y</v>
      </c>
    </row>
    <row r="9" spans="1:33">
      <c r="A9" t="str">
        <f ca="1"/>
        <v>1Y-2Y-3Y</v>
      </c>
      <c r="B9" t="str">
        <f ca="1"/>
        <v>1Y</v>
      </c>
      <c r="C9" t="str">
        <f ca="1"/>
        <v>2Y</v>
      </c>
      <c r="D9" t="str">
        <f ca="1"/>
        <v>3Y</v>
      </c>
      <c r="E9">
        <f ca="1"/>
        <v>13</v>
      </c>
      <c r="F9">
        <f ca="1"/>
        <v>26</v>
      </c>
      <c r="G9">
        <f ca="1"/>
        <v>39</v>
      </c>
      <c r="H9" t="str">
        <f ca="1"/>
        <v>13-26-39</v>
      </c>
      <c r="I9">
        <f ca="1"/>
        <v>-57</v>
      </c>
      <c r="J9" t="str">
        <f ca="1"/>
        <v/>
      </c>
      <c r="K9" t="str">
        <f ca="1"/>
        <v/>
      </c>
      <c r="L9" t="str">
        <f ca="1"/>
        <v/>
      </c>
      <c r="M9" t="str">
        <f ca="1"/>
        <v/>
      </c>
      <c r="N9" s="128">
        <f t="shared" ca="1" si="3"/>
        <v>-57</v>
      </c>
      <c r="O9" s="129" t="str">
        <f t="shared" ca="1" si="8"/>
        <v>TMEX6</v>
      </c>
      <c r="P9">
        <f t="shared" ca="1" si="4"/>
        <v>-57</v>
      </c>
      <c r="Q9" s="129" t="str">
        <f t="shared" ca="1" si="5"/>
        <v>TMEX6</v>
      </c>
      <c r="R9" s="86" t="str">
        <f ca="1"/>
        <v>13-26-39</v>
      </c>
      <c r="S9">
        <f ca="1"/>
        <v>-51</v>
      </c>
      <c r="T9" t="str">
        <f ca="1"/>
        <v/>
      </c>
      <c r="U9" t="str">
        <f ca="1"/>
        <v/>
      </c>
      <c r="V9" t="str">
        <f ca="1"/>
        <v/>
      </c>
      <c r="W9" t="str">
        <f ca="1"/>
        <v/>
      </c>
      <c r="X9" s="128">
        <f t="shared" ca="1" si="1"/>
        <v>-51</v>
      </c>
      <c r="Y9" s="129" t="str">
        <f t="shared" ca="1" si="9"/>
        <v>TMEX6</v>
      </c>
      <c r="Z9">
        <f t="shared" ca="1" si="6"/>
        <v>-51</v>
      </c>
      <c r="AA9" s="129" t="str">
        <f t="shared" ca="1" si="7"/>
        <v>TMEX6</v>
      </c>
      <c r="AB9" t="str">
        <f ca="1"/>
        <v>13-26-39</v>
      </c>
      <c r="AC9" t="str">
        <f ca="1"/>
        <v>1Y-2Y-3Y</v>
      </c>
    </row>
    <row r="10" spans="1:33">
      <c r="A10" t="str">
        <f ca="1"/>
        <v>1Y-19M-2Y</v>
      </c>
      <c r="B10" t="str">
        <f ca="1"/>
        <v>1Y</v>
      </c>
      <c r="C10" t="str">
        <f ca="1"/>
        <v>19M</v>
      </c>
      <c r="D10" t="str">
        <f ca="1"/>
        <v>2Y</v>
      </c>
      <c r="E10">
        <f ca="1"/>
        <v>13</v>
      </c>
      <c r="F10">
        <f ca="1"/>
        <v>19</v>
      </c>
      <c r="G10">
        <f ca="1"/>
        <v>26</v>
      </c>
      <c r="H10" t="str">
        <f ca="1"/>
        <v>13-19-26</v>
      </c>
      <c r="I10" t="str">
        <f ca="1"/>
        <v/>
      </c>
      <c r="J10" t="str">
        <f ca="1"/>
        <v/>
      </c>
      <c r="K10" t="str">
        <f ca="1"/>
        <v/>
      </c>
      <c r="L10" t="str">
        <f ca="1"/>
        <v/>
      </c>
      <c r="M10" t="str">
        <f ca="1"/>
        <v/>
      </c>
      <c r="N10" s="128" t="str">
        <f t="shared" ca="1" si="3"/>
        <v/>
      </c>
      <c r="O10" s="129" t="str">
        <f t="shared" ca="1" si="8"/>
        <v/>
      </c>
      <c r="P10" t="str">
        <f t="shared" ca="1" si="4"/>
        <v/>
      </c>
      <c r="Q10" s="129" t="str">
        <f t="shared" ca="1" si="5"/>
        <v/>
      </c>
      <c r="R10" s="86" t="str">
        <f ca="1"/>
        <v>13-19-26</v>
      </c>
      <c r="S10" t="str">
        <f ca="1"/>
        <v/>
      </c>
      <c r="T10" t="str">
        <f ca="1"/>
        <v/>
      </c>
      <c r="U10" t="str">
        <f ca="1"/>
        <v/>
      </c>
      <c r="V10" t="str">
        <f ca="1"/>
        <v/>
      </c>
      <c r="W10" t="str">
        <f ca="1"/>
        <v/>
      </c>
      <c r="X10" s="128" t="str">
        <f t="shared" ca="1" si="1"/>
        <v/>
      </c>
      <c r="Y10" s="129" t="str">
        <f t="shared" ca="1" si="9"/>
        <v/>
      </c>
      <c r="Z10" t="str">
        <f t="shared" ca="1" si="6"/>
        <v/>
      </c>
      <c r="AA10" s="129" t="str">
        <f t="shared" ca="1" si="7"/>
        <v/>
      </c>
      <c r="AB10" t="str">
        <f ca="1"/>
        <v>13-19-26</v>
      </c>
      <c r="AC10" t="str">
        <f ca="1"/>
        <v>1Y-19M-2Y</v>
      </c>
    </row>
    <row r="11" spans="1:33">
      <c r="A11" t="str">
        <f ca="1"/>
        <v>12Y-15Y-20Y</v>
      </c>
      <c r="B11" t="str">
        <f ca="1"/>
        <v>12Y</v>
      </c>
      <c r="C11" t="str">
        <f ca="1"/>
        <v>15Y</v>
      </c>
      <c r="D11" t="str">
        <f ca="1"/>
        <v>20Y</v>
      </c>
      <c r="E11">
        <f ca="1"/>
        <v>156</v>
      </c>
      <c r="F11">
        <f ca="1"/>
        <v>195</v>
      </c>
      <c r="G11">
        <f ca="1"/>
        <v>260</v>
      </c>
      <c r="H11" t="str">
        <f ca="1"/>
        <v>156-195-260</v>
      </c>
      <c r="I11" t="str">
        <f ca="1"/>
        <v/>
      </c>
      <c r="J11" t="str">
        <f ca="1"/>
        <v/>
      </c>
      <c r="K11" t="str">
        <f ca="1"/>
        <v/>
      </c>
      <c r="L11" t="str">
        <f ca="1"/>
        <v/>
      </c>
      <c r="M11" t="str">
        <f ca="1"/>
        <v/>
      </c>
      <c r="N11" s="128" t="str">
        <f t="shared" ca="1" si="3"/>
        <v/>
      </c>
      <c r="O11" s="129" t="str">
        <f t="shared" ca="1" si="8"/>
        <v/>
      </c>
      <c r="P11" t="str">
        <f t="shared" ca="1" si="4"/>
        <v/>
      </c>
      <c r="Q11" s="129" t="str">
        <f t="shared" ca="1" si="5"/>
        <v/>
      </c>
      <c r="R11" s="86" t="str">
        <f ca="1"/>
        <v>156-195-260</v>
      </c>
      <c r="S11" t="str">
        <f ca="1"/>
        <v/>
      </c>
      <c r="T11" t="str">
        <f ca="1"/>
        <v/>
      </c>
      <c r="U11" t="str">
        <f ca="1"/>
        <v/>
      </c>
      <c r="V11" t="str">
        <f ca="1"/>
        <v/>
      </c>
      <c r="W11" t="str">
        <f ca="1"/>
        <v/>
      </c>
      <c r="X11" s="128" t="str">
        <f t="shared" ca="1" si="1"/>
        <v/>
      </c>
      <c r="Y11" s="129" t="str">
        <f t="shared" ca="1" si="9"/>
        <v/>
      </c>
      <c r="Z11" t="str">
        <f t="shared" ca="1" si="6"/>
        <v/>
      </c>
      <c r="AA11" s="129" t="str">
        <f t="shared" ca="1" si="7"/>
        <v/>
      </c>
      <c r="AB11" t="str">
        <f ca="1"/>
        <v>156-195-260</v>
      </c>
      <c r="AC11" t="str">
        <f ca="1"/>
        <v>12Y-15Y-20Y</v>
      </c>
    </row>
    <row r="12" spans="1:33">
      <c r="A12" t="str">
        <f ca="1"/>
        <v>10Y-12Y-15Y</v>
      </c>
      <c r="B12" t="str">
        <f ca="1"/>
        <v>10Y</v>
      </c>
      <c r="C12" t="str">
        <f ca="1"/>
        <v>12Y</v>
      </c>
      <c r="D12" t="str">
        <f ca="1"/>
        <v>15Y</v>
      </c>
      <c r="E12">
        <f ca="1"/>
        <v>130</v>
      </c>
      <c r="F12">
        <f ca="1"/>
        <v>156</v>
      </c>
      <c r="G12">
        <f ca="1"/>
        <v>195</v>
      </c>
      <c r="H12" t="str">
        <f ca="1"/>
        <v>130-156-195</v>
      </c>
      <c r="I12" t="str">
        <f ca="1"/>
        <v/>
      </c>
      <c r="J12" t="str">
        <f ca="1"/>
        <v/>
      </c>
      <c r="K12" t="str">
        <f ca="1"/>
        <v/>
      </c>
      <c r="L12" t="str">
        <f ca="1"/>
        <v/>
      </c>
      <c r="M12" t="str">
        <f ca="1"/>
        <v/>
      </c>
      <c r="N12" s="128" t="str">
        <f t="shared" ca="1" si="3"/>
        <v/>
      </c>
      <c r="O12" s="129" t="str">
        <f t="shared" ca="1" si="8"/>
        <v/>
      </c>
      <c r="P12" t="str">
        <f t="shared" ca="1" si="4"/>
        <v/>
      </c>
      <c r="Q12" s="129" t="str">
        <f t="shared" ca="1" si="5"/>
        <v/>
      </c>
      <c r="R12" s="86" t="str">
        <f ca="1"/>
        <v>130-156-195</v>
      </c>
      <c r="S12" t="str">
        <f ca="1"/>
        <v/>
      </c>
      <c r="T12" t="str">
        <f ca="1"/>
        <v/>
      </c>
      <c r="U12" t="str">
        <f ca="1"/>
        <v/>
      </c>
      <c r="V12" t="str">
        <f ca="1"/>
        <v/>
      </c>
      <c r="W12" t="str">
        <f ca="1"/>
        <v/>
      </c>
      <c r="X12" s="128" t="str">
        <f t="shared" ca="1" si="1"/>
        <v/>
      </c>
      <c r="Y12" s="129" t="str">
        <f t="shared" ca="1" si="9"/>
        <v/>
      </c>
      <c r="Z12" t="str">
        <f t="shared" ca="1" si="6"/>
        <v/>
      </c>
      <c r="AA12" s="129" t="str">
        <f t="shared" ca="1" si="7"/>
        <v/>
      </c>
      <c r="AB12" t="str">
        <f ca="1"/>
        <v>130-156-195</v>
      </c>
      <c r="AC12" t="str">
        <f ca="1"/>
        <v>10Y-12Y-15Y</v>
      </c>
    </row>
    <row r="13" spans="1:33">
      <c r="A13" t="str">
        <f ca="1"/>
        <v/>
      </c>
      <c r="B13" t="str">
        <f ca="1"/>
        <v/>
      </c>
      <c r="C13" t="str">
        <f ca="1"/>
        <v/>
      </c>
      <c r="D13" t="str">
        <f ca="1"/>
        <v/>
      </c>
      <c r="E13" t="str">
        <f ca="1"/>
        <v/>
      </c>
      <c r="F13" t="str">
        <f ca="1"/>
        <v/>
      </c>
      <c r="G13" t="str">
        <f ca="1"/>
        <v/>
      </c>
      <c r="H13" t="str">
        <f ca="1"/>
        <v>--</v>
      </c>
      <c r="I13" t="str">
        <f ca="1"/>
        <v/>
      </c>
      <c r="J13" t="str">
        <f ca="1"/>
        <v/>
      </c>
      <c r="K13" t="str">
        <f ca="1"/>
        <v/>
      </c>
      <c r="L13" t="str">
        <f ca="1"/>
        <v/>
      </c>
      <c r="M13" t="str">
        <f ca="1"/>
        <v/>
      </c>
      <c r="N13" s="128" t="str">
        <f t="shared" ca="1" si="3"/>
        <v/>
      </c>
      <c r="O13" s="129" t="str">
        <f t="shared" ca="1" si="8"/>
        <v/>
      </c>
      <c r="P13" t="str">
        <f t="shared" ca="1" si="4"/>
        <v/>
      </c>
      <c r="Q13" s="129" t="str">
        <f t="shared" ca="1" si="5"/>
        <v/>
      </c>
      <c r="R13" s="86" t="str">
        <f ca="1"/>
        <v>--</v>
      </c>
      <c r="S13" t="str">
        <f ca="1"/>
        <v/>
      </c>
      <c r="T13" t="str">
        <f ca="1"/>
        <v/>
      </c>
      <c r="U13" t="str">
        <f ca="1"/>
        <v/>
      </c>
      <c r="V13" t="str">
        <f ca="1"/>
        <v/>
      </c>
      <c r="W13" t="str">
        <f ca="1"/>
        <v/>
      </c>
      <c r="X13" s="128" t="str">
        <f t="shared" ca="1" si="1"/>
        <v/>
      </c>
      <c r="Y13" s="129" t="str">
        <f t="shared" ca="1" si="9"/>
        <v/>
      </c>
      <c r="Z13" t="str">
        <f t="shared" ca="1" si="6"/>
        <v/>
      </c>
      <c r="AA13" s="129" t="str">
        <f t="shared" ca="1" si="7"/>
        <v/>
      </c>
      <c r="AB13" t="str">
        <f ca="1"/>
        <v>--</v>
      </c>
      <c r="AC13" t="str">
        <f ca="1"/>
        <v/>
      </c>
    </row>
    <row r="14" spans="1:33">
      <c r="N14" s="128" t="str">
        <f t="shared" si="3"/>
        <v/>
      </c>
      <c r="O14" s="129" t="str">
        <f t="shared" si="8"/>
        <v/>
      </c>
      <c r="P14" t="str">
        <f t="shared" si="4"/>
        <v/>
      </c>
      <c r="Q14" s="129" t="str">
        <f t="shared" si="5"/>
        <v/>
      </c>
      <c r="R14" s="86"/>
      <c r="X14" s="128" t="str">
        <f t="shared" si="1"/>
        <v/>
      </c>
      <c r="Y14" s="129" t="str">
        <f t="shared" si="9"/>
        <v/>
      </c>
      <c r="Z14" t="str">
        <f t="shared" si="6"/>
        <v/>
      </c>
      <c r="AA14" s="129" t="str">
        <f t="shared" si="7"/>
        <v/>
      </c>
    </row>
    <row r="15" spans="1:33">
      <c r="N15" s="128" t="str">
        <f t="shared" si="3"/>
        <v/>
      </c>
      <c r="O15" s="129" t="str">
        <f t="shared" si="8"/>
        <v/>
      </c>
      <c r="P15" t="str">
        <f t="shared" si="4"/>
        <v/>
      </c>
      <c r="Q15" s="129" t="str">
        <f t="shared" si="5"/>
        <v/>
      </c>
      <c r="R15" s="86"/>
      <c r="X15" s="128" t="str">
        <f t="shared" si="1"/>
        <v/>
      </c>
      <c r="Y15" s="129" t="str">
        <f t="shared" si="9"/>
        <v/>
      </c>
      <c r="Z15" t="str">
        <f t="shared" si="6"/>
        <v/>
      </c>
      <c r="AA15" s="129" t="str">
        <f t="shared" si="7"/>
        <v/>
      </c>
    </row>
    <row r="16" spans="1:33">
      <c r="N16" s="128" t="str">
        <f t="shared" si="3"/>
        <v/>
      </c>
      <c r="O16" s="129" t="str">
        <f t="shared" si="8"/>
        <v/>
      </c>
      <c r="P16" t="str">
        <f t="shared" si="4"/>
        <v/>
      </c>
      <c r="Q16" s="129" t="str">
        <f t="shared" si="5"/>
        <v/>
      </c>
      <c r="R16" s="86"/>
      <c r="X16" s="128" t="str">
        <f t="shared" si="1"/>
        <v/>
      </c>
      <c r="Y16" s="129" t="str">
        <f t="shared" si="9"/>
        <v/>
      </c>
      <c r="Z16" t="str">
        <f t="shared" si="6"/>
        <v/>
      </c>
      <c r="AA16" s="129" t="str">
        <f t="shared" si="7"/>
        <v/>
      </c>
    </row>
    <row r="17" spans="14:27">
      <c r="N17" s="128" t="str">
        <f t="shared" si="3"/>
        <v/>
      </c>
      <c r="O17" s="129" t="str">
        <f t="shared" si="8"/>
        <v/>
      </c>
      <c r="P17" t="str">
        <f t="shared" si="4"/>
        <v/>
      </c>
      <c r="Q17" s="129" t="str">
        <f t="shared" si="5"/>
        <v/>
      </c>
      <c r="R17" s="86"/>
      <c r="X17" s="128" t="str">
        <f t="shared" si="1"/>
        <v/>
      </c>
      <c r="Y17" s="129" t="str">
        <f t="shared" si="9"/>
        <v/>
      </c>
      <c r="Z17" t="str">
        <f t="shared" si="6"/>
        <v/>
      </c>
      <c r="AA17" s="129" t="str">
        <f t="shared" si="7"/>
        <v/>
      </c>
    </row>
    <row r="18" spans="14:27">
      <c r="N18" s="128" t="str">
        <f t="shared" si="3"/>
        <v/>
      </c>
      <c r="O18" s="129" t="str">
        <f t="shared" si="8"/>
        <v/>
      </c>
      <c r="P18" t="str">
        <f t="shared" si="4"/>
        <v/>
      </c>
      <c r="Q18" s="129" t="str">
        <f t="shared" si="5"/>
        <v/>
      </c>
      <c r="R18" s="86"/>
      <c r="X18" s="128" t="str">
        <f t="shared" si="1"/>
        <v/>
      </c>
      <c r="Y18" s="129" t="str">
        <f t="shared" si="9"/>
        <v/>
      </c>
      <c r="Z18" t="str">
        <f t="shared" si="6"/>
        <v/>
      </c>
      <c r="AA18" s="129" t="str">
        <f t="shared" si="7"/>
        <v/>
      </c>
    </row>
    <row r="19" spans="14:27">
      <c r="N19" s="128" t="str">
        <f t="shared" si="3"/>
        <v/>
      </c>
      <c r="O19" s="129" t="str">
        <f t="shared" si="8"/>
        <v/>
      </c>
      <c r="P19" t="str">
        <f t="shared" si="4"/>
        <v/>
      </c>
      <c r="Q19" s="129" t="str">
        <f t="shared" si="5"/>
        <v/>
      </c>
      <c r="R19" s="86"/>
      <c r="X19" s="128" t="str">
        <f t="shared" si="1"/>
        <v/>
      </c>
      <c r="Y19" s="129" t="str">
        <f t="shared" si="9"/>
        <v/>
      </c>
      <c r="Z19" t="str">
        <f t="shared" si="6"/>
        <v/>
      </c>
      <c r="AA19" s="129" t="str">
        <f t="shared" si="7"/>
        <v/>
      </c>
    </row>
    <row r="20" spans="14:27">
      <c r="N20" s="128" t="str">
        <f t="shared" si="3"/>
        <v/>
      </c>
      <c r="O20" s="129" t="str">
        <f t="shared" si="8"/>
        <v/>
      </c>
      <c r="P20" t="str">
        <f t="shared" si="4"/>
        <v/>
      </c>
      <c r="Q20" s="129" t="str">
        <f t="shared" si="5"/>
        <v/>
      </c>
      <c r="R20" s="86"/>
      <c r="X20" s="128" t="str">
        <f t="shared" si="1"/>
        <v/>
      </c>
      <c r="Y20" s="129" t="str">
        <f t="shared" si="9"/>
        <v/>
      </c>
      <c r="Z20" t="str">
        <f t="shared" si="6"/>
        <v/>
      </c>
      <c r="AA20" s="129" t="str">
        <f t="shared" si="7"/>
        <v/>
      </c>
    </row>
    <row r="21" spans="14:27">
      <c r="N21" s="128" t="str">
        <f t="shared" si="3"/>
        <v/>
      </c>
      <c r="O21" s="129" t="str">
        <f t="shared" si="8"/>
        <v/>
      </c>
      <c r="P21" t="str">
        <f t="shared" si="4"/>
        <v/>
      </c>
      <c r="Q21" s="129" t="str">
        <f t="shared" si="5"/>
        <v/>
      </c>
      <c r="R21" s="86"/>
      <c r="X21" s="128" t="str">
        <f t="shared" si="1"/>
        <v/>
      </c>
      <c r="Y21" s="129" t="str">
        <f t="shared" si="9"/>
        <v/>
      </c>
      <c r="Z21" t="str">
        <f t="shared" si="6"/>
        <v/>
      </c>
      <c r="AA21" s="129" t="str">
        <f t="shared" si="7"/>
        <v/>
      </c>
    </row>
    <row r="22" spans="14:27">
      <c r="N22" s="128" t="str">
        <f t="shared" si="3"/>
        <v/>
      </c>
      <c r="O22" s="129" t="str">
        <f t="shared" si="8"/>
        <v/>
      </c>
      <c r="P22" t="str">
        <f t="shared" si="4"/>
        <v/>
      </c>
      <c r="Q22" s="129" t="str">
        <f t="shared" si="5"/>
        <v/>
      </c>
      <c r="R22" s="86"/>
      <c r="X22" s="128" t="str">
        <f t="shared" si="1"/>
        <v/>
      </c>
      <c r="Y22" s="129" t="str">
        <f t="shared" si="9"/>
        <v/>
      </c>
      <c r="Z22" t="str">
        <f t="shared" si="6"/>
        <v/>
      </c>
      <c r="AA22" s="129" t="str">
        <f t="shared" si="7"/>
        <v/>
      </c>
    </row>
    <row r="23" spans="14:27">
      <c r="N23" s="128" t="str">
        <f t="shared" si="3"/>
        <v/>
      </c>
      <c r="O23" s="129" t="str">
        <f t="shared" si="8"/>
        <v/>
      </c>
      <c r="P23" t="str">
        <f t="shared" si="4"/>
        <v/>
      </c>
      <c r="Q23" s="129" t="str">
        <f t="shared" si="5"/>
        <v/>
      </c>
      <c r="R23" s="86"/>
      <c r="X23" s="128" t="str">
        <f t="shared" si="1"/>
        <v/>
      </c>
      <c r="Y23" s="129" t="str">
        <f t="shared" si="9"/>
        <v/>
      </c>
      <c r="Z23" t="str">
        <f t="shared" si="6"/>
        <v/>
      </c>
      <c r="AA23" s="129" t="str">
        <f t="shared" si="7"/>
        <v/>
      </c>
    </row>
    <row r="24" spans="14:27">
      <c r="N24" s="128" t="str">
        <f t="shared" si="3"/>
        <v/>
      </c>
      <c r="O24" s="129" t="str">
        <f t="shared" si="8"/>
        <v/>
      </c>
      <c r="P24" t="str">
        <f t="shared" si="4"/>
        <v/>
      </c>
      <c r="Q24" s="129" t="str">
        <f t="shared" si="5"/>
        <v/>
      </c>
      <c r="R24" s="86"/>
      <c r="X24" s="128" t="str">
        <f t="shared" si="1"/>
        <v/>
      </c>
      <c r="Y24" s="129" t="str">
        <f t="shared" si="9"/>
        <v/>
      </c>
      <c r="Z24" t="str">
        <f t="shared" si="6"/>
        <v/>
      </c>
      <c r="AA24" s="129" t="str">
        <f t="shared" si="7"/>
        <v/>
      </c>
    </row>
    <row r="25" spans="14:27">
      <c r="N25" s="128" t="str">
        <f t="shared" si="3"/>
        <v/>
      </c>
      <c r="O25" s="129" t="str">
        <f t="shared" si="8"/>
        <v/>
      </c>
      <c r="P25" t="str">
        <f t="shared" si="4"/>
        <v/>
      </c>
      <c r="Q25" s="129" t="str">
        <f t="shared" si="5"/>
        <v/>
      </c>
      <c r="R25" s="86"/>
      <c r="X25" s="128" t="str">
        <f t="shared" si="1"/>
        <v/>
      </c>
      <c r="Y25" s="129" t="str">
        <f t="shared" si="9"/>
        <v/>
      </c>
      <c r="Z25" t="str">
        <f t="shared" si="6"/>
        <v/>
      </c>
      <c r="AA25" s="129" t="str">
        <f t="shared" si="7"/>
        <v/>
      </c>
    </row>
    <row r="26" spans="14:27">
      <c r="N26" s="130" t="str">
        <f t="shared" si="3"/>
        <v/>
      </c>
      <c r="O26" s="129" t="str">
        <f t="shared" si="8"/>
        <v/>
      </c>
      <c r="P26" s="131" t="str">
        <f t="shared" si="4"/>
        <v/>
      </c>
      <c r="Q26" s="129" t="str">
        <f t="shared" si="5"/>
        <v/>
      </c>
      <c r="R26" s="86"/>
      <c r="X26" s="130" t="str">
        <f t="shared" si="1"/>
        <v/>
      </c>
      <c r="Y26" s="129" t="str">
        <f t="shared" si="9"/>
        <v/>
      </c>
      <c r="Z26" s="131" t="str">
        <f t="shared" si="6"/>
        <v/>
      </c>
      <c r="AA26" s="129" t="str">
        <f t="shared" si="7"/>
        <v/>
      </c>
    </row>
    <row r="27" spans="14:27">
      <c r="N27" s="128" t="str">
        <f t="shared" si="3"/>
        <v/>
      </c>
      <c r="O27" s="86"/>
      <c r="P27" t="str">
        <f t="shared" si="4"/>
        <v/>
      </c>
      <c r="Q27" s="86"/>
      <c r="R27" s="86"/>
    </row>
    <row r="28" spans="14:27">
      <c r="N28" s="128"/>
      <c r="O28" s="86"/>
      <c r="Q28" s="86" t="str">
        <f>+IFERROR(INDEX($A$1:$N$1,1,MATCH(P28,$A28:$N28,0)),"")</f>
        <v/>
      </c>
      <c r="R28" s="86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25C87-697C-4583-A672-042A4CAD6E0D}">
  <sheetPr codeName="Hoja4"/>
  <dimension ref="A1:K31"/>
  <sheetViews>
    <sheetView topLeftCell="A61" workbookViewId="0">
      <selection activeCell="B74" sqref="B74"/>
    </sheetView>
  </sheetViews>
  <sheetFormatPr baseColWidth="10" defaultColWidth="11.42578125" defaultRowHeight="15"/>
  <sheetData>
    <row r="1" spans="1:11">
      <c r="A1" t="s">
        <v>279</v>
      </c>
      <c r="B1" t="s">
        <v>280</v>
      </c>
      <c r="C1" t="s">
        <v>281</v>
      </c>
      <c r="D1" t="s">
        <v>282</v>
      </c>
      <c r="E1" t="s">
        <v>14</v>
      </c>
      <c r="F1" t="s">
        <v>283</v>
      </c>
      <c r="G1" t="s">
        <v>284</v>
      </c>
      <c r="H1" t="s">
        <v>15</v>
      </c>
      <c r="I1" t="s">
        <v>285</v>
      </c>
    </row>
    <row r="2" spans="1:11">
      <c r="A2">
        <v>3</v>
      </c>
      <c r="B2">
        <v>3</v>
      </c>
      <c r="C2" t="s">
        <v>286</v>
      </c>
      <c r="D2" t="s">
        <v>380</v>
      </c>
      <c r="E2">
        <v>11.48</v>
      </c>
      <c r="F2">
        <v>0</v>
      </c>
      <c r="G2" t="s">
        <v>380</v>
      </c>
      <c r="H2">
        <v>11.5</v>
      </c>
      <c r="I2">
        <v>0</v>
      </c>
      <c r="K2">
        <v>3</v>
      </c>
    </row>
    <row r="3" spans="1:11">
      <c r="A3">
        <v>3</v>
      </c>
      <c r="B3">
        <v>6</v>
      </c>
      <c r="C3" t="s">
        <v>390</v>
      </c>
      <c r="D3" t="s">
        <v>388</v>
      </c>
      <c r="E3">
        <v>11.37</v>
      </c>
      <c r="F3">
        <v>-11</v>
      </c>
      <c r="G3" t="s">
        <v>388</v>
      </c>
      <c r="H3">
        <v>11.42</v>
      </c>
      <c r="I3">
        <v>-8</v>
      </c>
      <c r="K3">
        <v>6</v>
      </c>
    </row>
    <row r="4" spans="1:11">
      <c r="A4">
        <v>3</v>
      </c>
      <c r="B4">
        <v>9</v>
      </c>
      <c r="C4" t="s">
        <v>391</v>
      </c>
      <c r="D4" t="s">
        <v>392</v>
      </c>
      <c r="E4">
        <v>11.18</v>
      </c>
      <c r="F4">
        <v>-30</v>
      </c>
      <c r="G4" t="s">
        <v>392</v>
      </c>
      <c r="H4">
        <v>11.275</v>
      </c>
      <c r="I4">
        <v>-22.5</v>
      </c>
      <c r="K4">
        <v>9</v>
      </c>
    </row>
    <row r="5" spans="1:11">
      <c r="A5">
        <v>3</v>
      </c>
      <c r="B5">
        <v>13</v>
      </c>
      <c r="C5" t="s">
        <v>393</v>
      </c>
      <c r="D5" t="s">
        <v>394</v>
      </c>
      <c r="E5">
        <v>10.81</v>
      </c>
      <c r="F5">
        <v>-67</v>
      </c>
      <c r="G5" t="s">
        <v>394</v>
      </c>
      <c r="H5">
        <v>10.925000000000001</v>
      </c>
      <c r="I5">
        <v>-57.5</v>
      </c>
      <c r="K5">
        <v>13</v>
      </c>
    </row>
    <row r="6" spans="1:11">
      <c r="A6">
        <v>6</v>
      </c>
      <c r="B6">
        <v>13</v>
      </c>
      <c r="C6" t="s">
        <v>400</v>
      </c>
      <c r="D6" t="s">
        <v>401</v>
      </c>
      <c r="E6">
        <v>10.82</v>
      </c>
      <c r="F6">
        <v>-56</v>
      </c>
      <c r="G6" t="s">
        <v>401</v>
      </c>
      <c r="H6">
        <v>10.935</v>
      </c>
      <c r="I6">
        <v>-49.5</v>
      </c>
      <c r="K6">
        <v>26</v>
      </c>
    </row>
    <row r="7" spans="1:11">
      <c r="A7">
        <v>6</v>
      </c>
      <c r="B7">
        <v>9</v>
      </c>
      <c r="C7" t="s">
        <v>395</v>
      </c>
      <c r="D7" t="s">
        <v>396</v>
      </c>
      <c r="E7">
        <v>11.19</v>
      </c>
      <c r="F7">
        <v>-19</v>
      </c>
      <c r="G7" t="s">
        <v>396</v>
      </c>
      <c r="H7">
        <v>11.285</v>
      </c>
      <c r="I7">
        <v>-14.5</v>
      </c>
      <c r="K7">
        <v>65</v>
      </c>
    </row>
    <row r="8" spans="1:11">
      <c r="A8">
        <v>6</v>
      </c>
      <c r="B8">
        <v>6</v>
      </c>
      <c r="C8" t="s">
        <v>287</v>
      </c>
      <c r="D8" t="s">
        <v>399</v>
      </c>
      <c r="E8">
        <v>11.38</v>
      </c>
      <c r="F8">
        <v>0</v>
      </c>
      <c r="G8" t="s">
        <v>399</v>
      </c>
      <c r="H8">
        <v>11.43</v>
      </c>
      <c r="I8">
        <v>0</v>
      </c>
      <c r="K8">
        <v>91</v>
      </c>
    </row>
    <row r="9" spans="1:11">
      <c r="A9">
        <v>6</v>
      </c>
      <c r="B9">
        <v>3</v>
      </c>
      <c r="C9" t="s">
        <v>397</v>
      </c>
      <c r="D9" t="s">
        <v>398</v>
      </c>
      <c r="E9">
        <v>11.46</v>
      </c>
      <c r="F9">
        <v>8</v>
      </c>
      <c r="G9" t="s">
        <v>398</v>
      </c>
      <c r="H9">
        <v>11.54</v>
      </c>
      <c r="I9">
        <v>11</v>
      </c>
      <c r="K9">
        <v>130</v>
      </c>
    </row>
    <row r="10" spans="1:11">
      <c r="A10">
        <v>9</v>
      </c>
      <c r="B10">
        <v>6</v>
      </c>
      <c r="C10" t="s">
        <v>404</v>
      </c>
      <c r="D10" t="s">
        <v>381</v>
      </c>
      <c r="E10">
        <v>11.355</v>
      </c>
      <c r="F10">
        <v>14.5</v>
      </c>
      <c r="G10" t="s">
        <v>381</v>
      </c>
      <c r="H10">
        <v>11.47</v>
      </c>
      <c r="I10">
        <v>19</v>
      </c>
      <c r="K10">
        <v>156</v>
      </c>
    </row>
    <row r="11" spans="1:11">
      <c r="A11">
        <v>9</v>
      </c>
      <c r="B11">
        <v>3</v>
      </c>
      <c r="C11" t="s">
        <v>405</v>
      </c>
      <c r="D11" t="s">
        <v>406</v>
      </c>
      <c r="E11">
        <v>11.435</v>
      </c>
      <c r="F11">
        <v>22.5</v>
      </c>
      <c r="G11" t="s">
        <v>406</v>
      </c>
      <c r="H11">
        <v>11.58</v>
      </c>
      <c r="I11">
        <v>30</v>
      </c>
      <c r="K11">
        <v>195</v>
      </c>
    </row>
    <row r="12" spans="1:11">
      <c r="A12">
        <v>9</v>
      </c>
      <c r="B12">
        <v>13</v>
      </c>
      <c r="C12" t="s">
        <v>402</v>
      </c>
      <c r="D12" t="s">
        <v>403</v>
      </c>
      <c r="E12">
        <v>10.84</v>
      </c>
      <c r="F12">
        <v>-37</v>
      </c>
      <c r="G12" t="s">
        <v>403</v>
      </c>
      <c r="H12">
        <v>10.93</v>
      </c>
      <c r="I12">
        <v>-35</v>
      </c>
      <c r="K12">
        <v>260</v>
      </c>
    </row>
    <row r="13" spans="1:11">
      <c r="A13">
        <v>9</v>
      </c>
      <c r="B13">
        <v>9</v>
      </c>
      <c r="C13" t="s">
        <v>288</v>
      </c>
      <c r="D13" t="s">
        <v>382</v>
      </c>
      <c r="E13">
        <v>11.21</v>
      </c>
      <c r="F13">
        <v>0</v>
      </c>
      <c r="G13" t="s">
        <v>382</v>
      </c>
      <c r="H13">
        <v>11.28</v>
      </c>
      <c r="I13">
        <v>0</v>
      </c>
      <c r="K13">
        <v>390</v>
      </c>
    </row>
    <row r="14" spans="1:11">
      <c r="A14">
        <v>13</v>
      </c>
      <c r="B14">
        <v>6</v>
      </c>
      <c r="C14" t="s">
        <v>409</v>
      </c>
      <c r="D14" t="s">
        <v>410</v>
      </c>
      <c r="E14">
        <v>11.355</v>
      </c>
      <c r="F14">
        <v>49.5</v>
      </c>
      <c r="G14" t="s">
        <v>410</v>
      </c>
      <c r="H14">
        <v>11.47</v>
      </c>
      <c r="I14">
        <v>56</v>
      </c>
    </row>
    <row r="15" spans="1:11">
      <c r="A15">
        <v>13</v>
      </c>
      <c r="B15">
        <v>3</v>
      </c>
      <c r="C15" t="s">
        <v>407</v>
      </c>
      <c r="D15" t="s">
        <v>408</v>
      </c>
      <c r="E15">
        <v>11.435</v>
      </c>
      <c r="F15">
        <v>57.5</v>
      </c>
      <c r="G15" t="s">
        <v>408</v>
      </c>
      <c r="H15">
        <v>11.58</v>
      </c>
      <c r="I15">
        <v>67</v>
      </c>
    </row>
    <row r="16" spans="1:11">
      <c r="A16">
        <v>13</v>
      </c>
      <c r="B16">
        <v>9</v>
      </c>
      <c r="C16" t="s">
        <v>411</v>
      </c>
      <c r="D16" t="s">
        <v>389</v>
      </c>
      <c r="E16">
        <v>11.21</v>
      </c>
      <c r="F16">
        <v>35</v>
      </c>
      <c r="G16" t="s">
        <v>389</v>
      </c>
      <c r="H16">
        <v>11.28</v>
      </c>
      <c r="I16">
        <v>37</v>
      </c>
    </row>
    <row r="17" spans="1:9">
      <c r="A17">
        <v>13</v>
      </c>
      <c r="B17">
        <v>13</v>
      </c>
      <c r="C17" t="s">
        <v>289</v>
      </c>
      <c r="D17" t="s">
        <v>383</v>
      </c>
      <c r="E17">
        <v>10.86</v>
      </c>
      <c r="F17">
        <v>0</v>
      </c>
      <c r="G17" t="s">
        <v>383</v>
      </c>
      <c r="H17">
        <v>10.91</v>
      </c>
      <c r="I17">
        <v>0</v>
      </c>
    </row>
    <row r="18" spans="1:9">
      <c r="A18">
        <v>26</v>
      </c>
      <c r="B18">
        <v>26</v>
      </c>
      <c r="C18" t="s">
        <v>290</v>
      </c>
      <c r="D18" t="s">
        <v>384</v>
      </c>
      <c r="E18">
        <v>9.6199999999999992</v>
      </c>
      <c r="F18">
        <v>0</v>
      </c>
      <c r="G18" t="s">
        <v>384</v>
      </c>
      <c r="H18">
        <v>9.67</v>
      </c>
      <c r="I18">
        <v>0</v>
      </c>
    </row>
    <row r="19" spans="1:9">
      <c r="A19">
        <v>26</v>
      </c>
      <c r="B19">
        <v>39</v>
      </c>
      <c r="C19" t="s">
        <v>440</v>
      </c>
      <c r="D19" t="s">
        <v>441</v>
      </c>
      <c r="E19">
        <v>8.9</v>
      </c>
      <c r="F19">
        <v>-72</v>
      </c>
      <c r="G19" t="s">
        <v>441</v>
      </c>
      <c r="H19">
        <v>8.99</v>
      </c>
      <c r="I19">
        <v>-68</v>
      </c>
    </row>
    <row r="20" spans="1:9">
      <c r="A20">
        <v>26</v>
      </c>
      <c r="B20">
        <v>52</v>
      </c>
      <c r="C20" t="s">
        <v>438</v>
      </c>
      <c r="D20" t="s">
        <v>439</v>
      </c>
      <c r="E20">
        <v>8.4949999999999992</v>
      </c>
      <c r="F20">
        <v>-112.5</v>
      </c>
      <c r="G20" t="s">
        <v>439</v>
      </c>
      <c r="H20">
        <v>8.6300000000000008</v>
      </c>
      <c r="I20">
        <v>-104</v>
      </c>
    </row>
    <row r="21" spans="1:9">
      <c r="A21">
        <v>26</v>
      </c>
      <c r="B21">
        <v>65</v>
      </c>
      <c r="C21" t="s">
        <v>437</v>
      </c>
      <c r="D21" t="s">
        <v>870</v>
      </c>
      <c r="E21">
        <v>8.2750000000000004</v>
      </c>
      <c r="F21">
        <v>-134.5</v>
      </c>
      <c r="G21" t="s">
        <v>870</v>
      </c>
      <c r="H21">
        <v>8.44</v>
      </c>
      <c r="I21">
        <v>-123</v>
      </c>
    </row>
    <row r="22" spans="1:9">
      <c r="A22">
        <v>65</v>
      </c>
      <c r="B22">
        <v>26</v>
      </c>
      <c r="C22" t="s">
        <v>442</v>
      </c>
      <c r="D22" t="s">
        <v>871</v>
      </c>
      <c r="E22">
        <v>9.58</v>
      </c>
      <c r="F22">
        <v>123</v>
      </c>
      <c r="G22" t="s">
        <v>871</v>
      </c>
      <c r="H22">
        <v>9.7349999999999994</v>
      </c>
      <c r="I22">
        <v>134.5</v>
      </c>
    </row>
    <row r="23" spans="1:9">
      <c r="A23">
        <v>65</v>
      </c>
      <c r="B23">
        <v>65</v>
      </c>
      <c r="C23" t="s">
        <v>291</v>
      </c>
      <c r="D23" t="s">
        <v>386</v>
      </c>
      <c r="E23">
        <v>8.35</v>
      </c>
      <c r="F23">
        <v>0</v>
      </c>
      <c r="G23" t="s">
        <v>386</v>
      </c>
      <c r="H23">
        <v>8.39</v>
      </c>
      <c r="I23">
        <v>0</v>
      </c>
    </row>
    <row r="24" spans="1:9">
      <c r="A24">
        <v>65</v>
      </c>
      <c r="B24">
        <v>52</v>
      </c>
      <c r="C24" t="s">
        <v>412</v>
      </c>
      <c r="D24" t="s">
        <v>385</v>
      </c>
      <c r="E24">
        <v>8.5399999999999991</v>
      </c>
      <c r="F24">
        <v>19</v>
      </c>
      <c r="G24" t="s">
        <v>385</v>
      </c>
      <c r="H24">
        <v>8.61</v>
      </c>
      <c r="I24">
        <v>22</v>
      </c>
    </row>
    <row r="25" spans="1:9">
      <c r="A25">
        <v>65</v>
      </c>
      <c r="B25">
        <v>39</v>
      </c>
      <c r="C25" t="s">
        <v>413</v>
      </c>
      <c r="D25" t="s">
        <v>872</v>
      </c>
      <c r="E25">
        <v>8.9</v>
      </c>
      <c r="F25">
        <v>55</v>
      </c>
      <c r="G25" t="s">
        <v>872</v>
      </c>
      <c r="H25">
        <v>9.0150000000000006</v>
      </c>
      <c r="I25">
        <v>62.5</v>
      </c>
    </row>
    <row r="26" spans="1:9">
      <c r="A26">
        <v>91</v>
      </c>
      <c r="B26">
        <v>91</v>
      </c>
      <c r="C26" t="s">
        <v>443</v>
      </c>
      <c r="D26" t="s">
        <v>490</v>
      </c>
      <c r="E26">
        <v>8.56</v>
      </c>
      <c r="F26">
        <v>0</v>
      </c>
      <c r="G26" t="s">
        <v>490</v>
      </c>
      <c r="H26">
        <v>8.84</v>
      </c>
      <c r="I26">
        <v>0</v>
      </c>
    </row>
    <row r="27" spans="1:9">
      <c r="A27">
        <v>130</v>
      </c>
      <c r="B27">
        <v>130</v>
      </c>
      <c r="C27" t="s">
        <v>292</v>
      </c>
      <c r="D27" t="s">
        <v>387</v>
      </c>
      <c r="E27">
        <v>8.1300000000000008</v>
      </c>
      <c r="F27">
        <v>0</v>
      </c>
      <c r="G27" t="s">
        <v>387</v>
      </c>
      <c r="H27">
        <v>8.18</v>
      </c>
      <c r="I27">
        <v>0</v>
      </c>
    </row>
    <row r="28" spans="1:9">
      <c r="A28">
        <v>156</v>
      </c>
      <c r="B28">
        <v>156</v>
      </c>
      <c r="C28" t="s">
        <v>486</v>
      </c>
    </row>
    <row r="29" spans="1:9">
      <c r="A29">
        <v>195</v>
      </c>
      <c r="B29">
        <v>195</v>
      </c>
      <c r="C29" t="s">
        <v>474</v>
      </c>
    </row>
    <row r="30" spans="1:9">
      <c r="A30">
        <v>260</v>
      </c>
      <c r="B30">
        <v>260</v>
      </c>
      <c r="C30" t="s">
        <v>873</v>
      </c>
    </row>
    <row r="31" spans="1:9">
      <c r="A31">
        <v>390</v>
      </c>
      <c r="B31">
        <v>390</v>
      </c>
      <c r="C31" t="s">
        <v>874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71F66FC139EAA4B90D42546DD3CC3C6" ma:contentTypeVersion="10" ma:contentTypeDescription="Crear nuevo documento." ma:contentTypeScope="" ma:versionID="81eb314a464a37b10a6508ab3aa816cd">
  <xsd:schema xmlns:xsd="http://www.w3.org/2001/XMLSchema" xmlns:xs="http://www.w3.org/2001/XMLSchema" xmlns:p="http://schemas.microsoft.com/office/2006/metadata/properties" xmlns:ns3="96b4323a-75d9-4082-aaa8-7297e8f53113" xmlns:ns4="a923400d-9fb6-4ac5-a03e-372b683b05a4" targetNamespace="http://schemas.microsoft.com/office/2006/metadata/properties" ma:root="true" ma:fieldsID="03c019467dcf64acc7db7e7ad6b36210" ns3:_="" ns4:_="">
    <xsd:import namespace="96b4323a-75d9-4082-aaa8-7297e8f53113"/>
    <xsd:import namespace="a923400d-9fb6-4ac5-a03e-372b683b05a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b4323a-75d9-4082-aaa8-7297e8f531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23400d-9fb6-4ac5-a03e-372b683b05a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448B11D0-FCC8-42C1-9E5D-0C4893091029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a923400d-9fb6-4ac5-a03e-372b683b05a4"/>
    <ds:schemaRef ds:uri="http://schemas.microsoft.com/office/2006/metadata/properties"/>
    <ds:schemaRef ds:uri="96b4323a-75d9-4082-aaa8-7297e8f5311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FA0FB42-0087-0E4C-B45A-3591712DE1B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A773DD-D8B1-4B08-ADB8-6FABB91803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b4323a-75d9-4082-aaa8-7297e8f53113"/>
    <ds:schemaRef ds:uri="a923400d-9fb6-4ac5-a03e-372b683b05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1DAFC51-48C8-4343-911A-4661B831F76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7</vt:i4>
      </vt:variant>
    </vt:vector>
  </HeadingPairs>
  <TitlesOfParts>
    <vt:vector size="19" baseType="lpstr">
      <vt:lpstr>BEST</vt:lpstr>
      <vt:lpstr>ENMX</vt:lpstr>
      <vt:lpstr>RTMX</vt:lpstr>
      <vt:lpstr>SIFM</vt:lpstr>
      <vt:lpstr>TMEX6</vt:lpstr>
      <vt:lpstr>GFIM</vt:lpstr>
      <vt:lpstr>MEI</vt:lpstr>
      <vt:lpstr>VAR</vt:lpstr>
      <vt:lpstr>SIPO</vt:lpstr>
      <vt:lpstr>Spreads</vt:lpstr>
      <vt:lpstr>Flies</vt:lpstr>
      <vt:lpstr>Paths</vt:lpstr>
      <vt:lpstr>enmx_p2</vt:lpstr>
      <vt:lpstr>RTMX_d</vt:lpstr>
      <vt:lpstr>RTMX_TIIE_SPREADS</vt:lpstr>
      <vt:lpstr>SIFM_CETES</vt:lpstr>
      <vt:lpstr>SIFM_TIIE_SPREADS</vt:lpstr>
      <vt:lpstr>TMEX_CETES</vt:lpstr>
      <vt:lpstr>TMEX_TIIE_SPREADS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2014-04-15T09:57:47Z</dcterms:created>
  <dcterms:modified xsi:type="dcterms:W3CDTF">2023-11-22T18:37:40Z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0x010100071F66FC139EAA4B90D42546DD3CC3C6</vt:lpwstr>
  </property>
</Properties>
</file>