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old\Documents\arnold\squad\sample_api_stats\"/>
    </mc:Choice>
  </mc:AlternateContent>
  <bookViews>
    <workbookView xWindow="0" yWindow="0" windowWidth="17205" windowHeight="13065"/>
  </bookViews>
  <sheets>
    <sheet name="rawData" sheetId="1" r:id="rId1"/>
    <sheet name="percent" sheetId="6" r:id="rId2"/>
  </sheets>
  <calcPr calcId="152511"/>
</workbook>
</file>

<file path=xl/calcChain.xml><?xml version="1.0" encoding="utf-8"?>
<calcChain xmlns="http://schemas.openxmlformats.org/spreadsheetml/2006/main">
  <c r="E217" i="1" l="1"/>
  <c r="E216" i="1" l="1"/>
  <c r="E215" i="1"/>
  <c r="E214" i="1"/>
  <c r="E213" i="1"/>
  <c r="E210" i="1"/>
  <c r="E209" i="1" l="1"/>
  <c r="E208" i="1"/>
  <c r="E207" i="1"/>
  <c r="E211" i="1"/>
  <c r="L181" i="1" l="1"/>
  <c r="T181" i="1"/>
  <c r="R181" i="1"/>
  <c r="P181" i="1"/>
  <c r="N181" i="1"/>
  <c r="H181" i="1"/>
  <c r="J181" i="1"/>
  <c r="E181" i="1"/>
  <c r="E193" i="1"/>
  <c r="T193" i="1"/>
  <c r="R193" i="1"/>
  <c r="P193" i="1"/>
  <c r="N193" i="1"/>
  <c r="L193" i="1"/>
  <c r="H193" i="1"/>
  <c r="J193" i="1"/>
  <c r="H183" i="1"/>
  <c r="H217" i="1"/>
  <c r="H216" i="1"/>
  <c r="H215" i="1"/>
  <c r="H214" i="1"/>
  <c r="H213" i="1"/>
  <c r="H212" i="1"/>
  <c r="H211" i="1"/>
  <c r="H210" i="1"/>
  <c r="H209" i="1"/>
  <c r="H208" i="1"/>
  <c r="H207" i="1"/>
  <c r="H205" i="1"/>
  <c r="H204" i="1"/>
  <c r="H203" i="1"/>
  <c r="H202" i="1"/>
  <c r="H201" i="1"/>
  <c r="H200" i="1"/>
  <c r="H199" i="1"/>
  <c r="H198" i="1"/>
  <c r="H197" i="1"/>
  <c r="H196" i="1"/>
  <c r="H195" i="1"/>
  <c r="H192" i="1"/>
  <c r="H191" i="1"/>
  <c r="H190" i="1"/>
  <c r="H189" i="1"/>
  <c r="H188" i="1"/>
  <c r="H187" i="1"/>
  <c r="H186" i="1"/>
  <c r="H185" i="1"/>
  <c r="H184" i="1"/>
  <c r="H180" i="1"/>
  <c r="H179" i="1"/>
  <c r="H178" i="1"/>
  <c r="H177" i="1"/>
  <c r="H176" i="1"/>
  <c r="H175" i="1"/>
  <c r="H174" i="1"/>
  <c r="H173" i="1"/>
  <c r="H172" i="1"/>
  <c r="H171" i="1"/>
  <c r="H169" i="1"/>
  <c r="H168" i="1"/>
  <c r="H167" i="1"/>
  <c r="H166" i="1"/>
  <c r="H165" i="1"/>
  <c r="H164" i="1"/>
  <c r="H163" i="1"/>
  <c r="H162" i="1"/>
  <c r="H161" i="1"/>
  <c r="H160" i="1"/>
  <c r="H158" i="1"/>
  <c r="H157" i="1"/>
  <c r="H156" i="1"/>
  <c r="H155" i="1"/>
  <c r="H154" i="1"/>
  <c r="H153" i="1"/>
  <c r="H152" i="1"/>
  <c r="H151" i="1"/>
  <c r="H150" i="1"/>
  <c r="H149" i="1"/>
  <c r="H147" i="1"/>
  <c r="H146" i="1"/>
  <c r="H145" i="1"/>
  <c r="H144" i="1"/>
  <c r="H143" i="1"/>
  <c r="H142" i="1"/>
  <c r="H141" i="1"/>
  <c r="H140" i="1"/>
  <c r="H139" i="1"/>
  <c r="H138" i="1"/>
  <c r="H136" i="1"/>
  <c r="H135" i="1"/>
  <c r="H134" i="1"/>
  <c r="H133" i="1"/>
  <c r="H132" i="1"/>
  <c r="H131" i="1"/>
  <c r="H130" i="1"/>
  <c r="H129" i="1"/>
  <c r="H128" i="1"/>
  <c r="H127" i="1"/>
  <c r="H125" i="1"/>
  <c r="H124" i="1"/>
  <c r="H123" i="1"/>
  <c r="H122" i="1"/>
  <c r="H121" i="1"/>
  <c r="H120" i="1"/>
  <c r="H119" i="1"/>
  <c r="H118" i="1"/>
  <c r="H117" i="1"/>
  <c r="H116" i="1"/>
  <c r="H114" i="1"/>
  <c r="H113" i="1"/>
  <c r="H112" i="1"/>
  <c r="H111" i="1"/>
  <c r="H110" i="1"/>
  <c r="H109" i="1"/>
  <c r="H108" i="1"/>
  <c r="H107" i="1"/>
  <c r="H106" i="1"/>
  <c r="H105" i="1"/>
  <c r="H103" i="1"/>
  <c r="H102" i="1"/>
  <c r="H101" i="1"/>
  <c r="H100" i="1"/>
  <c r="H99" i="1"/>
  <c r="H97" i="1"/>
  <c r="H96" i="1"/>
  <c r="H95" i="1"/>
  <c r="H94" i="1"/>
  <c r="H93" i="1"/>
  <c r="H91" i="1"/>
  <c r="H90" i="1"/>
  <c r="H89" i="1"/>
  <c r="H88" i="1"/>
  <c r="H87" i="1"/>
  <c r="H85" i="1"/>
  <c r="H84" i="1"/>
  <c r="H83" i="1"/>
  <c r="H82" i="1"/>
  <c r="H81" i="1"/>
  <c r="H79" i="1"/>
  <c r="H78" i="1"/>
  <c r="H77" i="1"/>
  <c r="H76" i="1"/>
  <c r="H75" i="1"/>
  <c r="H73" i="1"/>
  <c r="H72" i="1"/>
  <c r="H71" i="1"/>
  <c r="H70" i="1"/>
  <c r="H69" i="1"/>
  <c r="H67" i="1"/>
  <c r="H66" i="1"/>
  <c r="H65" i="1"/>
  <c r="H64" i="1"/>
  <c r="H63" i="1"/>
  <c r="H61" i="1"/>
  <c r="H60" i="1"/>
  <c r="H59" i="1"/>
  <c r="H58" i="1"/>
  <c r="H57" i="1"/>
  <c r="H55" i="1"/>
  <c r="H54" i="1"/>
  <c r="H53" i="1"/>
  <c r="H52" i="1"/>
  <c r="H51" i="1"/>
  <c r="H49" i="1"/>
  <c r="H48" i="1"/>
  <c r="H47" i="1"/>
  <c r="H46" i="1"/>
  <c r="H45" i="1"/>
  <c r="H43" i="1"/>
  <c r="H42" i="1"/>
  <c r="H41" i="1"/>
  <c r="H40" i="1"/>
  <c r="H39" i="1"/>
  <c r="H37" i="1"/>
  <c r="H36" i="1"/>
  <c r="H35" i="1"/>
  <c r="H34" i="1"/>
  <c r="H33" i="1"/>
  <c r="H31" i="1"/>
  <c r="H30" i="1"/>
  <c r="H29" i="1"/>
  <c r="H28" i="1"/>
  <c r="H27" i="1"/>
  <c r="H25" i="1"/>
  <c r="H24" i="1"/>
  <c r="H23" i="1"/>
  <c r="H22" i="1"/>
  <c r="H21" i="1"/>
  <c r="H19" i="1"/>
  <c r="H18" i="1"/>
  <c r="H17" i="1"/>
  <c r="H16" i="1"/>
  <c r="H15" i="1"/>
  <c r="H13" i="1"/>
  <c r="H12" i="1"/>
  <c r="H11" i="1"/>
  <c r="H10" i="1"/>
  <c r="H9" i="1"/>
  <c r="H7" i="1"/>
  <c r="H6" i="1"/>
  <c r="H5" i="1"/>
  <c r="H4" i="1"/>
  <c r="H3" i="1"/>
  <c r="E202" i="1"/>
  <c r="E203" i="1"/>
  <c r="E204" i="1"/>
  <c r="E205" i="1"/>
  <c r="T217" i="1"/>
  <c r="R217" i="1"/>
  <c r="P217" i="1"/>
  <c r="N217" i="1"/>
  <c r="L217" i="1"/>
  <c r="J217" i="1"/>
  <c r="T205" i="1"/>
  <c r="R205" i="1"/>
  <c r="P205" i="1"/>
  <c r="N205" i="1"/>
  <c r="L205" i="1"/>
  <c r="J205" i="1"/>
  <c r="E201" i="1"/>
  <c r="E200" i="1"/>
  <c r="E198" i="1"/>
  <c r="E197" i="1"/>
  <c r="E196" i="1"/>
  <c r="E195" i="1"/>
  <c r="N195" i="1"/>
  <c r="E199" i="1"/>
  <c r="F205" i="1" l="1"/>
  <c r="E192" i="1"/>
  <c r="E191" i="1"/>
  <c r="E190" i="1"/>
  <c r="E189" i="1"/>
  <c r="E188" i="1"/>
  <c r="E186" i="1"/>
  <c r="E185" i="1"/>
  <c r="E184" i="1"/>
  <c r="F193" i="1" s="1"/>
  <c r="E183" i="1"/>
  <c r="E187" i="1"/>
  <c r="E176" i="1" l="1"/>
  <c r="E177" i="1"/>
  <c r="E178" i="1"/>
  <c r="R178" i="1"/>
  <c r="E179" i="1"/>
  <c r="E180" i="1"/>
  <c r="E174" i="1"/>
  <c r="E173" i="1"/>
  <c r="E172" i="1"/>
  <c r="F181" i="1" s="1"/>
  <c r="E171" i="1"/>
  <c r="E175" i="1"/>
  <c r="E166" i="1" l="1"/>
  <c r="E167" i="1"/>
  <c r="E168" i="1"/>
  <c r="E169" i="1"/>
  <c r="F169" i="1" s="1"/>
  <c r="E163" i="1"/>
  <c r="E162" i="1"/>
  <c r="E161" i="1"/>
  <c r="F166" i="1" s="1"/>
  <c r="F167" i="1"/>
  <c r="E160" i="1"/>
  <c r="F175" i="1"/>
  <c r="J175" i="1"/>
  <c r="L175" i="1"/>
  <c r="N175" i="1"/>
  <c r="P175" i="1"/>
  <c r="R175" i="1"/>
  <c r="T175" i="1"/>
  <c r="T164" i="1"/>
  <c r="R164" i="1"/>
  <c r="P164" i="1"/>
  <c r="N164" i="1"/>
  <c r="L164" i="1"/>
  <c r="J164" i="1"/>
  <c r="E164" i="1"/>
  <c r="F160" i="1" l="1"/>
  <c r="F162" i="1"/>
  <c r="F161" i="1"/>
  <c r="F164" i="1"/>
  <c r="F163" i="1"/>
  <c r="F168" i="1"/>
  <c r="E158" i="1"/>
  <c r="E157" i="1"/>
  <c r="E156" i="1"/>
  <c r="E155" i="1"/>
  <c r="E154" i="1"/>
  <c r="E152" i="1"/>
  <c r="P152" i="1"/>
  <c r="E151" i="1"/>
  <c r="E150" i="1"/>
  <c r="E149" i="1"/>
  <c r="E153" i="1"/>
  <c r="R153" i="1"/>
  <c r="T169" i="1"/>
  <c r="R169" i="1"/>
  <c r="P169" i="1"/>
  <c r="N169" i="1"/>
  <c r="L169" i="1"/>
  <c r="J169" i="1"/>
  <c r="T168" i="1"/>
  <c r="R168" i="1"/>
  <c r="P168" i="1"/>
  <c r="N168" i="1"/>
  <c r="L168" i="1"/>
  <c r="J168" i="1"/>
  <c r="T167" i="1"/>
  <c r="R167" i="1"/>
  <c r="P167" i="1"/>
  <c r="N167" i="1"/>
  <c r="L167" i="1"/>
  <c r="J167" i="1"/>
  <c r="T166" i="1"/>
  <c r="R166" i="1"/>
  <c r="P166" i="1"/>
  <c r="N166" i="1"/>
  <c r="L166" i="1"/>
  <c r="J166" i="1"/>
  <c r="T165" i="1"/>
  <c r="R165" i="1"/>
  <c r="P165" i="1"/>
  <c r="N165" i="1"/>
  <c r="L165" i="1"/>
  <c r="J165" i="1"/>
  <c r="E165" i="1"/>
  <c r="F165" i="1" s="1"/>
  <c r="T163" i="1"/>
  <c r="R163" i="1"/>
  <c r="P163" i="1"/>
  <c r="N163" i="1"/>
  <c r="L163" i="1"/>
  <c r="J163" i="1"/>
  <c r="T162" i="1"/>
  <c r="R162" i="1"/>
  <c r="P162" i="1"/>
  <c r="N162" i="1"/>
  <c r="L162" i="1"/>
  <c r="J162" i="1"/>
  <c r="T161" i="1"/>
  <c r="R161" i="1"/>
  <c r="P161" i="1"/>
  <c r="N161" i="1"/>
  <c r="L161" i="1"/>
  <c r="J161" i="1"/>
  <c r="A161" i="1"/>
  <c r="A162" i="1" s="1"/>
  <c r="A163" i="1" s="1"/>
  <c r="A164" i="1" s="1"/>
  <c r="A165" i="1" s="1"/>
  <c r="A166" i="1" s="1"/>
  <c r="A167" i="1" s="1"/>
  <c r="A168" i="1" s="1"/>
  <c r="A169" i="1" s="1"/>
  <c r="T160" i="1"/>
  <c r="R160" i="1"/>
  <c r="P160" i="1"/>
  <c r="N160" i="1"/>
  <c r="L160" i="1"/>
  <c r="J160" i="1"/>
  <c r="T147" i="1"/>
  <c r="R147" i="1"/>
  <c r="P147" i="1"/>
  <c r="N147" i="1"/>
  <c r="L147" i="1"/>
  <c r="J147" i="1"/>
  <c r="E147" i="1"/>
  <c r="F147" i="1" s="1"/>
  <c r="T146" i="1"/>
  <c r="R146" i="1"/>
  <c r="P146" i="1"/>
  <c r="N146" i="1"/>
  <c r="L146" i="1"/>
  <c r="J146" i="1"/>
  <c r="E146" i="1"/>
  <c r="F146" i="1" s="1"/>
  <c r="T145" i="1"/>
  <c r="R145" i="1"/>
  <c r="P145" i="1"/>
  <c r="N145" i="1"/>
  <c r="L145" i="1"/>
  <c r="J145" i="1"/>
  <c r="E145" i="1"/>
  <c r="F145" i="1" s="1"/>
  <c r="T144" i="1"/>
  <c r="R144" i="1"/>
  <c r="P144" i="1"/>
  <c r="N144" i="1"/>
  <c r="L144" i="1"/>
  <c r="J144" i="1"/>
  <c r="E144" i="1"/>
  <c r="T143" i="1"/>
  <c r="R143" i="1"/>
  <c r="P143" i="1"/>
  <c r="N143" i="1"/>
  <c r="L143" i="1"/>
  <c r="J143" i="1"/>
  <c r="E143" i="1"/>
  <c r="T142" i="1"/>
  <c r="R142" i="1"/>
  <c r="P142" i="1"/>
  <c r="N142" i="1"/>
  <c r="L142" i="1"/>
  <c r="J142" i="1"/>
  <c r="E142" i="1"/>
  <c r="T141" i="1"/>
  <c r="R141" i="1"/>
  <c r="P141" i="1"/>
  <c r="N141" i="1"/>
  <c r="L141" i="1"/>
  <c r="J141" i="1"/>
  <c r="E141" i="1"/>
  <c r="T140" i="1"/>
  <c r="R140" i="1"/>
  <c r="P140" i="1"/>
  <c r="N140" i="1"/>
  <c r="L140" i="1"/>
  <c r="J140" i="1"/>
  <c r="E140" i="1"/>
  <c r="T139" i="1"/>
  <c r="R139" i="1"/>
  <c r="P139" i="1"/>
  <c r="N139" i="1"/>
  <c r="L139" i="1"/>
  <c r="J139" i="1"/>
  <c r="E139" i="1"/>
  <c r="F139" i="1" s="1"/>
  <c r="A139" i="1"/>
  <c r="A140" i="1" s="1"/>
  <c r="A141" i="1" s="1"/>
  <c r="A142" i="1" s="1"/>
  <c r="A143" i="1" s="1"/>
  <c r="A144" i="1" s="1"/>
  <c r="A145" i="1" s="1"/>
  <c r="A146" i="1" s="1"/>
  <c r="A147" i="1" s="1"/>
  <c r="T138" i="1"/>
  <c r="R138" i="1"/>
  <c r="P138" i="1"/>
  <c r="N138" i="1"/>
  <c r="L138" i="1"/>
  <c r="J138" i="1"/>
  <c r="E138" i="1"/>
  <c r="F144" i="1" l="1"/>
  <c r="F138" i="1"/>
  <c r="F141" i="1"/>
  <c r="F142" i="1"/>
  <c r="F143" i="1"/>
  <c r="F140" i="1"/>
  <c r="F204" i="1"/>
  <c r="F203" i="1"/>
  <c r="F202" i="1"/>
  <c r="F201" i="1"/>
  <c r="F200" i="1"/>
  <c r="F199" i="1"/>
  <c r="F198" i="1"/>
  <c r="F197" i="1"/>
  <c r="F195" i="1"/>
  <c r="F196" i="1"/>
  <c r="F192" i="1"/>
  <c r="F191" i="1"/>
  <c r="F190" i="1"/>
  <c r="F189" i="1"/>
  <c r="F188" i="1"/>
  <c r="F187" i="1"/>
  <c r="F186" i="1"/>
  <c r="F185" i="1"/>
  <c r="F183" i="1"/>
  <c r="F184" i="1"/>
  <c r="F180" i="1"/>
  <c r="F179" i="1"/>
  <c r="F178" i="1"/>
  <c r="F177" i="1"/>
  <c r="F176" i="1"/>
  <c r="F174" i="1"/>
  <c r="F173" i="1"/>
  <c r="F171" i="1"/>
  <c r="F172" i="1"/>
  <c r="F158" i="1"/>
  <c r="F157" i="1"/>
  <c r="F156" i="1"/>
  <c r="F155" i="1"/>
  <c r="F154" i="1"/>
  <c r="F153" i="1"/>
  <c r="F152" i="1"/>
  <c r="F151" i="1"/>
  <c r="F149" i="1"/>
  <c r="F150" i="1"/>
  <c r="E134" i="1"/>
  <c r="E135" i="1"/>
  <c r="E136" i="1"/>
  <c r="F136" i="1" s="1"/>
  <c r="E130" i="1"/>
  <c r="E129" i="1"/>
  <c r="E128" i="1"/>
  <c r="F128" i="1" s="1"/>
  <c r="P128" i="1"/>
  <c r="R128" i="1"/>
  <c r="E127" i="1"/>
  <c r="E131" i="1"/>
  <c r="F131" i="1" s="1"/>
  <c r="T216" i="1"/>
  <c r="R216" i="1"/>
  <c r="P216" i="1"/>
  <c r="N216" i="1"/>
  <c r="L216" i="1"/>
  <c r="J216" i="1"/>
  <c r="F216" i="1"/>
  <c r="T215" i="1"/>
  <c r="R215" i="1"/>
  <c r="P215" i="1"/>
  <c r="N215" i="1"/>
  <c r="L215" i="1"/>
  <c r="J215" i="1"/>
  <c r="T214" i="1"/>
  <c r="R214" i="1"/>
  <c r="P214" i="1"/>
  <c r="N214" i="1"/>
  <c r="L214" i="1"/>
  <c r="J214" i="1"/>
  <c r="F214" i="1"/>
  <c r="T213" i="1"/>
  <c r="R213" i="1"/>
  <c r="P213" i="1"/>
  <c r="N213" i="1"/>
  <c r="L213" i="1"/>
  <c r="J213" i="1"/>
  <c r="F213" i="1"/>
  <c r="T212" i="1"/>
  <c r="R212" i="1"/>
  <c r="P212" i="1"/>
  <c r="N212" i="1"/>
  <c r="L212" i="1"/>
  <c r="J212" i="1"/>
  <c r="E212" i="1"/>
  <c r="F212" i="1" s="1"/>
  <c r="T211" i="1"/>
  <c r="R211" i="1"/>
  <c r="P211" i="1"/>
  <c r="N211" i="1"/>
  <c r="L211" i="1"/>
  <c r="J211" i="1"/>
  <c r="T210" i="1"/>
  <c r="R210" i="1"/>
  <c r="P210" i="1"/>
  <c r="N210" i="1"/>
  <c r="L210" i="1"/>
  <c r="J210" i="1"/>
  <c r="F210" i="1"/>
  <c r="T209" i="1"/>
  <c r="R209" i="1"/>
  <c r="P209" i="1"/>
  <c r="N209" i="1"/>
  <c r="L209" i="1"/>
  <c r="J209" i="1"/>
  <c r="F209" i="1"/>
  <c r="T208" i="1"/>
  <c r="R208" i="1"/>
  <c r="P208" i="1"/>
  <c r="N208" i="1"/>
  <c r="L208" i="1"/>
  <c r="J208" i="1"/>
  <c r="F217" i="1"/>
  <c r="A208" i="1"/>
  <c r="A209" i="1" s="1"/>
  <c r="A210" i="1" s="1"/>
  <c r="A211" i="1" s="1"/>
  <c r="A212" i="1" s="1"/>
  <c r="A213" i="1" s="1"/>
  <c r="A214" i="1" s="1"/>
  <c r="A215" i="1" s="1"/>
  <c r="A216" i="1" s="1"/>
  <c r="T207" i="1"/>
  <c r="R207" i="1"/>
  <c r="P207" i="1"/>
  <c r="N207" i="1"/>
  <c r="L207" i="1"/>
  <c r="J207" i="1"/>
  <c r="F207" i="1"/>
  <c r="T204" i="1"/>
  <c r="R204" i="1"/>
  <c r="P204" i="1"/>
  <c r="N204" i="1"/>
  <c r="L204" i="1"/>
  <c r="J204" i="1"/>
  <c r="T203" i="1"/>
  <c r="R203" i="1"/>
  <c r="P203" i="1"/>
  <c r="N203" i="1"/>
  <c r="L203" i="1"/>
  <c r="J203" i="1"/>
  <c r="T202" i="1"/>
  <c r="R202" i="1"/>
  <c r="P202" i="1"/>
  <c r="N202" i="1"/>
  <c r="L202" i="1"/>
  <c r="J202" i="1"/>
  <c r="T201" i="1"/>
  <c r="R201" i="1"/>
  <c r="P201" i="1"/>
  <c r="N201" i="1"/>
  <c r="L201" i="1"/>
  <c r="J201" i="1"/>
  <c r="T200" i="1"/>
  <c r="R200" i="1"/>
  <c r="P200" i="1"/>
  <c r="N200" i="1"/>
  <c r="L200" i="1"/>
  <c r="J200" i="1"/>
  <c r="T199" i="1"/>
  <c r="R199" i="1"/>
  <c r="P199" i="1"/>
  <c r="N199" i="1"/>
  <c r="L199" i="1"/>
  <c r="J199" i="1"/>
  <c r="T198" i="1"/>
  <c r="R198" i="1"/>
  <c r="P198" i="1"/>
  <c r="N198" i="1"/>
  <c r="L198" i="1"/>
  <c r="J198" i="1"/>
  <c r="T197" i="1"/>
  <c r="R197" i="1"/>
  <c r="P197" i="1"/>
  <c r="N197" i="1"/>
  <c r="L197" i="1"/>
  <c r="J197" i="1"/>
  <c r="T196" i="1"/>
  <c r="R196" i="1"/>
  <c r="P196" i="1"/>
  <c r="N196" i="1"/>
  <c r="L196" i="1"/>
  <c r="J196" i="1"/>
  <c r="A196" i="1"/>
  <c r="A197" i="1" s="1"/>
  <c r="A198" i="1" s="1"/>
  <c r="A199" i="1" s="1"/>
  <c r="A200" i="1" s="1"/>
  <c r="A201" i="1" s="1"/>
  <c r="A202" i="1" s="1"/>
  <c r="A203" i="1" s="1"/>
  <c r="A204" i="1" s="1"/>
  <c r="T195" i="1"/>
  <c r="R195" i="1"/>
  <c r="P195" i="1"/>
  <c r="L195" i="1"/>
  <c r="J195" i="1"/>
  <c r="T192" i="1"/>
  <c r="R192" i="1"/>
  <c r="P192" i="1"/>
  <c r="N192" i="1"/>
  <c r="L192" i="1"/>
  <c r="J192" i="1"/>
  <c r="T191" i="1"/>
  <c r="R191" i="1"/>
  <c r="P191" i="1"/>
  <c r="N191" i="1"/>
  <c r="L191" i="1"/>
  <c r="J191" i="1"/>
  <c r="T190" i="1"/>
  <c r="R190" i="1"/>
  <c r="P190" i="1"/>
  <c r="N190" i="1"/>
  <c r="L190" i="1"/>
  <c r="J190" i="1"/>
  <c r="T189" i="1"/>
  <c r="R189" i="1"/>
  <c r="P189" i="1"/>
  <c r="N189" i="1"/>
  <c r="L189" i="1"/>
  <c r="J189" i="1"/>
  <c r="T188" i="1"/>
  <c r="R188" i="1"/>
  <c r="P188" i="1"/>
  <c r="N188" i="1"/>
  <c r="L188" i="1"/>
  <c r="J188" i="1"/>
  <c r="T187" i="1"/>
  <c r="R187" i="1"/>
  <c r="P187" i="1"/>
  <c r="N187" i="1"/>
  <c r="L187" i="1"/>
  <c r="J187" i="1"/>
  <c r="T186" i="1"/>
  <c r="R186" i="1"/>
  <c r="P186" i="1"/>
  <c r="N186" i="1"/>
  <c r="L186" i="1"/>
  <c r="J186" i="1"/>
  <c r="T185" i="1"/>
  <c r="R185" i="1"/>
  <c r="P185" i="1"/>
  <c r="N185" i="1"/>
  <c r="L185" i="1"/>
  <c r="J185" i="1"/>
  <c r="T184" i="1"/>
  <c r="R184" i="1"/>
  <c r="P184" i="1"/>
  <c r="N184" i="1"/>
  <c r="L184" i="1"/>
  <c r="J184" i="1"/>
  <c r="A184" i="1"/>
  <c r="A185" i="1" s="1"/>
  <c r="A186" i="1" s="1"/>
  <c r="A187" i="1" s="1"/>
  <c r="A188" i="1" s="1"/>
  <c r="A189" i="1" s="1"/>
  <c r="A190" i="1" s="1"/>
  <c r="A191" i="1" s="1"/>
  <c r="A192" i="1" s="1"/>
  <c r="T183" i="1"/>
  <c r="R183" i="1"/>
  <c r="P183" i="1"/>
  <c r="N183" i="1"/>
  <c r="L183" i="1"/>
  <c r="J183" i="1"/>
  <c r="T180" i="1"/>
  <c r="R180" i="1"/>
  <c r="P180" i="1"/>
  <c r="N180" i="1"/>
  <c r="L180" i="1"/>
  <c r="J180" i="1"/>
  <c r="T179" i="1"/>
  <c r="R179" i="1"/>
  <c r="P179" i="1"/>
  <c r="N179" i="1"/>
  <c r="L179" i="1"/>
  <c r="J179" i="1"/>
  <c r="T178" i="1"/>
  <c r="P178" i="1"/>
  <c r="N178" i="1"/>
  <c r="L178" i="1"/>
  <c r="J178" i="1"/>
  <c r="T177" i="1"/>
  <c r="R177" i="1"/>
  <c r="P177" i="1"/>
  <c r="N177" i="1"/>
  <c r="L177" i="1"/>
  <c r="J177" i="1"/>
  <c r="T176" i="1"/>
  <c r="R176" i="1"/>
  <c r="P176" i="1"/>
  <c r="N176" i="1"/>
  <c r="L176" i="1"/>
  <c r="J176" i="1"/>
  <c r="T174" i="1"/>
  <c r="R174" i="1"/>
  <c r="P174" i="1"/>
  <c r="N174" i="1"/>
  <c r="L174" i="1"/>
  <c r="J174" i="1"/>
  <c r="T173" i="1"/>
  <c r="R173" i="1"/>
  <c r="P173" i="1"/>
  <c r="N173" i="1"/>
  <c r="L173" i="1"/>
  <c r="J173" i="1"/>
  <c r="T172" i="1"/>
  <c r="R172" i="1"/>
  <c r="P172" i="1"/>
  <c r="N172" i="1"/>
  <c r="L172" i="1"/>
  <c r="J172" i="1"/>
  <c r="A172" i="1"/>
  <c r="A173" i="1" s="1"/>
  <c r="A174" i="1" s="1"/>
  <c r="A175" i="1" s="1"/>
  <c r="A176" i="1" s="1"/>
  <c r="A177" i="1" s="1"/>
  <c r="A178" i="1" s="1"/>
  <c r="A179" i="1" s="1"/>
  <c r="A180" i="1" s="1"/>
  <c r="T171" i="1"/>
  <c r="R171" i="1"/>
  <c r="P171" i="1"/>
  <c r="N171" i="1"/>
  <c r="L171" i="1"/>
  <c r="J171" i="1"/>
  <c r="T158" i="1"/>
  <c r="R158" i="1"/>
  <c r="P158" i="1"/>
  <c r="N158" i="1"/>
  <c r="L158" i="1"/>
  <c r="J158" i="1"/>
  <c r="T157" i="1"/>
  <c r="R157" i="1"/>
  <c r="P157" i="1"/>
  <c r="N157" i="1"/>
  <c r="L157" i="1"/>
  <c r="J157" i="1"/>
  <c r="T156" i="1"/>
  <c r="R156" i="1"/>
  <c r="P156" i="1"/>
  <c r="N156" i="1"/>
  <c r="L156" i="1"/>
  <c r="J156" i="1"/>
  <c r="T155" i="1"/>
  <c r="R155" i="1"/>
  <c r="P155" i="1"/>
  <c r="N155" i="1"/>
  <c r="L155" i="1"/>
  <c r="J155" i="1"/>
  <c r="T154" i="1"/>
  <c r="R154" i="1"/>
  <c r="P154" i="1"/>
  <c r="N154" i="1"/>
  <c r="L154" i="1"/>
  <c r="J154" i="1"/>
  <c r="T153" i="1"/>
  <c r="N153" i="1"/>
  <c r="L153" i="1"/>
  <c r="J153" i="1"/>
  <c r="T152" i="1"/>
  <c r="R152" i="1"/>
  <c r="N152" i="1"/>
  <c r="L152" i="1"/>
  <c r="J152" i="1"/>
  <c r="T151" i="1"/>
  <c r="R151" i="1"/>
  <c r="P151" i="1"/>
  <c r="N151" i="1"/>
  <c r="L151" i="1"/>
  <c r="J151" i="1"/>
  <c r="T150" i="1"/>
  <c r="R150" i="1"/>
  <c r="P150" i="1"/>
  <c r="N150" i="1"/>
  <c r="L150" i="1"/>
  <c r="J150" i="1"/>
  <c r="A150" i="1"/>
  <c r="A151" i="1" s="1"/>
  <c r="A152" i="1" s="1"/>
  <c r="A153" i="1" s="1"/>
  <c r="A154" i="1" s="1"/>
  <c r="A155" i="1" s="1"/>
  <c r="A156" i="1" s="1"/>
  <c r="A157" i="1" s="1"/>
  <c r="A158" i="1" s="1"/>
  <c r="T149" i="1"/>
  <c r="R149" i="1"/>
  <c r="P149" i="1"/>
  <c r="N149" i="1"/>
  <c r="L149" i="1"/>
  <c r="J149" i="1"/>
  <c r="F135" i="1"/>
  <c r="F134" i="1"/>
  <c r="E133" i="1"/>
  <c r="F130" i="1"/>
  <c r="F129" i="1"/>
  <c r="T136" i="1"/>
  <c r="R136" i="1"/>
  <c r="P136" i="1"/>
  <c r="N136" i="1"/>
  <c r="L136" i="1"/>
  <c r="J136" i="1"/>
  <c r="T135" i="1"/>
  <c r="R135" i="1"/>
  <c r="P135" i="1"/>
  <c r="N135" i="1"/>
  <c r="L135" i="1"/>
  <c r="J135" i="1"/>
  <c r="T134" i="1"/>
  <c r="R134" i="1"/>
  <c r="P134" i="1"/>
  <c r="N134" i="1"/>
  <c r="L134" i="1"/>
  <c r="J134" i="1"/>
  <c r="T133" i="1"/>
  <c r="R133" i="1"/>
  <c r="P133" i="1"/>
  <c r="N133" i="1"/>
  <c r="L133" i="1"/>
  <c r="J133" i="1"/>
  <c r="T132" i="1"/>
  <c r="R132" i="1"/>
  <c r="P132" i="1"/>
  <c r="N132" i="1"/>
  <c r="L132" i="1"/>
  <c r="J132" i="1"/>
  <c r="E132" i="1"/>
  <c r="F132" i="1" s="1"/>
  <c r="T131" i="1"/>
  <c r="R131" i="1"/>
  <c r="P131" i="1"/>
  <c r="N131" i="1"/>
  <c r="L131" i="1"/>
  <c r="J131" i="1"/>
  <c r="T130" i="1"/>
  <c r="R130" i="1"/>
  <c r="P130" i="1"/>
  <c r="N130" i="1"/>
  <c r="L130" i="1"/>
  <c r="J130" i="1"/>
  <c r="T129" i="1"/>
  <c r="R129" i="1"/>
  <c r="P129" i="1"/>
  <c r="N129" i="1"/>
  <c r="L129" i="1"/>
  <c r="J129" i="1"/>
  <c r="T128" i="1"/>
  <c r="N128" i="1"/>
  <c r="L128" i="1"/>
  <c r="J128" i="1"/>
  <c r="A128" i="1"/>
  <c r="A129" i="1" s="1"/>
  <c r="A130" i="1" s="1"/>
  <c r="A131" i="1" s="1"/>
  <c r="A132" i="1" s="1"/>
  <c r="A133" i="1" s="1"/>
  <c r="A134" i="1" s="1"/>
  <c r="A135" i="1" s="1"/>
  <c r="A136" i="1" s="1"/>
  <c r="T127" i="1"/>
  <c r="R127" i="1"/>
  <c r="P127" i="1"/>
  <c r="N127" i="1"/>
  <c r="L127" i="1"/>
  <c r="J127" i="1"/>
  <c r="F127" i="1" l="1"/>
  <c r="F133" i="1"/>
  <c r="F208" i="1"/>
  <c r="F211" i="1"/>
  <c r="F215" i="1"/>
  <c r="E123" i="1"/>
  <c r="E119" i="1"/>
  <c r="E118" i="1"/>
  <c r="E117" i="1"/>
  <c r="E116" i="1"/>
  <c r="E120" i="1"/>
  <c r="T153" i="6" l="1"/>
  <c r="T128" i="6"/>
  <c r="T102" i="6"/>
  <c r="T77" i="6"/>
  <c r="T51" i="6"/>
  <c r="T25" i="6"/>
  <c r="E114" i="1" l="1"/>
  <c r="P114" i="1"/>
  <c r="E112" i="1"/>
  <c r="E113" i="1"/>
  <c r="E111" i="1"/>
  <c r="E110" i="1"/>
  <c r="R121" i="1"/>
  <c r="R122" i="1"/>
  <c r="R123" i="1"/>
  <c r="R124" i="1"/>
  <c r="R125" i="1"/>
  <c r="E121" i="1"/>
  <c r="F121" i="1" s="1"/>
  <c r="E122" i="1"/>
  <c r="F122" i="1" s="1"/>
  <c r="E124" i="1"/>
  <c r="F124" i="1" s="1"/>
  <c r="E125" i="1"/>
  <c r="F125" i="1" s="1"/>
  <c r="F123" i="1"/>
  <c r="F120" i="1"/>
  <c r="T7" i="6" s="1"/>
  <c r="F119" i="1"/>
  <c r="T6" i="6" s="1"/>
  <c r="F118" i="1"/>
  <c r="T5" i="6" s="1"/>
  <c r="F116" i="1"/>
  <c r="T3" i="6" s="1"/>
  <c r="F117" i="1"/>
  <c r="T4" i="6" s="1"/>
  <c r="J111" i="1"/>
  <c r="L111" i="1"/>
  <c r="N111" i="1"/>
  <c r="P111" i="1"/>
  <c r="R111" i="1"/>
  <c r="T111" i="1"/>
  <c r="J112" i="1"/>
  <c r="L112" i="1"/>
  <c r="N112" i="1"/>
  <c r="P112" i="1"/>
  <c r="R112" i="1"/>
  <c r="T112" i="1"/>
  <c r="J113" i="1"/>
  <c r="L113" i="1"/>
  <c r="N113" i="1"/>
  <c r="P113" i="1"/>
  <c r="R113" i="1"/>
  <c r="T113" i="1"/>
  <c r="J114" i="1"/>
  <c r="L114" i="1"/>
  <c r="N114" i="1"/>
  <c r="R114" i="1"/>
  <c r="T114" i="1"/>
  <c r="T110" i="1"/>
  <c r="R110" i="1"/>
  <c r="P110" i="1"/>
  <c r="N110" i="1"/>
  <c r="L110" i="1"/>
  <c r="J110" i="1"/>
  <c r="T125" i="1"/>
  <c r="P125" i="1"/>
  <c r="N125" i="1"/>
  <c r="L125" i="1"/>
  <c r="J125" i="1"/>
  <c r="T124" i="1"/>
  <c r="P124" i="1"/>
  <c r="N124" i="1"/>
  <c r="L124" i="1"/>
  <c r="J124" i="1"/>
  <c r="T123" i="1"/>
  <c r="P123" i="1"/>
  <c r="N123" i="1"/>
  <c r="L123" i="1"/>
  <c r="J123" i="1"/>
  <c r="T122" i="1"/>
  <c r="P122" i="1"/>
  <c r="N122" i="1"/>
  <c r="L122" i="1"/>
  <c r="J122" i="1"/>
  <c r="T121" i="1"/>
  <c r="P121" i="1"/>
  <c r="N121" i="1"/>
  <c r="L121" i="1"/>
  <c r="J121" i="1"/>
  <c r="E108" i="1"/>
  <c r="E107" i="1"/>
  <c r="E106" i="1"/>
  <c r="F111" i="1" s="1"/>
  <c r="E105" i="1"/>
  <c r="E109" i="1"/>
  <c r="T120" i="1"/>
  <c r="T161" i="6" s="1"/>
  <c r="R120" i="1"/>
  <c r="T136" i="6" s="1"/>
  <c r="P120" i="1"/>
  <c r="T110" i="6" s="1"/>
  <c r="N120" i="1"/>
  <c r="T85" i="6" s="1"/>
  <c r="L120" i="1"/>
  <c r="T59" i="6" s="1"/>
  <c r="J120" i="1"/>
  <c r="T33" i="6" s="1"/>
  <c r="T119" i="1"/>
  <c r="T160" i="6" s="1"/>
  <c r="R119" i="1"/>
  <c r="T135" i="6" s="1"/>
  <c r="P119" i="1"/>
  <c r="T109" i="6" s="1"/>
  <c r="N119" i="1"/>
  <c r="T84" i="6" s="1"/>
  <c r="L119" i="1"/>
  <c r="T58" i="6" s="1"/>
  <c r="J119" i="1"/>
  <c r="T32" i="6" s="1"/>
  <c r="T118" i="1"/>
  <c r="T159" i="6" s="1"/>
  <c r="R118" i="1"/>
  <c r="T134" i="6" s="1"/>
  <c r="P118" i="1"/>
  <c r="T108" i="6" s="1"/>
  <c r="N118" i="1"/>
  <c r="T83" i="6" s="1"/>
  <c r="L118" i="1"/>
  <c r="T57" i="6" s="1"/>
  <c r="J118" i="1"/>
  <c r="T31" i="6" s="1"/>
  <c r="T117" i="1"/>
  <c r="T158" i="6" s="1"/>
  <c r="R117" i="1"/>
  <c r="T133" i="6" s="1"/>
  <c r="P117" i="1"/>
  <c r="T107" i="6" s="1"/>
  <c r="N117" i="1"/>
  <c r="T82" i="6" s="1"/>
  <c r="L117" i="1"/>
  <c r="T56" i="6" s="1"/>
  <c r="J117" i="1"/>
  <c r="T30" i="6" s="1"/>
  <c r="A117" i="1"/>
  <c r="A118" i="1" s="1"/>
  <c r="A119" i="1" s="1"/>
  <c r="A120" i="1" s="1"/>
  <c r="A121" i="1" s="1"/>
  <c r="A122" i="1" s="1"/>
  <c r="A123" i="1" s="1"/>
  <c r="A124" i="1" s="1"/>
  <c r="A125" i="1" s="1"/>
  <c r="T116" i="1"/>
  <c r="T157" i="6" s="1"/>
  <c r="R116" i="1"/>
  <c r="T132" i="6" s="1"/>
  <c r="P116" i="1"/>
  <c r="T106" i="6" s="1"/>
  <c r="N116" i="1"/>
  <c r="T81" i="6" s="1"/>
  <c r="L116" i="1"/>
  <c r="T55" i="6" s="1"/>
  <c r="T53" i="6" s="1"/>
  <c r="J116" i="1"/>
  <c r="T29" i="6" s="1"/>
  <c r="F110" i="1" l="1"/>
  <c r="F112" i="1"/>
  <c r="T80" i="6"/>
  <c r="T79" i="6"/>
  <c r="F113" i="1"/>
  <c r="F114" i="1"/>
  <c r="T105" i="6"/>
  <c r="T104" i="6"/>
  <c r="T27" i="6"/>
  <c r="T28" i="6"/>
  <c r="T131" i="6"/>
  <c r="T130" i="6"/>
  <c r="T155" i="6"/>
  <c r="T156" i="6"/>
  <c r="T54" i="6"/>
  <c r="P91" i="1"/>
  <c r="E42" i="1"/>
  <c r="E78" i="1"/>
  <c r="E96" i="1"/>
  <c r="E102" i="1"/>
  <c r="E101" i="1"/>
  <c r="E100" i="1"/>
  <c r="E99" i="1"/>
  <c r="E103" i="1"/>
  <c r="E95" i="1" l="1"/>
  <c r="E94" i="1"/>
  <c r="E93" i="1"/>
  <c r="E97" i="1"/>
  <c r="E90" i="1" l="1"/>
  <c r="E89" i="1"/>
  <c r="E88" i="1"/>
  <c r="E87" i="1"/>
  <c r="E91" i="1"/>
  <c r="E83" i="1" l="1"/>
  <c r="E84" i="1"/>
  <c r="E82" i="1"/>
  <c r="E81" i="1"/>
  <c r="E85" i="1"/>
  <c r="E9" i="1" l="1"/>
  <c r="E3" i="1"/>
  <c r="E77" i="1"/>
  <c r="E76" i="1"/>
  <c r="E75" i="1"/>
  <c r="E79" i="1"/>
  <c r="B25" i="6"/>
  <c r="B51" i="6"/>
  <c r="B102" i="6"/>
  <c r="B153" i="6"/>
  <c r="B128" i="6"/>
  <c r="B77" i="6"/>
  <c r="E72" i="1" l="1"/>
  <c r="E71" i="1"/>
  <c r="E70" i="1"/>
  <c r="E69" i="1"/>
  <c r="E73" i="1"/>
  <c r="E19" i="1"/>
  <c r="A161" i="6" l="1"/>
  <c r="A160" i="6"/>
  <c r="A159" i="6"/>
  <c r="A158" i="6"/>
  <c r="A157" i="6"/>
  <c r="C153" i="6"/>
  <c r="D153" i="6" s="1"/>
  <c r="A136" i="6"/>
  <c r="A110" i="6"/>
  <c r="A85" i="6"/>
  <c r="A59" i="6"/>
  <c r="A33" i="6"/>
  <c r="A7" i="6"/>
  <c r="E66" i="1"/>
  <c r="E65" i="1"/>
  <c r="E64" i="1"/>
  <c r="F66" i="1" s="1"/>
  <c r="E63" i="1"/>
  <c r="F63" i="1" s="1"/>
  <c r="E67" i="1"/>
  <c r="E60" i="1"/>
  <c r="E59" i="1"/>
  <c r="E58" i="1"/>
  <c r="F60" i="1" s="1"/>
  <c r="E57" i="1"/>
  <c r="E61" i="1"/>
  <c r="E54" i="1"/>
  <c r="E53" i="1"/>
  <c r="E52" i="1"/>
  <c r="E51" i="1"/>
  <c r="F51" i="1" s="1"/>
  <c r="L51" i="1"/>
  <c r="E55" i="1"/>
  <c r="F55" i="1" s="1"/>
  <c r="J7" i="6" s="1"/>
  <c r="E48" i="1"/>
  <c r="E46" i="1"/>
  <c r="E45" i="1"/>
  <c r="F45" i="1" s="1"/>
  <c r="E49" i="1"/>
  <c r="E41" i="1"/>
  <c r="E40" i="1"/>
  <c r="F40" i="1" s="1"/>
  <c r="E39" i="1"/>
  <c r="L39" i="1"/>
  <c r="E43" i="1"/>
  <c r="E36" i="1"/>
  <c r="E35" i="1"/>
  <c r="E34" i="1"/>
  <c r="F34" i="1" s="1"/>
  <c r="E33" i="1"/>
  <c r="E37" i="1"/>
  <c r="E30" i="1"/>
  <c r="F30" i="1" s="1"/>
  <c r="E29" i="1"/>
  <c r="E28" i="1"/>
  <c r="E27" i="1"/>
  <c r="F27" i="1" s="1"/>
  <c r="E31" i="1"/>
  <c r="F31" i="1" s="1"/>
  <c r="F7" i="6" s="1"/>
  <c r="P31" i="1"/>
  <c r="F110" i="6" s="1"/>
  <c r="F108" i="1"/>
  <c r="S6" i="6" s="1"/>
  <c r="T109" i="1"/>
  <c r="S161" i="6" s="1"/>
  <c r="R109" i="1"/>
  <c r="S136" i="6" s="1"/>
  <c r="P109" i="1"/>
  <c r="S110" i="6" s="1"/>
  <c r="N109" i="1"/>
  <c r="S85" i="6" s="1"/>
  <c r="L109" i="1"/>
  <c r="S59" i="6" s="1"/>
  <c r="J109" i="1"/>
  <c r="S33" i="6" s="1"/>
  <c r="T108" i="1"/>
  <c r="S160" i="6" s="1"/>
  <c r="R108" i="1"/>
  <c r="S135" i="6" s="1"/>
  <c r="P108" i="1"/>
  <c r="S109" i="6" s="1"/>
  <c r="N108" i="1"/>
  <c r="S84" i="6" s="1"/>
  <c r="L108" i="1"/>
  <c r="S58" i="6" s="1"/>
  <c r="J108" i="1"/>
  <c r="S32" i="6" s="1"/>
  <c r="T107" i="1"/>
  <c r="S159" i="6" s="1"/>
  <c r="R107" i="1"/>
  <c r="S134" i="6" s="1"/>
  <c r="P107" i="1"/>
  <c r="S108" i="6" s="1"/>
  <c r="N107" i="1"/>
  <c r="S83" i="6" s="1"/>
  <c r="L107" i="1"/>
  <c r="S57" i="6" s="1"/>
  <c r="J107" i="1"/>
  <c r="S31" i="6" s="1"/>
  <c r="F107" i="1"/>
  <c r="S5" i="6" s="1"/>
  <c r="T106" i="1"/>
  <c r="S158" i="6" s="1"/>
  <c r="R106" i="1"/>
  <c r="S133" i="6" s="1"/>
  <c r="P106" i="1"/>
  <c r="S107" i="6" s="1"/>
  <c r="N106" i="1"/>
  <c r="S82" i="6" s="1"/>
  <c r="L106" i="1"/>
  <c r="S56" i="6" s="1"/>
  <c r="J106" i="1"/>
  <c r="S30" i="6" s="1"/>
  <c r="A106" i="1"/>
  <c r="A107" i="1" s="1"/>
  <c r="A108" i="1" s="1"/>
  <c r="A109" i="1" s="1"/>
  <c r="A110" i="1" s="1"/>
  <c r="A111" i="1" s="1"/>
  <c r="A112" i="1" s="1"/>
  <c r="A113" i="1" s="1"/>
  <c r="A114" i="1" s="1"/>
  <c r="T105" i="1"/>
  <c r="S157" i="6" s="1"/>
  <c r="R105" i="1"/>
  <c r="S132" i="6" s="1"/>
  <c r="P105" i="1"/>
  <c r="S106" i="6" s="1"/>
  <c r="N105" i="1"/>
  <c r="S81" i="6" s="1"/>
  <c r="L105" i="1"/>
  <c r="S55" i="6" s="1"/>
  <c r="J105" i="1"/>
  <c r="S29" i="6" s="1"/>
  <c r="F105" i="1"/>
  <c r="S3" i="6" s="1"/>
  <c r="F103" i="1"/>
  <c r="R7" i="6" s="1"/>
  <c r="F102" i="1"/>
  <c r="F101" i="1"/>
  <c r="F99" i="1"/>
  <c r="F100" i="1"/>
  <c r="F97" i="1"/>
  <c r="Q7" i="6" s="1"/>
  <c r="F96" i="1"/>
  <c r="F95" i="1"/>
  <c r="F93" i="1"/>
  <c r="F94" i="1"/>
  <c r="F91" i="1"/>
  <c r="P7" i="6" s="1"/>
  <c r="F90" i="1"/>
  <c r="F89" i="1"/>
  <c r="F87" i="1"/>
  <c r="F88" i="1"/>
  <c r="F85" i="1"/>
  <c r="O7" i="6" s="1"/>
  <c r="F84" i="1"/>
  <c r="F83" i="1"/>
  <c r="F81" i="1"/>
  <c r="F82" i="1"/>
  <c r="F79" i="1"/>
  <c r="N7" i="6" s="1"/>
  <c r="F78" i="1"/>
  <c r="F77" i="1"/>
  <c r="F75" i="1"/>
  <c r="F76" i="1"/>
  <c r="F73" i="1"/>
  <c r="M7" i="6" s="1"/>
  <c r="F72" i="1"/>
  <c r="F71" i="1"/>
  <c r="F69" i="1"/>
  <c r="F70" i="1"/>
  <c r="F64" i="1"/>
  <c r="F52" i="1"/>
  <c r="F39" i="1"/>
  <c r="F28" i="1"/>
  <c r="E24" i="1"/>
  <c r="E22" i="1"/>
  <c r="E21" i="1"/>
  <c r="E25" i="1"/>
  <c r="T25" i="1"/>
  <c r="E161" i="6" s="1"/>
  <c r="R25" i="1"/>
  <c r="E136" i="6" s="1"/>
  <c r="P25" i="1"/>
  <c r="E110" i="6" s="1"/>
  <c r="N25" i="1"/>
  <c r="E85" i="6" s="1"/>
  <c r="L25" i="1"/>
  <c r="E59" i="6" s="1"/>
  <c r="J25" i="1"/>
  <c r="E33" i="6" s="1"/>
  <c r="E18" i="1"/>
  <c r="E17" i="1"/>
  <c r="E16" i="1"/>
  <c r="F19" i="1" s="1"/>
  <c r="D7" i="6" s="1"/>
  <c r="E15" i="1"/>
  <c r="E12" i="1"/>
  <c r="E11" i="1"/>
  <c r="E10" i="1"/>
  <c r="F9" i="1" s="1"/>
  <c r="E13" i="1"/>
  <c r="E6" i="1"/>
  <c r="E5" i="1"/>
  <c r="E4" i="1"/>
  <c r="R3" i="1"/>
  <c r="E7" i="1"/>
  <c r="R7" i="1"/>
  <c r="B136" i="6" s="1"/>
  <c r="T103" i="1"/>
  <c r="R161" i="6" s="1"/>
  <c r="R103" i="1"/>
  <c r="R136" i="6" s="1"/>
  <c r="P103" i="1"/>
  <c r="R110" i="6" s="1"/>
  <c r="N103" i="1"/>
  <c r="R85" i="6" s="1"/>
  <c r="L103" i="1"/>
  <c r="R59" i="6" s="1"/>
  <c r="J103" i="1"/>
  <c r="R33" i="6" s="1"/>
  <c r="T102" i="1"/>
  <c r="R160" i="6" s="1"/>
  <c r="R102" i="1"/>
  <c r="P102" i="1"/>
  <c r="N102" i="1"/>
  <c r="L102" i="1"/>
  <c r="J102" i="1"/>
  <c r="T101" i="1"/>
  <c r="R159" i="6" s="1"/>
  <c r="R101" i="1"/>
  <c r="P101" i="1"/>
  <c r="N101" i="1"/>
  <c r="L101" i="1"/>
  <c r="J101" i="1"/>
  <c r="T100" i="1"/>
  <c r="R158" i="6" s="1"/>
  <c r="R100" i="1"/>
  <c r="P100" i="1"/>
  <c r="N100" i="1"/>
  <c r="L100" i="1"/>
  <c r="J100" i="1"/>
  <c r="T99" i="1"/>
  <c r="R157" i="6" s="1"/>
  <c r="R99" i="1"/>
  <c r="P99" i="1"/>
  <c r="N99" i="1"/>
  <c r="L99" i="1"/>
  <c r="J99" i="1"/>
  <c r="T97" i="1"/>
  <c r="Q161" i="6" s="1"/>
  <c r="R97" i="1"/>
  <c r="Q136" i="6" s="1"/>
  <c r="P97" i="1"/>
  <c r="Q110" i="6" s="1"/>
  <c r="N97" i="1"/>
  <c r="Q85" i="6" s="1"/>
  <c r="L97" i="1"/>
  <c r="Q59" i="6" s="1"/>
  <c r="J97" i="1"/>
  <c r="Q33" i="6" s="1"/>
  <c r="T96" i="1"/>
  <c r="Q160" i="6" s="1"/>
  <c r="R96" i="1"/>
  <c r="P96" i="1"/>
  <c r="N96" i="1"/>
  <c r="L96" i="1"/>
  <c r="J96" i="1"/>
  <c r="T95" i="1"/>
  <c r="Q159" i="6" s="1"/>
  <c r="R95" i="1"/>
  <c r="P95" i="1"/>
  <c r="N95" i="1"/>
  <c r="L95" i="1"/>
  <c r="J95" i="1"/>
  <c r="T94" i="1"/>
  <c r="Q158" i="6" s="1"/>
  <c r="R94" i="1"/>
  <c r="P94" i="1"/>
  <c r="N94" i="1"/>
  <c r="L94" i="1"/>
  <c r="J94" i="1"/>
  <c r="T93" i="1"/>
  <c r="Q157" i="6" s="1"/>
  <c r="R93" i="1"/>
  <c r="P93" i="1"/>
  <c r="N93" i="1"/>
  <c r="L93" i="1"/>
  <c r="J93" i="1"/>
  <c r="T91" i="1"/>
  <c r="P161" i="6" s="1"/>
  <c r="R91" i="1"/>
  <c r="P136" i="6" s="1"/>
  <c r="P110" i="6"/>
  <c r="N91" i="1"/>
  <c r="P85" i="6" s="1"/>
  <c r="L91" i="1"/>
  <c r="P59" i="6" s="1"/>
  <c r="J91" i="1"/>
  <c r="P33" i="6" s="1"/>
  <c r="T90" i="1"/>
  <c r="P160" i="6" s="1"/>
  <c r="R90" i="1"/>
  <c r="P90" i="1"/>
  <c r="N90" i="1"/>
  <c r="L90" i="1"/>
  <c r="J90" i="1"/>
  <c r="T89" i="1"/>
  <c r="P159" i="6" s="1"/>
  <c r="R89" i="1"/>
  <c r="P89" i="1"/>
  <c r="N89" i="1"/>
  <c r="L89" i="1"/>
  <c r="J89" i="1"/>
  <c r="T88" i="1"/>
  <c r="P158" i="6" s="1"/>
  <c r="R88" i="1"/>
  <c r="P88" i="1"/>
  <c r="N88" i="1"/>
  <c r="L88" i="1"/>
  <c r="J88" i="1"/>
  <c r="T87" i="1"/>
  <c r="P157" i="6" s="1"/>
  <c r="R87" i="1"/>
  <c r="P87" i="1"/>
  <c r="N87" i="1"/>
  <c r="L87" i="1"/>
  <c r="J87" i="1"/>
  <c r="T85" i="1"/>
  <c r="O161" i="6" s="1"/>
  <c r="R85" i="1"/>
  <c r="O136" i="6" s="1"/>
  <c r="P85" i="1"/>
  <c r="O110" i="6" s="1"/>
  <c r="N85" i="1"/>
  <c r="O85" i="6" s="1"/>
  <c r="L85" i="1"/>
  <c r="O59" i="6" s="1"/>
  <c r="J85" i="1"/>
  <c r="O33" i="6" s="1"/>
  <c r="T84" i="1"/>
  <c r="O160" i="6" s="1"/>
  <c r="R84" i="1"/>
  <c r="P84" i="1"/>
  <c r="N84" i="1"/>
  <c r="L84" i="1"/>
  <c r="J84" i="1"/>
  <c r="T83" i="1"/>
  <c r="O159" i="6" s="1"/>
  <c r="R83" i="1"/>
  <c r="P83" i="1"/>
  <c r="N83" i="1"/>
  <c r="L83" i="1"/>
  <c r="J83" i="1"/>
  <c r="T82" i="1"/>
  <c r="O158" i="6" s="1"/>
  <c r="R82" i="1"/>
  <c r="P82" i="1"/>
  <c r="N82" i="1"/>
  <c r="L82" i="1"/>
  <c r="J82" i="1"/>
  <c r="T81" i="1"/>
  <c r="O157" i="6" s="1"/>
  <c r="R81" i="1"/>
  <c r="P81" i="1"/>
  <c r="N81" i="1"/>
  <c r="L81" i="1"/>
  <c r="J81" i="1"/>
  <c r="T79" i="1"/>
  <c r="N161" i="6" s="1"/>
  <c r="R79" i="1"/>
  <c r="N136" i="6" s="1"/>
  <c r="P79" i="1"/>
  <c r="N110" i="6" s="1"/>
  <c r="N79" i="1"/>
  <c r="N85" i="6" s="1"/>
  <c r="L79" i="1"/>
  <c r="N59" i="6" s="1"/>
  <c r="J79" i="1"/>
  <c r="N33" i="6" s="1"/>
  <c r="T78" i="1"/>
  <c r="N160" i="6" s="1"/>
  <c r="R78" i="1"/>
  <c r="P78" i="1"/>
  <c r="N78" i="1"/>
  <c r="L78" i="1"/>
  <c r="J78" i="1"/>
  <c r="T77" i="1"/>
  <c r="N159" i="6" s="1"/>
  <c r="R77" i="1"/>
  <c r="P77" i="1"/>
  <c r="N77" i="1"/>
  <c r="L77" i="1"/>
  <c r="J77" i="1"/>
  <c r="T76" i="1"/>
  <c r="N158" i="6" s="1"/>
  <c r="R76" i="1"/>
  <c r="P76" i="1"/>
  <c r="N76" i="1"/>
  <c r="L76" i="1"/>
  <c r="J76" i="1"/>
  <c r="T75" i="1"/>
  <c r="N157" i="6" s="1"/>
  <c r="R75" i="1"/>
  <c r="P75" i="1"/>
  <c r="N75" i="1"/>
  <c r="L75" i="1"/>
  <c r="J75" i="1"/>
  <c r="T73" i="1"/>
  <c r="M161" i="6" s="1"/>
  <c r="R73" i="1"/>
  <c r="M136" i="6" s="1"/>
  <c r="P73" i="1"/>
  <c r="M110" i="6" s="1"/>
  <c r="N73" i="1"/>
  <c r="M85" i="6" s="1"/>
  <c r="L73" i="1"/>
  <c r="M59" i="6" s="1"/>
  <c r="J73" i="1"/>
  <c r="M33" i="6" s="1"/>
  <c r="T72" i="1"/>
  <c r="M160" i="6" s="1"/>
  <c r="R72" i="1"/>
  <c r="P72" i="1"/>
  <c r="N72" i="1"/>
  <c r="L72" i="1"/>
  <c r="J72" i="1"/>
  <c r="T71" i="1"/>
  <c r="M159" i="6" s="1"/>
  <c r="R71" i="1"/>
  <c r="P71" i="1"/>
  <c r="N71" i="1"/>
  <c r="L71" i="1"/>
  <c r="J71" i="1"/>
  <c r="T70" i="1"/>
  <c r="M158" i="6" s="1"/>
  <c r="R70" i="1"/>
  <c r="P70" i="1"/>
  <c r="N70" i="1"/>
  <c r="L70" i="1"/>
  <c r="J70" i="1"/>
  <c r="T69" i="1"/>
  <c r="M157" i="6" s="1"/>
  <c r="R69" i="1"/>
  <c r="P69" i="1"/>
  <c r="N69" i="1"/>
  <c r="L69" i="1"/>
  <c r="J69" i="1"/>
  <c r="T67" i="1"/>
  <c r="L161" i="6" s="1"/>
  <c r="R67" i="1"/>
  <c r="L136" i="6" s="1"/>
  <c r="P67" i="1"/>
  <c r="L110" i="6" s="1"/>
  <c r="N67" i="1"/>
  <c r="L85" i="6" s="1"/>
  <c r="L67" i="1"/>
  <c r="L59" i="6" s="1"/>
  <c r="J67" i="1"/>
  <c r="L33" i="6" s="1"/>
  <c r="T66" i="1"/>
  <c r="L160" i="6" s="1"/>
  <c r="R66" i="1"/>
  <c r="P66" i="1"/>
  <c r="N66" i="1"/>
  <c r="L66" i="1"/>
  <c r="J66" i="1"/>
  <c r="T65" i="1"/>
  <c r="L159" i="6" s="1"/>
  <c r="R65" i="1"/>
  <c r="P65" i="1"/>
  <c r="N65" i="1"/>
  <c r="L65" i="1"/>
  <c r="J65" i="1"/>
  <c r="T64" i="1"/>
  <c r="L158" i="6" s="1"/>
  <c r="R64" i="1"/>
  <c r="P64" i="1"/>
  <c r="N64" i="1"/>
  <c r="L64" i="1"/>
  <c r="J64" i="1"/>
  <c r="T63" i="1"/>
  <c r="L157" i="6" s="1"/>
  <c r="R63" i="1"/>
  <c r="P63" i="1"/>
  <c r="N63" i="1"/>
  <c r="L63" i="1"/>
  <c r="J63" i="1"/>
  <c r="T61" i="1"/>
  <c r="K161" i="6" s="1"/>
  <c r="R61" i="1"/>
  <c r="K136" i="6" s="1"/>
  <c r="P61" i="1"/>
  <c r="K110" i="6" s="1"/>
  <c r="N61" i="1"/>
  <c r="K85" i="6" s="1"/>
  <c r="L61" i="1"/>
  <c r="K59" i="6" s="1"/>
  <c r="J61" i="1"/>
  <c r="K33" i="6" s="1"/>
  <c r="T60" i="1"/>
  <c r="K160" i="6" s="1"/>
  <c r="R60" i="1"/>
  <c r="P60" i="1"/>
  <c r="N60" i="1"/>
  <c r="L60" i="1"/>
  <c r="J60" i="1"/>
  <c r="T59" i="1"/>
  <c r="K159" i="6" s="1"/>
  <c r="R59" i="1"/>
  <c r="P59" i="1"/>
  <c r="N59" i="1"/>
  <c r="L59" i="1"/>
  <c r="J59" i="1"/>
  <c r="T58" i="1"/>
  <c r="K158" i="6" s="1"/>
  <c r="R58" i="1"/>
  <c r="P58" i="1"/>
  <c r="N58" i="1"/>
  <c r="L58" i="1"/>
  <c r="J58" i="1"/>
  <c r="T57" i="1"/>
  <c r="K157" i="6" s="1"/>
  <c r="R57" i="1"/>
  <c r="P57" i="1"/>
  <c r="N57" i="1"/>
  <c r="L57" i="1"/>
  <c r="J57" i="1"/>
  <c r="T55" i="1"/>
  <c r="J161" i="6" s="1"/>
  <c r="R55" i="1"/>
  <c r="J136" i="6" s="1"/>
  <c r="P55" i="1"/>
  <c r="J110" i="6" s="1"/>
  <c r="N55" i="1"/>
  <c r="J85" i="6" s="1"/>
  <c r="L55" i="1"/>
  <c r="J59" i="6" s="1"/>
  <c r="J55" i="1"/>
  <c r="J33" i="6" s="1"/>
  <c r="T54" i="1"/>
  <c r="J160" i="6" s="1"/>
  <c r="R54" i="1"/>
  <c r="P54" i="1"/>
  <c r="N54" i="1"/>
  <c r="L54" i="1"/>
  <c r="J54" i="1"/>
  <c r="T53" i="1"/>
  <c r="J159" i="6" s="1"/>
  <c r="R53" i="1"/>
  <c r="P53" i="1"/>
  <c r="N53" i="1"/>
  <c r="L53" i="1"/>
  <c r="J53" i="1"/>
  <c r="T52" i="1"/>
  <c r="J158" i="6" s="1"/>
  <c r="R52" i="1"/>
  <c r="P52" i="1"/>
  <c r="N52" i="1"/>
  <c r="L52" i="1"/>
  <c r="J52" i="1"/>
  <c r="T51" i="1"/>
  <c r="J157" i="6" s="1"/>
  <c r="R51" i="1"/>
  <c r="P51" i="1"/>
  <c r="N51" i="1"/>
  <c r="J51" i="1"/>
  <c r="T49" i="1"/>
  <c r="I161" i="6" s="1"/>
  <c r="R49" i="1"/>
  <c r="I136" i="6" s="1"/>
  <c r="P49" i="1"/>
  <c r="I110" i="6" s="1"/>
  <c r="N49" i="1"/>
  <c r="I85" i="6" s="1"/>
  <c r="L49" i="1"/>
  <c r="I59" i="6" s="1"/>
  <c r="J49" i="1"/>
  <c r="I33" i="6" s="1"/>
  <c r="T48" i="1"/>
  <c r="I160" i="6" s="1"/>
  <c r="R48" i="1"/>
  <c r="P48" i="1"/>
  <c r="N48" i="1"/>
  <c r="L48" i="1"/>
  <c r="J48" i="1"/>
  <c r="T47" i="1"/>
  <c r="I159" i="6" s="1"/>
  <c r="R47" i="1"/>
  <c r="P47" i="1"/>
  <c r="N47" i="1"/>
  <c r="L47" i="1"/>
  <c r="J47" i="1"/>
  <c r="E47" i="1"/>
  <c r="T46" i="1"/>
  <c r="I158" i="6" s="1"/>
  <c r="R46" i="1"/>
  <c r="P46" i="1"/>
  <c r="N46" i="1"/>
  <c r="L46" i="1"/>
  <c r="J46" i="1"/>
  <c r="T45" i="1"/>
  <c r="I157" i="6" s="1"/>
  <c r="R45" i="1"/>
  <c r="P45" i="1"/>
  <c r="N45" i="1"/>
  <c r="L45" i="1"/>
  <c r="J45" i="1"/>
  <c r="T43" i="1"/>
  <c r="H161" i="6" s="1"/>
  <c r="R43" i="1"/>
  <c r="H136" i="6" s="1"/>
  <c r="P43" i="1"/>
  <c r="H110" i="6" s="1"/>
  <c r="N43" i="1"/>
  <c r="H85" i="6" s="1"/>
  <c r="L43" i="1"/>
  <c r="H59" i="6" s="1"/>
  <c r="J43" i="1"/>
  <c r="H33" i="6" s="1"/>
  <c r="T42" i="1"/>
  <c r="H160" i="6" s="1"/>
  <c r="R42" i="1"/>
  <c r="P42" i="1"/>
  <c r="N42" i="1"/>
  <c r="L42" i="1"/>
  <c r="J42" i="1"/>
  <c r="T41" i="1"/>
  <c r="H159" i="6" s="1"/>
  <c r="R41" i="1"/>
  <c r="P41" i="1"/>
  <c r="N41" i="1"/>
  <c r="L41" i="1"/>
  <c r="J41" i="1"/>
  <c r="T40" i="1"/>
  <c r="H158" i="6" s="1"/>
  <c r="R40" i="1"/>
  <c r="P40" i="1"/>
  <c r="N40" i="1"/>
  <c r="L40" i="1"/>
  <c r="J40" i="1"/>
  <c r="T39" i="1"/>
  <c r="H157" i="6" s="1"/>
  <c r="R39" i="1"/>
  <c r="P39" i="1"/>
  <c r="N39" i="1"/>
  <c r="J39" i="1"/>
  <c r="T37" i="1"/>
  <c r="G161" i="6" s="1"/>
  <c r="R37" i="1"/>
  <c r="G136" i="6" s="1"/>
  <c r="P37" i="1"/>
  <c r="G110" i="6" s="1"/>
  <c r="N37" i="1"/>
  <c r="G85" i="6" s="1"/>
  <c r="L37" i="1"/>
  <c r="G59" i="6" s="1"/>
  <c r="J37" i="1"/>
  <c r="G33" i="6" s="1"/>
  <c r="T36" i="1"/>
  <c r="G160" i="6" s="1"/>
  <c r="R36" i="1"/>
  <c r="P36" i="1"/>
  <c r="N36" i="1"/>
  <c r="L36" i="1"/>
  <c r="J36" i="1"/>
  <c r="T35" i="1"/>
  <c r="G159" i="6" s="1"/>
  <c r="R35" i="1"/>
  <c r="P35" i="1"/>
  <c r="N35" i="1"/>
  <c r="L35" i="1"/>
  <c r="J35" i="1"/>
  <c r="T34" i="1"/>
  <c r="G158" i="6" s="1"/>
  <c r="R34" i="1"/>
  <c r="P34" i="1"/>
  <c r="N34" i="1"/>
  <c r="L34" i="1"/>
  <c r="J34" i="1"/>
  <c r="T33" i="1"/>
  <c r="G157" i="6" s="1"/>
  <c r="R33" i="1"/>
  <c r="P33" i="1"/>
  <c r="N33" i="1"/>
  <c r="L33" i="1"/>
  <c r="J33" i="1"/>
  <c r="T31" i="1"/>
  <c r="F161" i="6" s="1"/>
  <c r="R31" i="1"/>
  <c r="F136" i="6" s="1"/>
  <c r="N31" i="1"/>
  <c r="F85" i="6" s="1"/>
  <c r="L31" i="1"/>
  <c r="F59" i="6" s="1"/>
  <c r="J31" i="1"/>
  <c r="F33" i="6" s="1"/>
  <c r="T30" i="1"/>
  <c r="F160" i="6" s="1"/>
  <c r="R30" i="1"/>
  <c r="P30" i="1"/>
  <c r="N30" i="1"/>
  <c r="L30" i="1"/>
  <c r="J30" i="1"/>
  <c r="T29" i="1"/>
  <c r="F159" i="6" s="1"/>
  <c r="R29" i="1"/>
  <c r="P29" i="1"/>
  <c r="N29" i="1"/>
  <c r="L29" i="1"/>
  <c r="J29" i="1"/>
  <c r="T28" i="1"/>
  <c r="F158" i="6" s="1"/>
  <c r="R28" i="1"/>
  <c r="P28" i="1"/>
  <c r="N28" i="1"/>
  <c r="L28" i="1"/>
  <c r="J28" i="1"/>
  <c r="T27" i="1"/>
  <c r="F157" i="6" s="1"/>
  <c r="R27" i="1"/>
  <c r="P27" i="1"/>
  <c r="N27" i="1"/>
  <c r="L27" i="1"/>
  <c r="J27" i="1"/>
  <c r="T24" i="1"/>
  <c r="E160" i="6" s="1"/>
  <c r="R24" i="1"/>
  <c r="P24" i="1"/>
  <c r="N24" i="1"/>
  <c r="L24" i="1"/>
  <c r="J24" i="1"/>
  <c r="T23" i="1"/>
  <c r="E159" i="6" s="1"/>
  <c r="R23" i="1"/>
  <c r="P23" i="1"/>
  <c r="N23" i="1"/>
  <c r="L23" i="1"/>
  <c r="J23" i="1"/>
  <c r="E23" i="1"/>
  <c r="T22" i="1"/>
  <c r="E158" i="6" s="1"/>
  <c r="R22" i="1"/>
  <c r="P22" i="1"/>
  <c r="N22" i="1"/>
  <c r="L22" i="1"/>
  <c r="J22" i="1"/>
  <c r="T21" i="1"/>
  <c r="E157" i="6" s="1"/>
  <c r="R21" i="1"/>
  <c r="P21" i="1"/>
  <c r="N21" i="1"/>
  <c r="L21" i="1"/>
  <c r="J21" i="1"/>
  <c r="T19" i="1"/>
  <c r="D161" i="6" s="1"/>
  <c r="R19" i="1"/>
  <c r="D136" i="6" s="1"/>
  <c r="P19" i="1"/>
  <c r="D110" i="6" s="1"/>
  <c r="N19" i="1"/>
  <c r="D85" i="6" s="1"/>
  <c r="L19" i="1"/>
  <c r="D59" i="6" s="1"/>
  <c r="J19" i="1"/>
  <c r="D33" i="6" s="1"/>
  <c r="T18" i="1"/>
  <c r="D160" i="6" s="1"/>
  <c r="R18" i="1"/>
  <c r="P18" i="1"/>
  <c r="N18" i="1"/>
  <c r="L18" i="1"/>
  <c r="J18" i="1"/>
  <c r="T17" i="1"/>
  <c r="D159" i="6" s="1"/>
  <c r="R17" i="1"/>
  <c r="P17" i="1"/>
  <c r="N17" i="1"/>
  <c r="L17" i="1"/>
  <c r="J17" i="1"/>
  <c r="T16" i="1"/>
  <c r="D158" i="6" s="1"/>
  <c r="R16" i="1"/>
  <c r="P16" i="1"/>
  <c r="N16" i="1"/>
  <c r="L16" i="1"/>
  <c r="J16" i="1"/>
  <c r="T15" i="1"/>
  <c r="D157" i="6" s="1"/>
  <c r="R15" i="1"/>
  <c r="P15" i="1"/>
  <c r="N15" i="1"/>
  <c r="L15" i="1"/>
  <c r="J15" i="1"/>
  <c r="T13" i="1"/>
  <c r="C161" i="6" s="1"/>
  <c r="R13" i="1"/>
  <c r="C136" i="6" s="1"/>
  <c r="P13" i="1"/>
  <c r="C110" i="6" s="1"/>
  <c r="N13" i="1"/>
  <c r="C85" i="6" s="1"/>
  <c r="L13" i="1"/>
  <c r="C59" i="6" s="1"/>
  <c r="J13" i="1"/>
  <c r="C33" i="6" s="1"/>
  <c r="T12" i="1"/>
  <c r="C160" i="6" s="1"/>
  <c r="R12" i="1"/>
  <c r="P12" i="1"/>
  <c r="N12" i="1"/>
  <c r="L12" i="1"/>
  <c r="J12" i="1"/>
  <c r="T11" i="1"/>
  <c r="C159" i="6" s="1"/>
  <c r="R11" i="1"/>
  <c r="P11" i="1"/>
  <c r="N11" i="1"/>
  <c r="L11" i="1"/>
  <c r="J11" i="1"/>
  <c r="T10" i="1"/>
  <c r="C158" i="6" s="1"/>
  <c r="R10" i="1"/>
  <c r="P10" i="1"/>
  <c r="N10" i="1"/>
  <c r="L10" i="1"/>
  <c r="J10" i="1"/>
  <c r="T9" i="1"/>
  <c r="C157" i="6" s="1"/>
  <c r="R9" i="1"/>
  <c r="P9" i="1"/>
  <c r="N9" i="1"/>
  <c r="L9" i="1"/>
  <c r="J9" i="1"/>
  <c r="T4" i="1"/>
  <c r="B158" i="6" s="1"/>
  <c r="T5" i="1"/>
  <c r="B159" i="6" s="1"/>
  <c r="T6" i="1"/>
  <c r="B160" i="6" s="1"/>
  <c r="T7" i="1"/>
  <c r="B161" i="6" s="1"/>
  <c r="T3" i="1"/>
  <c r="B157" i="6" s="1"/>
  <c r="J7" i="1"/>
  <c r="B33" i="6" s="1"/>
  <c r="L7" i="1"/>
  <c r="B59" i="6" s="1"/>
  <c r="N7" i="1"/>
  <c r="B85" i="6" s="1"/>
  <c r="P7" i="1"/>
  <c r="B110" i="6" s="1"/>
  <c r="F23" i="1" l="1"/>
  <c r="F35" i="1"/>
  <c r="F65" i="1"/>
  <c r="F11" i="1"/>
  <c r="F18" i="1"/>
  <c r="F13" i="1"/>
  <c r="C7" i="6" s="1"/>
  <c r="F15" i="1"/>
  <c r="F25" i="1"/>
  <c r="E7" i="6" s="1"/>
  <c r="F48" i="1"/>
  <c r="S53" i="6"/>
  <c r="S54" i="6"/>
  <c r="F58" i="1"/>
  <c r="F24" i="1"/>
  <c r="F59" i="1"/>
  <c r="F37" i="1"/>
  <c r="G7" i="6" s="1"/>
  <c r="F36" i="1"/>
  <c r="F49" i="1"/>
  <c r="I7" i="6" s="1"/>
  <c r="F61" i="1"/>
  <c r="K7" i="6" s="1"/>
  <c r="F29" i="1"/>
  <c r="F33" i="1"/>
  <c r="F54" i="1"/>
  <c r="F57" i="1"/>
  <c r="F67" i="1"/>
  <c r="L7" i="6" s="1"/>
  <c r="F22" i="1"/>
  <c r="F12" i="1"/>
  <c r="F17" i="1"/>
  <c r="F21" i="1"/>
  <c r="F41" i="1"/>
  <c r="F47" i="1"/>
  <c r="F106" i="1"/>
  <c r="S4" i="6" s="1"/>
  <c r="F109" i="1"/>
  <c r="S7" i="6" s="1"/>
  <c r="F43" i="1"/>
  <c r="H7" i="6" s="1"/>
  <c r="F10" i="1"/>
  <c r="F42" i="1"/>
  <c r="F53" i="1"/>
  <c r="F16" i="1"/>
  <c r="F46" i="1"/>
  <c r="B156" i="6"/>
  <c r="C156" i="6"/>
  <c r="D155" i="6"/>
  <c r="D156" i="6"/>
  <c r="E153" i="6"/>
  <c r="B155" i="6"/>
  <c r="C155" i="6"/>
  <c r="R135" i="6"/>
  <c r="R109" i="6"/>
  <c r="R84" i="6"/>
  <c r="R58" i="6"/>
  <c r="R32" i="6"/>
  <c r="R134" i="6"/>
  <c r="R108" i="6"/>
  <c r="R83" i="6"/>
  <c r="R57" i="6"/>
  <c r="R31" i="6"/>
  <c r="R133" i="6"/>
  <c r="R107" i="6"/>
  <c r="R82" i="6"/>
  <c r="R56" i="6"/>
  <c r="R30" i="6"/>
  <c r="A100" i="1"/>
  <c r="A101" i="1" s="1"/>
  <c r="A102" i="1" s="1"/>
  <c r="A103" i="1" s="1"/>
  <c r="R132" i="6"/>
  <c r="R106" i="6"/>
  <c r="R81" i="6"/>
  <c r="R55" i="6"/>
  <c r="R29" i="6"/>
  <c r="F153" i="6" l="1"/>
  <c r="E155" i="6"/>
  <c r="E156" i="6"/>
  <c r="Q109" i="6"/>
  <c r="Q135" i="6"/>
  <c r="Q84" i="6"/>
  <c r="Q58" i="6"/>
  <c r="Q32" i="6"/>
  <c r="Q134" i="6"/>
  <c r="Q108" i="6"/>
  <c r="Q83" i="6"/>
  <c r="Q57" i="6"/>
  <c r="Q31" i="6"/>
  <c r="Q133" i="6"/>
  <c r="Q107" i="6"/>
  <c r="Q82" i="6"/>
  <c r="Q56" i="6"/>
  <c r="Q30" i="6"/>
  <c r="A94" i="1"/>
  <c r="A95" i="1" s="1"/>
  <c r="A96" i="1" s="1"/>
  <c r="A97" i="1" s="1"/>
  <c r="Q132" i="6"/>
  <c r="Q106" i="6"/>
  <c r="Q81" i="6"/>
  <c r="Q55" i="6"/>
  <c r="Q29" i="6"/>
  <c r="G153" i="6" l="1"/>
  <c r="F156" i="6"/>
  <c r="F155" i="6"/>
  <c r="Q3" i="6"/>
  <c r="P81" i="6"/>
  <c r="P135" i="6"/>
  <c r="P109" i="6"/>
  <c r="P58" i="6"/>
  <c r="P32" i="6"/>
  <c r="P134" i="6"/>
  <c r="P83" i="6"/>
  <c r="P57" i="6"/>
  <c r="P133" i="6"/>
  <c r="P107" i="6"/>
  <c r="P56" i="6"/>
  <c r="P30" i="6"/>
  <c r="A88" i="1"/>
  <c r="A89" i="1" s="1"/>
  <c r="A90" i="1" s="1"/>
  <c r="A91" i="1" s="1"/>
  <c r="P132" i="6"/>
  <c r="P106" i="6"/>
  <c r="P55" i="6"/>
  <c r="P29" i="6"/>
  <c r="P82" i="6"/>
  <c r="P84" i="6"/>
  <c r="P108" i="6"/>
  <c r="P31" i="6"/>
  <c r="H153" i="6" l="1"/>
  <c r="G155" i="6"/>
  <c r="G156" i="6"/>
  <c r="P3" i="6"/>
  <c r="P5" i="6"/>
  <c r="P4" i="6"/>
  <c r="P6" i="6"/>
  <c r="R3" i="6"/>
  <c r="R5" i="6"/>
  <c r="R4" i="6"/>
  <c r="Q4" i="6"/>
  <c r="Q5" i="6"/>
  <c r="Q6" i="6"/>
  <c r="R6" i="6"/>
  <c r="H155" i="6" l="1"/>
  <c r="H156" i="6"/>
  <c r="I153" i="6"/>
  <c r="C128" i="6"/>
  <c r="D128" i="6" s="1"/>
  <c r="E128" i="6" s="1"/>
  <c r="F128" i="6" s="1"/>
  <c r="G128" i="6" s="1"/>
  <c r="H128" i="6" s="1"/>
  <c r="I128" i="6" s="1"/>
  <c r="J128" i="6" s="1"/>
  <c r="K128" i="6" s="1"/>
  <c r="L128" i="6" s="1"/>
  <c r="M128" i="6" s="1"/>
  <c r="N128" i="6" s="1"/>
  <c r="O128" i="6" s="1"/>
  <c r="P128" i="6" s="1"/>
  <c r="O3" i="6"/>
  <c r="J153" i="6" l="1"/>
  <c r="I156" i="6"/>
  <c r="I155" i="6"/>
  <c r="Q128" i="6"/>
  <c r="P130" i="6"/>
  <c r="P131" i="6"/>
  <c r="O84" i="6"/>
  <c r="O58" i="6"/>
  <c r="O6" i="6"/>
  <c r="O134" i="6"/>
  <c r="O83" i="6"/>
  <c r="O57" i="6"/>
  <c r="O133" i="6"/>
  <c r="O82" i="6"/>
  <c r="O56" i="6"/>
  <c r="A82" i="1"/>
  <c r="A83" i="1" s="1"/>
  <c r="A84" i="1" s="1"/>
  <c r="A85" i="1" s="1"/>
  <c r="O132" i="6"/>
  <c r="O131" i="6" s="1"/>
  <c r="O55" i="6"/>
  <c r="O29" i="6"/>
  <c r="N84" i="6"/>
  <c r="N58" i="6"/>
  <c r="N134" i="6"/>
  <c r="N108" i="6"/>
  <c r="N57" i="6"/>
  <c r="N31" i="6"/>
  <c r="N133" i="6"/>
  <c r="N107" i="6"/>
  <c r="N82" i="6"/>
  <c r="N56" i="6"/>
  <c r="N30" i="6"/>
  <c r="N4" i="6"/>
  <c r="A76" i="1"/>
  <c r="A77" i="1" s="1"/>
  <c r="A78" i="1" s="1"/>
  <c r="A79" i="1" s="1"/>
  <c r="N132" i="6"/>
  <c r="N130" i="6" s="1"/>
  <c r="N106" i="6"/>
  <c r="N55" i="6"/>
  <c r="N29" i="6"/>
  <c r="N3" i="6"/>
  <c r="O4" i="6"/>
  <c r="N5" i="6"/>
  <c r="O5" i="6"/>
  <c r="N6" i="6"/>
  <c r="O30" i="6"/>
  <c r="O31" i="6"/>
  <c r="N32" i="6"/>
  <c r="O32" i="6"/>
  <c r="N83" i="6"/>
  <c r="O81" i="6"/>
  <c r="N81" i="6"/>
  <c r="O107" i="6"/>
  <c r="O108" i="6"/>
  <c r="N109" i="6"/>
  <c r="O109" i="6"/>
  <c r="O106" i="6"/>
  <c r="N135" i="6"/>
  <c r="O135" i="6"/>
  <c r="C25" i="6"/>
  <c r="D25" i="6" s="1"/>
  <c r="K153" i="6" l="1"/>
  <c r="J156" i="6"/>
  <c r="J155" i="6"/>
  <c r="R128" i="6"/>
  <c r="S128" i="6" s="1"/>
  <c r="Q131" i="6"/>
  <c r="Q130" i="6"/>
  <c r="O130" i="6"/>
  <c r="N131" i="6"/>
  <c r="E25" i="6"/>
  <c r="C102" i="6"/>
  <c r="D102" i="6" s="1"/>
  <c r="E102" i="6" s="1"/>
  <c r="F102" i="6" s="1"/>
  <c r="G102" i="6" s="1"/>
  <c r="H102" i="6" s="1"/>
  <c r="I102" i="6" s="1"/>
  <c r="J102" i="6" s="1"/>
  <c r="K102" i="6" s="1"/>
  <c r="L102" i="6" s="1"/>
  <c r="M102" i="6" s="1"/>
  <c r="N102" i="6" s="1"/>
  <c r="O102" i="6" s="1"/>
  <c r="C77" i="6"/>
  <c r="D77" i="6" s="1"/>
  <c r="E77" i="6" s="1"/>
  <c r="F77" i="6" s="1"/>
  <c r="G77" i="6" s="1"/>
  <c r="H77" i="6" s="1"/>
  <c r="I77" i="6" s="1"/>
  <c r="J77" i="6" s="1"/>
  <c r="K77" i="6" s="1"/>
  <c r="L77" i="6" s="1"/>
  <c r="M77" i="6" s="1"/>
  <c r="N77" i="6" s="1"/>
  <c r="O77" i="6" s="1"/>
  <c r="C51" i="6"/>
  <c r="D51" i="6" s="1"/>
  <c r="E51" i="6" s="1"/>
  <c r="F51" i="6" s="1"/>
  <c r="G51" i="6" s="1"/>
  <c r="H51" i="6" s="1"/>
  <c r="I51" i="6" s="1"/>
  <c r="J51" i="6" s="1"/>
  <c r="K51" i="6" s="1"/>
  <c r="L51" i="6" s="1"/>
  <c r="M51" i="6" s="1"/>
  <c r="A135" i="6"/>
  <c r="A134" i="6"/>
  <c r="A133" i="6"/>
  <c r="A132" i="6"/>
  <c r="A109" i="6"/>
  <c r="A108" i="6"/>
  <c r="A107" i="6"/>
  <c r="A106" i="6"/>
  <c r="A84" i="6"/>
  <c r="A83" i="6"/>
  <c r="A82" i="6"/>
  <c r="A81" i="6"/>
  <c r="A58" i="6"/>
  <c r="A57" i="6"/>
  <c r="A56" i="6"/>
  <c r="A55" i="6"/>
  <c r="A32" i="6"/>
  <c r="A31" i="6"/>
  <c r="A30" i="6"/>
  <c r="A29" i="6"/>
  <c r="A6" i="6"/>
  <c r="A5" i="6"/>
  <c r="A4" i="6"/>
  <c r="A3" i="6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A2" i="6"/>
  <c r="M32" i="6"/>
  <c r="M58" i="6"/>
  <c r="M84" i="6"/>
  <c r="M109" i="6"/>
  <c r="M135" i="6"/>
  <c r="M31" i="6"/>
  <c r="M57" i="6"/>
  <c r="M83" i="6"/>
  <c r="M108" i="6"/>
  <c r="M134" i="6"/>
  <c r="M4" i="6"/>
  <c r="M30" i="6"/>
  <c r="M56" i="6"/>
  <c r="M82" i="6"/>
  <c r="M107" i="6"/>
  <c r="M133" i="6"/>
  <c r="M29" i="6"/>
  <c r="M55" i="6"/>
  <c r="M81" i="6"/>
  <c r="M106" i="6"/>
  <c r="M132" i="6"/>
  <c r="M131" i="6" s="1"/>
  <c r="L32" i="6"/>
  <c r="L58" i="6"/>
  <c r="L84" i="6"/>
  <c r="L109" i="6"/>
  <c r="L135" i="6"/>
  <c r="L31" i="6"/>
  <c r="L57" i="6"/>
  <c r="L83" i="6"/>
  <c r="L108" i="6"/>
  <c r="L134" i="6"/>
  <c r="L4" i="6"/>
  <c r="L30" i="6"/>
  <c r="L56" i="6"/>
  <c r="L82" i="6"/>
  <c r="L107" i="6"/>
  <c r="L133" i="6"/>
  <c r="L29" i="6"/>
  <c r="L55" i="6"/>
  <c r="L81" i="6"/>
  <c r="L106" i="6"/>
  <c r="L132" i="6"/>
  <c r="L131" i="6" s="1"/>
  <c r="K32" i="6"/>
  <c r="K58" i="6"/>
  <c r="K84" i="6"/>
  <c r="K109" i="6"/>
  <c r="K135" i="6"/>
  <c r="K31" i="6"/>
  <c r="K57" i="6"/>
  <c r="K83" i="6"/>
  <c r="K108" i="6"/>
  <c r="K134" i="6"/>
  <c r="K4" i="6"/>
  <c r="K30" i="6"/>
  <c r="K56" i="6"/>
  <c r="K82" i="6"/>
  <c r="K107" i="6"/>
  <c r="K133" i="6"/>
  <c r="K29" i="6"/>
  <c r="K55" i="6"/>
  <c r="K81" i="6"/>
  <c r="K106" i="6"/>
  <c r="K132" i="6"/>
  <c r="K131" i="6" s="1"/>
  <c r="J32" i="6"/>
  <c r="J58" i="6"/>
  <c r="J84" i="6"/>
  <c r="J109" i="6"/>
  <c r="J135" i="6"/>
  <c r="J4" i="6"/>
  <c r="J31" i="6"/>
  <c r="J57" i="6"/>
  <c r="J83" i="6"/>
  <c r="J108" i="6"/>
  <c r="J134" i="6"/>
  <c r="J30" i="6"/>
  <c r="J56" i="6"/>
  <c r="J82" i="6"/>
  <c r="J107" i="6"/>
  <c r="J133" i="6"/>
  <c r="J3" i="6"/>
  <c r="J55" i="6"/>
  <c r="J29" i="6"/>
  <c r="J81" i="6"/>
  <c r="J106" i="6"/>
  <c r="J132" i="6"/>
  <c r="I32" i="6"/>
  <c r="I58" i="6"/>
  <c r="I84" i="6"/>
  <c r="I109" i="6"/>
  <c r="I135" i="6"/>
  <c r="I31" i="6"/>
  <c r="I57" i="6"/>
  <c r="I83" i="6"/>
  <c r="I108" i="6"/>
  <c r="I134" i="6"/>
  <c r="I4" i="6"/>
  <c r="I30" i="6"/>
  <c r="I56" i="6"/>
  <c r="I82" i="6"/>
  <c r="I107" i="6"/>
  <c r="I133" i="6"/>
  <c r="I132" i="6"/>
  <c r="I131" i="6" s="1"/>
  <c r="I106" i="6"/>
  <c r="I81" i="6"/>
  <c r="I55" i="6"/>
  <c r="I29" i="6"/>
  <c r="H32" i="6"/>
  <c r="H58" i="6"/>
  <c r="H84" i="6"/>
  <c r="H109" i="6"/>
  <c r="H135" i="6"/>
  <c r="H31" i="6"/>
  <c r="H57" i="6"/>
  <c r="H83" i="6"/>
  <c r="H108" i="6"/>
  <c r="H134" i="6"/>
  <c r="H4" i="6"/>
  <c r="H30" i="6"/>
  <c r="H56" i="6"/>
  <c r="H82" i="6"/>
  <c r="H107" i="6"/>
  <c r="H133" i="6"/>
  <c r="H29" i="6"/>
  <c r="H55" i="6"/>
  <c r="H81" i="6"/>
  <c r="H80" i="6" s="1"/>
  <c r="H106" i="6"/>
  <c r="H132" i="6"/>
  <c r="H131" i="6" s="1"/>
  <c r="A70" i="1"/>
  <c r="A71" i="1" s="1"/>
  <c r="A72" i="1" s="1"/>
  <c r="A73" i="1" s="1"/>
  <c r="A64" i="1"/>
  <c r="A65" i="1" s="1"/>
  <c r="A66" i="1" s="1"/>
  <c r="A67" i="1" s="1"/>
  <c r="A58" i="1"/>
  <c r="A59" i="1" s="1"/>
  <c r="A60" i="1" s="1"/>
  <c r="A61" i="1" s="1"/>
  <c r="A52" i="1"/>
  <c r="A53" i="1" s="1"/>
  <c r="A54" i="1" s="1"/>
  <c r="A55" i="1" s="1"/>
  <c r="A46" i="1"/>
  <c r="A47" i="1" s="1"/>
  <c r="A48" i="1" s="1"/>
  <c r="A49" i="1" s="1"/>
  <c r="A40" i="1"/>
  <c r="A41" i="1" s="1"/>
  <c r="A42" i="1" s="1"/>
  <c r="A43" i="1" s="1"/>
  <c r="G32" i="6"/>
  <c r="G58" i="6"/>
  <c r="G84" i="6"/>
  <c r="G109" i="6"/>
  <c r="G135" i="6"/>
  <c r="G31" i="6"/>
  <c r="G57" i="6"/>
  <c r="G83" i="6"/>
  <c r="G108" i="6"/>
  <c r="G134" i="6"/>
  <c r="G4" i="6"/>
  <c r="G30" i="6"/>
  <c r="G56" i="6"/>
  <c r="G82" i="6"/>
  <c r="G107" i="6"/>
  <c r="G133" i="6"/>
  <c r="G29" i="6"/>
  <c r="G55" i="6"/>
  <c r="G81" i="6"/>
  <c r="G106" i="6"/>
  <c r="G132" i="6"/>
  <c r="G131" i="6" s="1"/>
  <c r="A34" i="1"/>
  <c r="A35" i="1" s="1"/>
  <c r="A36" i="1" s="1"/>
  <c r="A37" i="1" s="1"/>
  <c r="A28" i="1"/>
  <c r="A29" i="1" s="1"/>
  <c r="A30" i="1" s="1"/>
  <c r="A31" i="1" s="1"/>
  <c r="A22" i="1"/>
  <c r="A23" i="1" s="1"/>
  <c r="A24" i="1" s="1"/>
  <c r="A25" i="1" s="1"/>
  <c r="A16" i="1"/>
  <c r="A17" i="1" s="1"/>
  <c r="A18" i="1" s="1"/>
  <c r="A19" i="1" s="1"/>
  <c r="A10" i="1"/>
  <c r="A11" i="1" s="1"/>
  <c r="A12" i="1" s="1"/>
  <c r="A13" i="1" s="1"/>
  <c r="A4" i="1"/>
  <c r="A5" i="1" s="1"/>
  <c r="A6" i="1" s="1"/>
  <c r="A7" i="1" s="1"/>
  <c r="F32" i="6"/>
  <c r="F58" i="6"/>
  <c r="F84" i="6"/>
  <c r="F109" i="6"/>
  <c r="F135" i="6"/>
  <c r="F31" i="6"/>
  <c r="F57" i="6"/>
  <c r="F83" i="6"/>
  <c r="F108" i="6"/>
  <c r="F134" i="6"/>
  <c r="F133" i="6"/>
  <c r="F4" i="6"/>
  <c r="F30" i="6"/>
  <c r="F56" i="6"/>
  <c r="F82" i="6"/>
  <c r="F107" i="6"/>
  <c r="F29" i="6"/>
  <c r="F55" i="6"/>
  <c r="F81" i="6"/>
  <c r="F106" i="6"/>
  <c r="F132" i="6"/>
  <c r="E32" i="6"/>
  <c r="E58" i="6"/>
  <c r="E84" i="6"/>
  <c r="E109" i="6"/>
  <c r="E135" i="6"/>
  <c r="E31" i="6"/>
  <c r="E57" i="6"/>
  <c r="E83" i="6"/>
  <c r="E108" i="6"/>
  <c r="E134" i="6"/>
  <c r="E4" i="6"/>
  <c r="E30" i="6"/>
  <c r="E56" i="6"/>
  <c r="E82" i="6"/>
  <c r="E107" i="6"/>
  <c r="E133" i="6"/>
  <c r="E29" i="6"/>
  <c r="E55" i="6"/>
  <c r="E81" i="6"/>
  <c r="E106" i="6"/>
  <c r="E105" i="6" s="1"/>
  <c r="E132" i="6"/>
  <c r="E131" i="6" s="1"/>
  <c r="D32" i="6"/>
  <c r="D58" i="6"/>
  <c r="D84" i="6"/>
  <c r="D109" i="6"/>
  <c r="D135" i="6"/>
  <c r="D31" i="6"/>
  <c r="D57" i="6"/>
  <c r="D83" i="6"/>
  <c r="D108" i="6"/>
  <c r="D134" i="6"/>
  <c r="D4" i="6"/>
  <c r="D30" i="6"/>
  <c r="D56" i="6"/>
  <c r="D82" i="6"/>
  <c r="D107" i="6"/>
  <c r="D133" i="6"/>
  <c r="D29" i="6"/>
  <c r="D27" i="6" s="1"/>
  <c r="D55" i="6"/>
  <c r="D81" i="6"/>
  <c r="D80" i="6" s="1"/>
  <c r="D106" i="6"/>
  <c r="D132" i="6"/>
  <c r="D131" i="6" s="1"/>
  <c r="C32" i="6"/>
  <c r="C58" i="6"/>
  <c r="C84" i="6"/>
  <c r="C109" i="6"/>
  <c r="C135" i="6"/>
  <c r="C31" i="6"/>
  <c r="C57" i="6"/>
  <c r="C83" i="6"/>
  <c r="C108" i="6"/>
  <c r="C134" i="6"/>
  <c r="C133" i="6"/>
  <c r="C107" i="6"/>
  <c r="C82" i="6"/>
  <c r="C56" i="6"/>
  <c r="C30" i="6"/>
  <c r="C4" i="6"/>
  <c r="C29" i="6"/>
  <c r="C55" i="6"/>
  <c r="C81" i="6"/>
  <c r="C106" i="6"/>
  <c r="C132" i="6"/>
  <c r="C131" i="6" s="1"/>
  <c r="J6" i="1"/>
  <c r="B32" i="6" s="1"/>
  <c r="L6" i="1"/>
  <c r="B58" i="6" s="1"/>
  <c r="N6" i="1"/>
  <c r="B84" i="6" s="1"/>
  <c r="P6" i="1"/>
  <c r="B109" i="6" s="1"/>
  <c r="R6" i="1"/>
  <c r="B135" i="6" s="1"/>
  <c r="R5" i="1"/>
  <c r="B134" i="6" s="1"/>
  <c r="P5" i="1"/>
  <c r="B108" i="6" s="1"/>
  <c r="N5" i="1"/>
  <c r="B83" i="6" s="1"/>
  <c r="L5" i="1"/>
  <c r="B57" i="6" s="1"/>
  <c r="J5" i="1"/>
  <c r="B31" i="6" s="1"/>
  <c r="R4" i="1"/>
  <c r="B133" i="6" s="1"/>
  <c r="P4" i="1"/>
  <c r="B107" i="6" s="1"/>
  <c r="N4" i="1"/>
  <c r="B82" i="6" s="1"/>
  <c r="L4" i="1"/>
  <c r="B56" i="6" s="1"/>
  <c r="J4" i="1"/>
  <c r="B30" i="6" s="1"/>
  <c r="J3" i="1"/>
  <c r="B29" i="6" s="1"/>
  <c r="P3" i="1"/>
  <c r="B106" i="6" s="1"/>
  <c r="B132" i="6"/>
  <c r="N3" i="1"/>
  <c r="B81" i="6" s="1"/>
  <c r="B79" i="6" s="1"/>
  <c r="L3" i="1"/>
  <c r="B55" i="6" s="1"/>
  <c r="S130" i="6" l="1"/>
  <c r="S131" i="6"/>
  <c r="C53" i="6"/>
  <c r="L153" i="6"/>
  <c r="K156" i="6"/>
  <c r="K155" i="6"/>
  <c r="F80" i="6"/>
  <c r="I105" i="6"/>
  <c r="J79" i="6"/>
  <c r="G79" i="6"/>
  <c r="C79" i="6"/>
  <c r="O79" i="6"/>
  <c r="P77" i="6"/>
  <c r="O104" i="6"/>
  <c r="P102" i="6"/>
  <c r="R131" i="6"/>
  <c r="R130" i="6"/>
  <c r="G3" i="6"/>
  <c r="H6" i="6"/>
  <c r="H3" i="6"/>
  <c r="H5" i="6"/>
  <c r="F4" i="1"/>
  <c r="B4" i="6" s="1"/>
  <c r="F7" i="1"/>
  <c r="B7" i="6" s="1"/>
  <c r="M130" i="6"/>
  <c r="K79" i="6"/>
  <c r="D54" i="6"/>
  <c r="H54" i="6"/>
  <c r="O105" i="6"/>
  <c r="B53" i="6"/>
  <c r="F54" i="6"/>
  <c r="J53" i="6"/>
  <c r="M104" i="6"/>
  <c r="N104" i="6"/>
  <c r="O80" i="6"/>
  <c r="N51" i="6"/>
  <c r="M54" i="6"/>
  <c r="L80" i="6"/>
  <c r="N80" i="6"/>
  <c r="M53" i="6"/>
  <c r="N79" i="6"/>
  <c r="L79" i="6"/>
  <c r="M80" i="6"/>
  <c r="M79" i="6"/>
  <c r="N105" i="6"/>
  <c r="M105" i="6"/>
  <c r="M2" i="6"/>
  <c r="G53" i="6"/>
  <c r="K53" i="6"/>
  <c r="L54" i="6"/>
  <c r="D28" i="6"/>
  <c r="B27" i="6"/>
  <c r="B28" i="6"/>
  <c r="C27" i="6"/>
  <c r="C28" i="6"/>
  <c r="C105" i="6"/>
  <c r="G105" i="6"/>
  <c r="K105" i="6"/>
  <c r="D105" i="6"/>
  <c r="H105" i="6"/>
  <c r="L105" i="6"/>
  <c r="E28" i="6"/>
  <c r="E27" i="6"/>
  <c r="F25" i="6"/>
  <c r="E54" i="6"/>
  <c r="I54" i="6"/>
  <c r="E80" i="6"/>
  <c r="I80" i="6"/>
  <c r="B105" i="6"/>
  <c r="F104" i="6"/>
  <c r="J104" i="6"/>
  <c r="B130" i="6"/>
  <c r="F130" i="6"/>
  <c r="J131" i="6"/>
  <c r="C54" i="6"/>
  <c r="B104" i="6"/>
  <c r="F105" i="6"/>
  <c r="J130" i="6"/>
  <c r="K80" i="6"/>
  <c r="J105" i="6"/>
  <c r="B131" i="6"/>
  <c r="K54" i="6"/>
  <c r="G80" i="6"/>
  <c r="F131" i="6"/>
  <c r="G54" i="6"/>
  <c r="C80" i="6"/>
  <c r="F53" i="6"/>
  <c r="F79" i="6"/>
  <c r="B54" i="6"/>
  <c r="J54" i="6"/>
  <c r="I53" i="6"/>
  <c r="E53" i="6"/>
  <c r="B80" i="6"/>
  <c r="J80" i="6"/>
  <c r="I79" i="6"/>
  <c r="E79" i="6"/>
  <c r="C104" i="6"/>
  <c r="G104" i="6"/>
  <c r="K104" i="6"/>
  <c r="C130" i="6"/>
  <c r="G130" i="6"/>
  <c r="K130" i="6"/>
  <c r="L53" i="6"/>
  <c r="H53" i="6"/>
  <c r="D53" i="6"/>
  <c r="H79" i="6"/>
  <c r="D79" i="6"/>
  <c r="D104" i="6"/>
  <c r="H104" i="6"/>
  <c r="L104" i="6"/>
  <c r="D130" i="6"/>
  <c r="H130" i="6"/>
  <c r="L130" i="6"/>
  <c r="E104" i="6"/>
  <c r="I104" i="6"/>
  <c r="E130" i="6"/>
  <c r="I130" i="6"/>
  <c r="B26" i="6"/>
  <c r="B52" i="6" s="1"/>
  <c r="B78" i="6" s="1"/>
  <c r="B103" i="6" s="1"/>
  <c r="B129" i="6" s="1"/>
  <c r="B154" i="6" s="1"/>
  <c r="J26" i="6"/>
  <c r="J52" i="6" s="1"/>
  <c r="J78" i="6" s="1"/>
  <c r="J103" i="6" s="1"/>
  <c r="J129" i="6" s="1"/>
  <c r="J154" i="6" s="1"/>
  <c r="F26" i="6"/>
  <c r="F52" i="6" s="1"/>
  <c r="F78" i="6" s="1"/>
  <c r="F103" i="6" s="1"/>
  <c r="F129" i="6" s="1"/>
  <c r="F154" i="6" s="1"/>
  <c r="I26" i="6"/>
  <c r="I52" i="6" s="1"/>
  <c r="I78" i="6" s="1"/>
  <c r="I103" i="6" s="1"/>
  <c r="I129" i="6" s="1"/>
  <c r="I154" i="6" s="1"/>
  <c r="E26" i="6"/>
  <c r="E52" i="6" s="1"/>
  <c r="E78" i="6" s="1"/>
  <c r="E103" i="6" s="1"/>
  <c r="E129" i="6" s="1"/>
  <c r="E154" i="6" s="1"/>
  <c r="L26" i="6"/>
  <c r="L52" i="6" s="1"/>
  <c r="H26" i="6"/>
  <c r="H52" i="6" s="1"/>
  <c r="H78" i="6" s="1"/>
  <c r="H103" i="6" s="1"/>
  <c r="H129" i="6" s="1"/>
  <c r="H154" i="6" s="1"/>
  <c r="D26" i="6"/>
  <c r="D52" i="6" s="1"/>
  <c r="D78" i="6" s="1"/>
  <c r="D103" i="6" s="1"/>
  <c r="D129" i="6" s="1"/>
  <c r="D154" i="6" s="1"/>
  <c r="K26" i="6"/>
  <c r="K52" i="6" s="1"/>
  <c r="K78" i="6" s="1"/>
  <c r="K103" i="6" s="1"/>
  <c r="K129" i="6" s="1"/>
  <c r="K154" i="6" s="1"/>
  <c r="G26" i="6"/>
  <c r="G52" i="6" s="1"/>
  <c r="G78" i="6" s="1"/>
  <c r="G103" i="6" s="1"/>
  <c r="G129" i="6" s="1"/>
  <c r="G154" i="6" s="1"/>
  <c r="C26" i="6"/>
  <c r="C52" i="6" s="1"/>
  <c r="C78" i="6" s="1"/>
  <c r="C103" i="6" s="1"/>
  <c r="C129" i="6" s="1"/>
  <c r="C154" i="6" s="1"/>
  <c r="F3" i="1"/>
  <c r="B3" i="6" s="1"/>
  <c r="I3" i="6"/>
  <c r="C3" i="6"/>
  <c r="K3" i="6"/>
  <c r="L3" i="6"/>
  <c r="M3" i="6"/>
  <c r="F6" i="1"/>
  <c r="B6" i="6" s="1"/>
  <c r="F5" i="1"/>
  <c r="B5" i="6" s="1"/>
  <c r="C6" i="6"/>
  <c r="E6" i="6"/>
  <c r="F6" i="6"/>
  <c r="C5" i="6"/>
  <c r="F3" i="6"/>
  <c r="G6" i="6"/>
  <c r="I6" i="6"/>
  <c r="J6" i="6"/>
  <c r="K6" i="6"/>
  <c r="L6" i="6"/>
  <c r="M6" i="6"/>
  <c r="D3" i="6"/>
  <c r="D5" i="6"/>
  <c r="E3" i="6"/>
  <c r="E5" i="6"/>
  <c r="F5" i="6"/>
  <c r="J5" i="6"/>
  <c r="D6" i="6"/>
  <c r="G5" i="6"/>
  <c r="I5" i="6"/>
  <c r="K5" i="6"/>
  <c r="L5" i="6"/>
  <c r="M5" i="6"/>
  <c r="L155" i="6" l="1"/>
  <c r="M153" i="6"/>
  <c r="L156" i="6"/>
  <c r="Q102" i="6"/>
  <c r="P105" i="6"/>
  <c r="P104" i="6"/>
  <c r="Q77" i="6"/>
  <c r="P80" i="6"/>
  <c r="P79" i="6"/>
  <c r="O51" i="6"/>
  <c r="N53" i="6"/>
  <c r="N54" i="6"/>
  <c r="M26" i="6"/>
  <c r="N2" i="6"/>
  <c r="L78" i="6"/>
  <c r="L103" i="6" s="1"/>
  <c r="L129" i="6" s="1"/>
  <c r="L154" i="6" s="1"/>
  <c r="F27" i="6"/>
  <c r="G25" i="6"/>
  <c r="F28" i="6"/>
  <c r="N153" i="6" l="1"/>
  <c r="M156" i="6"/>
  <c r="M155" i="6"/>
  <c r="R77" i="6"/>
  <c r="S77" i="6" s="1"/>
  <c r="Q80" i="6"/>
  <c r="Q79" i="6"/>
  <c r="P51" i="6"/>
  <c r="O54" i="6"/>
  <c r="O53" i="6"/>
  <c r="R102" i="6"/>
  <c r="S102" i="6" s="1"/>
  <c r="Q105" i="6"/>
  <c r="Q104" i="6"/>
  <c r="O2" i="6"/>
  <c r="N26" i="6"/>
  <c r="N52" i="6" s="1"/>
  <c r="N78" i="6" s="1"/>
  <c r="N103" i="6" s="1"/>
  <c r="N129" i="6" s="1"/>
  <c r="N154" i="6" s="1"/>
  <c r="M52" i="6"/>
  <c r="M78" i="6" s="1"/>
  <c r="M103" i="6" s="1"/>
  <c r="M129" i="6" s="1"/>
  <c r="M154" i="6" s="1"/>
  <c r="H25" i="6"/>
  <c r="G28" i="6"/>
  <c r="G27" i="6"/>
  <c r="S104" i="6" l="1"/>
  <c r="S105" i="6"/>
  <c r="S79" i="6"/>
  <c r="S80" i="6"/>
  <c r="O153" i="6"/>
  <c r="N156" i="6"/>
  <c r="N155" i="6"/>
  <c r="Q51" i="6"/>
  <c r="P54" i="6"/>
  <c r="P53" i="6"/>
  <c r="R104" i="6"/>
  <c r="R105" i="6"/>
  <c r="R79" i="6"/>
  <c r="R80" i="6"/>
  <c r="O26" i="6"/>
  <c r="P2" i="6"/>
  <c r="I25" i="6"/>
  <c r="H28" i="6"/>
  <c r="H27" i="6"/>
  <c r="P153" i="6" l="1"/>
  <c r="O155" i="6"/>
  <c r="O156" i="6"/>
  <c r="R51" i="6"/>
  <c r="S51" i="6" s="1"/>
  <c r="Q54" i="6"/>
  <c r="Q53" i="6"/>
  <c r="Q2" i="6"/>
  <c r="P26" i="6"/>
  <c r="P52" i="6" s="1"/>
  <c r="P78" i="6" s="1"/>
  <c r="P103" i="6" s="1"/>
  <c r="P129" i="6" s="1"/>
  <c r="P154" i="6" s="1"/>
  <c r="O52" i="6"/>
  <c r="O78" i="6" s="1"/>
  <c r="O103" i="6" s="1"/>
  <c r="O129" i="6" s="1"/>
  <c r="O154" i="6" s="1"/>
  <c r="I28" i="6"/>
  <c r="I27" i="6"/>
  <c r="J25" i="6"/>
  <c r="P155" i="6" l="1"/>
  <c r="P156" i="6"/>
  <c r="Q153" i="6"/>
  <c r="R53" i="6"/>
  <c r="R54" i="6"/>
  <c r="R2" i="6"/>
  <c r="R26" i="6" s="1"/>
  <c r="Q26" i="6"/>
  <c r="Q52" i="6" s="1"/>
  <c r="Q78" i="6" s="1"/>
  <c r="Q103" i="6" s="1"/>
  <c r="Q129" i="6" s="1"/>
  <c r="Q154" i="6" s="1"/>
  <c r="J28" i="6"/>
  <c r="K25" i="6"/>
  <c r="J27" i="6"/>
  <c r="R153" i="6" l="1"/>
  <c r="S153" i="6" s="1"/>
  <c r="Q156" i="6"/>
  <c r="Q155" i="6"/>
  <c r="R52" i="6"/>
  <c r="S2" i="6"/>
  <c r="L25" i="6"/>
  <c r="M25" i="6" s="1"/>
  <c r="K28" i="6"/>
  <c r="K27" i="6"/>
  <c r="S26" i="6" l="1"/>
  <c r="T2" i="6"/>
  <c r="T26" i="6" s="1"/>
  <c r="T52" i="6" s="1"/>
  <c r="T78" i="6" s="1"/>
  <c r="T103" i="6" s="1"/>
  <c r="T129" i="6" s="1"/>
  <c r="T154" i="6" s="1"/>
  <c r="R78" i="6"/>
  <c r="R103" i="6" s="1"/>
  <c r="R129" i="6" s="1"/>
  <c r="R154" i="6" s="1"/>
  <c r="S156" i="6"/>
  <c r="S155" i="6"/>
  <c r="R156" i="6"/>
  <c r="R155" i="6"/>
  <c r="N25" i="6"/>
  <c r="M28" i="6"/>
  <c r="M27" i="6"/>
  <c r="L28" i="6"/>
  <c r="L27" i="6"/>
  <c r="S52" i="6" l="1"/>
  <c r="S78" i="6" s="1"/>
  <c r="S103" i="6" s="1"/>
  <c r="S129" i="6" s="1"/>
  <c r="S154" i="6" s="1"/>
  <c r="O25" i="6"/>
  <c r="P25" i="6" s="1"/>
  <c r="N28" i="6"/>
  <c r="N27" i="6"/>
  <c r="Q25" i="6" l="1"/>
  <c r="P28" i="6"/>
  <c r="P27" i="6"/>
  <c r="O27" i="6"/>
  <c r="O28" i="6"/>
  <c r="R25" i="6" l="1"/>
  <c r="S25" i="6" s="1"/>
  <c r="Q27" i="6"/>
  <c r="Q28" i="6"/>
  <c r="S27" i="6" l="1"/>
  <c r="S28" i="6"/>
  <c r="R28" i="6"/>
  <c r="R27" i="6"/>
</calcChain>
</file>

<file path=xl/sharedStrings.xml><?xml version="1.0" encoding="utf-8"?>
<sst xmlns="http://schemas.openxmlformats.org/spreadsheetml/2006/main" count="423" uniqueCount="43">
  <si>
    <t>date</t>
  </si>
  <si>
    <t>total</t>
  </si>
  <si>
    <t>Type</t>
  </si>
  <si>
    <t>Random</t>
  </si>
  <si>
    <t>Total</t>
  </si>
  <si>
    <t>Cluster</t>
  </si>
  <si>
    <t>Strata</t>
  </si>
  <si>
    <t>descN</t>
  </si>
  <si>
    <t>rateN</t>
  </si>
  <si>
    <t>genN</t>
  </si>
  <si>
    <t>genP</t>
  </si>
  <si>
    <t>netN</t>
  </si>
  <si>
    <t>netP</t>
  </si>
  <si>
    <t>dur%</t>
  </si>
  <si>
    <t>durat</t>
  </si>
  <si>
    <t>descP</t>
  </si>
  <si>
    <t>rateP</t>
  </si>
  <si>
    <t>goodN</t>
  </si>
  <si>
    <t>goodP</t>
  </si>
  <si>
    <t>Good-%</t>
  </si>
  <si>
    <t>Dur-%</t>
  </si>
  <si>
    <t>Desc-%</t>
  </si>
  <si>
    <t>Rate-%</t>
  </si>
  <si>
    <t>Gen-%</t>
  </si>
  <si>
    <t>Net-%</t>
  </si>
  <si>
    <t>95%H</t>
  </si>
  <si>
    <t>95%L</t>
  </si>
  <si>
    <t>95%C</t>
  </si>
  <si>
    <t>imgN</t>
  </si>
  <si>
    <t>imgP</t>
  </si>
  <si>
    <t>Convent</t>
  </si>
  <si>
    <t>Img-%</t>
  </si>
  <si>
    <t>Popular</t>
  </si>
  <si>
    <t>DateAdd</t>
  </si>
  <si>
    <t>Critics</t>
  </si>
  <si>
    <t>Tomato</t>
  </si>
  <si>
    <t>Relevance</t>
  </si>
  <si>
    <t>Sort</t>
  </si>
  <si>
    <t>Name</t>
  </si>
  <si>
    <t>Filters</t>
  </si>
  <si>
    <t>Title</t>
  </si>
  <si>
    <t>Dups</t>
  </si>
  <si>
    <t>dupP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</si>
</sst>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9" fontId="1" fillId="0" borderId="0" xfId="1" applyFont="1"/>
    <xf numFmtId="164" fontId="1" fillId="0" borderId="0" xfId="1" applyNumberFormat="1" applyFont="1"/>
    <xf numFmtId="9" fontId="0" fillId="0" borderId="0" xfId="1" applyFont="1"/>
    <xf numFmtId="16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Duration</a:t>
            </a:r>
            <a:r>
              <a:rPr lang="en-US" baseline="0"/>
              <a:t> vs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percent!$A$3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percent!$B$2:$T$2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percent!$B$3:$T$3</c:f>
              <c:numCache>
                <c:formatCode>0.0%</c:formatCode>
                <c:ptCount val="19"/>
                <c:pt idx="0">
                  <c:v>1.4677002583979328</c:v>
                </c:pt>
                <c:pt idx="1">
                  <c:v>1.0185528756957329</c:v>
                </c:pt>
                <c:pt idx="2">
                  <c:v>1.7761732851985559</c:v>
                </c:pt>
                <c:pt idx="3">
                  <c:v>0.87878787878787878</c:v>
                </c:pt>
                <c:pt idx="4">
                  <c:v>1.0636704119850187</c:v>
                </c:pt>
                <c:pt idx="5">
                  <c:v>1.0326086956521738</c:v>
                </c:pt>
                <c:pt idx="6">
                  <c:v>0.59082568807339453</c:v>
                </c:pt>
                <c:pt idx="7">
                  <c:v>1.0451127819548873</c:v>
                </c:pt>
                <c:pt idx="8">
                  <c:v>1.6492537313432836</c:v>
                </c:pt>
                <c:pt idx="9">
                  <c:v>0.72790697674418603</c:v>
                </c:pt>
                <c:pt idx="10">
                  <c:v>0.91218130311614731</c:v>
                </c:pt>
                <c:pt idx="11">
                  <c:v>1.0716845878136201</c:v>
                </c:pt>
                <c:pt idx="12">
                  <c:v>1.8333333333333333</c:v>
                </c:pt>
                <c:pt idx="13">
                  <c:v>1.0068493150684932</c:v>
                </c:pt>
                <c:pt idx="14">
                  <c:v>1.2678571428571428</c:v>
                </c:pt>
                <c:pt idx="15">
                  <c:v>1.8691588785046729</c:v>
                </c:pt>
                <c:pt idx="16">
                  <c:v>1.132890365448505</c:v>
                </c:pt>
                <c:pt idx="17">
                  <c:v>1.054945054945055</c:v>
                </c:pt>
                <c:pt idx="18">
                  <c:v>1.1319444444444444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percent!$B$2:$T$2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percent!$B$4:$T$4</c:f>
              <c:numCache>
                <c:formatCode>0.0%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percent!$A$5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percent!$B$2:$T$2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percent!$B$5:$T$5</c:f>
              <c:numCache>
                <c:formatCode>0.0%</c:formatCode>
                <c:ptCount val="19"/>
                <c:pt idx="0">
                  <c:v>0.48578811369509045</c:v>
                </c:pt>
                <c:pt idx="1">
                  <c:v>0.11131725417439703</c:v>
                </c:pt>
                <c:pt idx="2">
                  <c:v>0.22743682310469315</c:v>
                </c:pt>
                <c:pt idx="3">
                  <c:v>0.18484848484848485</c:v>
                </c:pt>
                <c:pt idx="4">
                  <c:v>0.21722846441947566</c:v>
                </c:pt>
                <c:pt idx="5">
                  <c:v>0.21014492753623187</c:v>
                </c:pt>
                <c:pt idx="6">
                  <c:v>0.19633027522935781</c:v>
                </c:pt>
                <c:pt idx="7">
                  <c:v>0.22932330827067668</c:v>
                </c:pt>
                <c:pt idx="8">
                  <c:v>0.22014925373134328</c:v>
                </c:pt>
                <c:pt idx="9">
                  <c:v>0.31860465116279069</c:v>
                </c:pt>
                <c:pt idx="10">
                  <c:v>0.17280453257790368</c:v>
                </c:pt>
                <c:pt idx="11">
                  <c:v>0.2078853046594982</c:v>
                </c:pt>
                <c:pt idx="12">
                  <c:v>0.22486772486772486</c:v>
                </c:pt>
                <c:pt idx="13">
                  <c:v>0.22602739726027396</c:v>
                </c:pt>
                <c:pt idx="14">
                  <c:v>0.27142857142857141</c:v>
                </c:pt>
                <c:pt idx="15">
                  <c:v>0.29283489096573206</c:v>
                </c:pt>
                <c:pt idx="16">
                  <c:v>0.20598006644518271</c:v>
                </c:pt>
                <c:pt idx="17">
                  <c:v>0.21978021978021978</c:v>
                </c:pt>
                <c:pt idx="18">
                  <c:v>0.28472222222222221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percent!$A$6</c:f>
              <c:strCache>
                <c:ptCount val="1"/>
                <c:pt idx="0">
                  <c:v>Strata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percent!$B$2:$T$2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percent!$B$6:$T$6</c:f>
              <c:numCache>
                <c:formatCode>0.0%</c:formatCode>
                <c:ptCount val="19"/>
                <c:pt idx="0">
                  <c:v>0.84496124031007747</c:v>
                </c:pt>
                <c:pt idx="1">
                  <c:v>0.54730983302411873</c:v>
                </c:pt>
                <c:pt idx="2">
                  <c:v>1.1119133574007221</c:v>
                </c:pt>
                <c:pt idx="3">
                  <c:v>1.5393939393939393</c:v>
                </c:pt>
                <c:pt idx="4">
                  <c:v>1.0262172284644195</c:v>
                </c:pt>
                <c:pt idx="5">
                  <c:v>1.0942028985507246</c:v>
                </c:pt>
                <c:pt idx="6">
                  <c:v>1.1908256880733945</c:v>
                </c:pt>
                <c:pt idx="7">
                  <c:v>1.0488721804511278</c:v>
                </c:pt>
                <c:pt idx="8">
                  <c:v>1.1343283582089552</c:v>
                </c:pt>
                <c:pt idx="9">
                  <c:v>0.96279069767441861</c:v>
                </c:pt>
                <c:pt idx="10">
                  <c:v>0.79320113314447593</c:v>
                </c:pt>
                <c:pt idx="11">
                  <c:v>1.043010752688172</c:v>
                </c:pt>
                <c:pt idx="12">
                  <c:v>1.0291005291005291</c:v>
                </c:pt>
                <c:pt idx="13">
                  <c:v>1.0102739726027397</c:v>
                </c:pt>
                <c:pt idx="14">
                  <c:v>1.5607142857142857</c:v>
                </c:pt>
                <c:pt idx="15">
                  <c:v>1.0623052959501558</c:v>
                </c:pt>
                <c:pt idx="16">
                  <c:v>1.0730897009966778</c:v>
                </c:pt>
                <c:pt idx="17">
                  <c:v>1.2234432234432235</c:v>
                </c:pt>
                <c:pt idx="18">
                  <c:v>0.96875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percent!$A$7</c:f>
              <c:strCache>
                <c:ptCount val="1"/>
                <c:pt idx="0">
                  <c:v>Convent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percent!$B$2:$T$2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percent!$B$7:$T$7</c:f>
              <c:numCache>
                <c:formatCode>0.0%</c:formatCode>
                <c:ptCount val="19"/>
                <c:pt idx="0">
                  <c:v>0.84754521963824292</c:v>
                </c:pt>
                <c:pt idx="1">
                  <c:v>0.37476808905380332</c:v>
                </c:pt>
                <c:pt idx="2">
                  <c:v>1.6787003610108304</c:v>
                </c:pt>
                <c:pt idx="3">
                  <c:v>0.70909090909090911</c:v>
                </c:pt>
                <c:pt idx="4">
                  <c:v>0.77153558052434457</c:v>
                </c:pt>
                <c:pt idx="5">
                  <c:v>0.76086956521739135</c:v>
                </c:pt>
                <c:pt idx="6">
                  <c:v>0.43119266055045874</c:v>
                </c:pt>
                <c:pt idx="7">
                  <c:v>0.85338345864661658</c:v>
                </c:pt>
                <c:pt idx="8">
                  <c:v>0.89552238805970152</c:v>
                </c:pt>
                <c:pt idx="9">
                  <c:v>0.48837209302325579</c:v>
                </c:pt>
                <c:pt idx="10">
                  <c:v>0.60339943342776203</c:v>
                </c:pt>
                <c:pt idx="11">
                  <c:v>0.82078853046594979</c:v>
                </c:pt>
                <c:pt idx="12">
                  <c:v>1.4312169312169312</c:v>
                </c:pt>
                <c:pt idx="13">
                  <c:v>0.8047945205479452</c:v>
                </c:pt>
                <c:pt idx="14">
                  <c:v>0.82857142857142863</c:v>
                </c:pt>
                <c:pt idx="15">
                  <c:v>1.1993769470404985</c:v>
                </c:pt>
                <c:pt idx="16">
                  <c:v>0.95348837209302328</c:v>
                </c:pt>
                <c:pt idx="17">
                  <c:v>0.77655677655677657</c:v>
                </c:pt>
                <c:pt idx="18">
                  <c:v>0.81597222222222221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97984"/>
        <c:axId val="561296416"/>
      </c:lineChart>
      <c:dateAx>
        <c:axId val="561297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6416"/>
        <c:crosses val="autoZero"/>
        <c:auto val="1"/>
        <c:lblOffset val="100"/>
        <c:baseTimeUnit val="days"/>
      </c:dateAx>
      <c:valAx>
        <c:axId val="561296416"/>
        <c:scaling>
          <c:orientation val="minMax"/>
          <c:max val="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</a:t>
            </a:r>
            <a:r>
              <a:rPr lang="en-US" baseline="0"/>
              <a:t> No Descripiton</a:t>
            </a:r>
            <a:endParaRPr lang="en-US"/>
          </a:p>
        </c:rich>
      </c:tx>
      <c:layout>
        <c:manualLayout>
          <c:xMode val="edge"/>
          <c:yMode val="edge"/>
          <c:x val="0.3150485564304462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percent!$A$53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percent!$B$52:$T$52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percent!$B$53:$T$53</c:f>
              <c:numCache>
                <c:formatCode>0.0%</c:formatCode>
                <c:ptCount val="19"/>
                <c:pt idx="0">
                  <c:v>0.2017394949976179</c:v>
                </c:pt>
                <c:pt idx="1">
                  <c:v>0.20216723343397425</c:v>
                </c:pt>
                <c:pt idx="2">
                  <c:v>0.20161215382180725</c:v>
                </c:pt>
                <c:pt idx="3">
                  <c:v>0.20171567789906661</c:v>
                </c:pt>
                <c:pt idx="4">
                  <c:v>0.20132295030072808</c:v>
                </c:pt>
                <c:pt idx="5">
                  <c:v>0.20170383704405495</c:v>
                </c:pt>
                <c:pt idx="6">
                  <c:v>0.20131184834123222</c:v>
                </c:pt>
                <c:pt idx="7">
                  <c:v>0.20169423685877136</c:v>
                </c:pt>
                <c:pt idx="8">
                  <c:v>0.20185863708399365</c:v>
                </c:pt>
                <c:pt idx="9">
                  <c:v>0.20180380228136882</c:v>
                </c:pt>
                <c:pt idx="10">
                  <c:v>0.20185863708399365</c:v>
                </c:pt>
                <c:pt idx="11">
                  <c:v>0.20198347316764287</c:v>
                </c:pt>
                <c:pt idx="12">
                  <c:v>0.20088352959648295</c:v>
                </c:pt>
                <c:pt idx="13">
                  <c:v>0.20049337103361609</c:v>
                </c:pt>
                <c:pt idx="14">
                  <c:v>0.20113238904627007</c:v>
                </c:pt>
                <c:pt idx="15">
                  <c:v>0.20128977022348127</c:v>
                </c:pt>
                <c:pt idx="16">
                  <c:v>0.20152298253893344</c:v>
                </c:pt>
                <c:pt idx="17">
                  <c:v>0.20112704402515721</c:v>
                </c:pt>
                <c:pt idx="18">
                  <c:v>0.20220859203512073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percent!$A$54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percent!$B$52:$T$52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percent!$B$54:$T$54</c:f>
              <c:numCache>
                <c:formatCode>0.0%</c:formatCode>
                <c:ptCount val="19"/>
                <c:pt idx="0">
                  <c:v>0.14413949499761791</c:v>
                </c:pt>
                <c:pt idx="1">
                  <c:v>0.14456723343397426</c:v>
                </c:pt>
                <c:pt idx="2">
                  <c:v>0.14401215382180726</c:v>
                </c:pt>
                <c:pt idx="3">
                  <c:v>0.14411567789906662</c:v>
                </c:pt>
                <c:pt idx="4">
                  <c:v>0.1437229503007281</c:v>
                </c:pt>
                <c:pt idx="5">
                  <c:v>0.14410383704405497</c:v>
                </c:pt>
                <c:pt idx="6">
                  <c:v>0.14371184834123224</c:v>
                </c:pt>
                <c:pt idx="7">
                  <c:v>0.14409423685877137</c:v>
                </c:pt>
                <c:pt idx="8">
                  <c:v>0.14425863708399367</c:v>
                </c:pt>
                <c:pt idx="9">
                  <c:v>0.14420380228136884</c:v>
                </c:pt>
                <c:pt idx="10">
                  <c:v>0.14425863708399367</c:v>
                </c:pt>
                <c:pt idx="11">
                  <c:v>0.14438347316764288</c:v>
                </c:pt>
                <c:pt idx="12">
                  <c:v>0.14328352959648297</c:v>
                </c:pt>
                <c:pt idx="13">
                  <c:v>0.1428933710336161</c:v>
                </c:pt>
                <c:pt idx="14">
                  <c:v>0.14353238904627008</c:v>
                </c:pt>
                <c:pt idx="15">
                  <c:v>0.14368977022348128</c:v>
                </c:pt>
                <c:pt idx="16">
                  <c:v>0.14392298253893346</c:v>
                </c:pt>
                <c:pt idx="17">
                  <c:v>0.14352704402515723</c:v>
                </c:pt>
                <c:pt idx="18">
                  <c:v>0.14460859203512075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percent!$A$56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percent!$B$52:$T$52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percent!$B$56:$T$56</c:f>
              <c:numCache>
                <c:formatCode>0.0%</c:formatCode>
                <c:ptCount val="19"/>
                <c:pt idx="0">
                  <c:v>0.16695059625212946</c:v>
                </c:pt>
                <c:pt idx="1">
                  <c:v>0.17176870748299319</c:v>
                </c:pt>
                <c:pt idx="2">
                  <c:v>0.18319327731092436</c:v>
                </c:pt>
                <c:pt idx="3">
                  <c:v>0.17715231788079469</c:v>
                </c:pt>
                <c:pt idx="4">
                  <c:v>0.17247097844112769</c:v>
                </c:pt>
                <c:pt idx="5">
                  <c:v>0.19102990033222592</c:v>
                </c:pt>
                <c:pt idx="6">
                  <c:v>0.1697792869269949</c:v>
                </c:pt>
                <c:pt idx="7">
                  <c:v>0.18959731543624161</c:v>
                </c:pt>
                <c:pt idx="8">
                  <c:v>0.15798319327731092</c:v>
                </c:pt>
                <c:pt idx="9">
                  <c:v>0.19568822553897181</c:v>
                </c:pt>
                <c:pt idx="10">
                  <c:v>0.17195325542570952</c:v>
                </c:pt>
                <c:pt idx="11">
                  <c:v>0.16996699669966997</c:v>
                </c:pt>
                <c:pt idx="12">
                  <c:v>0.16722408026755853</c:v>
                </c:pt>
                <c:pt idx="13">
                  <c:v>0.17898193760262726</c:v>
                </c:pt>
                <c:pt idx="14">
                  <c:v>0.16777408637873753</c:v>
                </c:pt>
                <c:pt idx="15">
                  <c:v>0.16917922948073702</c:v>
                </c:pt>
                <c:pt idx="16">
                  <c:v>0.1617161716171617</c:v>
                </c:pt>
                <c:pt idx="17">
                  <c:v>0.15511551155115511</c:v>
                </c:pt>
                <c:pt idx="18">
                  <c:v>0.16857610474631751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percent!$A$57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percent!$B$52:$T$52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percent!$B$57:$T$57</c:f>
              <c:numCache>
                <c:formatCode>0.0%</c:formatCode>
                <c:ptCount val="19"/>
                <c:pt idx="0">
                  <c:v>0.16402116402116401</c:v>
                </c:pt>
                <c:pt idx="1">
                  <c:v>0.19180327868852459</c:v>
                </c:pt>
                <c:pt idx="2">
                  <c:v>0.16229508196721312</c:v>
                </c:pt>
                <c:pt idx="3">
                  <c:v>0.15333333333333332</c:v>
                </c:pt>
                <c:pt idx="4">
                  <c:v>0.16610169491525423</c:v>
                </c:pt>
                <c:pt idx="5">
                  <c:v>0.19180327868852459</c:v>
                </c:pt>
                <c:pt idx="6">
                  <c:v>0.16349206349206349</c:v>
                </c:pt>
                <c:pt idx="7">
                  <c:v>0.13500000000000001</c:v>
                </c:pt>
                <c:pt idx="8">
                  <c:v>0.14210526315789473</c:v>
                </c:pt>
                <c:pt idx="9">
                  <c:v>0.15094339622641509</c:v>
                </c:pt>
                <c:pt idx="10">
                  <c:v>0.14833333333333334</c:v>
                </c:pt>
                <c:pt idx="11">
                  <c:v>0.17192982456140352</c:v>
                </c:pt>
                <c:pt idx="12">
                  <c:v>0.13628899835796388</c:v>
                </c:pt>
                <c:pt idx="13">
                  <c:v>0.14499999999999999</c:v>
                </c:pt>
                <c:pt idx="14">
                  <c:v>0.16885245901639345</c:v>
                </c:pt>
                <c:pt idx="15">
                  <c:v>0.18305084745762712</c:v>
                </c:pt>
                <c:pt idx="16">
                  <c:v>0.16949152542372881</c:v>
                </c:pt>
                <c:pt idx="17">
                  <c:v>0.19333333333333333</c:v>
                </c:pt>
                <c:pt idx="18">
                  <c:v>0.18448275862068966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percent!$A$58</c:f>
              <c:strCache>
                <c:ptCount val="1"/>
                <c:pt idx="0">
                  <c:v>Strata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percent!$B$52:$T$52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percent!$B$58:$T$58</c:f>
              <c:numCache>
                <c:formatCode>0.0%</c:formatCode>
                <c:ptCount val="19"/>
                <c:pt idx="0">
                  <c:v>0.1490066225165563</c:v>
                </c:pt>
                <c:pt idx="1">
                  <c:v>0.17252931323283083</c:v>
                </c:pt>
                <c:pt idx="2">
                  <c:v>0.17377049180327869</c:v>
                </c:pt>
                <c:pt idx="3">
                  <c:v>0.1824212271973466</c:v>
                </c:pt>
                <c:pt idx="4">
                  <c:v>0.1652754590984975</c:v>
                </c:pt>
                <c:pt idx="5">
                  <c:v>0.1691542288557214</c:v>
                </c:pt>
                <c:pt idx="6">
                  <c:v>0.15497553017944535</c:v>
                </c:pt>
                <c:pt idx="7">
                  <c:v>0.16556291390728478</c:v>
                </c:pt>
                <c:pt idx="8">
                  <c:v>0.17348608837970539</c:v>
                </c:pt>
                <c:pt idx="9">
                  <c:v>0.17685950413223139</c:v>
                </c:pt>
                <c:pt idx="10">
                  <c:v>0.18739635157545606</c:v>
                </c:pt>
                <c:pt idx="11">
                  <c:v>0.1702127659574468</c:v>
                </c:pt>
                <c:pt idx="12">
                  <c:v>0.1702127659574468</c:v>
                </c:pt>
                <c:pt idx="13">
                  <c:v>0.16339869281045752</c:v>
                </c:pt>
                <c:pt idx="14">
                  <c:v>0.17886178861788618</c:v>
                </c:pt>
                <c:pt idx="15">
                  <c:v>0.18241042345276873</c:v>
                </c:pt>
                <c:pt idx="16">
                  <c:v>0.16506410256410256</c:v>
                </c:pt>
                <c:pt idx="17">
                  <c:v>0.15296052631578946</c:v>
                </c:pt>
                <c:pt idx="18">
                  <c:v>0.20098846787479407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percent!$A$59</c:f>
              <c:strCache>
                <c:ptCount val="1"/>
                <c:pt idx="0">
                  <c:v>Convent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percent!$B$52:$T$52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percent!$B$59:$T$59</c:f>
              <c:numCache>
                <c:formatCode>0.0%</c:formatCode>
                <c:ptCount val="19"/>
                <c:pt idx="0">
                  <c:v>6.4065708418891171E-2</c:v>
                </c:pt>
                <c:pt idx="1">
                  <c:v>6.5297741273100618E-2</c:v>
                </c:pt>
                <c:pt idx="2">
                  <c:v>6.032006565449323E-2</c:v>
                </c:pt>
                <c:pt idx="3">
                  <c:v>5.947497949138638E-2</c:v>
                </c:pt>
                <c:pt idx="4">
                  <c:v>5.9499384489125971E-2</c:v>
                </c:pt>
                <c:pt idx="5">
                  <c:v>6.3524590163934427E-2</c:v>
                </c:pt>
                <c:pt idx="6">
                  <c:v>7.6636288318144161E-2</c:v>
                </c:pt>
                <c:pt idx="7">
                  <c:v>6.0295324036095159E-2</c:v>
                </c:pt>
                <c:pt idx="8">
                  <c:v>6.5654493229380384E-2</c:v>
                </c:pt>
                <c:pt idx="9">
                  <c:v>6.032006565449323E-2</c:v>
                </c:pt>
                <c:pt idx="10">
                  <c:v>5.7471264367816091E-2</c:v>
                </c:pt>
                <c:pt idx="11">
                  <c:v>5.8268362741075094E-2</c:v>
                </c:pt>
                <c:pt idx="12">
                  <c:v>5.5578259092766653E-2</c:v>
                </c:pt>
                <c:pt idx="13">
                  <c:v>5.6781045751633986E-2</c:v>
                </c:pt>
                <c:pt idx="14">
                  <c:v>5.8438904781364938E-2</c:v>
                </c:pt>
                <c:pt idx="15">
                  <c:v>5.8415032679738563E-2</c:v>
                </c:pt>
                <c:pt idx="16">
                  <c:v>5.7668711656441718E-2</c:v>
                </c:pt>
                <c:pt idx="17">
                  <c:v>5.1041241322988977E-2</c:v>
                </c:pt>
                <c:pt idx="18">
                  <c:v>5.5487556099551201E-2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94848"/>
        <c:axId val="561295240"/>
      </c:lineChart>
      <c:dateAx>
        <c:axId val="561294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5240"/>
        <c:crosses val="autoZero"/>
        <c:auto val="1"/>
        <c:lblOffset val="100"/>
        <c:baseTimeUnit val="days"/>
      </c:dateAx>
      <c:valAx>
        <c:axId val="561295240"/>
        <c:scaling>
          <c:orientation val="minMax"/>
          <c:max val="0.2100000000000000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No View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percent!$A$79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percent!$B$78:$T$78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percent!$B$79:$T$79</c:f>
              <c:numCache>
                <c:formatCode>0.0%</c:formatCode>
                <c:ptCount val="19"/>
                <c:pt idx="0">
                  <c:v>1.7445958392885499E-2</c:v>
                </c:pt>
                <c:pt idx="1">
                  <c:v>1.7611123470522804E-2</c:v>
                </c:pt>
                <c:pt idx="2">
                  <c:v>1.7569931951258111E-2</c:v>
                </c:pt>
                <c:pt idx="3">
                  <c:v>1.7092168960607498E-2</c:v>
                </c:pt>
                <c:pt idx="4">
                  <c:v>1.6938398227287117E-2</c:v>
                </c:pt>
                <c:pt idx="5">
                  <c:v>1.691627980420022E-2</c:v>
                </c:pt>
                <c:pt idx="6">
                  <c:v>1.6920695102685623E-2</c:v>
                </c:pt>
                <c:pt idx="7">
                  <c:v>1.6783027232425585E-2</c:v>
                </c:pt>
                <c:pt idx="8">
                  <c:v>1.6791759112519809E-2</c:v>
                </c:pt>
                <c:pt idx="9">
                  <c:v>1.6788846641318123E-2</c:v>
                </c:pt>
                <c:pt idx="10">
                  <c:v>1.6791759112519809E-2</c:v>
                </c:pt>
                <c:pt idx="11">
                  <c:v>1.678157353173975E-2</c:v>
                </c:pt>
                <c:pt idx="12">
                  <c:v>1.6706610142879573E-2</c:v>
                </c:pt>
                <c:pt idx="13">
                  <c:v>1.6710901665095822E-2</c:v>
                </c:pt>
                <c:pt idx="14">
                  <c:v>1.6728108278249922E-2</c:v>
                </c:pt>
                <c:pt idx="15">
                  <c:v>1.6728108278249922E-2</c:v>
                </c:pt>
                <c:pt idx="16">
                  <c:v>1.6723800534843479E-2</c:v>
                </c:pt>
                <c:pt idx="17">
                  <c:v>1.6719496855345913E-2</c:v>
                </c:pt>
                <c:pt idx="18">
                  <c:v>1.6693759799310127E-2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percent!$A$80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percent!$B$78:$T$78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percent!$B$80:$T$80</c:f>
              <c:numCache>
                <c:formatCode>0.0%</c:formatCode>
                <c:ptCount val="19"/>
                <c:pt idx="0">
                  <c:v>2.2459583928855003E-3</c:v>
                </c:pt>
                <c:pt idx="1">
                  <c:v>2.4111234705228033E-3</c:v>
                </c:pt>
                <c:pt idx="2">
                  <c:v>2.3699319512581101E-3</c:v>
                </c:pt>
                <c:pt idx="3">
                  <c:v>1.8921689606074986E-3</c:v>
                </c:pt>
                <c:pt idx="4">
                  <c:v>1.7383982272871157E-3</c:v>
                </c:pt>
                <c:pt idx="5">
                  <c:v>1.7162798042002205E-3</c:v>
                </c:pt>
                <c:pt idx="6">
                  <c:v>1.7206951026856243E-3</c:v>
                </c:pt>
                <c:pt idx="7">
                  <c:v>1.5830272324255856E-3</c:v>
                </c:pt>
                <c:pt idx="8">
                  <c:v>1.5917591125198102E-3</c:v>
                </c:pt>
                <c:pt idx="9">
                  <c:v>1.5888466413181241E-3</c:v>
                </c:pt>
                <c:pt idx="10">
                  <c:v>1.5917591125198102E-3</c:v>
                </c:pt>
                <c:pt idx="11">
                  <c:v>1.5815735317397496E-3</c:v>
                </c:pt>
                <c:pt idx="12">
                  <c:v>1.5066101428795721E-3</c:v>
                </c:pt>
                <c:pt idx="13">
                  <c:v>1.5109016650958216E-3</c:v>
                </c:pt>
                <c:pt idx="14">
                  <c:v>1.5281082782499207E-3</c:v>
                </c:pt>
                <c:pt idx="15">
                  <c:v>1.5281082782499207E-3</c:v>
                </c:pt>
                <c:pt idx="16">
                  <c:v>1.5238005348434799E-3</c:v>
                </c:pt>
                <c:pt idx="17">
                  <c:v>1.5194968553459117E-3</c:v>
                </c:pt>
                <c:pt idx="18">
                  <c:v>1.4937597993101284E-3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percent!$A$82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percent!$B$78:$T$78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percent!$B$82:$T$82</c:f>
              <c:numCache>
                <c:formatCode>0.0%</c:formatCode>
                <c:ptCount val="19"/>
                <c:pt idx="0">
                  <c:v>8.5178875638841564E-3</c:v>
                </c:pt>
                <c:pt idx="1">
                  <c:v>1.3605442176870748E-2</c:v>
                </c:pt>
                <c:pt idx="2">
                  <c:v>1.5126050420168067E-2</c:v>
                </c:pt>
                <c:pt idx="3">
                  <c:v>8.2781456953642391E-3</c:v>
                </c:pt>
                <c:pt idx="4">
                  <c:v>1.3266998341625208E-2</c:v>
                </c:pt>
                <c:pt idx="5">
                  <c:v>9.9667774086378731E-3</c:v>
                </c:pt>
                <c:pt idx="6">
                  <c:v>1.1884550084889643E-2</c:v>
                </c:pt>
                <c:pt idx="7">
                  <c:v>6.7114093959731542E-3</c:v>
                </c:pt>
                <c:pt idx="8">
                  <c:v>8.4033613445378148E-3</c:v>
                </c:pt>
                <c:pt idx="9">
                  <c:v>1.1608623548922056E-2</c:v>
                </c:pt>
                <c:pt idx="10">
                  <c:v>1.1686143572621035E-2</c:v>
                </c:pt>
                <c:pt idx="11">
                  <c:v>8.2508250825082501E-3</c:v>
                </c:pt>
                <c:pt idx="12">
                  <c:v>6.688963210702341E-3</c:v>
                </c:pt>
                <c:pt idx="13">
                  <c:v>9.852216748768473E-3</c:v>
                </c:pt>
                <c:pt idx="14">
                  <c:v>3.3222591362126247E-3</c:v>
                </c:pt>
                <c:pt idx="15">
                  <c:v>8.3752093802345051E-3</c:v>
                </c:pt>
                <c:pt idx="16">
                  <c:v>1.155115511551155E-2</c:v>
                </c:pt>
                <c:pt idx="17">
                  <c:v>8.2508250825082501E-3</c:v>
                </c:pt>
                <c:pt idx="18">
                  <c:v>1.4729950900163666E-2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percent!$A$83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percent!$B$78:$T$78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percent!$B$83:$T$83</c:f>
              <c:numCache>
                <c:formatCode>0.0%</c:formatCode>
                <c:ptCount val="19"/>
                <c:pt idx="0">
                  <c:v>7.0546737213403876E-3</c:v>
                </c:pt>
                <c:pt idx="1">
                  <c:v>8.1967213114754103E-3</c:v>
                </c:pt>
                <c:pt idx="2">
                  <c:v>6.5573770491803279E-3</c:v>
                </c:pt>
                <c:pt idx="3">
                  <c:v>6.6666666666666671E-3</c:v>
                </c:pt>
                <c:pt idx="4">
                  <c:v>5.084745762711864E-3</c:v>
                </c:pt>
                <c:pt idx="5">
                  <c:v>2.2950819672131147E-2</c:v>
                </c:pt>
                <c:pt idx="6">
                  <c:v>1.1111111111111112E-2</c:v>
                </c:pt>
                <c:pt idx="7">
                  <c:v>8.3333333333333332E-3</c:v>
                </c:pt>
                <c:pt idx="8">
                  <c:v>8.771929824561403E-3</c:v>
                </c:pt>
                <c:pt idx="9">
                  <c:v>1.3722126929674099E-2</c:v>
                </c:pt>
                <c:pt idx="10">
                  <c:v>8.3333333333333332E-3</c:v>
                </c:pt>
                <c:pt idx="11">
                  <c:v>1.7543859649122806E-2</c:v>
                </c:pt>
                <c:pt idx="12">
                  <c:v>4.9261083743842365E-3</c:v>
                </c:pt>
                <c:pt idx="13">
                  <c:v>8.3333333333333332E-3</c:v>
                </c:pt>
                <c:pt idx="14">
                  <c:v>1.9672131147540985E-2</c:v>
                </c:pt>
                <c:pt idx="15">
                  <c:v>5.084745762711864E-3</c:v>
                </c:pt>
                <c:pt idx="16">
                  <c:v>5.084745762711864E-3</c:v>
                </c:pt>
                <c:pt idx="17">
                  <c:v>8.3333333333333332E-3</c:v>
                </c:pt>
                <c:pt idx="18">
                  <c:v>1.2068965517241379E-2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percent!$A$84</c:f>
              <c:strCache>
                <c:ptCount val="1"/>
                <c:pt idx="0">
                  <c:v>Strata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percent!$B$78:$T$78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percent!$B$84:$T$84</c:f>
              <c:numCache>
                <c:formatCode>0.0%</c:formatCode>
                <c:ptCount val="19"/>
                <c:pt idx="0">
                  <c:v>3.3112582781456954E-3</c:v>
                </c:pt>
                <c:pt idx="1">
                  <c:v>1.1725293132328308E-2</c:v>
                </c:pt>
                <c:pt idx="2">
                  <c:v>8.1967213114754103E-3</c:v>
                </c:pt>
                <c:pt idx="3">
                  <c:v>8.291873963515755E-3</c:v>
                </c:pt>
                <c:pt idx="4">
                  <c:v>1.335559265442404E-2</c:v>
                </c:pt>
                <c:pt idx="5">
                  <c:v>1.1608623548922056E-2</c:v>
                </c:pt>
                <c:pt idx="6">
                  <c:v>1.3050570962479609E-2</c:v>
                </c:pt>
                <c:pt idx="7">
                  <c:v>8.2781456953642391E-3</c:v>
                </c:pt>
                <c:pt idx="8">
                  <c:v>6.5466448445171853E-3</c:v>
                </c:pt>
                <c:pt idx="9">
                  <c:v>9.9173553719008271E-3</c:v>
                </c:pt>
                <c:pt idx="10">
                  <c:v>6.6334991708126038E-3</c:v>
                </c:pt>
                <c:pt idx="11">
                  <c:v>1.3093289689034371E-2</c:v>
                </c:pt>
                <c:pt idx="12">
                  <c:v>1.1456628477905073E-2</c:v>
                </c:pt>
                <c:pt idx="13">
                  <c:v>4.9019607843137254E-3</c:v>
                </c:pt>
                <c:pt idx="14">
                  <c:v>1.6260162601626018E-2</c:v>
                </c:pt>
                <c:pt idx="15">
                  <c:v>9.7719869706840382E-3</c:v>
                </c:pt>
                <c:pt idx="16">
                  <c:v>4.807692307692308E-3</c:v>
                </c:pt>
                <c:pt idx="17">
                  <c:v>8.2236842105263153E-3</c:v>
                </c:pt>
                <c:pt idx="18">
                  <c:v>9.8846787479406912E-3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percent!$A$85</c:f>
              <c:strCache>
                <c:ptCount val="1"/>
                <c:pt idx="0">
                  <c:v>Convent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percent!$B$78:$T$78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percent!$B$85:$T$85</c:f>
              <c:numCache>
                <c:formatCode>0.0%</c:formatCode>
                <c:ptCount val="19"/>
                <c:pt idx="0">
                  <c:v>1.6427104722792608E-3</c:v>
                </c:pt>
                <c:pt idx="1">
                  <c:v>8.2135523613963038E-4</c:v>
                </c:pt>
                <c:pt idx="2">
                  <c:v>1.6413623307345096E-3</c:v>
                </c:pt>
                <c:pt idx="3">
                  <c:v>8.2034454470877774E-4</c:v>
                </c:pt>
                <c:pt idx="4">
                  <c:v>1.6413623307345096E-3</c:v>
                </c:pt>
                <c:pt idx="5">
                  <c:v>8.1967213114754098E-4</c:v>
                </c:pt>
                <c:pt idx="6">
                  <c:v>1.2427506213753107E-3</c:v>
                </c:pt>
                <c:pt idx="7">
                  <c:v>8.2034454470877774E-4</c:v>
                </c:pt>
                <c:pt idx="8">
                  <c:v>8.206811653672548E-4</c:v>
                </c:pt>
                <c:pt idx="9">
                  <c:v>1.6413623307345096E-3</c:v>
                </c:pt>
                <c:pt idx="10">
                  <c:v>8.2101806239737272E-4</c:v>
                </c:pt>
                <c:pt idx="11">
                  <c:v>8.206811653672548E-4</c:v>
                </c:pt>
                <c:pt idx="12">
                  <c:v>1.2259910093992644E-3</c:v>
                </c:pt>
                <c:pt idx="13">
                  <c:v>8.1699346405228761E-4</c:v>
                </c:pt>
                <c:pt idx="14">
                  <c:v>8.1732733959950961E-4</c:v>
                </c:pt>
                <c:pt idx="15">
                  <c:v>1.2254901960784314E-3</c:v>
                </c:pt>
                <c:pt idx="16">
                  <c:v>8.1799591002044991E-4</c:v>
                </c:pt>
                <c:pt idx="17">
                  <c:v>8.1665986116782364E-4</c:v>
                </c:pt>
                <c:pt idx="18">
                  <c:v>1.2239902080783353E-3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96024"/>
        <c:axId val="234876128"/>
      </c:lineChart>
      <c:dateAx>
        <c:axId val="561296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76128"/>
        <c:crosses val="autoZero"/>
        <c:auto val="1"/>
        <c:lblOffset val="100"/>
        <c:baseTimeUnit val="days"/>
      </c:dateAx>
      <c:valAx>
        <c:axId val="234876128"/>
        <c:scaling>
          <c:orientation val="minMax"/>
          <c:max val="2.4000000000000004E-2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No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percent!$A$104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percent!$B$103:$T$103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percent!$B$104:$T$104</c:f>
              <c:numCache>
                <c:formatCode>0.0%</c:formatCode>
                <c:ptCount val="19"/>
                <c:pt idx="0">
                  <c:v>2.8203858980466887E-2</c:v>
                </c:pt>
                <c:pt idx="1">
                  <c:v>2.8215366279993645E-2</c:v>
                </c:pt>
                <c:pt idx="2">
                  <c:v>2.8140829245133725E-2</c:v>
                </c:pt>
                <c:pt idx="3">
                  <c:v>2.8293323841164369E-2</c:v>
                </c:pt>
                <c:pt idx="4">
                  <c:v>2.8301962646407088E-2</c:v>
                </c:pt>
                <c:pt idx="5">
                  <c:v>2.8258850465813987E-2</c:v>
                </c:pt>
                <c:pt idx="6">
                  <c:v>2.8109478672985778E-2</c:v>
                </c:pt>
                <c:pt idx="7">
                  <c:v>2.7991070297656746E-2</c:v>
                </c:pt>
                <c:pt idx="8">
                  <c:v>2.8008082408874799E-2</c:v>
                </c:pt>
                <c:pt idx="9">
                  <c:v>2.816083650190114E-2</c:v>
                </c:pt>
                <c:pt idx="10">
                  <c:v>2.8166561014263077E-2</c:v>
                </c:pt>
                <c:pt idx="11">
                  <c:v>2.8304844071552954E-2</c:v>
                </c:pt>
                <c:pt idx="12">
                  <c:v>2.9255283403988065E-2</c:v>
                </c:pt>
                <c:pt idx="13">
                  <c:v>2.9107225887527489E-2</c:v>
                </c:pt>
                <c:pt idx="14">
                  <c:v>2.9143122442555867E-2</c:v>
                </c:pt>
                <c:pt idx="15">
                  <c:v>2.9143122442555867E-2</c:v>
                </c:pt>
                <c:pt idx="16">
                  <c:v>2.8819521787006447E-2</c:v>
                </c:pt>
                <c:pt idx="17">
                  <c:v>2.849622641509434E-2</c:v>
                </c:pt>
                <c:pt idx="18">
                  <c:v>2.8601097522734396E-2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percent!$A$105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percent!$B$103:$T$103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percent!$B$105:$T$105</c:f>
              <c:numCache>
                <c:formatCode>0.0%</c:formatCode>
                <c:ptCount val="19"/>
                <c:pt idx="0">
                  <c:v>8.0038589804668891E-3</c:v>
                </c:pt>
                <c:pt idx="1">
                  <c:v>8.0153662799936441E-3</c:v>
                </c:pt>
                <c:pt idx="2">
                  <c:v>7.940829245133724E-3</c:v>
                </c:pt>
                <c:pt idx="3">
                  <c:v>8.093323841164372E-3</c:v>
                </c:pt>
                <c:pt idx="4">
                  <c:v>8.1019626464070901E-3</c:v>
                </c:pt>
                <c:pt idx="5">
                  <c:v>8.0588504658139892E-3</c:v>
                </c:pt>
                <c:pt idx="6">
                  <c:v>7.909478672985781E-3</c:v>
                </c:pt>
                <c:pt idx="7">
                  <c:v>7.7910702976567454E-3</c:v>
                </c:pt>
                <c:pt idx="8">
                  <c:v>7.8080824088748012E-3</c:v>
                </c:pt>
                <c:pt idx="9">
                  <c:v>7.9608365019011394E-3</c:v>
                </c:pt>
                <c:pt idx="10">
                  <c:v>7.9665610142630756E-3</c:v>
                </c:pt>
                <c:pt idx="11">
                  <c:v>8.1048440715529527E-3</c:v>
                </c:pt>
                <c:pt idx="12">
                  <c:v>9.0552834039880677E-3</c:v>
                </c:pt>
                <c:pt idx="13">
                  <c:v>8.9072258875274885E-3</c:v>
                </c:pt>
                <c:pt idx="14">
                  <c:v>8.94312244255587E-3</c:v>
                </c:pt>
                <c:pt idx="15">
                  <c:v>8.94312244255587E-3</c:v>
                </c:pt>
                <c:pt idx="16">
                  <c:v>8.6195217870064494E-3</c:v>
                </c:pt>
                <c:pt idx="17">
                  <c:v>8.2962264150943394E-3</c:v>
                </c:pt>
                <c:pt idx="18">
                  <c:v>8.4010975227343989E-3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percent!$A$107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percent!$B$103:$T$103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percent!$B$107:$T$107</c:f>
              <c:numCache>
                <c:formatCode>0.0%</c:formatCode>
                <c:ptCount val="19"/>
                <c:pt idx="0">
                  <c:v>1.192504258943782E-2</c:v>
                </c:pt>
                <c:pt idx="1">
                  <c:v>2.0408163265306121E-2</c:v>
                </c:pt>
                <c:pt idx="2">
                  <c:v>2.0168067226890758E-2</c:v>
                </c:pt>
                <c:pt idx="3">
                  <c:v>1.8211920529801324E-2</c:v>
                </c:pt>
                <c:pt idx="4">
                  <c:v>1.658374792703151E-2</c:v>
                </c:pt>
                <c:pt idx="5">
                  <c:v>1.6611295681063124E-2</c:v>
                </c:pt>
                <c:pt idx="6">
                  <c:v>2.3769100169779286E-2</c:v>
                </c:pt>
                <c:pt idx="7">
                  <c:v>1.5100671140939598E-2</c:v>
                </c:pt>
                <c:pt idx="8">
                  <c:v>1.3445378151260505E-2</c:v>
                </c:pt>
                <c:pt idx="9">
                  <c:v>1.4925373134328358E-2</c:v>
                </c:pt>
                <c:pt idx="10">
                  <c:v>2.1702838063439065E-2</c:v>
                </c:pt>
                <c:pt idx="11">
                  <c:v>1.8151815181518153E-2</c:v>
                </c:pt>
                <c:pt idx="12">
                  <c:v>1.5050167224080268E-2</c:v>
                </c:pt>
                <c:pt idx="13">
                  <c:v>3.2840722495894911E-2</c:v>
                </c:pt>
                <c:pt idx="14">
                  <c:v>2.823920265780731E-2</c:v>
                </c:pt>
                <c:pt idx="15">
                  <c:v>1.340033500837521E-2</c:v>
                </c:pt>
                <c:pt idx="16">
                  <c:v>1.4851485148514851E-2</c:v>
                </c:pt>
                <c:pt idx="17">
                  <c:v>1.65016501650165E-2</c:v>
                </c:pt>
                <c:pt idx="18">
                  <c:v>2.2913256955810146E-2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percent!$A$108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percent!$B$103:$T$103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percent!$B$108:$T$108</c:f>
              <c:numCache>
                <c:formatCode>0.0%</c:formatCode>
                <c:ptCount val="19"/>
                <c:pt idx="0">
                  <c:v>2.4691358024691357E-2</c:v>
                </c:pt>
                <c:pt idx="1">
                  <c:v>9.8360655737704927E-3</c:v>
                </c:pt>
                <c:pt idx="2">
                  <c:v>1.8032786885245903E-2</c:v>
                </c:pt>
                <c:pt idx="3">
                  <c:v>2.1666666666666667E-2</c:v>
                </c:pt>
                <c:pt idx="4">
                  <c:v>1.6949152542372881E-2</c:v>
                </c:pt>
                <c:pt idx="5">
                  <c:v>1.6393442622950821E-2</c:v>
                </c:pt>
                <c:pt idx="6">
                  <c:v>1.9047619047619049E-2</c:v>
                </c:pt>
                <c:pt idx="7">
                  <c:v>1.8333333333333333E-2</c:v>
                </c:pt>
                <c:pt idx="8">
                  <c:v>2.8070175438596492E-2</c:v>
                </c:pt>
                <c:pt idx="9">
                  <c:v>2.2298456260720412E-2</c:v>
                </c:pt>
                <c:pt idx="10">
                  <c:v>1.6666666666666666E-2</c:v>
                </c:pt>
                <c:pt idx="11">
                  <c:v>2.2807017543859651E-2</c:v>
                </c:pt>
                <c:pt idx="12">
                  <c:v>2.4630541871921183E-2</c:v>
                </c:pt>
                <c:pt idx="13">
                  <c:v>1.8333333333333333E-2</c:v>
                </c:pt>
                <c:pt idx="14">
                  <c:v>2.4590163934426229E-2</c:v>
                </c:pt>
                <c:pt idx="15">
                  <c:v>2.3728813559322035E-2</c:v>
                </c:pt>
                <c:pt idx="16">
                  <c:v>2.2033898305084745E-2</c:v>
                </c:pt>
                <c:pt idx="17">
                  <c:v>2.1666666666666667E-2</c:v>
                </c:pt>
                <c:pt idx="18">
                  <c:v>2.0689655172413793E-2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percent!$A$109</c:f>
              <c:strCache>
                <c:ptCount val="1"/>
                <c:pt idx="0">
                  <c:v>Strata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percent!$B$103:$T$103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percent!$B$109:$T$109</c:f>
              <c:numCache>
                <c:formatCode>0.0%</c:formatCode>
                <c:ptCount val="19"/>
                <c:pt idx="0">
                  <c:v>1.1589403973509934E-2</c:v>
                </c:pt>
                <c:pt idx="1">
                  <c:v>2.8475711892797319E-2</c:v>
                </c:pt>
                <c:pt idx="2">
                  <c:v>1.3114754098360656E-2</c:v>
                </c:pt>
                <c:pt idx="3">
                  <c:v>1.1608623548922056E-2</c:v>
                </c:pt>
                <c:pt idx="4">
                  <c:v>1.1686143572621035E-2</c:v>
                </c:pt>
                <c:pt idx="5">
                  <c:v>1.824212271973466E-2</c:v>
                </c:pt>
                <c:pt idx="6">
                  <c:v>2.1207177814029365E-2</c:v>
                </c:pt>
                <c:pt idx="7">
                  <c:v>1.9867549668874173E-2</c:v>
                </c:pt>
                <c:pt idx="8">
                  <c:v>2.2913256955810146E-2</c:v>
                </c:pt>
                <c:pt idx="9">
                  <c:v>2.6446280991735537E-2</c:v>
                </c:pt>
                <c:pt idx="10">
                  <c:v>2.1558872305140961E-2</c:v>
                </c:pt>
                <c:pt idx="11">
                  <c:v>9.8199672667757774E-3</c:v>
                </c:pt>
                <c:pt idx="12">
                  <c:v>2.7823240589198037E-2</c:v>
                </c:pt>
                <c:pt idx="13">
                  <c:v>1.6339869281045753E-2</c:v>
                </c:pt>
                <c:pt idx="14">
                  <c:v>2.113821138211382E-2</c:v>
                </c:pt>
                <c:pt idx="15">
                  <c:v>2.7687296416938109E-2</c:v>
                </c:pt>
                <c:pt idx="16">
                  <c:v>1.282051282051282E-2</c:v>
                </c:pt>
                <c:pt idx="17">
                  <c:v>1.1513157894736841E-2</c:v>
                </c:pt>
                <c:pt idx="18">
                  <c:v>3.130148270181219E-2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percent!$A$110</c:f>
              <c:strCache>
                <c:ptCount val="1"/>
                <c:pt idx="0">
                  <c:v>Convent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percent!$B$103:$T$103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percent!$B$110:$T$110</c:f>
              <c:numCache>
                <c:formatCode>0.0%</c:formatCode>
                <c:ptCount val="19"/>
                <c:pt idx="0">
                  <c:v>5.3388090349075976E-3</c:v>
                </c:pt>
                <c:pt idx="1">
                  <c:v>5.7494866529774124E-3</c:v>
                </c:pt>
                <c:pt idx="2">
                  <c:v>6.155108740254411E-3</c:v>
                </c:pt>
                <c:pt idx="3">
                  <c:v>5.742411812961444E-3</c:v>
                </c:pt>
                <c:pt idx="4">
                  <c:v>5.7447681575707836E-3</c:v>
                </c:pt>
                <c:pt idx="5">
                  <c:v>6.1475409836065573E-3</c:v>
                </c:pt>
                <c:pt idx="6">
                  <c:v>6.6280033140016566E-3</c:v>
                </c:pt>
                <c:pt idx="7">
                  <c:v>5.3322395406070547E-3</c:v>
                </c:pt>
                <c:pt idx="8">
                  <c:v>5.7447681575707836E-3</c:v>
                </c:pt>
                <c:pt idx="9">
                  <c:v>5.3344275748871562E-3</c:v>
                </c:pt>
                <c:pt idx="10">
                  <c:v>4.5155993431855498E-3</c:v>
                </c:pt>
                <c:pt idx="11">
                  <c:v>4.9240869922035288E-3</c:v>
                </c:pt>
                <c:pt idx="12">
                  <c:v>5.7212913771965673E-3</c:v>
                </c:pt>
                <c:pt idx="13">
                  <c:v>6.5359477124183009E-3</c:v>
                </c:pt>
                <c:pt idx="14">
                  <c:v>6.1299550469963221E-3</c:v>
                </c:pt>
                <c:pt idx="15">
                  <c:v>6.1274509803921568E-3</c:v>
                </c:pt>
                <c:pt idx="16">
                  <c:v>4.9079754601226997E-3</c:v>
                </c:pt>
                <c:pt idx="17">
                  <c:v>4.0832993058391182E-3</c:v>
                </c:pt>
                <c:pt idx="18">
                  <c:v>4.0799673602611181E-3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877304"/>
        <c:axId val="561472568"/>
      </c:lineChart>
      <c:dateAx>
        <c:axId val="234877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72568"/>
        <c:crosses val="autoZero"/>
        <c:auto val="1"/>
        <c:lblOffset val="100"/>
        <c:baseTimeUnit val="days"/>
      </c:dateAx>
      <c:valAx>
        <c:axId val="561472568"/>
        <c:scaling>
          <c:orientation val="minMax"/>
          <c:max val="3.4000000000000009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7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No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percent!$A$130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percent!$B$129:$T$129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percent!$B$130:$T$130</c:f>
              <c:numCache>
                <c:formatCode>0.0%</c:formatCode>
                <c:ptCount val="19"/>
                <c:pt idx="0">
                  <c:v>1.60167063681118E-2</c:v>
                </c:pt>
                <c:pt idx="1">
                  <c:v>1.6022056252979502E-2</c:v>
                </c:pt>
                <c:pt idx="2">
                  <c:v>1.5987403070106029E-2</c:v>
                </c:pt>
                <c:pt idx="3">
                  <c:v>1.5984749248536625E-2</c:v>
                </c:pt>
                <c:pt idx="4">
                  <c:v>1.5988730610952833E-2</c:v>
                </c:pt>
                <c:pt idx="5">
                  <c:v>1.5968861519027319E-2</c:v>
                </c:pt>
                <c:pt idx="6">
                  <c:v>1.5972827804107425E-2</c:v>
                </c:pt>
                <c:pt idx="7">
                  <c:v>1.5991386953768207E-2</c:v>
                </c:pt>
                <c:pt idx="8">
                  <c:v>1.5999366085578448E-2</c:v>
                </c:pt>
                <c:pt idx="9">
                  <c:v>1.5996704689480355E-2</c:v>
                </c:pt>
                <c:pt idx="10">
                  <c:v>1.5999366085578448E-2</c:v>
                </c:pt>
                <c:pt idx="11">
                  <c:v>1.6148361564033559E-2</c:v>
                </c:pt>
                <c:pt idx="12">
                  <c:v>1.6235578583765113E-2</c:v>
                </c:pt>
                <c:pt idx="13">
                  <c:v>1.6396732642161484E-2</c:v>
                </c:pt>
                <c:pt idx="14">
                  <c:v>1.641334592382751E-2</c:v>
                </c:pt>
                <c:pt idx="15">
                  <c:v>1.641334592382751E-2</c:v>
                </c:pt>
                <c:pt idx="16">
                  <c:v>1.6409186723297154E-2</c:v>
                </c:pt>
                <c:pt idx="17">
                  <c:v>1.6405031446540881E-2</c:v>
                </c:pt>
                <c:pt idx="18">
                  <c:v>1.6693759799310127E-2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percent!$A$131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percent!$B$129:$T$129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percent!$B$131:$T$131</c:f>
              <c:numCache>
                <c:formatCode>0.0%</c:formatCode>
                <c:ptCount val="19"/>
                <c:pt idx="0">
                  <c:v>8.1670636811179923E-4</c:v>
                </c:pt>
                <c:pt idx="1">
                  <c:v>8.2205625297950089E-4</c:v>
                </c:pt>
                <c:pt idx="2">
                  <c:v>7.8740307010603024E-4</c:v>
                </c:pt>
                <c:pt idx="3">
                  <c:v>7.8474924853662396E-4</c:v>
                </c:pt>
                <c:pt idx="4">
                  <c:v>7.8873061095283397E-4</c:v>
                </c:pt>
                <c:pt idx="5">
                  <c:v>7.6886151902731768E-4</c:v>
                </c:pt>
                <c:pt idx="6">
                  <c:v>7.7282780410742411E-4</c:v>
                </c:pt>
                <c:pt idx="7">
                  <c:v>7.9138695376820747E-4</c:v>
                </c:pt>
                <c:pt idx="8">
                  <c:v>7.9936608557844725E-4</c:v>
                </c:pt>
                <c:pt idx="9">
                  <c:v>7.967046894803544E-4</c:v>
                </c:pt>
                <c:pt idx="10">
                  <c:v>7.9936608557844725E-4</c:v>
                </c:pt>
                <c:pt idx="11">
                  <c:v>9.483615640335603E-4</c:v>
                </c:pt>
                <c:pt idx="12">
                  <c:v>1.0355785837651123E-3</c:v>
                </c:pt>
                <c:pt idx="13">
                  <c:v>1.1967326421614835E-3</c:v>
                </c:pt>
                <c:pt idx="14">
                  <c:v>1.2133459238275095E-3</c:v>
                </c:pt>
                <c:pt idx="15">
                  <c:v>1.2133459238275095E-3</c:v>
                </c:pt>
                <c:pt idx="16">
                  <c:v>1.2091867232971532E-3</c:v>
                </c:pt>
                <c:pt idx="17">
                  <c:v>1.2050314465408803E-3</c:v>
                </c:pt>
                <c:pt idx="18">
                  <c:v>1.4937597993101284E-3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percent!$A$133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percent!$B$129:$T$129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percent!$B$133:$T$133</c:f>
              <c:numCache>
                <c:formatCode>0.0%</c:formatCode>
                <c:ptCount val="19"/>
                <c:pt idx="0">
                  <c:v>3.4071550255536627E-3</c:v>
                </c:pt>
                <c:pt idx="1">
                  <c:v>5.1020408163265302E-3</c:v>
                </c:pt>
                <c:pt idx="2">
                  <c:v>1.1764705882352941E-2</c:v>
                </c:pt>
                <c:pt idx="3">
                  <c:v>9.9337748344370865E-3</c:v>
                </c:pt>
                <c:pt idx="4">
                  <c:v>1.3266998341625208E-2</c:v>
                </c:pt>
                <c:pt idx="5">
                  <c:v>1.1627906976744186E-2</c:v>
                </c:pt>
                <c:pt idx="6">
                  <c:v>1.0186757215619695E-2</c:v>
                </c:pt>
                <c:pt idx="7">
                  <c:v>6.7114093959731542E-3</c:v>
                </c:pt>
                <c:pt idx="8">
                  <c:v>6.7226890756302525E-3</c:v>
                </c:pt>
                <c:pt idx="9">
                  <c:v>4.9751243781094526E-3</c:v>
                </c:pt>
                <c:pt idx="10">
                  <c:v>5.008347245409015E-3</c:v>
                </c:pt>
                <c:pt idx="11">
                  <c:v>1.4851485148514851E-2</c:v>
                </c:pt>
                <c:pt idx="12">
                  <c:v>8.3612040133779261E-3</c:v>
                </c:pt>
                <c:pt idx="13">
                  <c:v>9.852216748768473E-3</c:v>
                </c:pt>
                <c:pt idx="14">
                  <c:v>1.3289036544850499E-2</c:v>
                </c:pt>
                <c:pt idx="15">
                  <c:v>8.3752093802345051E-3</c:v>
                </c:pt>
                <c:pt idx="16">
                  <c:v>9.9009900990099011E-3</c:v>
                </c:pt>
                <c:pt idx="17">
                  <c:v>4.9504950495049506E-3</c:v>
                </c:pt>
                <c:pt idx="18">
                  <c:v>1.1456628477905073E-2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percent!$A$134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percent!$B$129:$T$129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percent!$B$134:$T$134</c:f>
              <c:numCache>
                <c:formatCode>0.0%</c:formatCode>
                <c:ptCount val="19"/>
                <c:pt idx="0">
                  <c:v>5.2910052910052907E-3</c:v>
                </c:pt>
                <c:pt idx="1">
                  <c:v>6.5573770491803279E-3</c:v>
                </c:pt>
                <c:pt idx="2">
                  <c:v>8.1967213114754103E-3</c:v>
                </c:pt>
                <c:pt idx="3">
                  <c:v>1.6666666666666668E-3</c:v>
                </c:pt>
                <c:pt idx="4">
                  <c:v>5.084745762711864E-3</c:v>
                </c:pt>
                <c:pt idx="5">
                  <c:v>1.9672131147540985E-2</c:v>
                </c:pt>
                <c:pt idx="6">
                  <c:v>7.9365079365079361E-3</c:v>
                </c:pt>
                <c:pt idx="7">
                  <c:v>6.6666666666666671E-3</c:v>
                </c:pt>
                <c:pt idx="8">
                  <c:v>0</c:v>
                </c:pt>
                <c:pt idx="9">
                  <c:v>6.8610634648370496E-3</c:v>
                </c:pt>
                <c:pt idx="10">
                  <c:v>8.3333333333333332E-3</c:v>
                </c:pt>
                <c:pt idx="11">
                  <c:v>2.456140350877193E-2</c:v>
                </c:pt>
                <c:pt idx="12">
                  <c:v>3.2840722495894909E-3</c:v>
                </c:pt>
                <c:pt idx="13">
                  <c:v>0</c:v>
                </c:pt>
                <c:pt idx="14">
                  <c:v>2.4590163934426229E-2</c:v>
                </c:pt>
                <c:pt idx="15">
                  <c:v>1.1864406779661017E-2</c:v>
                </c:pt>
                <c:pt idx="16">
                  <c:v>1.0169491525423728E-2</c:v>
                </c:pt>
                <c:pt idx="17">
                  <c:v>8.3333333333333332E-3</c:v>
                </c:pt>
                <c:pt idx="18">
                  <c:v>1.896551724137931E-2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percent!$A$135</c:f>
              <c:strCache>
                <c:ptCount val="1"/>
                <c:pt idx="0">
                  <c:v>Strata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percent!$B$129:$T$129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percent!$B$135:$T$135</c:f>
              <c:numCache>
                <c:formatCode>0.0%</c:formatCode>
                <c:ptCount val="19"/>
                <c:pt idx="0">
                  <c:v>9.9337748344370865E-3</c:v>
                </c:pt>
                <c:pt idx="1">
                  <c:v>1.1725293132328308E-2</c:v>
                </c:pt>
                <c:pt idx="2">
                  <c:v>8.1967213114754103E-3</c:v>
                </c:pt>
                <c:pt idx="3">
                  <c:v>1.4925373134328358E-2</c:v>
                </c:pt>
                <c:pt idx="4">
                  <c:v>6.6777963272120202E-3</c:v>
                </c:pt>
                <c:pt idx="5">
                  <c:v>1.4925373134328358E-2</c:v>
                </c:pt>
                <c:pt idx="6">
                  <c:v>1.468189233278956E-2</c:v>
                </c:pt>
                <c:pt idx="7">
                  <c:v>9.9337748344370865E-3</c:v>
                </c:pt>
                <c:pt idx="8">
                  <c:v>6.5466448445171853E-3</c:v>
                </c:pt>
                <c:pt idx="9">
                  <c:v>6.6115702479338841E-3</c:v>
                </c:pt>
                <c:pt idx="10">
                  <c:v>6.6334991708126038E-3</c:v>
                </c:pt>
                <c:pt idx="11">
                  <c:v>8.1833060556464818E-3</c:v>
                </c:pt>
                <c:pt idx="12">
                  <c:v>4.9099836333878887E-3</c:v>
                </c:pt>
                <c:pt idx="13">
                  <c:v>9.8039215686274508E-3</c:v>
                </c:pt>
                <c:pt idx="14">
                  <c:v>1.1382113821138212E-2</c:v>
                </c:pt>
                <c:pt idx="15">
                  <c:v>1.3029315960912053E-2</c:v>
                </c:pt>
                <c:pt idx="16">
                  <c:v>3.205128205128205E-3</c:v>
                </c:pt>
                <c:pt idx="17">
                  <c:v>6.5789473684210523E-3</c:v>
                </c:pt>
                <c:pt idx="18">
                  <c:v>1.3179571663920923E-2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percent!$A$136</c:f>
              <c:strCache>
                <c:ptCount val="1"/>
                <c:pt idx="0">
                  <c:v>Convent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percent!$B$129:$T$129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percent!$B$136:$T$136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4.103405826836274E-4</c:v>
                </c:pt>
                <c:pt idx="5">
                  <c:v>4.0983606557377049E-4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4.103405826836274E-4</c:v>
                </c:pt>
                <c:pt idx="10">
                  <c:v>0</c:v>
                </c:pt>
                <c:pt idx="11">
                  <c:v>4.103405826836274E-4</c:v>
                </c:pt>
                <c:pt idx="12">
                  <c:v>4.086636697997548E-4</c:v>
                </c:pt>
                <c:pt idx="13">
                  <c:v>8.1699346405228761E-4</c:v>
                </c:pt>
                <c:pt idx="14">
                  <c:v>8.1732733959950961E-4</c:v>
                </c:pt>
                <c:pt idx="15">
                  <c:v>8.1699346405228761E-4</c:v>
                </c:pt>
                <c:pt idx="16">
                  <c:v>8.1799591002044991E-4</c:v>
                </c:pt>
                <c:pt idx="17">
                  <c:v>8.1665986116782364E-4</c:v>
                </c:pt>
                <c:pt idx="18">
                  <c:v>1.2239902080783353E-3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470216"/>
        <c:axId val="561469824"/>
      </c:lineChart>
      <c:dateAx>
        <c:axId val="561470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69824"/>
        <c:crosses val="autoZero"/>
        <c:auto val="1"/>
        <c:lblOffset val="100"/>
        <c:baseTimeUnit val="days"/>
      </c:dateAx>
      <c:valAx>
        <c:axId val="561469824"/>
        <c:scaling>
          <c:orientation val="minMax"/>
          <c:max val="2.9000000000000005E-2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95% Desc, Rate, Genre, Network, Image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percent!$A$27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percent!$B$26:$T$26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percent!$B$27:$T$27</c:f>
              <c:numCache>
                <c:formatCode>0.0%</c:formatCode>
                <c:ptCount val="19"/>
                <c:pt idx="0">
                  <c:v>0.83752739399714149</c:v>
                </c:pt>
                <c:pt idx="1">
                  <c:v>0.83708723979024313</c:v>
                </c:pt>
                <c:pt idx="2">
                  <c:v>0.83740623516379176</c:v>
                </c:pt>
                <c:pt idx="3">
                  <c:v>0.83778357854769814</c:v>
                </c:pt>
                <c:pt idx="4">
                  <c:v>0.83848369737258632</c:v>
                </c:pt>
                <c:pt idx="5">
                  <c:v>0.83798989420495817</c:v>
                </c:pt>
                <c:pt idx="6">
                  <c:v>0.83853080568720384</c:v>
                </c:pt>
                <c:pt idx="7">
                  <c:v>0.83810639645345153</c:v>
                </c:pt>
                <c:pt idx="8">
                  <c:v>0.8379239302694137</c:v>
                </c:pt>
                <c:pt idx="9">
                  <c:v>0.83830164765525983</c:v>
                </c:pt>
                <c:pt idx="10">
                  <c:v>0.83824088748019021</c:v>
                </c:pt>
                <c:pt idx="11">
                  <c:v>0.83750356181731833</c:v>
                </c:pt>
                <c:pt idx="12">
                  <c:v>0.83719108180248081</c:v>
                </c:pt>
                <c:pt idx="13">
                  <c:v>0.83757147345271754</c:v>
                </c:pt>
                <c:pt idx="14">
                  <c:v>0.83705067673906208</c:v>
                </c:pt>
                <c:pt idx="15">
                  <c:v>0.83689329556185088</c:v>
                </c:pt>
                <c:pt idx="16">
                  <c:v>0.83729904042787484</c:v>
                </c:pt>
                <c:pt idx="17">
                  <c:v>0.8362893081761007</c:v>
                </c:pt>
                <c:pt idx="18">
                  <c:v>0.83652242082157424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percent!$A$28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percent!$B$26:$T$26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percent!$B$28:$T$28</c:f>
              <c:numCache>
                <c:formatCode>0.0%</c:formatCode>
                <c:ptCount val="19"/>
                <c:pt idx="0">
                  <c:v>0.77752739399714144</c:v>
                </c:pt>
                <c:pt idx="1">
                  <c:v>0.77708723979024308</c:v>
                </c:pt>
                <c:pt idx="2">
                  <c:v>0.7774062351637917</c:v>
                </c:pt>
                <c:pt idx="3">
                  <c:v>0.77778357854769808</c:v>
                </c:pt>
                <c:pt idx="4">
                  <c:v>0.77848369737258627</c:v>
                </c:pt>
                <c:pt idx="5">
                  <c:v>0.77798989420495812</c:v>
                </c:pt>
                <c:pt idx="6">
                  <c:v>0.77853080568720379</c:v>
                </c:pt>
                <c:pt idx="7">
                  <c:v>0.77810639645345148</c:v>
                </c:pt>
                <c:pt idx="8">
                  <c:v>0.77792393026941364</c:v>
                </c:pt>
                <c:pt idx="9">
                  <c:v>0.77830164765525978</c:v>
                </c:pt>
                <c:pt idx="10">
                  <c:v>0.77824088748019016</c:v>
                </c:pt>
                <c:pt idx="11">
                  <c:v>0.77750356181731828</c:v>
                </c:pt>
                <c:pt idx="12">
                  <c:v>0.77719108180248075</c:v>
                </c:pt>
                <c:pt idx="13">
                  <c:v>0.77757147345271749</c:v>
                </c:pt>
                <c:pt idx="14">
                  <c:v>0.77705067673906203</c:v>
                </c:pt>
                <c:pt idx="15">
                  <c:v>0.77689329556185083</c:v>
                </c:pt>
                <c:pt idx="16">
                  <c:v>0.77729904042787479</c:v>
                </c:pt>
                <c:pt idx="17">
                  <c:v>0.77628930817610065</c:v>
                </c:pt>
                <c:pt idx="18">
                  <c:v>0.77652242082157419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percent!$A$30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percent!$B$26:$T$26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percent!$B$30:$T$30</c:f>
              <c:numCache>
                <c:formatCode>0.0%</c:formatCode>
                <c:ptCount val="19"/>
                <c:pt idx="0">
                  <c:v>0.81090289608177168</c:v>
                </c:pt>
                <c:pt idx="1">
                  <c:v>0.80272108843537415</c:v>
                </c:pt>
                <c:pt idx="2">
                  <c:v>0.79495798319327726</c:v>
                </c:pt>
                <c:pt idx="3">
                  <c:v>0.80463576158940397</c:v>
                </c:pt>
                <c:pt idx="4">
                  <c:v>0.80099502487562191</c:v>
                </c:pt>
                <c:pt idx="5">
                  <c:v>0.78239202657807305</c:v>
                </c:pt>
                <c:pt idx="6">
                  <c:v>0.80645161290322576</c:v>
                </c:pt>
                <c:pt idx="7">
                  <c:v>0.79026845637583898</c:v>
                </c:pt>
                <c:pt idx="8">
                  <c:v>0.82352941176470584</c:v>
                </c:pt>
                <c:pt idx="9">
                  <c:v>0.78441127694859036</c:v>
                </c:pt>
                <c:pt idx="10">
                  <c:v>0.80801335559265441</c:v>
                </c:pt>
                <c:pt idx="11">
                  <c:v>0.79867986798679869</c:v>
                </c:pt>
                <c:pt idx="12">
                  <c:v>0.81270903010033446</c:v>
                </c:pt>
                <c:pt idx="13">
                  <c:v>0.79146141215106736</c:v>
                </c:pt>
                <c:pt idx="14">
                  <c:v>0.80730897009966773</c:v>
                </c:pt>
                <c:pt idx="15">
                  <c:v>0.81072026800670016</c:v>
                </c:pt>
                <c:pt idx="16">
                  <c:v>0.81188118811881194</c:v>
                </c:pt>
                <c:pt idx="17">
                  <c:v>0.82838283828382842</c:v>
                </c:pt>
                <c:pt idx="18">
                  <c:v>0.80687397708674302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percent!$A$31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percent!$B$26:$T$26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percent!$B$31:$T$31</c:f>
              <c:numCache>
                <c:formatCode>0.0%</c:formatCode>
                <c:ptCount val="19"/>
                <c:pt idx="0">
                  <c:v>0.81834215167548496</c:v>
                </c:pt>
                <c:pt idx="1">
                  <c:v>0.79672131147540981</c:v>
                </c:pt>
                <c:pt idx="2">
                  <c:v>0.81311475409836065</c:v>
                </c:pt>
                <c:pt idx="3">
                  <c:v>0.83</c:v>
                </c:pt>
                <c:pt idx="4">
                  <c:v>0.81864406779661014</c:v>
                </c:pt>
                <c:pt idx="5">
                  <c:v>0.78688524590163933</c:v>
                </c:pt>
                <c:pt idx="6">
                  <c:v>0.81904761904761902</c:v>
                </c:pt>
                <c:pt idx="7">
                  <c:v>0.84833333333333338</c:v>
                </c:pt>
                <c:pt idx="8">
                  <c:v>0.84210526315789469</c:v>
                </c:pt>
                <c:pt idx="9">
                  <c:v>0.81646655231560894</c:v>
                </c:pt>
                <c:pt idx="10">
                  <c:v>0.83333333333333337</c:v>
                </c:pt>
                <c:pt idx="11">
                  <c:v>0.79824561403508776</c:v>
                </c:pt>
                <c:pt idx="12">
                  <c:v>0.84893267651888338</c:v>
                </c:pt>
                <c:pt idx="13">
                  <c:v>0.84166666666666667</c:v>
                </c:pt>
                <c:pt idx="14">
                  <c:v>0.79344262295081969</c:v>
                </c:pt>
                <c:pt idx="15">
                  <c:v>0.82372881355932204</c:v>
                </c:pt>
                <c:pt idx="16">
                  <c:v>0.81525423728813562</c:v>
                </c:pt>
                <c:pt idx="17">
                  <c:v>0.78666666666666663</c:v>
                </c:pt>
                <c:pt idx="18">
                  <c:v>0.78793103448275859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percent!$A$32</c:f>
              <c:strCache>
                <c:ptCount val="1"/>
                <c:pt idx="0">
                  <c:v>Strata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percent!$B$26:$T$26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percent!$B$32:$T$32</c:f>
              <c:numCache>
                <c:formatCode>0.0%</c:formatCode>
                <c:ptCount val="19"/>
                <c:pt idx="0">
                  <c:v>0.83112582781456956</c:v>
                </c:pt>
                <c:pt idx="1">
                  <c:v>0.79899497487437188</c:v>
                </c:pt>
                <c:pt idx="2">
                  <c:v>0.80491803278688523</c:v>
                </c:pt>
                <c:pt idx="3">
                  <c:v>0.79767827529021562</c:v>
                </c:pt>
                <c:pt idx="4">
                  <c:v>0.81302170283806341</c:v>
                </c:pt>
                <c:pt idx="5">
                  <c:v>0.80431177446102819</c:v>
                </c:pt>
                <c:pt idx="6">
                  <c:v>0.81892332789559541</c:v>
                </c:pt>
                <c:pt idx="7">
                  <c:v>0.81622516556291391</c:v>
                </c:pt>
                <c:pt idx="8">
                  <c:v>0.81178396072013093</c:v>
                </c:pt>
                <c:pt idx="9">
                  <c:v>0.79834710743801651</c:v>
                </c:pt>
                <c:pt idx="10">
                  <c:v>0.79601990049751248</c:v>
                </c:pt>
                <c:pt idx="11">
                  <c:v>0.81014729950900166</c:v>
                </c:pt>
                <c:pt idx="12">
                  <c:v>0.80196399345335512</c:v>
                </c:pt>
                <c:pt idx="13">
                  <c:v>0.81862745098039214</c:v>
                </c:pt>
                <c:pt idx="14">
                  <c:v>0.79512195121951224</c:v>
                </c:pt>
                <c:pt idx="15">
                  <c:v>0.78827361563517917</c:v>
                </c:pt>
                <c:pt idx="16">
                  <c:v>0.82051282051282048</c:v>
                </c:pt>
                <c:pt idx="17">
                  <c:v>0.82730263157894735</c:v>
                </c:pt>
                <c:pt idx="18">
                  <c:v>0.77265238879736409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percent!$A$33</c:f>
              <c:strCache>
                <c:ptCount val="1"/>
                <c:pt idx="0">
                  <c:v>Convent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percent!$B$26:$T$26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percent!$B$33:$T$33</c:f>
              <c:numCache>
                <c:formatCode>0.0%</c:formatCode>
                <c:ptCount val="19"/>
                <c:pt idx="0">
                  <c:v>0.88459958932238192</c:v>
                </c:pt>
                <c:pt idx="1">
                  <c:v>0.88952772073921971</c:v>
                </c:pt>
                <c:pt idx="2">
                  <c:v>0.89372178908494049</c:v>
                </c:pt>
                <c:pt idx="3">
                  <c:v>0.89745693191140274</c:v>
                </c:pt>
                <c:pt idx="4">
                  <c:v>0.89987689782519487</c:v>
                </c:pt>
                <c:pt idx="5">
                  <c:v>0.88975409836065578</c:v>
                </c:pt>
                <c:pt idx="6">
                  <c:v>0.88276719138359572</c:v>
                </c:pt>
                <c:pt idx="7">
                  <c:v>0.89704675963904845</c:v>
                </c:pt>
                <c:pt idx="8">
                  <c:v>0.88961838325810427</c:v>
                </c:pt>
                <c:pt idx="9">
                  <c:v>0.89659417316372592</c:v>
                </c:pt>
                <c:pt idx="10">
                  <c:v>0.88998357963875208</c:v>
                </c:pt>
                <c:pt idx="11">
                  <c:v>0.89002872384078791</c:v>
                </c:pt>
                <c:pt idx="12">
                  <c:v>0.89170412750306494</c:v>
                </c:pt>
                <c:pt idx="13">
                  <c:v>0.88766339869281041</c:v>
                </c:pt>
                <c:pt idx="14">
                  <c:v>0.88067020841847155</c:v>
                </c:pt>
                <c:pt idx="15">
                  <c:v>0.88398692810457513</c:v>
                </c:pt>
                <c:pt idx="16">
                  <c:v>0.89570552147239269</c:v>
                </c:pt>
                <c:pt idx="17">
                  <c:v>0.90077582686810942</c:v>
                </c:pt>
                <c:pt idx="18">
                  <c:v>0.89963280293757653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473352"/>
        <c:axId val="561471392"/>
      </c:lineChart>
      <c:dateAx>
        <c:axId val="561473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71392"/>
        <c:crosses val="autoZero"/>
        <c:auto val="1"/>
        <c:lblOffset val="100"/>
        <c:baseTimeUnit val="days"/>
      </c:dateAx>
      <c:valAx>
        <c:axId val="561471392"/>
        <c:scaling>
          <c:orientation val="minMax"/>
          <c:max val="0.9"/>
          <c:min val="0.7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7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No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percent!$A$155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percent!$B$154:$T$154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percent!$B$155:$T$155</c:f>
              <c:numCache>
                <c:formatCode>0.0%</c:formatCode>
                <c:ptCount val="19"/>
                <c:pt idx="0">
                  <c:v>2.563938383357154E-2</c:v>
                </c:pt>
                <c:pt idx="1">
                  <c:v>2.5490672175433021E-2</c:v>
                </c:pt>
                <c:pt idx="2">
                  <c:v>2.5900047475866432E-2</c:v>
                </c:pt>
                <c:pt idx="3">
                  <c:v>2.5894890049042871E-2</c:v>
                </c:pt>
                <c:pt idx="4">
                  <c:v>2.5586071541627099E-2</c:v>
                </c:pt>
                <c:pt idx="5">
                  <c:v>2.5548207800410547E-2</c:v>
                </c:pt>
                <c:pt idx="6">
                  <c:v>2.5397788309636647E-2</c:v>
                </c:pt>
                <c:pt idx="7">
                  <c:v>2.543280557314756E-2</c:v>
                </c:pt>
                <c:pt idx="8">
                  <c:v>2.5447860538827256E-2</c:v>
                </c:pt>
                <c:pt idx="9">
                  <c:v>2.4967553865652727E-2</c:v>
                </c:pt>
                <c:pt idx="10">
                  <c:v>2.497242472266244E-2</c:v>
                </c:pt>
                <c:pt idx="11">
                  <c:v>2.5430299192654743E-2</c:v>
                </c:pt>
                <c:pt idx="12">
                  <c:v>2.5772083529596479E-2</c:v>
                </c:pt>
                <c:pt idx="13">
                  <c:v>2.5465535658184102E-2</c:v>
                </c:pt>
                <c:pt idx="14">
                  <c:v>2.5338117721120552E-2</c:v>
                </c:pt>
                <c:pt idx="15">
                  <c:v>2.5338117721120552E-2</c:v>
                </c:pt>
                <c:pt idx="16">
                  <c:v>2.5330690577316343E-2</c:v>
                </c:pt>
                <c:pt idx="17">
                  <c:v>2.5323270440251573E-2</c:v>
                </c:pt>
                <c:pt idx="18">
                  <c:v>2.527889620570712E-2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percent!$A$156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percent!$B$154:$T$154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percent!$B$156:$T$156</c:f>
              <c:numCache>
                <c:formatCode>0.0%</c:formatCode>
                <c:ptCount val="19"/>
                <c:pt idx="0">
                  <c:v>6.4393838335715433E-3</c:v>
                </c:pt>
                <c:pt idx="1">
                  <c:v>6.2906721754330212E-3</c:v>
                </c:pt>
                <c:pt idx="2">
                  <c:v>6.7000474758664354E-3</c:v>
                </c:pt>
                <c:pt idx="3">
                  <c:v>6.6948900490428741E-3</c:v>
                </c:pt>
                <c:pt idx="4">
                  <c:v>6.3860715416270992E-3</c:v>
                </c:pt>
                <c:pt idx="5">
                  <c:v>6.3482078004105501E-3</c:v>
                </c:pt>
                <c:pt idx="6">
                  <c:v>6.1977883096366506E-3</c:v>
                </c:pt>
                <c:pt idx="7">
                  <c:v>6.2328055731475634E-3</c:v>
                </c:pt>
                <c:pt idx="8">
                  <c:v>6.2478605388272598E-3</c:v>
                </c:pt>
                <c:pt idx="9">
                  <c:v>5.7675538656527265E-3</c:v>
                </c:pt>
                <c:pt idx="10">
                  <c:v>5.772424722662442E-3</c:v>
                </c:pt>
                <c:pt idx="11">
                  <c:v>6.2302991926547428E-3</c:v>
                </c:pt>
                <c:pt idx="12">
                  <c:v>6.5720835295964824E-3</c:v>
                </c:pt>
                <c:pt idx="13">
                  <c:v>6.2655356581841053E-3</c:v>
                </c:pt>
                <c:pt idx="14">
                  <c:v>6.1381177211205559E-3</c:v>
                </c:pt>
                <c:pt idx="15">
                  <c:v>6.1381177211205559E-3</c:v>
                </c:pt>
                <c:pt idx="16">
                  <c:v>6.1306905773163434E-3</c:v>
                </c:pt>
                <c:pt idx="17">
                  <c:v>6.1232704402515731E-3</c:v>
                </c:pt>
                <c:pt idx="18">
                  <c:v>6.07889620570712E-3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percent!$A$158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percent!$B$154:$T$154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percent!$B$158:$T$158</c:f>
              <c:numCache>
                <c:formatCode>0.0%</c:formatCode>
                <c:ptCount val="19"/>
                <c:pt idx="0">
                  <c:v>1.192504258943782E-2</c:v>
                </c:pt>
                <c:pt idx="1">
                  <c:v>6.8027210884353739E-3</c:v>
                </c:pt>
                <c:pt idx="2">
                  <c:v>1.3445378151260505E-2</c:v>
                </c:pt>
                <c:pt idx="3">
                  <c:v>1.4900662251655629E-2</c:v>
                </c:pt>
                <c:pt idx="4">
                  <c:v>1.658374792703151E-2</c:v>
                </c:pt>
                <c:pt idx="5">
                  <c:v>1.8272425249169437E-2</c:v>
                </c:pt>
                <c:pt idx="6">
                  <c:v>1.3582342954159592E-2</c:v>
                </c:pt>
                <c:pt idx="7">
                  <c:v>2.5167785234899327E-2</c:v>
                </c:pt>
                <c:pt idx="8">
                  <c:v>1.8487394957983194E-2</c:v>
                </c:pt>
                <c:pt idx="9">
                  <c:v>1.9900497512437811E-2</c:v>
                </c:pt>
                <c:pt idx="10">
                  <c:v>1.335559265442404E-2</c:v>
                </c:pt>
                <c:pt idx="11">
                  <c:v>2.3102310231023101E-2</c:v>
                </c:pt>
                <c:pt idx="12">
                  <c:v>2.508361204013378E-2</c:v>
                </c:pt>
                <c:pt idx="13">
                  <c:v>2.2988505747126436E-2</c:v>
                </c:pt>
                <c:pt idx="14">
                  <c:v>2.4916943521594685E-2</c:v>
                </c:pt>
                <c:pt idx="15">
                  <c:v>1.340033500837521E-2</c:v>
                </c:pt>
                <c:pt idx="16">
                  <c:v>2.9702970297029702E-2</c:v>
                </c:pt>
                <c:pt idx="17">
                  <c:v>1.8151815181518153E-2</c:v>
                </c:pt>
                <c:pt idx="18">
                  <c:v>1.1456628477905073E-2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percent!$A$159</c:f>
              <c:strCache>
                <c:ptCount val="1"/>
                <c:pt idx="0">
                  <c:v>Cluster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percent!$B$154:$T$154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percent!$B$159:$T$159</c:f>
              <c:numCache>
                <c:formatCode>0.0%</c:formatCode>
                <c:ptCount val="19"/>
                <c:pt idx="0">
                  <c:v>1.2345679012345678E-2</c:v>
                </c:pt>
                <c:pt idx="1">
                  <c:v>2.2950819672131147E-2</c:v>
                </c:pt>
                <c:pt idx="2">
                  <c:v>1.9672131147540985E-2</c:v>
                </c:pt>
                <c:pt idx="3">
                  <c:v>8.3333333333333332E-3</c:v>
                </c:pt>
                <c:pt idx="4">
                  <c:v>1.3559322033898305E-2</c:v>
                </c:pt>
                <c:pt idx="5">
                  <c:v>2.1311475409836064E-2</c:v>
                </c:pt>
                <c:pt idx="6">
                  <c:v>1.4285714285714285E-2</c:v>
                </c:pt>
                <c:pt idx="7">
                  <c:v>1.1666666666666667E-2</c:v>
                </c:pt>
                <c:pt idx="8">
                  <c:v>1.2280701754385965E-2</c:v>
                </c:pt>
                <c:pt idx="9">
                  <c:v>1.7152658662092625E-2</c:v>
                </c:pt>
                <c:pt idx="10">
                  <c:v>8.3333333333333332E-3</c:v>
                </c:pt>
                <c:pt idx="11">
                  <c:v>2.8070175438596492E-2</c:v>
                </c:pt>
                <c:pt idx="12">
                  <c:v>6.5681444991789817E-3</c:v>
                </c:pt>
                <c:pt idx="13">
                  <c:v>8.3333333333333332E-3</c:v>
                </c:pt>
                <c:pt idx="14">
                  <c:v>1.9672131147540985E-2</c:v>
                </c:pt>
                <c:pt idx="15">
                  <c:v>2.8813559322033899E-2</c:v>
                </c:pt>
                <c:pt idx="16">
                  <c:v>1.3559322033898305E-2</c:v>
                </c:pt>
                <c:pt idx="17">
                  <c:v>1.8333333333333333E-2</c:v>
                </c:pt>
                <c:pt idx="18">
                  <c:v>2.0689655172413793E-2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percent!$A$160</c:f>
              <c:strCache>
                <c:ptCount val="1"/>
                <c:pt idx="0">
                  <c:v>Strata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percent!$B$154:$T$154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percent!$B$160:$T$160</c:f>
              <c:numCache>
                <c:formatCode>0.0%</c:formatCode>
                <c:ptCount val="19"/>
                <c:pt idx="0">
                  <c:v>2.4834437086092714E-2</c:v>
                </c:pt>
                <c:pt idx="1">
                  <c:v>2.0100502512562814E-2</c:v>
                </c:pt>
                <c:pt idx="2">
                  <c:v>1.3114754098360656E-2</c:v>
                </c:pt>
                <c:pt idx="3">
                  <c:v>3.150912106135987E-2</c:v>
                </c:pt>
                <c:pt idx="4">
                  <c:v>1.1686143572621035E-2</c:v>
                </c:pt>
                <c:pt idx="5">
                  <c:v>1.9900497512437811E-2</c:v>
                </c:pt>
                <c:pt idx="6">
                  <c:v>2.6101141924959218E-2</c:v>
                </c:pt>
                <c:pt idx="7">
                  <c:v>1.9867549668874173E-2</c:v>
                </c:pt>
                <c:pt idx="8">
                  <c:v>1.3093289689034371E-2</c:v>
                </c:pt>
                <c:pt idx="9">
                  <c:v>1.8181818181818181E-2</c:v>
                </c:pt>
                <c:pt idx="10">
                  <c:v>1.4925373134328358E-2</c:v>
                </c:pt>
                <c:pt idx="11">
                  <c:v>1.6366612111292964E-2</c:v>
                </c:pt>
                <c:pt idx="12">
                  <c:v>2.7823240589198037E-2</c:v>
                </c:pt>
                <c:pt idx="13">
                  <c:v>1.4705882352941176E-2</c:v>
                </c:pt>
                <c:pt idx="14">
                  <c:v>1.9512195121951219E-2</c:v>
                </c:pt>
                <c:pt idx="15">
                  <c:v>2.7687296416938109E-2</c:v>
                </c:pt>
                <c:pt idx="16">
                  <c:v>1.282051282051282E-2</c:v>
                </c:pt>
                <c:pt idx="17">
                  <c:v>1.4802631578947368E-2</c:v>
                </c:pt>
                <c:pt idx="18">
                  <c:v>2.4711696869851731E-2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percent!$A$161</c:f>
              <c:strCache>
                <c:ptCount val="1"/>
                <c:pt idx="0">
                  <c:v>Convent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percent!$B$154:$T$154</c:f>
              <c:numCache>
                <c:formatCode>m/d/yyyy</c:formatCode>
                <c:ptCount val="19"/>
                <c:pt idx="0">
                  <c:v>43835</c:v>
                </c:pt>
                <c:pt idx="1">
                  <c:v>43836</c:v>
                </c:pt>
                <c:pt idx="2">
                  <c:v>43837</c:v>
                </c:pt>
                <c:pt idx="3">
                  <c:v>43838</c:v>
                </c:pt>
                <c:pt idx="4">
                  <c:v>43839</c:v>
                </c:pt>
                <c:pt idx="5">
                  <c:v>43840</c:v>
                </c:pt>
                <c:pt idx="6">
                  <c:v>43841</c:v>
                </c:pt>
                <c:pt idx="7">
                  <c:v>43842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43848</c:v>
                </c:pt>
                <c:pt idx="14">
                  <c:v>43849</c:v>
                </c:pt>
                <c:pt idx="15">
                  <c:v>43850</c:v>
                </c:pt>
                <c:pt idx="16">
                  <c:v>43851</c:v>
                </c:pt>
                <c:pt idx="17">
                  <c:v>43852</c:v>
                </c:pt>
                <c:pt idx="18">
                  <c:v>43853</c:v>
                </c:pt>
              </c:numCache>
            </c:numRef>
          </c:cat>
          <c:val>
            <c:numRef>
              <c:f>percent!$B$161:$T$161</c:f>
              <c:numCache>
                <c:formatCode>0.0%</c:formatCode>
                <c:ptCount val="19"/>
                <c:pt idx="0">
                  <c:v>8.2135523613963042E-3</c:v>
                </c:pt>
                <c:pt idx="1">
                  <c:v>7.8028747433264885E-3</c:v>
                </c:pt>
                <c:pt idx="2">
                  <c:v>8.206811653672548E-3</c:v>
                </c:pt>
                <c:pt idx="3">
                  <c:v>7.7932731747333882E-3</c:v>
                </c:pt>
                <c:pt idx="4">
                  <c:v>7.3861304883052932E-3</c:v>
                </c:pt>
                <c:pt idx="5">
                  <c:v>7.3770491803278691E-3</c:v>
                </c:pt>
                <c:pt idx="6">
                  <c:v>7.0422535211267607E-3</c:v>
                </c:pt>
                <c:pt idx="7">
                  <c:v>6.5627563576702219E-3</c:v>
                </c:pt>
                <c:pt idx="8">
                  <c:v>6.155108740254411E-3</c:v>
                </c:pt>
                <c:pt idx="9">
                  <c:v>5.7447681575707836E-3</c:v>
                </c:pt>
                <c:pt idx="10">
                  <c:v>4.5155993431855498E-3</c:v>
                </c:pt>
                <c:pt idx="11">
                  <c:v>5.7447681575707836E-3</c:v>
                </c:pt>
                <c:pt idx="12">
                  <c:v>6.5386187167960769E-3</c:v>
                </c:pt>
                <c:pt idx="13">
                  <c:v>6.1274509803921568E-3</c:v>
                </c:pt>
                <c:pt idx="14">
                  <c:v>6.1299550469963221E-3</c:v>
                </c:pt>
                <c:pt idx="15">
                  <c:v>5.7189542483660127E-3</c:v>
                </c:pt>
                <c:pt idx="16">
                  <c:v>4.9079754601226997E-3</c:v>
                </c:pt>
                <c:pt idx="17">
                  <c:v>5.7166190281747655E-3</c:v>
                </c:pt>
                <c:pt idx="18">
                  <c:v>5.3039575683394534E-3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472176"/>
        <c:axId val="561472960"/>
      </c:lineChart>
      <c:dateAx>
        <c:axId val="561472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72960"/>
        <c:crosses val="autoZero"/>
        <c:auto val="1"/>
        <c:lblOffset val="100"/>
        <c:baseTimeUnit val="days"/>
      </c:dateAx>
      <c:valAx>
        <c:axId val="561472960"/>
        <c:scaling>
          <c:orientation val="minMax"/>
          <c:max val="3.3000000000000008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185737</xdr:rowOff>
    </xdr:from>
    <xdr:to>
      <xdr:col>8</xdr:col>
      <xdr:colOff>66675</xdr:colOff>
      <xdr:row>22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60</xdr:row>
      <xdr:rowOff>14287</xdr:rowOff>
    </xdr:from>
    <xdr:to>
      <xdr:col>8</xdr:col>
      <xdr:colOff>47625</xdr:colOff>
      <xdr:row>74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86</xdr:row>
      <xdr:rowOff>23812</xdr:rowOff>
    </xdr:from>
    <xdr:to>
      <xdr:col>8</xdr:col>
      <xdr:colOff>85725</xdr:colOff>
      <xdr:row>100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</xdr:colOff>
      <xdr:row>110</xdr:row>
      <xdr:rowOff>147637</xdr:rowOff>
    </xdr:from>
    <xdr:to>
      <xdr:col>8</xdr:col>
      <xdr:colOff>85725</xdr:colOff>
      <xdr:row>125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136</xdr:row>
      <xdr:rowOff>138112</xdr:rowOff>
    </xdr:from>
    <xdr:to>
      <xdr:col>8</xdr:col>
      <xdr:colOff>57150</xdr:colOff>
      <xdr:row>151</xdr:row>
      <xdr:rowOff>23812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104775</xdr:colOff>
      <xdr:row>34</xdr:row>
      <xdr:rowOff>23812</xdr:rowOff>
    </xdr:from>
    <xdr:to>
      <xdr:col>8</xdr:col>
      <xdr:colOff>142875</xdr:colOff>
      <xdr:row>48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8</xdr:col>
      <xdr:colOff>38100</xdr:colOff>
      <xdr:row>176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7"/>
  <sheetViews>
    <sheetView tabSelected="1" topLeftCell="A2" workbookViewId="0">
      <pane ySplit="900" topLeftCell="A184" activePane="bottomLeft"/>
      <selection activeCell="K2" sqref="K1:L1048576"/>
      <selection pane="bottomLeft" activeCell="E218" sqref="E218"/>
    </sheetView>
  </sheetViews>
  <sheetFormatPr defaultRowHeight="15" x14ac:dyDescent="0.25"/>
  <cols>
    <col min="1" max="1" width="10.7109375" bestFit="1" customWidth="1"/>
    <col min="2" max="2" width="8.28515625" bestFit="1" customWidth="1"/>
    <col min="3" max="3" width="10.140625" bestFit="1" customWidth="1"/>
    <col min="4" max="4" width="5.140625" bestFit="1" customWidth="1"/>
    <col min="5" max="5" width="6.140625" bestFit="1" customWidth="1"/>
    <col min="6" max="6" width="7.7109375" bestFit="1" customWidth="1"/>
    <col min="7" max="7" width="5.42578125" bestFit="1" customWidth="1"/>
    <col min="8" max="8" width="6.140625" style="2" bestFit="1" customWidth="1"/>
    <col min="9" max="9" width="7.140625" bestFit="1" customWidth="1"/>
    <col min="10" max="10" width="7.7109375" bestFit="1" customWidth="1"/>
    <col min="11" max="11" width="6.42578125" bestFit="1" customWidth="1"/>
    <col min="12" max="12" width="6.140625" style="2" bestFit="1" customWidth="1"/>
    <col min="13" max="13" width="6" bestFit="1" customWidth="1"/>
    <col min="14" max="14" width="5.7109375" style="2" bestFit="1" customWidth="1"/>
    <col min="15" max="15" width="5.7109375" bestFit="1" customWidth="1"/>
    <col min="16" max="17" width="5.42578125" bestFit="1" customWidth="1"/>
    <col min="18" max="18" width="5.85546875" customWidth="1"/>
    <col min="19" max="19" width="5.7109375" bestFit="1" customWidth="1"/>
    <col min="20" max="20" width="5.42578125" bestFit="1" customWidth="1"/>
  </cols>
  <sheetData>
    <row r="2" spans="1:20" x14ac:dyDescent="0.25">
      <c r="A2" t="s">
        <v>0</v>
      </c>
      <c r="B2" t="s">
        <v>2</v>
      </c>
      <c r="C2" t="s">
        <v>37</v>
      </c>
      <c r="D2" t="s">
        <v>1</v>
      </c>
      <c r="E2" t="s">
        <v>14</v>
      </c>
      <c r="F2" t="s">
        <v>13</v>
      </c>
      <c r="G2" t="s">
        <v>41</v>
      </c>
      <c r="H2" s="4" t="s">
        <v>42</v>
      </c>
      <c r="I2" t="s">
        <v>17</v>
      </c>
      <c r="J2" t="s">
        <v>18</v>
      </c>
      <c r="K2" t="s">
        <v>7</v>
      </c>
      <c r="L2" s="4" t="s">
        <v>15</v>
      </c>
      <c r="M2" t="s">
        <v>8</v>
      </c>
      <c r="N2" s="4" t="s">
        <v>16</v>
      </c>
      <c r="O2" t="s">
        <v>9</v>
      </c>
      <c r="P2" t="s">
        <v>10</v>
      </c>
      <c r="Q2" t="s">
        <v>11</v>
      </c>
      <c r="R2" t="s">
        <v>12</v>
      </c>
      <c r="S2" t="s">
        <v>28</v>
      </c>
      <c r="T2" t="s">
        <v>29</v>
      </c>
    </row>
    <row r="3" spans="1:20" x14ac:dyDescent="0.25">
      <c r="A3" s="1">
        <v>43835</v>
      </c>
      <c r="B3" s="1" t="s">
        <v>4</v>
      </c>
      <c r="C3" s="1" t="s">
        <v>40</v>
      </c>
      <c r="D3">
        <v>6297</v>
      </c>
      <c r="E3">
        <f>9*60+28</f>
        <v>568</v>
      </c>
      <c r="F3" s="3">
        <f>E3/E$4</f>
        <v>1.4677002583979328</v>
      </c>
      <c r="G3">
        <v>0</v>
      </c>
      <c r="H3" s="3">
        <f>G3/$D3</f>
        <v>0</v>
      </c>
      <c r="I3">
        <v>5085</v>
      </c>
      <c r="J3" s="3">
        <f>I3/$D3</f>
        <v>0.80752739399714146</v>
      </c>
      <c r="K3">
        <v>1089</v>
      </c>
      <c r="L3" s="3">
        <f>K3/$D3</f>
        <v>0.1729394949976179</v>
      </c>
      <c r="M3">
        <v>62</v>
      </c>
      <c r="N3" s="3">
        <f>M3/$D3</f>
        <v>9.8459583928855003E-3</v>
      </c>
      <c r="O3">
        <v>114</v>
      </c>
      <c r="P3" s="3">
        <f>O3/$D3</f>
        <v>1.8103858980466889E-2</v>
      </c>
      <c r="Q3">
        <v>53</v>
      </c>
      <c r="R3" s="3">
        <f>Q3/$D3</f>
        <v>8.4167063681117992E-3</v>
      </c>
      <c r="S3">
        <v>101</v>
      </c>
      <c r="T3" s="3">
        <f>S3/$D3</f>
        <v>1.6039383833571542E-2</v>
      </c>
    </row>
    <row r="4" spans="1:20" x14ac:dyDescent="0.25">
      <c r="A4" s="1">
        <f>A3</f>
        <v>43835</v>
      </c>
      <c r="B4" t="s">
        <v>3</v>
      </c>
      <c r="C4" s="1" t="s">
        <v>40</v>
      </c>
      <c r="D4">
        <v>587</v>
      </c>
      <c r="E4">
        <f>6*60+27</f>
        <v>387</v>
      </c>
      <c r="F4" s="3">
        <f>E4/E$4</f>
        <v>1</v>
      </c>
      <c r="G4">
        <v>0</v>
      </c>
      <c r="H4" s="3">
        <f>G4/$D4</f>
        <v>0</v>
      </c>
      <c r="I4">
        <v>476</v>
      </c>
      <c r="J4" s="3">
        <f>I4/$D4</f>
        <v>0.81090289608177168</v>
      </c>
      <c r="K4">
        <v>98</v>
      </c>
      <c r="L4" s="3">
        <f>K4/$D4</f>
        <v>0.16695059625212946</v>
      </c>
      <c r="M4">
        <v>5</v>
      </c>
      <c r="N4" s="3">
        <f>M4/$D4</f>
        <v>8.5178875638841564E-3</v>
      </c>
      <c r="O4">
        <v>7</v>
      </c>
      <c r="P4" s="3">
        <f>O4/$D4</f>
        <v>1.192504258943782E-2</v>
      </c>
      <c r="Q4">
        <v>2</v>
      </c>
      <c r="R4" s="3">
        <f>Q4/$D4</f>
        <v>3.4071550255536627E-3</v>
      </c>
      <c r="S4">
        <v>7</v>
      </c>
      <c r="T4" s="3">
        <f t="shared" ref="T4:T7" si="0">S4/$D4</f>
        <v>1.192504258943782E-2</v>
      </c>
    </row>
    <row r="5" spans="1:20" x14ac:dyDescent="0.25">
      <c r="A5" s="1">
        <f>A4</f>
        <v>43835</v>
      </c>
      <c r="B5" t="s">
        <v>5</v>
      </c>
      <c r="C5" s="1" t="s">
        <v>40</v>
      </c>
      <c r="D5">
        <v>567</v>
      </c>
      <c r="E5">
        <f>3*60+8</f>
        <v>188</v>
      </c>
      <c r="F5" s="3">
        <f>E5/E$4</f>
        <v>0.48578811369509045</v>
      </c>
      <c r="G5">
        <v>0</v>
      </c>
      <c r="H5" s="3">
        <f>G5/$D5</f>
        <v>0</v>
      </c>
      <c r="I5">
        <v>464</v>
      </c>
      <c r="J5" s="3">
        <f>I5/$D5</f>
        <v>0.81834215167548496</v>
      </c>
      <c r="K5">
        <v>93</v>
      </c>
      <c r="L5" s="3">
        <f>K5/$D5</f>
        <v>0.16402116402116401</v>
      </c>
      <c r="M5">
        <v>4</v>
      </c>
      <c r="N5" s="3">
        <f>M5/$D5</f>
        <v>7.0546737213403876E-3</v>
      </c>
      <c r="O5">
        <v>14</v>
      </c>
      <c r="P5" s="3">
        <f>O5/$D5</f>
        <v>2.4691358024691357E-2</v>
      </c>
      <c r="Q5">
        <v>3</v>
      </c>
      <c r="R5" s="3">
        <f>Q5/$D5</f>
        <v>5.2910052910052907E-3</v>
      </c>
      <c r="S5">
        <v>7</v>
      </c>
      <c r="T5" s="3">
        <f t="shared" si="0"/>
        <v>1.2345679012345678E-2</v>
      </c>
    </row>
    <row r="6" spans="1:20" x14ac:dyDescent="0.25">
      <c r="A6" s="1">
        <f>A5</f>
        <v>43835</v>
      </c>
      <c r="B6" t="s">
        <v>6</v>
      </c>
      <c r="C6" s="1" t="s">
        <v>40</v>
      </c>
      <c r="D6">
        <v>604</v>
      </c>
      <c r="E6">
        <f>5*60+27</f>
        <v>327</v>
      </c>
      <c r="F6" s="3">
        <f>E6/E$4</f>
        <v>0.84496124031007747</v>
      </c>
      <c r="G6">
        <v>0</v>
      </c>
      <c r="H6" s="3">
        <f>G6/$D6</f>
        <v>0</v>
      </c>
      <c r="I6">
        <v>502</v>
      </c>
      <c r="J6" s="3">
        <f>I6/$D6</f>
        <v>0.83112582781456956</v>
      </c>
      <c r="K6">
        <v>90</v>
      </c>
      <c r="L6" s="3">
        <f>K6/$D6</f>
        <v>0.1490066225165563</v>
      </c>
      <c r="M6">
        <v>2</v>
      </c>
      <c r="N6" s="3">
        <f>M6/$D6</f>
        <v>3.3112582781456954E-3</v>
      </c>
      <c r="O6">
        <v>7</v>
      </c>
      <c r="P6" s="3">
        <f>O6/$D6</f>
        <v>1.1589403973509934E-2</v>
      </c>
      <c r="Q6">
        <v>6</v>
      </c>
      <c r="R6" s="3">
        <f>Q6/$D6</f>
        <v>9.9337748344370865E-3</v>
      </c>
      <c r="S6">
        <v>15</v>
      </c>
      <c r="T6" s="3">
        <f t="shared" si="0"/>
        <v>2.4834437086092714E-2</v>
      </c>
    </row>
    <row r="7" spans="1:20" x14ac:dyDescent="0.25">
      <c r="A7" s="1">
        <f>A6</f>
        <v>43835</v>
      </c>
      <c r="B7" t="s">
        <v>30</v>
      </c>
      <c r="C7" s="1" t="s">
        <v>39</v>
      </c>
      <c r="D7">
        <v>2435</v>
      </c>
      <c r="E7">
        <f>5*60+28</f>
        <v>328</v>
      </c>
      <c r="F7" s="3">
        <f>E7/E$4</f>
        <v>0.84754521963824292</v>
      </c>
      <c r="G7">
        <v>118</v>
      </c>
      <c r="H7" s="3">
        <f>G7/$D7</f>
        <v>4.8459958932238194E-2</v>
      </c>
      <c r="I7">
        <v>2154</v>
      </c>
      <c r="J7" s="3">
        <f>I7/$D7</f>
        <v>0.88459958932238192</v>
      </c>
      <c r="K7">
        <v>156</v>
      </c>
      <c r="L7" s="3">
        <f>K7/$D7</f>
        <v>6.4065708418891171E-2</v>
      </c>
      <c r="M7">
        <v>4</v>
      </c>
      <c r="N7" s="3">
        <f>M7/$D7</f>
        <v>1.6427104722792608E-3</v>
      </c>
      <c r="O7">
        <v>13</v>
      </c>
      <c r="P7" s="3">
        <f>O7/$D7</f>
        <v>5.3388090349075976E-3</v>
      </c>
      <c r="Q7">
        <v>0</v>
      </c>
      <c r="R7" s="3">
        <f>Q7/$D7</f>
        <v>0</v>
      </c>
      <c r="S7">
        <v>20</v>
      </c>
      <c r="T7" s="3">
        <f t="shared" si="0"/>
        <v>8.2135523613963042E-3</v>
      </c>
    </row>
    <row r="8" spans="1:20" x14ac:dyDescent="0.25">
      <c r="A8" s="1"/>
      <c r="F8" s="3"/>
      <c r="H8" s="3"/>
      <c r="J8" s="3"/>
      <c r="L8" s="3"/>
      <c r="N8" s="3"/>
      <c r="P8" s="3"/>
      <c r="R8" s="3"/>
    </row>
    <row r="9" spans="1:20" x14ac:dyDescent="0.25">
      <c r="A9" s="1">
        <v>43836</v>
      </c>
      <c r="B9" s="1" t="s">
        <v>4</v>
      </c>
      <c r="C9" s="1" t="s">
        <v>38</v>
      </c>
      <c r="D9">
        <v>6293</v>
      </c>
      <c r="E9">
        <f>9*60+9</f>
        <v>549</v>
      </c>
      <c r="F9" s="3">
        <f t="shared" ref="F9" si="1">E9/E$10</f>
        <v>1.0185528756957329</v>
      </c>
      <c r="G9">
        <v>0</v>
      </c>
      <c r="H9" s="3">
        <f>G9/$D9</f>
        <v>0</v>
      </c>
      <c r="I9">
        <v>5079</v>
      </c>
      <c r="J9" s="3">
        <f>I9/$D9</f>
        <v>0.80708723979024311</v>
      </c>
      <c r="K9">
        <v>1091</v>
      </c>
      <c r="L9" s="3">
        <f>K9/$D9</f>
        <v>0.17336723343397425</v>
      </c>
      <c r="M9">
        <v>63</v>
      </c>
      <c r="N9" s="3">
        <f>M9/$D9</f>
        <v>1.0011123470522803E-2</v>
      </c>
      <c r="O9">
        <v>114</v>
      </c>
      <c r="P9" s="3">
        <f>O9/$D9</f>
        <v>1.8115366279993644E-2</v>
      </c>
      <c r="Q9">
        <v>53</v>
      </c>
      <c r="R9" s="3">
        <f>Q9/$D9</f>
        <v>8.4220562529795009E-3</v>
      </c>
      <c r="S9">
        <v>100</v>
      </c>
      <c r="T9" s="3">
        <f>S9/$D9</f>
        <v>1.589067217543302E-2</v>
      </c>
    </row>
    <row r="10" spans="1:20" x14ac:dyDescent="0.25">
      <c r="A10" s="1">
        <f>A9</f>
        <v>43836</v>
      </c>
      <c r="B10" t="s">
        <v>3</v>
      </c>
      <c r="C10" s="1" t="s">
        <v>40</v>
      </c>
      <c r="D10">
        <v>588</v>
      </c>
      <c r="E10">
        <f>8*60+59</f>
        <v>539</v>
      </c>
      <c r="F10" s="3">
        <f>E10/E$10</f>
        <v>1</v>
      </c>
      <c r="G10">
        <v>0</v>
      </c>
      <c r="H10" s="3">
        <f>G10/$D10</f>
        <v>0</v>
      </c>
      <c r="I10">
        <v>472</v>
      </c>
      <c r="J10" s="3">
        <f>I10/$D10</f>
        <v>0.80272108843537415</v>
      </c>
      <c r="K10">
        <v>101</v>
      </c>
      <c r="L10" s="3">
        <f>K10/$D10</f>
        <v>0.17176870748299319</v>
      </c>
      <c r="M10">
        <v>8</v>
      </c>
      <c r="N10" s="3">
        <f>M10/$D10</f>
        <v>1.3605442176870748E-2</v>
      </c>
      <c r="O10">
        <v>12</v>
      </c>
      <c r="P10" s="3">
        <f>O10/$D10</f>
        <v>2.0408163265306121E-2</v>
      </c>
      <c r="Q10">
        <v>3</v>
      </c>
      <c r="R10" s="3">
        <f>Q10/$D10</f>
        <v>5.1020408163265302E-3</v>
      </c>
      <c r="S10">
        <v>4</v>
      </c>
      <c r="T10" s="3">
        <f t="shared" ref="T10:T13" si="2">S10/$D10</f>
        <v>6.8027210884353739E-3</v>
      </c>
    </row>
    <row r="11" spans="1:20" x14ac:dyDescent="0.25">
      <c r="A11" s="1">
        <f>A10</f>
        <v>43836</v>
      </c>
      <c r="B11" t="s">
        <v>5</v>
      </c>
      <c r="C11" s="1" t="s">
        <v>40</v>
      </c>
      <c r="D11">
        <v>610</v>
      </c>
      <c r="E11">
        <f>1*60+0</f>
        <v>60</v>
      </c>
      <c r="F11" s="3">
        <f t="shared" ref="F11:F13" si="3">E11/E$10</f>
        <v>0.11131725417439703</v>
      </c>
      <c r="G11">
        <v>0</v>
      </c>
      <c r="H11" s="3">
        <f>G11/$D11</f>
        <v>0</v>
      </c>
      <c r="I11">
        <v>486</v>
      </c>
      <c r="J11" s="3">
        <f>I11/$D11</f>
        <v>0.79672131147540981</v>
      </c>
      <c r="K11">
        <v>117</v>
      </c>
      <c r="L11" s="3">
        <f>K11/$D11</f>
        <v>0.19180327868852459</v>
      </c>
      <c r="M11">
        <v>5</v>
      </c>
      <c r="N11" s="3">
        <f>M11/$D11</f>
        <v>8.1967213114754103E-3</v>
      </c>
      <c r="O11">
        <v>6</v>
      </c>
      <c r="P11" s="3">
        <f>O11/$D11</f>
        <v>9.8360655737704927E-3</v>
      </c>
      <c r="Q11">
        <v>4</v>
      </c>
      <c r="R11" s="3">
        <f>Q11/$D11</f>
        <v>6.5573770491803279E-3</v>
      </c>
      <c r="S11">
        <v>14</v>
      </c>
      <c r="T11" s="3">
        <f t="shared" si="2"/>
        <v>2.2950819672131147E-2</v>
      </c>
    </row>
    <row r="12" spans="1:20" x14ac:dyDescent="0.25">
      <c r="A12" s="1">
        <f>A11</f>
        <v>43836</v>
      </c>
      <c r="B12" t="s">
        <v>6</v>
      </c>
      <c r="C12" s="1" t="s">
        <v>40</v>
      </c>
      <c r="D12">
        <v>597</v>
      </c>
      <c r="E12">
        <f>4*60+55</f>
        <v>295</v>
      </c>
      <c r="F12" s="3">
        <f t="shared" si="3"/>
        <v>0.54730983302411873</v>
      </c>
      <c r="G12">
        <v>0</v>
      </c>
      <c r="H12" s="3">
        <f>G12/$D12</f>
        <v>0</v>
      </c>
      <c r="I12">
        <v>477</v>
      </c>
      <c r="J12" s="3">
        <f>I12/$D12</f>
        <v>0.79899497487437188</v>
      </c>
      <c r="K12">
        <v>103</v>
      </c>
      <c r="L12" s="3">
        <f>K12/$D12</f>
        <v>0.17252931323283083</v>
      </c>
      <c r="M12">
        <v>7</v>
      </c>
      <c r="N12" s="3">
        <f>M12/$D12</f>
        <v>1.1725293132328308E-2</v>
      </c>
      <c r="O12">
        <v>17</v>
      </c>
      <c r="P12" s="3">
        <f>O12/$D12</f>
        <v>2.8475711892797319E-2</v>
      </c>
      <c r="Q12">
        <v>7</v>
      </c>
      <c r="R12" s="3">
        <f>Q12/$D12</f>
        <v>1.1725293132328308E-2</v>
      </c>
      <c r="S12">
        <v>12</v>
      </c>
      <c r="T12" s="3">
        <f t="shared" si="2"/>
        <v>2.0100502512562814E-2</v>
      </c>
    </row>
    <row r="13" spans="1:20" x14ac:dyDescent="0.25">
      <c r="A13" s="1">
        <f>A12</f>
        <v>43836</v>
      </c>
      <c r="B13" t="s">
        <v>30</v>
      </c>
      <c r="C13" s="1" t="s">
        <v>40</v>
      </c>
      <c r="D13">
        <v>2435</v>
      </c>
      <c r="E13">
        <f>3*60+22</f>
        <v>202</v>
      </c>
      <c r="F13" s="3">
        <f t="shared" si="3"/>
        <v>0.37476808905380332</v>
      </c>
      <c r="G13">
        <v>102</v>
      </c>
      <c r="H13" s="3">
        <f>G13/$D13</f>
        <v>4.1889117043121149E-2</v>
      </c>
      <c r="I13">
        <v>2166</v>
      </c>
      <c r="J13" s="3">
        <f>I13/$D13</f>
        <v>0.88952772073921971</v>
      </c>
      <c r="K13">
        <v>159</v>
      </c>
      <c r="L13" s="3">
        <f>K13/$D13</f>
        <v>6.5297741273100618E-2</v>
      </c>
      <c r="M13">
        <v>2</v>
      </c>
      <c r="N13" s="3">
        <f>M13/$D13</f>
        <v>8.2135523613963038E-4</v>
      </c>
      <c r="O13">
        <v>14</v>
      </c>
      <c r="P13" s="3">
        <f>O13/$D13</f>
        <v>5.7494866529774124E-3</v>
      </c>
      <c r="Q13">
        <v>0</v>
      </c>
      <c r="R13" s="3">
        <f>Q13/$D13</f>
        <v>0</v>
      </c>
      <c r="S13">
        <v>19</v>
      </c>
      <c r="T13" s="3">
        <f t="shared" si="2"/>
        <v>7.8028747433264885E-3</v>
      </c>
    </row>
    <row r="14" spans="1:20" x14ac:dyDescent="0.25">
      <c r="A14" s="1"/>
      <c r="F14" s="3"/>
      <c r="H14" s="3"/>
      <c r="J14" s="3"/>
      <c r="L14" s="3"/>
      <c r="N14" s="3"/>
      <c r="P14" s="3"/>
      <c r="R14" s="3"/>
    </row>
    <row r="15" spans="1:20" x14ac:dyDescent="0.25">
      <c r="A15" s="1">
        <v>43837</v>
      </c>
      <c r="B15" s="1" t="s">
        <v>4</v>
      </c>
      <c r="C15" s="1" t="s">
        <v>38</v>
      </c>
      <c r="D15">
        <v>6319</v>
      </c>
      <c r="E15">
        <f>8*60+12</f>
        <v>492</v>
      </c>
      <c r="F15" s="3">
        <f t="shared" ref="F15" si="4">E15/E$16</f>
        <v>1.7761732851985559</v>
      </c>
      <c r="G15">
        <v>0</v>
      </c>
      <c r="H15" s="3">
        <f>G15/$D15</f>
        <v>0</v>
      </c>
      <c r="I15">
        <v>5102</v>
      </c>
      <c r="J15" s="3">
        <f>I15/$D15</f>
        <v>0.80740623516379173</v>
      </c>
      <c r="K15">
        <v>1092</v>
      </c>
      <c r="L15" s="3">
        <f>K15/$D15</f>
        <v>0.17281215382180726</v>
      </c>
      <c r="M15">
        <v>63</v>
      </c>
      <c r="N15" s="3">
        <f>M15/$D15</f>
        <v>9.9699319512581101E-3</v>
      </c>
      <c r="O15">
        <v>114</v>
      </c>
      <c r="P15" s="3">
        <f>O15/$D15</f>
        <v>1.8040829245133724E-2</v>
      </c>
      <c r="Q15">
        <v>53</v>
      </c>
      <c r="R15" s="3">
        <f>Q15/$D15</f>
        <v>8.3874030701060302E-3</v>
      </c>
      <c r="S15">
        <v>103</v>
      </c>
      <c r="T15" s="3">
        <f>S15/$D15</f>
        <v>1.6300047475866435E-2</v>
      </c>
    </row>
    <row r="16" spans="1:20" x14ac:dyDescent="0.25">
      <c r="A16" s="1">
        <f>A15</f>
        <v>43837</v>
      </c>
      <c r="B16" t="s">
        <v>3</v>
      </c>
      <c r="C16" s="1" t="s">
        <v>40</v>
      </c>
      <c r="D16">
        <v>595</v>
      </c>
      <c r="E16">
        <f>4*60+37</f>
        <v>277</v>
      </c>
      <c r="F16" s="3">
        <f>E16/E$16</f>
        <v>1</v>
      </c>
      <c r="G16">
        <v>0</v>
      </c>
      <c r="H16" s="3">
        <f>G16/$D16</f>
        <v>0</v>
      </c>
      <c r="I16">
        <v>473</v>
      </c>
      <c r="J16" s="3">
        <f>I16/$D16</f>
        <v>0.79495798319327726</v>
      </c>
      <c r="K16">
        <v>109</v>
      </c>
      <c r="L16" s="3">
        <f>K16/$D16</f>
        <v>0.18319327731092436</v>
      </c>
      <c r="M16">
        <v>9</v>
      </c>
      <c r="N16" s="3">
        <f>M16/$D16</f>
        <v>1.5126050420168067E-2</v>
      </c>
      <c r="O16">
        <v>12</v>
      </c>
      <c r="P16" s="3">
        <f>O16/$D16</f>
        <v>2.0168067226890758E-2</v>
      </c>
      <c r="Q16">
        <v>7</v>
      </c>
      <c r="R16" s="3">
        <f>Q16/$D16</f>
        <v>1.1764705882352941E-2</v>
      </c>
      <c r="S16">
        <v>8</v>
      </c>
      <c r="T16" s="3">
        <f t="shared" ref="T16:T19" si="5">S16/$D16</f>
        <v>1.3445378151260505E-2</v>
      </c>
    </row>
    <row r="17" spans="1:20" x14ac:dyDescent="0.25">
      <c r="A17" s="1">
        <f>A16</f>
        <v>43837</v>
      </c>
      <c r="B17" t="s">
        <v>5</v>
      </c>
      <c r="C17" s="1" t="s">
        <v>40</v>
      </c>
      <c r="D17">
        <v>610</v>
      </c>
      <c r="E17">
        <f>1*60+3</f>
        <v>63</v>
      </c>
      <c r="F17" s="3">
        <f t="shared" ref="F17:F19" si="6">E17/E$16</f>
        <v>0.22743682310469315</v>
      </c>
      <c r="G17">
        <v>0</v>
      </c>
      <c r="H17" s="3">
        <f>G17/$D17</f>
        <v>0</v>
      </c>
      <c r="I17">
        <v>496</v>
      </c>
      <c r="J17" s="3">
        <f>I17/$D17</f>
        <v>0.81311475409836065</v>
      </c>
      <c r="K17">
        <v>99</v>
      </c>
      <c r="L17" s="3">
        <f>K17/$D17</f>
        <v>0.16229508196721312</v>
      </c>
      <c r="M17">
        <v>4</v>
      </c>
      <c r="N17" s="3">
        <f>M17/$D17</f>
        <v>6.5573770491803279E-3</v>
      </c>
      <c r="O17">
        <v>11</v>
      </c>
      <c r="P17" s="3">
        <f>O17/$D17</f>
        <v>1.8032786885245903E-2</v>
      </c>
      <c r="Q17">
        <v>5</v>
      </c>
      <c r="R17" s="3">
        <f>Q17/$D17</f>
        <v>8.1967213114754103E-3</v>
      </c>
      <c r="S17">
        <v>12</v>
      </c>
      <c r="T17" s="3">
        <f t="shared" si="5"/>
        <v>1.9672131147540985E-2</v>
      </c>
    </row>
    <row r="18" spans="1:20" x14ac:dyDescent="0.25">
      <c r="A18" s="1">
        <f>A17</f>
        <v>43837</v>
      </c>
      <c r="B18" t="s">
        <v>6</v>
      </c>
      <c r="C18" s="1" t="s">
        <v>40</v>
      </c>
      <c r="D18">
        <v>610</v>
      </c>
      <c r="E18">
        <f>5*60+8</f>
        <v>308</v>
      </c>
      <c r="F18" s="3">
        <f t="shared" si="6"/>
        <v>1.1119133574007221</v>
      </c>
      <c r="G18">
        <v>0</v>
      </c>
      <c r="H18" s="3">
        <f>G18/$D18</f>
        <v>0</v>
      </c>
      <c r="I18">
        <v>491</v>
      </c>
      <c r="J18" s="3">
        <f>I18/$D18</f>
        <v>0.80491803278688523</v>
      </c>
      <c r="K18">
        <v>106</v>
      </c>
      <c r="L18" s="3">
        <f>K18/$D18</f>
        <v>0.17377049180327869</v>
      </c>
      <c r="M18">
        <v>5</v>
      </c>
      <c r="N18" s="3">
        <f>M18/$D18</f>
        <v>8.1967213114754103E-3</v>
      </c>
      <c r="O18">
        <v>8</v>
      </c>
      <c r="P18" s="3">
        <f>O18/$D18</f>
        <v>1.3114754098360656E-2</v>
      </c>
      <c r="Q18">
        <v>5</v>
      </c>
      <c r="R18" s="3">
        <f>Q18/$D18</f>
        <v>8.1967213114754103E-3</v>
      </c>
      <c r="S18">
        <v>8</v>
      </c>
      <c r="T18" s="3">
        <f t="shared" si="5"/>
        <v>1.3114754098360656E-2</v>
      </c>
    </row>
    <row r="19" spans="1:20" x14ac:dyDescent="0.25">
      <c r="A19" s="1">
        <f>A18</f>
        <v>43837</v>
      </c>
      <c r="B19" t="s">
        <v>30</v>
      </c>
      <c r="C19" s="1" t="s">
        <v>40</v>
      </c>
      <c r="D19">
        <v>2437</v>
      </c>
      <c r="E19">
        <f>7*60+45</f>
        <v>465</v>
      </c>
      <c r="F19" s="3">
        <f t="shared" si="6"/>
        <v>1.6787003610108304</v>
      </c>
      <c r="G19">
        <v>105</v>
      </c>
      <c r="H19" s="3">
        <f>G19/$D19</f>
        <v>4.3085761181780875E-2</v>
      </c>
      <c r="I19">
        <v>2178</v>
      </c>
      <c r="J19" s="3">
        <f>I19/$D19</f>
        <v>0.89372178908494049</v>
      </c>
      <c r="K19">
        <v>147</v>
      </c>
      <c r="L19" s="3">
        <f>K19/$D19</f>
        <v>6.032006565449323E-2</v>
      </c>
      <c r="M19">
        <v>4</v>
      </c>
      <c r="N19" s="3">
        <f>M19/$D19</f>
        <v>1.6413623307345096E-3</v>
      </c>
      <c r="O19">
        <v>15</v>
      </c>
      <c r="P19" s="3">
        <f>O19/$D19</f>
        <v>6.155108740254411E-3</v>
      </c>
      <c r="Q19">
        <v>0</v>
      </c>
      <c r="R19" s="3">
        <f>Q19/$D19</f>
        <v>0</v>
      </c>
      <c r="S19">
        <v>20</v>
      </c>
      <c r="T19" s="3">
        <f t="shared" si="5"/>
        <v>8.206811653672548E-3</v>
      </c>
    </row>
    <row r="20" spans="1:20" x14ac:dyDescent="0.25">
      <c r="A20" s="1"/>
      <c r="F20" s="3"/>
      <c r="H20" s="3"/>
      <c r="J20" s="3"/>
      <c r="L20" s="3"/>
      <c r="N20" s="3"/>
      <c r="P20" s="3"/>
      <c r="R20" s="3"/>
    </row>
    <row r="21" spans="1:20" x14ac:dyDescent="0.25">
      <c r="A21" s="1">
        <v>43838</v>
      </c>
      <c r="B21" s="1" t="s">
        <v>4</v>
      </c>
      <c r="C21" s="1" t="s">
        <v>40</v>
      </c>
      <c r="D21">
        <v>6321</v>
      </c>
      <c r="E21">
        <f>4*60+50</f>
        <v>290</v>
      </c>
      <c r="F21" s="3">
        <f t="shared" ref="F21" si="7">E21/E$22</f>
        <v>0.87878787878787878</v>
      </c>
      <c r="G21">
        <v>0</v>
      </c>
      <c r="H21" s="3">
        <f>G21/$D21</f>
        <v>0</v>
      </c>
      <c r="I21">
        <v>5106</v>
      </c>
      <c r="J21" s="3">
        <f>I21/$D21</f>
        <v>0.80778357854769811</v>
      </c>
      <c r="K21">
        <v>1093</v>
      </c>
      <c r="L21" s="3">
        <f>K21/$D21</f>
        <v>0.17291567789906662</v>
      </c>
      <c r="M21">
        <v>60</v>
      </c>
      <c r="N21" s="3">
        <f>M21/$D21</f>
        <v>9.4921689606074985E-3</v>
      </c>
      <c r="O21">
        <v>115</v>
      </c>
      <c r="P21" s="3">
        <f>O21/$D21</f>
        <v>1.8193323841164372E-2</v>
      </c>
      <c r="Q21">
        <v>53</v>
      </c>
      <c r="R21" s="3">
        <f>Q21/$D21</f>
        <v>8.3847492485366239E-3</v>
      </c>
      <c r="S21">
        <v>103</v>
      </c>
      <c r="T21" s="3">
        <f>S21/$D21</f>
        <v>1.6294890049042873E-2</v>
      </c>
    </row>
    <row r="22" spans="1:20" x14ac:dyDescent="0.25">
      <c r="A22" s="1">
        <f>A21</f>
        <v>43838</v>
      </c>
      <c r="B22" t="s">
        <v>3</v>
      </c>
      <c r="C22" s="1" t="s">
        <v>40</v>
      </c>
      <c r="D22">
        <v>604</v>
      </c>
      <c r="E22">
        <f>5*60+30</f>
        <v>330</v>
      </c>
      <c r="F22" s="3">
        <f>E22/E$22</f>
        <v>1</v>
      </c>
      <c r="G22">
        <v>0</v>
      </c>
      <c r="H22" s="3">
        <f>G22/$D22</f>
        <v>0</v>
      </c>
      <c r="I22">
        <v>486</v>
      </c>
      <c r="J22" s="3">
        <f>I22/$D22</f>
        <v>0.80463576158940397</v>
      </c>
      <c r="K22">
        <v>107</v>
      </c>
      <c r="L22" s="3">
        <f>K22/$D22</f>
        <v>0.17715231788079469</v>
      </c>
      <c r="M22">
        <v>5</v>
      </c>
      <c r="N22" s="3">
        <f>M22/$D22</f>
        <v>8.2781456953642391E-3</v>
      </c>
      <c r="O22">
        <v>11</v>
      </c>
      <c r="P22" s="3">
        <f>O22/$D22</f>
        <v>1.8211920529801324E-2</v>
      </c>
      <c r="Q22">
        <v>6</v>
      </c>
      <c r="R22" s="3">
        <f>Q22/$D22</f>
        <v>9.9337748344370865E-3</v>
      </c>
      <c r="S22">
        <v>9</v>
      </c>
      <c r="T22" s="3">
        <f t="shared" ref="T22:T24" si="8">S22/$D22</f>
        <v>1.4900662251655629E-2</v>
      </c>
    </row>
    <row r="23" spans="1:20" x14ac:dyDescent="0.25">
      <c r="A23" s="1">
        <f>A22</f>
        <v>43838</v>
      </c>
      <c r="B23" t="s">
        <v>5</v>
      </c>
      <c r="C23" s="1" t="s">
        <v>40</v>
      </c>
      <c r="D23">
        <v>600</v>
      </c>
      <c r="E23">
        <f t="shared" ref="E23" si="9">1*60+1</f>
        <v>61</v>
      </c>
      <c r="F23" s="3">
        <f t="shared" ref="F23:F25" si="10">E23/E$22</f>
        <v>0.18484848484848485</v>
      </c>
      <c r="G23">
        <v>0</v>
      </c>
      <c r="H23" s="3">
        <f>G23/$D23</f>
        <v>0</v>
      </c>
      <c r="I23">
        <v>498</v>
      </c>
      <c r="J23" s="3">
        <f>I23/$D23</f>
        <v>0.83</v>
      </c>
      <c r="K23">
        <v>92</v>
      </c>
      <c r="L23" s="3">
        <f>K23/$D23</f>
        <v>0.15333333333333332</v>
      </c>
      <c r="M23">
        <v>4</v>
      </c>
      <c r="N23" s="3">
        <f>M23/$D23</f>
        <v>6.6666666666666671E-3</v>
      </c>
      <c r="O23">
        <v>13</v>
      </c>
      <c r="P23" s="3">
        <f>O23/$D23</f>
        <v>2.1666666666666667E-2</v>
      </c>
      <c r="Q23">
        <v>1</v>
      </c>
      <c r="R23" s="3">
        <f>Q23/$D23</f>
        <v>1.6666666666666668E-3</v>
      </c>
      <c r="S23">
        <v>5</v>
      </c>
      <c r="T23" s="3">
        <f t="shared" si="8"/>
        <v>8.3333333333333332E-3</v>
      </c>
    </row>
    <row r="24" spans="1:20" x14ac:dyDescent="0.25">
      <c r="A24" s="1">
        <f>A23</f>
        <v>43838</v>
      </c>
      <c r="B24" t="s">
        <v>6</v>
      </c>
      <c r="C24" s="1" t="s">
        <v>40</v>
      </c>
      <c r="D24">
        <v>603</v>
      </c>
      <c r="E24">
        <f>8*60+28</f>
        <v>508</v>
      </c>
      <c r="F24" s="3">
        <f t="shared" si="10"/>
        <v>1.5393939393939393</v>
      </c>
      <c r="G24">
        <v>0</v>
      </c>
      <c r="H24" s="3">
        <f>G24/$D24</f>
        <v>0</v>
      </c>
      <c r="I24">
        <v>481</v>
      </c>
      <c r="J24" s="3">
        <f>I24/$D24</f>
        <v>0.79767827529021562</v>
      </c>
      <c r="K24">
        <v>110</v>
      </c>
      <c r="L24" s="3">
        <f>K24/$D24</f>
        <v>0.1824212271973466</v>
      </c>
      <c r="M24">
        <v>5</v>
      </c>
      <c r="N24" s="3">
        <f>M24/$D24</f>
        <v>8.291873963515755E-3</v>
      </c>
      <c r="O24">
        <v>7</v>
      </c>
      <c r="P24" s="3">
        <f>O24/$D24</f>
        <v>1.1608623548922056E-2</v>
      </c>
      <c r="Q24">
        <v>9</v>
      </c>
      <c r="R24" s="3">
        <f>Q24/$D24</f>
        <v>1.4925373134328358E-2</v>
      </c>
      <c r="S24">
        <v>19</v>
      </c>
      <c r="T24" s="3">
        <f t="shared" si="8"/>
        <v>3.150912106135987E-2</v>
      </c>
    </row>
    <row r="25" spans="1:20" x14ac:dyDescent="0.25">
      <c r="A25" s="1">
        <f>A24</f>
        <v>43838</v>
      </c>
      <c r="B25" t="s">
        <v>30</v>
      </c>
      <c r="C25" s="1" t="s">
        <v>39</v>
      </c>
      <c r="D25">
        <v>2438</v>
      </c>
      <c r="E25">
        <f>3*60+54</f>
        <v>234</v>
      </c>
      <c r="F25" s="3">
        <f t="shared" si="10"/>
        <v>0.70909090909090911</v>
      </c>
      <c r="G25">
        <v>98</v>
      </c>
      <c r="H25" s="3">
        <f>G25/$D25</f>
        <v>4.0196882690730108E-2</v>
      </c>
      <c r="I25">
        <v>2188</v>
      </c>
      <c r="J25" s="3">
        <f>I25/$D25</f>
        <v>0.89745693191140274</v>
      </c>
      <c r="K25">
        <v>145</v>
      </c>
      <c r="L25" s="3">
        <f>K25/$D25</f>
        <v>5.947497949138638E-2</v>
      </c>
      <c r="M25">
        <v>2</v>
      </c>
      <c r="N25" s="3">
        <f>M25/$D25</f>
        <v>8.2034454470877774E-4</v>
      </c>
      <c r="O25">
        <v>14</v>
      </c>
      <c r="P25" s="3">
        <f>O25/$D25</f>
        <v>5.742411812961444E-3</v>
      </c>
      <c r="Q25">
        <v>0</v>
      </c>
      <c r="R25" s="3">
        <f>Q25/$D25</f>
        <v>0</v>
      </c>
      <c r="S25">
        <v>19</v>
      </c>
      <c r="T25" s="3">
        <f>S25/$D25</f>
        <v>7.7932731747333882E-3</v>
      </c>
    </row>
    <row r="26" spans="1:20" x14ac:dyDescent="0.25">
      <c r="A26" s="1"/>
      <c r="F26" s="3"/>
      <c r="H26" s="3"/>
      <c r="J26" s="3"/>
      <c r="L26" s="3"/>
      <c r="N26" s="3"/>
      <c r="P26" s="3"/>
      <c r="R26" s="3"/>
    </row>
    <row r="27" spans="1:20" x14ac:dyDescent="0.25">
      <c r="A27" s="1">
        <v>43839</v>
      </c>
      <c r="B27" s="1" t="s">
        <v>4</v>
      </c>
      <c r="C27" s="1" t="s">
        <v>40</v>
      </c>
      <c r="D27">
        <v>6318</v>
      </c>
      <c r="E27">
        <f>4*60+44</f>
        <v>284</v>
      </c>
      <c r="F27" s="3">
        <f t="shared" ref="F27" si="11">E27/E$28</f>
        <v>1.0636704119850187</v>
      </c>
      <c r="G27">
        <v>0</v>
      </c>
      <c r="H27" s="3">
        <f>G27/$D27</f>
        <v>0</v>
      </c>
      <c r="I27">
        <v>5108</v>
      </c>
      <c r="J27" s="3">
        <f>I27/$D27</f>
        <v>0.8084836973725863</v>
      </c>
      <c r="K27">
        <v>1090</v>
      </c>
      <c r="L27" s="3">
        <f>K27/$D27</f>
        <v>0.17252295030072809</v>
      </c>
      <c r="M27">
        <v>59</v>
      </c>
      <c r="N27" s="3">
        <f>M27/$D27</f>
        <v>9.3383982272871157E-3</v>
      </c>
      <c r="O27">
        <v>115</v>
      </c>
      <c r="P27" s="3">
        <f>O27/$D27</f>
        <v>1.820196264640709E-2</v>
      </c>
      <c r="Q27">
        <v>53</v>
      </c>
      <c r="R27" s="3">
        <f>Q27/$D27</f>
        <v>8.388730610952834E-3</v>
      </c>
      <c r="S27">
        <v>101</v>
      </c>
      <c r="T27" s="3">
        <f>S27/$D27</f>
        <v>1.5986071541627098E-2</v>
      </c>
    </row>
    <row r="28" spans="1:20" x14ac:dyDescent="0.25">
      <c r="A28" s="1">
        <f>A27</f>
        <v>43839</v>
      </c>
      <c r="B28" t="s">
        <v>3</v>
      </c>
      <c r="C28" s="1" t="s">
        <v>40</v>
      </c>
      <c r="D28">
        <v>603</v>
      </c>
      <c r="E28">
        <f>4*60+27</f>
        <v>267</v>
      </c>
      <c r="F28" s="3">
        <f>E28/E$28</f>
        <v>1</v>
      </c>
      <c r="G28">
        <v>0</v>
      </c>
      <c r="H28" s="3">
        <f>G28/$D28</f>
        <v>0</v>
      </c>
      <c r="I28">
        <v>483</v>
      </c>
      <c r="J28" s="3">
        <f>I28/$D28</f>
        <v>0.80099502487562191</v>
      </c>
      <c r="K28">
        <v>104</v>
      </c>
      <c r="L28" s="3">
        <f>K28/$D28</f>
        <v>0.17247097844112769</v>
      </c>
      <c r="M28">
        <v>8</v>
      </c>
      <c r="N28" s="3">
        <f>M28/$D28</f>
        <v>1.3266998341625208E-2</v>
      </c>
      <c r="O28">
        <v>10</v>
      </c>
      <c r="P28" s="3">
        <f>O28/$D28</f>
        <v>1.658374792703151E-2</v>
      </c>
      <c r="Q28">
        <v>8</v>
      </c>
      <c r="R28" s="3">
        <f>Q28/$D28</f>
        <v>1.3266998341625208E-2</v>
      </c>
      <c r="S28">
        <v>10</v>
      </c>
      <c r="T28" s="3">
        <f t="shared" ref="T28:T31" si="12">S28/$D28</f>
        <v>1.658374792703151E-2</v>
      </c>
    </row>
    <row r="29" spans="1:20" x14ac:dyDescent="0.25">
      <c r="A29" s="1">
        <f>A28</f>
        <v>43839</v>
      </c>
      <c r="B29" t="s">
        <v>5</v>
      </c>
      <c r="C29" s="1" t="s">
        <v>40</v>
      </c>
      <c r="D29">
        <v>590</v>
      </c>
      <c r="E29">
        <f>0*60+58</f>
        <v>58</v>
      </c>
      <c r="F29" s="3">
        <f t="shared" ref="F29:F31" si="13">E29/E$28</f>
        <v>0.21722846441947566</v>
      </c>
      <c r="G29">
        <v>0</v>
      </c>
      <c r="H29" s="3">
        <f>G29/$D29</f>
        <v>0</v>
      </c>
      <c r="I29">
        <v>483</v>
      </c>
      <c r="J29" s="3">
        <f>I29/$D29</f>
        <v>0.81864406779661014</v>
      </c>
      <c r="K29">
        <v>98</v>
      </c>
      <c r="L29" s="3">
        <f>K29/$D29</f>
        <v>0.16610169491525423</v>
      </c>
      <c r="M29">
        <v>3</v>
      </c>
      <c r="N29" s="3">
        <f>M29/$D29</f>
        <v>5.084745762711864E-3</v>
      </c>
      <c r="O29">
        <v>10</v>
      </c>
      <c r="P29" s="3">
        <f>O29/$D29</f>
        <v>1.6949152542372881E-2</v>
      </c>
      <c r="Q29">
        <v>3</v>
      </c>
      <c r="R29" s="3">
        <f>Q29/$D29</f>
        <v>5.084745762711864E-3</v>
      </c>
      <c r="S29">
        <v>8</v>
      </c>
      <c r="T29" s="3">
        <f t="shared" si="12"/>
        <v>1.3559322033898305E-2</v>
      </c>
    </row>
    <row r="30" spans="1:20" x14ac:dyDescent="0.25">
      <c r="A30" s="1">
        <f>A29</f>
        <v>43839</v>
      </c>
      <c r="B30" t="s">
        <v>6</v>
      </c>
      <c r="C30" s="1" t="s">
        <v>40</v>
      </c>
      <c r="D30">
        <v>599</v>
      </c>
      <c r="E30">
        <f>4*60+34</f>
        <v>274</v>
      </c>
      <c r="F30" s="3">
        <f t="shared" si="13"/>
        <v>1.0262172284644195</v>
      </c>
      <c r="G30">
        <v>0</v>
      </c>
      <c r="H30" s="3">
        <f>G30/$D30</f>
        <v>0</v>
      </c>
      <c r="I30">
        <v>487</v>
      </c>
      <c r="J30" s="3">
        <f>I30/$D30</f>
        <v>0.81302170283806341</v>
      </c>
      <c r="K30">
        <v>99</v>
      </c>
      <c r="L30" s="3">
        <f>K30/$D30</f>
        <v>0.1652754590984975</v>
      </c>
      <c r="M30">
        <v>8</v>
      </c>
      <c r="N30" s="3">
        <f>M30/$D30</f>
        <v>1.335559265442404E-2</v>
      </c>
      <c r="O30">
        <v>7</v>
      </c>
      <c r="P30" s="3">
        <f>O30/$D30</f>
        <v>1.1686143572621035E-2</v>
      </c>
      <c r="Q30">
        <v>4</v>
      </c>
      <c r="R30" s="3">
        <f>Q30/$D30</f>
        <v>6.6777963272120202E-3</v>
      </c>
      <c r="S30">
        <v>7</v>
      </c>
      <c r="T30" s="3">
        <f t="shared" si="12"/>
        <v>1.1686143572621035E-2</v>
      </c>
    </row>
    <row r="31" spans="1:20" x14ac:dyDescent="0.25">
      <c r="A31" s="1">
        <f>A30</f>
        <v>43839</v>
      </c>
      <c r="B31" t="s">
        <v>30</v>
      </c>
      <c r="C31" s="1" t="s">
        <v>39</v>
      </c>
      <c r="D31">
        <v>2437</v>
      </c>
      <c r="E31">
        <f>3*60+26</f>
        <v>206</v>
      </c>
      <c r="F31" s="3">
        <f t="shared" si="13"/>
        <v>0.77153558052434457</v>
      </c>
      <c r="G31">
        <v>90</v>
      </c>
      <c r="H31" s="3">
        <f>G31/$D31</f>
        <v>3.6930652441526469E-2</v>
      </c>
      <c r="I31">
        <v>2193</v>
      </c>
      <c r="J31" s="3">
        <f>I31/$D31</f>
        <v>0.89987689782519487</v>
      </c>
      <c r="K31">
        <v>145</v>
      </c>
      <c r="L31" s="3">
        <f>K31/$D31</f>
        <v>5.9499384489125971E-2</v>
      </c>
      <c r="M31">
        <v>4</v>
      </c>
      <c r="N31" s="3">
        <f>M31/$D31</f>
        <v>1.6413623307345096E-3</v>
      </c>
      <c r="O31">
        <v>14</v>
      </c>
      <c r="P31" s="3">
        <f>O31/$D31</f>
        <v>5.7447681575707836E-3</v>
      </c>
      <c r="Q31">
        <v>1</v>
      </c>
      <c r="R31" s="3">
        <f>Q31/$D31</f>
        <v>4.103405826836274E-4</v>
      </c>
      <c r="S31">
        <v>18</v>
      </c>
      <c r="T31" s="3">
        <f t="shared" si="12"/>
        <v>7.3861304883052932E-3</v>
      </c>
    </row>
    <row r="32" spans="1:20" x14ac:dyDescent="0.25">
      <c r="A32" s="1"/>
      <c r="F32" s="3"/>
      <c r="H32" s="3"/>
      <c r="J32" s="3"/>
      <c r="L32" s="3"/>
      <c r="N32" s="3"/>
      <c r="P32" s="3"/>
      <c r="R32" s="3"/>
    </row>
    <row r="33" spans="1:20" x14ac:dyDescent="0.25">
      <c r="A33" s="1">
        <v>43840</v>
      </c>
      <c r="B33" s="1" t="s">
        <v>4</v>
      </c>
      <c r="C33" s="1" t="s">
        <v>40</v>
      </c>
      <c r="D33">
        <v>6333</v>
      </c>
      <c r="E33">
        <f>4*60+45</f>
        <v>285</v>
      </c>
      <c r="F33" s="3">
        <f t="shared" ref="F33" si="14">E33/E$34</f>
        <v>1.0326086956521738</v>
      </c>
      <c r="G33">
        <v>0</v>
      </c>
      <c r="H33" s="3">
        <f>G33/$D33</f>
        <v>0</v>
      </c>
      <c r="I33">
        <v>5117</v>
      </c>
      <c r="J33" s="3">
        <f>I33/$D33</f>
        <v>0.80798989420495815</v>
      </c>
      <c r="K33">
        <v>1095</v>
      </c>
      <c r="L33" s="3">
        <f>K33/$D33</f>
        <v>0.17290383704405496</v>
      </c>
      <c r="M33">
        <v>59</v>
      </c>
      <c r="N33" s="3">
        <f>M33/$D33</f>
        <v>9.3162798042002205E-3</v>
      </c>
      <c r="O33">
        <v>115</v>
      </c>
      <c r="P33" s="3">
        <f>O33/$D33</f>
        <v>1.8158850465813989E-2</v>
      </c>
      <c r="Q33">
        <v>53</v>
      </c>
      <c r="R33" s="3">
        <f>Q33/$D33</f>
        <v>8.3688615190273177E-3</v>
      </c>
      <c r="S33">
        <v>101</v>
      </c>
      <c r="T33" s="3">
        <f>S33/$D33</f>
        <v>1.5948207800410549E-2</v>
      </c>
    </row>
    <row r="34" spans="1:20" x14ac:dyDescent="0.25">
      <c r="A34" s="1">
        <f>A33</f>
        <v>43840</v>
      </c>
      <c r="B34" t="s">
        <v>3</v>
      </c>
      <c r="C34" s="1" t="s">
        <v>40</v>
      </c>
      <c r="D34">
        <v>602</v>
      </c>
      <c r="E34">
        <f>4*60+36</f>
        <v>276</v>
      </c>
      <c r="F34" s="3">
        <f>E34/E$34</f>
        <v>1</v>
      </c>
      <c r="G34">
        <v>0</v>
      </c>
      <c r="H34" s="3">
        <f>G34/$D34</f>
        <v>0</v>
      </c>
      <c r="I34">
        <v>471</v>
      </c>
      <c r="J34" s="3">
        <f>I34/$D34</f>
        <v>0.78239202657807305</v>
      </c>
      <c r="K34">
        <v>115</v>
      </c>
      <c r="L34" s="3">
        <f>K34/$D34</f>
        <v>0.19102990033222592</v>
      </c>
      <c r="M34">
        <v>6</v>
      </c>
      <c r="N34" s="3">
        <f>M34/$D34</f>
        <v>9.9667774086378731E-3</v>
      </c>
      <c r="O34">
        <v>10</v>
      </c>
      <c r="P34" s="3">
        <f>O34/$D34</f>
        <v>1.6611295681063124E-2</v>
      </c>
      <c r="Q34">
        <v>7</v>
      </c>
      <c r="R34" s="3">
        <f>Q34/$D34</f>
        <v>1.1627906976744186E-2</v>
      </c>
      <c r="S34">
        <v>11</v>
      </c>
      <c r="T34" s="3">
        <f t="shared" ref="T34:T37" si="15">S34/$D34</f>
        <v>1.8272425249169437E-2</v>
      </c>
    </row>
    <row r="35" spans="1:20" x14ac:dyDescent="0.25">
      <c r="A35" s="1">
        <f>A34</f>
        <v>43840</v>
      </c>
      <c r="B35" t="s">
        <v>5</v>
      </c>
      <c r="C35" s="1" t="s">
        <v>40</v>
      </c>
      <c r="D35">
        <v>610</v>
      </c>
      <c r="E35">
        <f>0*60+58</f>
        <v>58</v>
      </c>
      <c r="F35" s="3">
        <f t="shared" ref="F35:F37" si="16">E35/E$34</f>
        <v>0.21014492753623187</v>
      </c>
      <c r="G35">
        <v>0</v>
      </c>
      <c r="H35" s="3">
        <f>G35/$D35</f>
        <v>0</v>
      </c>
      <c r="I35">
        <v>480</v>
      </c>
      <c r="J35" s="3">
        <f>I35/$D35</f>
        <v>0.78688524590163933</v>
      </c>
      <c r="K35">
        <v>117</v>
      </c>
      <c r="L35" s="3">
        <f>K35/$D35</f>
        <v>0.19180327868852459</v>
      </c>
      <c r="M35">
        <v>14</v>
      </c>
      <c r="N35" s="3">
        <f>M35/$D35</f>
        <v>2.2950819672131147E-2</v>
      </c>
      <c r="O35">
        <v>10</v>
      </c>
      <c r="P35" s="3">
        <f>O35/$D35</f>
        <v>1.6393442622950821E-2</v>
      </c>
      <c r="Q35">
        <v>12</v>
      </c>
      <c r="R35" s="3">
        <f>Q35/$D35</f>
        <v>1.9672131147540985E-2</v>
      </c>
      <c r="S35">
        <v>13</v>
      </c>
      <c r="T35" s="3">
        <f t="shared" si="15"/>
        <v>2.1311475409836064E-2</v>
      </c>
    </row>
    <row r="36" spans="1:20" x14ac:dyDescent="0.25">
      <c r="A36" s="1">
        <f>A35</f>
        <v>43840</v>
      </c>
      <c r="B36" t="s">
        <v>6</v>
      </c>
      <c r="C36" s="1" t="s">
        <v>40</v>
      </c>
      <c r="D36">
        <v>603</v>
      </c>
      <c r="E36">
        <f>5*60+2</f>
        <v>302</v>
      </c>
      <c r="F36" s="3">
        <f t="shared" si="16"/>
        <v>1.0942028985507246</v>
      </c>
      <c r="G36">
        <v>0</v>
      </c>
      <c r="H36" s="3">
        <f>G36/$D36</f>
        <v>0</v>
      </c>
      <c r="I36">
        <v>485</v>
      </c>
      <c r="J36" s="3">
        <f>I36/$D36</f>
        <v>0.80431177446102819</v>
      </c>
      <c r="K36">
        <v>102</v>
      </c>
      <c r="L36" s="3">
        <f>K36/$D36</f>
        <v>0.1691542288557214</v>
      </c>
      <c r="M36">
        <v>7</v>
      </c>
      <c r="N36" s="3">
        <f>M36/$D36</f>
        <v>1.1608623548922056E-2</v>
      </c>
      <c r="O36">
        <v>11</v>
      </c>
      <c r="P36" s="3">
        <f>O36/$D36</f>
        <v>1.824212271973466E-2</v>
      </c>
      <c r="Q36">
        <v>9</v>
      </c>
      <c r="R36" s="3">
        <f>Q36/$D36</f>
        <v>1.4925373134328358E-2</v>
      </c>
      <c r="S36">
        <v>12</v>
      </c>
      <c r="T36" s="3">
        <f t="shared" si="15"/>
        <v>1.9900497512437811E-2</v>
      </c>
    </row>
    <row r="37" spans="1:20" x14ac:dyDescent="0.25">
      <c r="A37" s="1">
        <f>A36</f>
        <v>43840</v>
      </c>
      <c r="B37" t="s">
        <v>30</v>
      </c>
      <c r="C37" s="1" t="s">
        <v>39</v>
      </c>
      <c r="D37">
        <v>2440</v>
      </c>
      <c r="E37">
        <f>3*60+30</f>
        <v>210</v>
      </c>
      <c r="F37" s="3">
        <f t="shared" si="16"/>
        <v>0.76086956521739135</v>
      </c>
      <c r="G37">
        <v>105</v>
      </c>
      <c r="H37" s="3">
        <f>G37/$D37</f>
        <v>4.3032786885245901E-2</v>
      </c>
      <c r="I37">
        <v>2171</v>
      </c>
      <c r="J37" s="3">
        <f>I37/$D37</f>
        <v>0.88975409836065578</v>
      </c>
      <c r="K37">
        <v>155</v>
      </c>
      <c r="L37" s="3">
        <f>K37/$D37</f>
        <v>6.3524590163934427E-2</v>
      </c>
      <c r="M37">
        <v>2</v>
      </c>
      <c r="N37" s="3">
        <f>M37/$D37</f>
        <v>8.1967213114754098E-4</v>
      </c>
      <c r="O37">
        <v>15</v>
      </c>
      <c r="P37" s="3">
        <f>O37/$D37</f>
        <v>6.1475409836065573E-3</v>
      </c>
      <c r="Q37">
        <v>1</v>
      </c>
      <c r="R37" s="3">
        <f>Q37/$D37</f>
        <v>4.0983606557377049E-4</v>
      </c>
      <c r="S37">
        <v>18</v>
      </c>
      <c r="T37" s="3">
        <f t="shared" si="15"/>
        <v>7.3770491803278691E-3</v>
      </c>
    </row>
    <row r="38" spans="1:20" x14ac:dyDescent="0.25">
      <c r="A38" s="1"/>
      <c r="F38" s="3"/>
      <c r="H38" s="3"/>
      <c r="J38" s="3"/>
      <c r="L38" s="3"/>
      <c r="N38" s="3"/>
      <c r="P38" s="3"/>
      <c r="R38" s="3"/>
    </row>
    <row r="39" spans="1:20" x14ac:dyDescent="0.25">
      <c r="A39" s="1">
        <v>43841</v>
      </c>
      <c r="B39" s="1" t="s">
        <v>4</v>
      </c>
      <c r="C39" s="1" t="s">
        <v>40</v>
      </c>
      <c r="D39">
        <v>6330</v>
      </c>
      <c r="E39">
        <f>5*60+22</f>
        <v>322</v>
      </c>
      <c r="F39" s="3">
        <f t="shared" ref="F39" si="17">E39/E$40</f>
        <v>0.59082568807339453</v>
      </c>
      <c r="G39">
        <v>0</v>
      </c>
      <c r="H39" s="3">
        <f>G39/$D39</f>
        <v>0</v>
      </c>
      <c r="I39">
        <v>5118</v>
      </c>
      <c r="J39" s="3">
        <f>I39/$D39</f>
        <v>0.80853080568720381</v>
      </c>
      <c r="K39">
        <v>1092</v>
      </c>
      <c r="L39" s="3">
        <f>K39/$D39</f>
        <v>0.17251184834123223</v>
      </c>
      <c r="M39">
        <v>59</v>
      </c>
      <c r="N39" s="3">
        <f>M39/$D39</f>
        <v>9.3206951026856243E-3</v>
      </c>
      <c r="O39">
        <v>114</v>
      </c>
      <c r="P39" s="3">
        <f>O39/$D39</f>
        <v>1.8009478672985781E-2</v>
      </c>
      <c r="Q39">
        <v>53</v>
      </c>
      <c r="R39" s="3">
        <f>Q39/$D39</f>
        <v>8.3728278041074241E-3</v>
      </c>
      <c r="S39">
        <v>100</v>
      </c>
      <c r="T39" s="3">
        <f>S39/$D39</f>
        <v>1.579778830963665E-2</v>
      </c>
    </row>
    <row r="40" spans="1:20" x14ac:dyDescent="0.25">
      <c r="A40" s="1">
        <f>A39</f>
        <v>43841</v>
      </c>
      <c r="B40" t="s">
        <v>3</v>
      </c>
      <c r="C40" s="1" t="s">
        <v>40</v>
      </c>
      <c r="D40">
        <v>589</v>
      </c>
      <c r="E40">
        <f>9*60+5</f>
        <v>545</v>
      </c>
      <c r="F40" s="3">
        <f>E40/E$40</f>
        <v>1</v>
      </c>
      <c r="G40">
        <v>0</v>
      </c>
      <c r="H40" s="3">
        <f>G40/$D40</f>
        <v>0</v>
      </c>
      <c r="I40">
        <v>475</v>
      </c>
      <c r="J40" s="3">
        <f>I40/$D40</f>
        <v>0.80645161290322576</v>
      </c>
      <c r="K40">
        <v>100</v>
      </c>
      <c r="L40" s="3">
        <f>K40/$D40</f>
        <v>0.1697792869269949</v>
      </c>
      <c r="M40">
        <v>7</v>
      </c>
      <c r="N40" s="3">
        <f>M40/$D40</f>
        <v>1.1884550084889643E-2</v>
      </c>
      <c r="O40">
        <v>14</v>
      </c>
      <c r="P40" s="3">
        <f>O40/$D40</f>
        <v>2.3769100169779286E-2</v>
      </c>
      <c r="Q40">
        <v>6</v>
      </c>
      <c r="R40" s="3">
        <f>Q40/$D40</f>
        <v>1.0186757215619695E-2</v>
      </c>
      <c r="S40">
        <v>8</v>
      </c>
      <c r="T40" s="3">
        <f t="shared" ref="T40:T43" si="18">S40/$D40</f>
        <v>1.3582342954159592E-2</v>
      </c>
    </row>
    <row r="41" spans="1:20" x14ac:dyDescent="0.25">
      <c r="A41" s="1">
        <f>A40</f>
        <v>43841</v>
      </c>
      <c r="B41" t="s">
        <v>5</v>
      </c>
      <c r="C41" s="1" t="s">
        <v>40</v>
      </c>
      <c r="D41">
        <v>630</v>
      </c>
      <c r="E41">
        <f>1*60+47</f>
        <v>107</v>
      </c>
      <c r="F41" s="3">
        <f t="shared" ref="F41:F43" si="19">E41/E$40</f>
        <v>0.19633027522935781</v>
      </c>
      <c r="G41">
        <v>0</v>
      </c>
      <c r="H41" s="3">
        <f>G41/$D41</f>
        <v>0</v>
      </c>
      <c r="I41">
        <v>516</v>
      </c>
      <c r="J41" s="3">
        <f>I41/$D41</f>
        <v>0.81904761904761902</v>
      </c>
      <c r="K41">
        <v>103</v>
      </c>
      <c r="L41" s="3">
        <f>K41/$D41</f>
        <v>0.16349206349206349</v>
      </c>
      <c r="M41">
        <v>7</v>
      </c>
      <c r="N41" s="3">
        <f>M41/$D41</f>
        <v>1.1111111111111112E-2</v>
      </c>
      <c r="O41">
        <v>12</v>
      </c>
      <c r="P41" s="3">
        <f>O41/$D41</f>
        <v>1.9047619047619049E-2</v>
      </c>
      <c r="Q41">
        <v>5</v>
      </c>
      <c r="R41" s="3">
        <f>Q41/$D41</f>
        <v>7.9365079365079361E-3</v>
      </c>
      <c r="S41">
        <v>9</v>
      </c>
      <c r="T41" s="3">
        <f t="shared" si="18"/>
        <v>1.4285714285714285E-2</v>
      </c>
    </row>
    <row r="42" spans="1:20" x14ac:dyDescent="0.25">
      <c r="A42" s="1">
        <f>A41</f>
        <v>43841</v>
      </c>
      <c r="B42" t="s">
        <v>6</v>
      </c>
      <c r="C42" s="1" t="s">
        <v>40</v>
      </c>
      <c r="D42">
        <v>613</v>
      </c>
      <c r="E42">
        <f>10*60+49</f>
        <v>649</v>
      </c>
      <c r="F42" s="3">
        <f t="shared" si="19"/>
        <v>1.1908256880733945</v>
      </c>
      <c r="G42">
        <v>0</v>
      </c>
      <c r="H42" s="3">
        <f>G42/$D42</f>
        <v>0</v>
      </c>
      <c r="I42">
        <v>502</v>
      </c>
      <c r="J42" s="3">
        <f>I42/$D42</f>
        <v>0.81892332789559541</v>
      </c>
      <c r="K42">
        <v>95</v>
      </c>
      <c r="L42" s="3">
        <f>K42/$D42</f>
        <v>0.15497553017944535</v>
      </c>
      <c r="M42">
        <v>8</v>
      </c>
      <c r="N42" s="3">
        <f>M42/$D42</f>
        <v>1.3050570962479609E-2</v>
      </c>
      <c r="O42">
        <v>13</v>
      </c>
      <c r="P42" s="3">
        <f>O42/$D42</f>
        <v>2.1207177814029365E-2</v>
      </c>
      <c r="Q42">
        <v>9</v>
      </c>
      <c r="R42" s="3">
        <f>Q42/$D42</f>
        <v>1.468189233278956E-2</v>
      </c>
      <c r="S42">
        <v>16</v>
      </c>
      <c r="T42" s="3">
        <f t="shared" si="18"/>
        <v>2.6101141924959218E-2</v>
      </c>
    </row>
    <row r="43" spans="1:20" x14ac:dyDescent="0.25">
      <c r="A43" s="1">
        <f>A42</f>
        <v>43841</v>
      </c>
      <c r="B43" t="s">
        <v>30</v>
      </c>
      <c r="C43" s="1" t="s">
        <v>39</v>
      </c>
      <c r="D43">
        <v>2414</v>
      </c>
      <c r="E43">
        <f>3*60+55</f>
        <v>235</v>
      </c>
      <c r="F43" s="3">
        <f t="shared" si="19"/>
        <v>0.43119266055045874</v>
      </c>
      <c r="G43">
        <v>88</v>
      </c>
      <c r="H43" s="3">
        <f>G43/$D43</f>
        <v>3.6454018227009111E-2</v>
      </c>
      <c r="I43">
        <v>2131</v>
      </c>
      <c r="J43" s="3">
        <f>I43/$D43</f>
        <v>0.88276719138359572</v>
      </c>
      <c r="K43">
        <v>185</v>
      </c>
      <c r="L43" s="3">
        <f>K43/$D43</f>
        <v>7.6636288318144161E-2</v>
      </c>
      <c r="M43">
        <v>3</v>
      </c>
      <c r="N43" s="3">
        <f>M43/$D43</f>
        <v>1.2427506213753107E-3</v>
      </c>
      <c r="O43">
        <v>16</v>
      </c>
      <c r="P43" s="3">
        <f>O43/$D43</f>
        <v>6.6280033140016566E-3</v>
      </c>
      <c r="Q43">
        <v>0</v>
      </c>
      <c r="R43" s="3">
        <f>Q43/$D43</f>
        <v>0</v>
      </c>
      <c r="S43">
        <v>17</v>
      </c>
      <c r="T43" s="3">
        <f t="shared" si="18"/>
        <v>7.0422535211267607E-3</v>
      </c>
    </row>
    <row r="44" spans="1:20" x14ac:dyDescent="0.25">
      <c r="A44" s="1"/>
      <c r="F44" s="3"/>
      <c r="H44" s="3"/>
      <c r="J44" s="3"/>
      <c r="L44" s="3"/>
      <c r="N44" s="3"/>
      <c r="P44" s="3"/>
      <c r="R44" s="3"/>
    </row>
    <row r="45" spans="1:20" x14ac:dyDescent="0.25">
      <c r="A45" s="1">
        <v>43842</v>
      </c>
      <c r="B45" s="1" t="s">
        <v>4</v>
      </c>
      <c r="C45" s="1" t="s">
        <v>40</v>
      </c>
      <c r="D45">
        <v>6316</v>
      </c>
      <c r="E45">
        <f>4*60+38</f>
        <v>278</v>
      </c>
      <c r="F45" s="3">
        <f t="shared" ref="F45" si="20">E45/E$46</f>
        <v>1.0451127819548873</v>
      </c>
      <c r="G45">
        <v>0</v>
      </c>
      <c r="H45" s="3">
        <f>G45/$D45</f>
        <v>0</v>
      </c>
      <c r="I45">
        <v>5104</v>
      </c>
      <c r="J45" s="3">
        <f>I45/$D45</f>
        <v>0.8081063964534515</v>
      </c>
      <c r="K45">
        <v>1092</v>
      </c>
      <c r="L45" s="3">
        <f>K45/$D45</f>
        <v>0.17289423685877137</v>
      </c>
      <c r="M45">
        <v>58</v>
      </c>
      <c r="N45" s="3">
        <f>M45/$D45</f>
        <v>9.1830272324255856E-3</v>
      </c>
      <c r="O45">
        <v>113</v>
      </c>
      <c r="P45" s="3">
        <f>O45/$D45</f>
        <v>1.7891070297656745E-2</v>
      </c>
      <c r="Q45">
        <v>53</v>
      </c>
      <c r="R45" s="3">
        <f>Q45/$D45</f>
        <v>8.3913869537682075E-3</v>
      </c>
      <c r="S45">
        <v>100</v>
      </c>
      <c r="T45" s="3">
        <f>S45/$D45</f>
        <v>1.5832805573147563E-2</v>
      </c>
    </row>
    <row r="46" spans="1:20" x14ac:dyDescent="0.25">
      <c r="A46" s="1">
        <f>A45</f>
        <v>43842</v>
      </c>
      <c r="B46" t="s">
        <v>3</v>
      </c>
      <c r="C46" s="1" t="s">
        <v>40</v>
      </c>
      <c r="D46">
        <v>596</v>
      </c>
      <c r="E46">
        <f>4*60+26</f>
        <v>266</v>
      </c>
      <c r="F46" s="3">
        <f>E46/E$46</f>
        <v>1</v>
      </c>
      <c r="G46">
        <v>0</v>
      </c>
      <c r="H46" s="3">
        <f>G46/$D46</f>
        <v>0</v>
      </c>
      <c r="I46">
        <v>471</v>
      </c>
      <c r="J46" s="3">
        <f>I46/$D46</f>
        <v>0.79026845637583898</v>
      </c>
      <c r="K46">
        <v>113</v>
      </c>
      <c r="L46" s="3">
        <f>K46/$D46</f>
        <v>0.18959731543624161</v>
      </c>
      <c r="M46">
        <v>4</v>
      </c>
      <c r="N46" s="3">
        <f>M46/$D46</f>
        <v>6.7114093959731542E-3</v>
      </c>
      <c r="O46">
        <v>9</v>
      </c>
      <c r="P46" s="3">
        <f>O46/$D46</f>
        <v>1.5100671140939598E-2</v>
      </c>
      <c r="Q46">
        <v>4</v>
      </c>
      <c r="R46" s="3">
        <f>Q46/$D46</f>
        <v>6.7114093959731542E-3</v>
      </c>
      <c r="S46">
        <v>15</v>
      </c>
      <c r="T46" s="3">
        <f t="shared" ref="T46:T49" si="21">S46/$D46</f>
        <v>2.5167785234899327E-2</v>
      </c>
    </row>
    <row r="47" spans="1:20" x14ac:dyDescent="0.25">
      <c r="A47" s="1">
        <f>A46</f>
        <v>43842</v>
      </c>
      <c r="B47" t="s">
        <v>5</v>
      </c>
      <c r="C47" s="1" t="s">
        <v>40</v>
      </c>
      <c r="D47">
        <v>600</v>
      </c>
      <c r="E47">
        <f t="shared" ref="E47" si="22">1*60+1</f>
        <v>61</v>
      </c>
      <c r="F47" s="3">
        <f t="shared" ref="F47:F49" si="23">E47/E$46</f>
        <v>0.22932330827067668</v>
      </c>
      <c r="G47">
        <v>0</v>
      </c>
      <c r="H47" s="3">
        <f>G47/$D47</f>
        <v>0</v>
      </c>
      <c r="I47">
        <v>509</v>
      </c>
      <c r="J47" s="3">
        <f>I47/$D47</f>
        <v>0.84833333333333338</v>
      </c>
      <c r="K47">
        <v>81</v>
      </c>
      <c r="L47" s="3">
        <f>K47/$D47</f>
        <v>0.13500000000000001</v>
      </c>
      <c r="M47">
        <v>5</v>
      </c>
      <c r="N47" s="3">
        <f>M47/$D47</f>
        <v>8.3333333333333332E-3</v>
      </c>
      <c r="O47">
        <v>11</v>
      </c>
      <c r="P47" s="3">
        <f>O47/$D47</f>
        <v>1.8333333333333333E-2</v>
      </c>
      <c r="Q47">
        <v>4</v>
      </c>
      <c r="R47" s="3">
        <f>Q47/$D47</f>
        <v>6.6666666666666671E-3</v>
      </c>
      <c r="S47">
        <v>7</v>
      </c>
      <c r="T47" s="3">
        <f t="shared" si="21"/>
        <v>1.1666666666666667E-2</v>
      </c>
    </row>
    <row r="48" spans="1:20" x14ac:dyDescent="0.25">
      <c r="A48" s="1">
        <f>A47</f>
        <v>43842</v>
      </c>
      <c r="B48" t="s">
        <v>6</v>
      </c>
      <c r="C48" s="1" t="s">
        <v>40</v>
      </c>
      <c r="D48">
        <v>604</v>
      </c>
      <c r="E48">
        <f>4*60+39</f>
        <v>279</v>
      </c>
      <c r="F48" s="3">
        <f t="shared" si="23"/>
        <v>1.0488721804511278</v>
      </c>
      <c r="G48">
        <v>0</v>
      </c>
      <c r="H48" s="3">
        <f>G48/$D48</f>
        <v>0</v>
      </c>
      <c r="I48">
        <v>493</v>
      </c>
      <c r="J48" s="3">
        <f>I48/$D48</f>
        <v>0.81622516556291391</v>
      </c>
      <c r="K48">
        <v>100</v>
      </c>
      <c r="L48" s="3">
        <f>K48/$D48</f>
        <v>0.16556291390728478</v>
      </c>
      <c r="M48">
        <v>5</v>
      </c>
      <c r="N48" s="3">
        <f>M48/$D48</f>
        <v>8.2781456953642391E-3</v>
      </c>
      <c r="O48">
        <v>12</v>
      </c>
      <c r="P48" s="3">
        <f>O48/$D48</f>
        <v>1.9867549668874173E-2</v>
      </c>
      <c r="Q48">
        <v>6</v>
      </c>
      <c r="R48" s="3">
        <f>Q48/$D48</f>
        <v>9.9337748344370865E-3</v>
      </c>
      <c r="S48">
        <v>12</v>
      </c>
      <c r="T48" s="3">
        <f t="shared" si="21"/>
        <v>1.9867549668874173E-2</v>
      </c>
    </row>
    <row r="49" spans="1:20" x14ac:dyDescent="0.25">
      <c r="A49" s="1">
        <f>A48</f>
        <v>43842</v>
      </c>
      <c r="B49" t="s">
        <v>30</v>
      </c>
      <c r="C49" s="1" t="s">
        <v>39</v>
      </c>
      <c r="D49">
        <v>2438</v>
      </c>
      <c r="E49">
        <f>3*60+47</f>
        <v>227</v>
      </c>
      <c r="F49" s="3">
        <f t="shared" si="23"/>
        <v>0.85338345864661658</v>
      </c>
      <c r="G49">
        <v>93</v>
      </c>
      <c r="H49" s="3">
        <f>G49/$D49</f>
        <v>3.8146021328958162E-2</v>
      </c>
      <c r="I49">
        <v>2187</v>
      </c>
      <c r="J49" s="3">
        <f>I49/$D49</f>
        <v>0.89704675963904845</v>
      </c>
      <c r="K49">
        <v>147</v>
      </c>
      <c r="L49" s="3">
        <f>K49/$D49</f>
        <v>6.0295324036095159E-2</v>
      </c>
      <c r="M49">
        <v>2</v>
      </c>
      <c r="N49" s="3">
        <f>M49/$D49</f>
        <v>8.2034454470877774E-4</v>
      </c>
      <c r="O49">
        <v>13</v>
      </c>
      <c r="P49" s="3">
        <f>O49/$D49</f>
        <v>5.3322395406070547E-3</v>
      </c>
      <c r="Q49">
        <v>0</v>
      </c>
      <c r="R49" s="3">
        <f>Q49/$D49</f>
        <v>0</v>
      </c>
      <c r="S49">
        <v>16</v>
      </c>
      <c r="T49" s="3">
        <f t="shared" si="21"/>
        <v>6.5627563576702219E-3</v>
      </c>
    </row>
    <row r="50" spans="1:20" x14ac:dyDescent="0.25">
      <c r="A50" s="1"/>
      <c r="F50" s="3"/>
      <c r="H50" s="3"/>
      <c r="J50" s="3"/>
      <c r="L50" s="3"/>
      <c r="N50" s="3"/>
      <c r="P50" s="3"/>
      <c r="R50" s="3"/>
    </row>
    <row r="51" spans="1:20" x14ac:dyDescent="0.25">
      <c r="A51" s="1">
        <v>43843</v>
      </c>
      <c r="B51" s="1" t="s">
        <v>4</v>
      </c>
      <c r="C51" s="1" t="s">
        <v>40</v>
      </c>
      <c r="D51">
        <v>6310</v>
      </c>
      <c r="E51">
        <f>7*60+22</f>
        <v>442</v>
      </c>
      <c r="F51" s="3">
        <f t="shared" ref="F51" si="24">E51/E$52</f>
        <v>1.6492537313432836</v>
      </c>
      <c r="G51">
        <v>0</v>
      </c>
      <c r="H51" s="3">
        <f>G51/$D51</f>
        <v>0</v>
      </c>
      <c r="I51">
        <v>5098</v>
      </c>
      <c r="J51" s="3">
        <f>I51/$D51</f>
        <v>0.80792393026941367</v>
      </c>
      <c r="K51">
        <v>1092</v>
      </c>
      <c r="L51" s="3">
        <f>K51/$D51</f>
        <v>0.17305863708399366</v>
      </c>
      <c r="M51">
        <v>58</v>
      </c>
      <c r="N51" s="3">
        <f>M51/$D51</f>
        <v>9.1917591125198102E-3</v>
      </c>
      <c r="O51">
        <v>113</v>
      </c>
      <c r="P51" s="3">
        <f>O51/$D51</f>
        <v>1.7908082408874801E-2</v>
      </c>
      <c r="Q51">
        <v>53</v>
      </c>
      <c r="R51" s="3">
        <f>Q51/$D51</f>
        <v>8.3993660855784472E-3</v>
      </c>
      <c r="S51">
        <v>100</v>
      </c>
      <c r="T51" s="3">
        <f>S51/$D51</f>
        <v>1.5847860538827259E-2</v>
      </c>
    </row>
    <row r="52" spans="1:20" x14ac:dyDescent="0.25">
      <c r="A52" s="1">
        <f>A51</f>
        <v>43843</v>
      </c>
      <c r="B52" t="s">
        <v>3</v>
      </c>
      <c r="C52" s="1" t="s">
        <v>40</v>
      </c>
      <c r="D52">
        <v>595</v>
      </c>
      <c r="E52">
        <f>4*60+28</f>
        <v>268</v>
      </c>
      <c r="F52" s="3">
        <f>E52/E$52</f>
        <v>1</v>
      </c>
      <c r="G52">
        <v>0</v>
      </c>
      <c r="H52" s="3">
        <f>G52/$D52</f>
        <v>0</v>
      </c>
      <c r="I52">
        <v>490</v>
      </c>
      <c r="J52" s="3">
        <f>I52/$D52</f>
        <v>0.82352941176470584</v>
      </c>
      <c r="K52">
        <v>94</v>
      </c>
      <c r="L52" s="3">
        <f>K52/$D52</f>
        <v>0.15798319327731092</v>
      </c>
      <c r="M52">
        <v>5</v>
      </c>
      <c r="N52" s="3">
        <f>M52/$D52</f>
        <v>8.4033613445378148E-3</v>
      </c>
      <c r="O52">
        <v>8</v>
      </c>
      <c r="P52" s="3">
        <f>O52/$D52</f>
        <v>1.3445378151260505E-2</v>
      </c>
      <c r="Q52">
        <v>4</v>
      </c>
      <c r="R52" s="3">
        <f>Q52/$D52</f>
        <v>6.7226890756302525E-3</v>
      </c>
      <c r="S52">
        <v>11</v>
      </c>
      <c r="T52" s="3">
        <f t="shared" ref="T52:T55" si="25">S52/$D52</f>
        <v>1.8487394957983194E-2</v>
      </c>
    </row>
    <row r="53" spans="1:20" x14ac:dyDescent="0.25">
      <c r="A53" s="1">
        <f>A52</f>
        <v>43843</v>
      </c>
      <c r="B53" t="s">
        <v>5</v>
      </c>
      <c r="C53" s="1" t="s">
        <v>40</v>
      </c>
      <c r="D53">
        <v>570</v>
      </c>
      <c r="E53">
        <f>0*60+59</f>
        <v>59</v>
      </c>
      <c r="F53" s="3">
        <f t="shared" ref="F53:F55" si="26">E53/E$52</f>
        <v>0.22014925373134328</v>
      </c>
      <c r="G53">
        <v>0</v>
      </c>
      <c r="H53" s="3">
        <f>G53/$D53</f>
        <v>0</v>
      </c>
      <c r="I53">
        <v>480</v>
      </c>
      <c r="J53" s="3">
        <f>I53/$D53</f>
        <v>0.84210526315789469</v>
      </c>
      <c r="K53">
        <v>81</v>
      </c>
      <c r="L53" s="3">
        <f>K53/$D53</f>
        <v>0.14210526315789473</v>
      </c>
      <c r="M53">
        <v>5</v>
      </c>
      <c r="N53" s="3">
        <f>M53/$D53</f>
        <v>8.771929824561403E-3</v>
      </c>
      <c r="O53">
        <v>16</v>
      </c>
      <c r="P53" s="3">
        <f>O53/$D53</f>
        <v>2.8070175438596492E-2</v>
      </c>
      <c r="Q53">
        <v>0</v>
      </c>
      <c r="R53" s="3">
        <f>Q53/$D53</f>
        <v>0</v>
      </c>
      <c r="S53">
        <v>7</v>
      </c>
      <c r="T53" s="3">
        <f t="shared" si="25"/>
        <v>1.2280701754385965E-2</v>
      </c>
    </row>
    <row r="54" spans="1:20" x14ac:dyDescent="0.25">
      <c r="A54" s="1">
        <f>A53</f>
        <v>43843</v>
      </c>
      <c r="B54" t="s">
        <v>6</v>
      </c>
      <c r="C54" s="1" t="s">
        <v>40</v>
      </c>
      <c r="D54">
        <v>611</v>
      </c>
      <c r="E54">
        <f>5*60+4</f>
        <v>304</v>
      </c>
      <c r="F54" s="3">
        <f t="shared" si="26"/>
        <v>1.1343283582089552</v>
      </c>
      <c r="G54">
        <v>0</v>
      </c>
      <c r="H54" s="3">
        <f>G54/$D54</f>
        <v>0</v>
      </c>
      <c r="I54">
        <v>496</v>
      </c>
      <c r="J54" s="3">
        <f>I54/$D54</f>
        <v>0.81178396072013093</v>
      </c>
      <c r="K54">
        <v>106</v>
      </c>
      <c r="L54" s="3">
        <f>K54/$D54</f>
        <v>0.17348608837970539</v>
      </c>
      <c r="M54">
        <v>4</v>
      </c>
      <c r="N54" s="3">
        <f>M54/$D54</f>
        <v>6.5466448445171853E-3</v>
      </c>
      <c r="O54">
        <v>14</v>
      </c>
      <c r="P54" s="3">
        <f>O54/$D54</f>
        <v>2.2913256955810146E-2</v>
      </c>
      <c r="Q54">
        <v>4</v>
      </c>
      <c r="R54" s="3">
        <f>Q54/$D54</f>
        <v>6.5466448445171853E-3</v>
      </c>
      <c r="S54">
        <v>8</v>
      </c>
      <c r="T54" s="3">
        <f t="shared" si="25"/>
        <v>1.3093289689034371E-2</v>
      </c>
    </row>
    <row r="55" spans="1:20" x14ac:dyDescent="0.25">
      <c r="A55" s="1">
        <f>A54</f>
        <v>43843</v>
      </c>
      <c r="B55" t="s">
        <v>30</v>
      </c>
      <c r="C55" s="1" t="s">
        <v>39</v>
      </c>
      <c r="D55">
        <v>2437</v>
      </c>
      <c r="E55">
        <f>4*60+0</f>
        <v>240</v>
      </c>
      <c r="F55" s="3">
        <f t="shared" si="26"/>
        <v>0.89552238805970152</v>
      </c>
      <c r="G55">
        <v>98</v>
      </c>
      <c r="H55" s="3">
        <f>G55/$D55</f>
        <v>4.0213377102995489E-2</v>
      </c>
      <c r="I55">
        <v>2168</v>
      </c>
      <c r="J55" s="3">
        <f>I55/$D55</f>
        <v>0.88961838325810427</v>
      </c>
      <c r="K55">
        <v>160</v>
      </c>
      <c r="L55" s="3">
        <f>K55/$D55</f>
        <v>6.5654493229380384E-2</v>
      </c>
      <c r="M55">
        <v>2</v>
      </c>
      <c r="N55" s="3">
        <f>M55/$D55</f>
        <v>8.206811653672548E-4</v>
      </c>
      <c r="O55">
        <v>14</v>
      </c>
      <c r="P55" s="3">
        <f>O55/$D55</f>
        <v>5.7447681575707836E-3</v>
      </c>
      <c r="Q55">
        <v>0</v>
      </c>
      <c r="R55" s="3">
        <f>Q55/$D55</f>
        <v>0</v>
      </c>
      <c r="S55">
        <v>15</v>
      </c>
      <c r="T55" s="3">
        <f t="shared" si="25"/>
        <v>6.155108740254411E-3</v>
      </c>
    </row>
    <row r="56" spans="1:20" x14ac:dyDescent="0.25">
      <c r="A56" s="1"/>
      <c r="F56" s="3"/>
      <c r="H56" s="3"/>
      <c r="J56" s="3"/>
      <c r="L56" s="3"/>
      <c r="N56" s="3"/>
      <c r="P56" s="3"/>
      <c r="R56" s="3"/>
    </row>
    <row r="57" spans="1:20" x14ac:dyDescent="0.25">
      <c r="A57" s="1">
        <v>43844</v>
      </c>
      <c r="B57" s="1" t="s">
        <v>4</v>
      </c>
      <c r="C57" s="1" t="s">
        <v>40</v>
      </c>
      <c r="D57">
        <v>6312</v>
      </c>
      <c r="E57">
        <f>5*60+13</f>
        <v>313</v>
      </c>
      <c r="F57" s="3">
        <f t="shared" ref="F57" si="27">E57/E$58</f>
        <v>0.72790697674418603</v>
      </c>
      <c r="G57">
        <v>0</v>
      </c>
      <c r="H57" s="3">
        <f>G57/$D57</f>
        <v>0</v>
      </c>
      <c r="I57">
        <v>5102</v>
      </c>
      <c r="J57" s="3">
        <f>I57/$D57</f>
        <v>0.8083016476552598</v>
      </c>
      <c r="K57">
        <v>1092</v>
      </c>
      <c r="L57" s="3">
        <f>K57/$D57</f>
        <v>0.17300380228136883</v>
      </c>
      <c r="M57">
        <v>58</v>
      </c>
      <c r="N57" s="3">
        <f>M57/$D57</f>
        <v>9.1888466413181241E-3</v>
      </c>
      <c r="O57">
        <v>114</v>
      </c>
      <c r="P57" s="3">
        <f>O57/$D57</f>
        <v>1.8060836501901139E-2</v>
      </c>
      <c r="Q57">
        <v>53</v>
      </c>
      <c r="R57" s="3">
        <f>Q57/$D57</f>
        <v>8.3967046894803544E-3</v>
      </c>
      <c r="S57">
        <v>97</v>
      </c>
      <c r="T57" s="3">
        <f>S57/$D57</f>
        <v>1.5367553865652726E-2</v>
      </c>
    </row>
    <row r="58" spans="1:20" x14ac:dyDescent="0.25">
      <c r="A58" s="1">
        <f>A57</f>
        <v>43844</v>
      </c>
      <c r="B58" t="s">
        <v>3</v>
      </c>
      <c r="C58" s="1" t="s">
        <v>40</v>
      </c>
      <c r="D58">
        <v>603</v>
      </c>
      <c r="E58">
        <f>7*60+10</f>
        <v>430</v>
      </c>
      <c r="F58" s="3">
        <f>E58/E$58</f>
        <v>1</v>
      </c>
      <c r="G58">
        <v>0</v>
      </c>
      <c r="H58" s="3">
        <f>G58/$D58</f>
        <v>0</v>
      </c>
      <c r="I58">
        <v>473</v>
      </c>
      <c r="J58" s="3">
        <f>I58/$D58</f>
        <v>0.78441127694859036</v>
      </c>
      <c r="K58">
        <v>118</v>
      </c>
      <c r="L58" s="3">
        <f>K58/$D58</f>
        <v>0.19568822553897181</v>
      </c>
      <c r="M58">
        <v>7</v>
      </c>
      <c r="N58" s="3">
        <f>M58/$D58</f>
        <v>1.1608623548922056E-2</v>
      </c>
      <c r="O58">
        <v>9</v>
      </c>
      <c r="P58" s="3">
        <f>O58/$D58</f>
        <v>1.4925373134328358E-2</v>
      </c>
      <c r="Q58">
        <v>3</v>
      </c>
      <c r="R58" s="3">
        <f>Q58/$D58</f>
        <v>4.9751243781094526E-3</v>
      </c>
      <c r="S58">
        <v>12</v>
      </c>
      <c r="T58" s="3">
        <f t="shared" ref="T58:T61" si="28">S58/$D58</f>
        <v>1.9900497512437811E-2</v>
      </c>
    </row>
    <row r="59" spans="1:20" x14ac:dyDescent="0.25">
      <c r="A59" s="1">
        <f>A58</f>
        <v>43844</v>
      </c>
      <c r="B59" t="s">
        <v>5</v>
      </c>
      <c r="C59" s="1" t="s">
        <v>40</v>
      </c>
      <c r="D59">
        <v>583</v>
      </c>
      <c r="E59">
        <f>2*60+17</f>
        <v>137</v>
      </c>
      <c r="F59" s="3">
        <f t="shared" ref="F59:F61" si="29">E59/E$58</f>
        <v>0.31860465116279069</v>
      </c>
      <c r="G59">
        <v>0</v>
      </c>
      <c r="H59" s="3">
        <f>G59/$D59</f>
        <v>0</v>
      </c>
      <c r="I59">
        <v>476</v>
      </c>
      <c r="J59" s="3">
        <f>I59/$D59</f>
        <v>0.81646655231560894</v>
      </c>
      <c r="K59">
        <v>88</v>
      </c>
      <c r="L59" s="3">
        <f>K59/$D59</f>
        <v>0.15094339622641509</v>
      </c>
      <c r="M59">
        <v>8</v>
      </c>
      <c r="N59" s="3">
        <f>M59/$D59</f>
        <v>1.3722126929674099E-2</v>
      </c>
      <c r="O59">
        <v>13</v>
      </c>
      <c r="P59" s="3">
        <f>O59/$D59</f>
        <v>2.2298456260720412E-2</v>
      </c>
      <c r="Q59">
        <v>4</v>
      </c>
      <c r="R59" s="3">
        <f>Q59/$D59</f>
        <v>6.8610634648370496E-3</v>
      </c>
      <c r="S59">
        <v>10</v>
      </c>
      <c r="T59" s="3">
        <f t="shared" si="28"/>
        <v>1.7152658662092625E-2</v>
      </c>
    </row>
    <row r="60" spans="1:20" x14ac:dyDescent="0.25">
      <c r="A60" s="1">
        <f>A59</f>
        <v>43844</v>
      </c>
      <c r="B60" t="s">
        <v>6</v>
      </c>
      <c r="C60" s="1" t="s">
        <v>40</v>
      </c>
      <c r="D60">
        <v>605</v>
      </c>
      <c r="E60">
        <f>6*60+54</f>
        <v>414</v>
      </c>
      <c r="F60" s="3">
        <f t="shared" si="29"/>
        <v>0.96279069767441861</v>
      </c>
      <c r="G60">
        <v>0</v>
      </c>
      <c r="H60" s="3">
        <f>G60/$D60</f>
        <v>0</v>
      </c>
      <c r="I60">
        <v>483</v>
      </c>
      <c r="J60" s="3">
        <f>I60/$D60</f>
        <v>0.79834710743801651</v>
      </c>
      <c r="K60">
        <v>107</v>
      </c>
      <c r="L60" s="3">
        <f>K60/$D60</f>
        <v>0.17685950413223139</v>
      </c>
      <c r="M60">
        <v>6</v>
      </c>
      <c r="N60" s="3">
        <f>M60/$D60</f>
        <v>9.9173553719008271E-3</v>
      </c>
      <c r="O60">
        <v>16</v>
      </c>
      <c r="P60" s="3">
        <f>O60/$D60</f>
        <v>2.6446280991735537E-2</v>
      </c>
      <c r="Q60">
        <v>4</v>
      </c>
      <c r="R60" s="3">
        <f>Q60/$D60</f>
        <v>6.6115702479338841E-3</v>
      </c>
      <c r="S60">
        <v>11</v>
      </c>
      <c r="T60" s="3">
        <f t="shared" si="28"/>
        <v>1.8181818181818181E-2</v>
      </c>
    </row>
    <row r="61" spans="1:20" x14ac:dyDescent="0.25">
      <c r="A61" s="1">
        <f>A60</f>
        <v>43844</v>
      </c>
      <c r="B61" t="s">
        <v>30</v>
      </c>
      <c r="C61" s="1" t="s">
        <v>39</v>
      </c>
      <c r="D61">
        <v>2437</v>
      </c>
      <c r="E61">
        <f>3*60+30</f>
        <v>210</v>
      </c>
      <c r="F61" s="3">
        <f t="shared" si="29"/>
        <v>0.48837209302325579</v>
      </c>
      <c r="G61">
        <v>98</v>
      </c>
      <c r="H61" s="3">
        <f>G61/$D61</f>
        <v>4.0213377102995489E-2</v>
      </c>
      <c r="I61">
        <v>2185</v>
      </c>
      <c r="J61" s="3">
        <f>I61/$D61</f>
        <v>0.89659417316372592</v>
      </c>
      <c r="K61">
        <v>147</v>
      </c>
      <c r="L61" s="3">
        <f>K61/$D61</f>
        <v>6.032006565449323E-2</v>
      </c>
      <c r="M61">
        <v>4</v>
      </c>
      <c r="N61" s="3">
        <f>M61/$D61</f>
        <v>1.6413623307345096E-3</v>
      </c>
      <c r="O61">
        <v>13</v>
      </c>
      <c r="P61" s="3">
        <f>O61/$D61</f>
        <v>5.3344275748871562E-3</v>
      </c>
      <c r="Q61">
        <v>1</v>
      </c>
      <c r="R61" s="3">
        <f>Q61/$D61</f>
        <v>4.103405826836274E-4</v>
      </c>
      <c r="S61">
        <v>14</v>
      </c>
      <c r="T61" s="3">
        <f t="shared" si="28"/>
        <v>5.7447681575707836E-3</v>
      </c>
    </row>
    <row r="62" spans="1:20" x14ac:dyDescent="0.25">
      <c r="A62" s="1"/>
      <c r="F62" s="3"/>
      <c r="H62" s="3"/>
      <c r="J62" s="3"/>
      <c r="L62" s="3"/>
      <c r="N62" s="3"/>
      <c r="P62" s="3"/>
      <c r="R62" s="3"/>
    </row>
    <row r="63" spans="1:20" x14ac:dyDescent="0.25">
      <c r="A63" s="1">
        <v>43845</v>
      </c>
      <c r="B63" s="1" t="s">
        <v>4</v>
      </c>
      <c r="C63" s="1" t="s">
        <v>40</v>
      </c>
      <c r="D63">
        <v>6310</v>
      </c>
      <c r="E63">
        <f>5*60+22</f>
        <v>322</v>
      </c>
      <c r="F63" s="3">
        <f t="shared" ref="F63" si="30">E63/E$64</f>
        <v>0.91218130311614731</v>
      </c>
      <c r="G63">
        <v>0</v>
      </c>
      <c r="H63" s="3">
        <f>G63/$D63</f>
        <v>0</v>
      </c>
      <c r="I63">
        <v>5100</v>
      </c>
      <c r="J63" s="3">
        <f>I63/$D63</f>
        <v>0.80824088748019018</v>
      </c>
      <c r="K63">
        <v>1092</v>
      </c>
      <c r="L63" s="3">
        <f>K63/$D63</f>
        <v>0.17305863708399366</v>
      </c>
      <c r="M63">
        <v>58</v>
      </c>
      <c r="N63" s="3">
        <f>M63/$D63</f>
        <v>9.1917591125198102E-3</v>
      </c>
      <c r="O63">
        <v>114</v>
      </c>
      <c r="P63" s="3">
        <f>O63/$D63</f>
        <v>1.8066561014263075E-2</v>
      </c>
      <c r="Q63">
        <v>53</v>
      </c>
      <c r="R63" s="3">
        <f>Q63/$D63</f>
        <v>8.3993660855784472E-3</v>
      </c>
      <c r="S63">
        <v>97</v>
      </c>
      <c r="T63" s="3">
        <f>S63/$D63</f>
        <v>1.5372424722662441E-2</v>
      </c>
    </row>
    <row r="64" spans="1:20" x14ac:dyDescent="0.25">
      <c r="A64" s="1">
        <f>A63</f>
        <v>43845</v>
      </c>
      <c r="B64" t="s">
        <v>3</v>
      </c>
      <c r="C64" s="1" t="s">
        <v>40</v>
      </c>
      <c r="D64">
        <v>599</v>
      </c>
      <c r="E64">
        <f>5*60+53</f>
        <v>353</v>
      </c>
      <c r="F64" s="3">
        <f>E64/E$64</f>
        <v>1</v>
      </c>
      <c r="G64">
        <v>0</v>
      </c>
      <c r="H64" s="3">
        <f>G64/$D64</f>
        <v>0</v>
      </c>
      <c r="I64">
        <v>484</v>
      </c>
      <c r="J64" s="3">
        <f>I64/$D64</f>
        <v>0.80801335559265441</v>
      </c>
      <c r="K64">
        <v>103</v>
      </c>
      <c r="L64" s="3">
        <f>K64/$D64</f>
        <v>0.17195325542570952</v>
      </c>
      <c r="M64">
        <v>7</v>
      </c>
      <c r="N64" s="3">
        <f>M64/$D64</f>
        <v>1.1686143572621035E-2</v>
      </c>
      <c r="O64">
        <v>13</v>
      </c>
      <c r="P64" s="3">
        <f>O64/$D64</f>
        <v>2.1702838063439065E-2</v>
      </c>
      <c r="Q64">
        <v>3</v>
      </c>
      <c r="R64" s="3">
        <f>Q64/$D64</f>
        <v>5.008347245409015E-3</v>
      </c>
      <c r="S64">
        <v>8</v>
      </c>
      <c r="T64" s="3">
        <f t="shared" ref="T64:T67" si="31">S64/$D64</f>
        <v>1.335559265442404E-2</v>
      </c>
    </row>
    <row r="65" spans="1:20" x14ac:dyDescent="0.25">
      <c r="A65" s="1">
        <f>A64</f>
        <v>43845</v>
      </c>
      <c r="B65" t="s">
        <v>5</v>
      </c>
      <c r="C65" s="1" t="s">
        <v>40</v>
      </c>
      <c r="D65">
        <v>600</v>
      </c>
      <c r="E65">
        <f t="shared" ref="E65" si="32">1*60+1</f>
        <v>61</v>
      </c>
      <c r="F65" s="3">
        <f t="shared" ref="F65:F67" si="33">E65/E$64</f>
        <v>0.17280453257790368</v>
      </c>
      <c r="G65">
        <v>0</v>
      </c>
      <c r="H65" s="3">
        <f>G65/$D65</f>
        <v>0</v>
      </c>
      <c r="I65">
        <v>500</v>
      </c>
      <c r="J65" s="3">
        <f>I65/$D65</f>
        <v>0.83333333333333337</v>
      </c>
      <c r="K65">
        <v>89</v>
      </c>
      <c r="L65" s="3">
        <f>K65/$D65</f>
        <v>0.14833333333333334</v>
      </c>
      <c r="M65">
        <v>5</v>
      </c>
      <c r="N65" s="3">
        <f>M65/$D65</f>
        <v>8.3333333333333332E-3</v>
      </c>
      <c r="O65">
        <v>10</v>
      </c>
      <c r="P65" s="3">
        <f>O65/$D65</f>
        <v>1.6666666666666666E-2</v>
      </c>
      <c r="Q65">
        <v>5</v>
      </c>
      <c r="R65" s="3">
        <f>Q65/$D65</f>
        <v>8.3333333333333332E-3</v>
      </c>
      <c r="S65">
        <v>5</v>
      </c>
      <c r="T65" s="3">
        <f t="shared" si="31"/>
        <v>8.3333333333333332E-3</v>
      </c>
    </row>
    <row r="66" spans="1:20" x14ac:dyDescent="0.25">
      <c r="A66" s="1">
        <f>A65</f>
        <v>43845</v>
      </c>
      <c r="B66" t="s">
        <v>6</v>
      </c>
      <c r="C66" s="1" t="s">
        <v>40</v>
      </c>
      <c r="D66">
        <v>603</v>
      </c>
      <c r="E66">
        <f>4*60+40</f>
        <v>280</v>
      </c>
      <c r="F66" s="3">
        <f t="shared" si="33"/>
        <v>0.79320113314447593</v>
      </c>
      <c r="G66">
        <v>0</v>
      </c>
      <c r="H66" s="3">
        <f>G66/$D66</f>
        <v>0</v>
      </c>
      <c r="I66">
        <v>480</v>
      </c>
      <c r="J66" s="3">
        <f>I66/$D66</f>
        <v>0.79601990049751248</v>
      </c>
      <c r="K66">
        <v>113</v>
      </c>
      <c r="L66" s="3">
        <f>K66/$D66</f>
        <v>0.18739635157545606</v>
      </c>
      <c r="M66">
        <v>4</v>
      </c>
      <c r="N66" s="3">
        <f>M66/$D66</f>
        <v>6.6334991708126038E-3</v>
      </c>
      <c r="O66">
        <v>13</v>
      </c>
      <c r="P66" s="3">
        <f>O66/$D66</f>
        <v>2.1558872305140961E-2</v>
      </c>
      <c r="Q66">
        <v>4</v>
      </c>
      <c r="R66" s="3">
        <f>Q66/$D66</f>
        <v>6.6334991708126038E-3</v>
      </c>
      <c r="S66">
        <v>9</v>
      </c>
      <c r="T66" s="3">
        <f t="shared" si="31"/>
        <v>1.4925373134328358E-2</v>
      </c>
    </row>
    <row r="67" spans="1:20" x14ac:dyDescent="0.25">
      <c r="A67" s="1">
        <f>A66</f>
        <v>43845</v>
      </c>
      <c r="B67" t="s">
        <v>30</v>
      </c>
      <c r="C67" s="1" t="s">
        <v>39</v>
      </c>
      <c r="D67">
        <v>2436</v>
      </c>
      <c r="E67">
        <f>3*60+33</f>
        <v>213</v>
      </c>
      <c r="F67" s="3">
        <f t="shared" si="33"/>
        <v>0.60339943342776203</v>
      </c>
      <c r="G67">
        <v>118</v>
      </c>
      <c r="H67" s="3">
        <f>G67/$D67</f>
        <v>4.8440065681444995E-2</v>
      </c>
      <c r="I67">
        <v>2168</v>
      </c>
      <c r="J67" s="3">
        <f>I67/$D67</f>
        <v>0.88998357963875208</v>
      </c>
      <c r="K67">
        <v>140</v>
      </c>
      <c r="L67" s="3">
        <f>K67/$D67</f>
        <v>5.7471264367816091E-2</v>
      </c>
      <c r="M67">
        <v>2</v>
      </c>
      <c r="N67" s="3">
        <f>M67/$D67</f>
        <v>8.2101806239737272E-4</v>
      </c>
      <c r="O67">
        <v>11</v>
      </c>
      <c r="P67" s="3">
        <f>O67/$D67</f>
        <v>4.5155993431855498E-3</v>
      </c>
      <c r="Q67">
        <v>0</v>
      </c>
      <c r="R67" s="3">
        <f>Q67/$D67</f>
        <v>0</v>
      </c>
      <c r="S67">
        <v>11</v>
      </c>
      <c r="T67" s="3">
        <f t="shared" si="31"/>
        <v>4.5155993431855498E-3</v>
      </c>
    </row>
    <row r="68" spans="1:20" x14ac:dyDescent="0.25">
      <c r="A68" s="1"/>
      <c r="F68" s="3"/>
      <c r="H68" s="3"/>
      <c r="J68" s="3"/>
      <c r="L68" s="3"/>
      <c r="N68" s="3"/>
      <c r="P68" s="3"/>
      <c r="R68" s="3"/>
    </row>
    <row r="69" spans="1:20" x14ac:dyDescent="0.25">
      <c r="A69" s="1">
        <v>43846</v>
      </c>
      <c r="B69" s="1" t="s">
        <v>4</v>
      </c>
      <c r="C69" s="1" t="s">
        <v>40</v>
      </c>
      <c r="D69">
        <v>6317</v>
      </c>
      <c r="E69">
        <f>4*60+59</f>
        <v>299</v>
      </c>
      <c r="F69" s="3">
        <f t="shared" ref="F69" si="34">E69/E$70</f>
        <v>1.0716845878136201</v>
      </c>
      <c r="G69">
        <v>0</v>
      </c>
      <c r="H69" s="3">
        <f>G69/$D69</f>
        <v>0</v>
      </c>
      <c r="I69">
        <v>5101</v>
      </c>
      <c r="J69" s="3">
        <f>I69/$D69</f>
        <v>0.8075035618173183</v>
      </c>
      <c r="K69">
        <v>1094</v>
      </c>
      <c r="L69" s="3">
        <f>K69/$D69</f>
        <v>0.17318347316764288</v>
      </c>
      <c r="M69">
        <v>58</v>
      </c>
      <c r="N69" s="3">
        <f>M69/$D69</f>
        <v>9.1815735317397496E-3</v>
      </c>
      <c r="O69">
        <v>115</v>
      </c>
      <c r="P69" s="3">
        <f>O69/$D69</f>
        <v>1.8204844071552952E-2</v>
      </c>
      <c r="Q69">
        <v>54</v>
      </c>
      <c r="R69" s="3">
        <f>Q69/$D69</f>
        <v>8.5483615640335603E-3</v>
      </c>
      <c r="S69">
        <v>100</v>
      </c>
      <c r="T69" s="3">
        <f>S69/$D69</f>
        <v>1.5830299192654742E-2</v>
      </c>
    </row>
    <row r="70" spans="1:20" x14ac:dyDescent="0.25">
      <c r="A70" s="1">
        <f>A69</f>
        <v>43846</v>
      </c>
      <c r="B70" t="s">
        <v>3</v>
      </c>
      <c r="C70" s="1" t="s">
        <v>40</v>
      </c>
      <c r="D70">
        <v>606</v>
      </c>
      <c r="E70">
        <f>4*60+39</f>
        <v>279</v>
      </c>
      <c r="F70" s="3">
        <f>E70/E$70</f>
        <v>1</v>
      </c>
      <c r="G70">
        <v>0</v>
      </c>
      <c r="H70" s="3">
        <f>G70/$D70</f>
        <v>0</v>
      </c>
      <c r="I70">
        <v>484</v>
      </c>
      <c r="J70" s="3">
        <f>I70/$D70</f>
        <v>0.79867986798679869</v>
      </c>
      <c r="K70">
        <v>103</v>
      </c>
      <c r="L70" s="3">
        <f>K70/$D70</f>
        <v>0.16996699669966997</v>
      </c>
      <c r="M70">
        <v>5</v>
      </c>
      <c r="N70" s="3">
        <f>M70/$D70</f>
        <v>8.2508250825082501E-3</v>
      </c>
      <c r="O70">
        <v>11</v>
      </c>
      <c r="P70" s="3">
        <f>O70/$D70</f>
        <v>1.8151815181518153E-2</v>
      </c>
      <c r="Q70">
        <v>9</v>
      </c>
      <c r="R70" s="3">
        <f>Q70/$D70</f>
        <v>1.4851485148514851E-2</v>
      </c>
      <c r="S70">
        <v>14</v>
      </c>
      <c r="T70" s="3">
        <f t="shared" ref="T70:T73" si="35">S70/$D70</f>
        <v>2.3102310231023101E-2</v>
      </c>
    </row>
    <row r="71" spans="1:20" x14ac:dyDescent="0.25">
      <c r="A71" s="1">
        <f>A70</f>
        <v>43846</v>
      </c>
      <c r="B71" t="s">
        <v>5</v>
      </c>
      <c r="C71" s="1" t="s">
        <v>40</v>
      </c>
      <c r="D71">
        <v>570</v>
      </c>
      <c r="E71">
        <f>0*60+58</f>
        <v>58</v>
      </c>
      <c r="F71" s="3">
        <f t="shared" ref="F71:F73" si="36">E71/E$70</f>
        <v>0.2078853046594982</v>
      </c>
      <c r="G71">
        <v>0</v>
      </c>
      <c r="H71" s="3">
        <f>G71/$D71</f>
        <v>0</v>
      </c>
      <c r="I71">
        <v>455</v>
      </c>
      <c r="J71" s="3">
        <f>I71/$D71</f>
        <v>0.79824561403508776</v>
      </c>
      <c r="K71">
        <v>98</v>
      </c>
      <c r="L71" s="3">
        <f>K71/$D71</f>
        <v>0.17192982456140352</v>
      </c>
      <c r="M71">
        <v>10</v>
      </c>
      <c r="N71" s="3">
        <f>M71/$D71</f>
        <v>1.7543859649122806E-2</v>
      </c>
      <c r="O71">
        <v>13</v>
      </c>
      <c r="P71" s="3">
        <f>O71/$D71</f>
        <v>2.2807017543859651E-2</v>
      </c>
      <c r="Q71">
        <v>14</v>
      </c>
      <c r="R71" s="3">
        <f>Q71/$D71</f>
        <v>2.456140350877193E-2</v>
      </c>
      <c r="S71">
        <v>16</v>
      </c>
      <c r="T71" s="3">
        <f t="shared" si="35"/>
        <v>2.8070175438596492E-2</v>
      </c>
    </row>
    <row r="72" spans="1:20" x14ac:dyDescent="0.25">
      <c r="A72" s="1">
        <f>A71</f>
        <v>43846</v>
      </c>
      <c r="B72" t="s">
        <v>6</v>
      </c>
      <c r="C72" s="1" t="s">
        <v>40</v>
      </c>
      <c r="D72">
        <v>611</v>
      </c>
      <c r="E72">
        <f>4*60+51</f>
        <v>291</v>
      </c>
      <c r="F72" s="3">
        <f t="shared" si="36"/>
        <v>1.043010752688172</v>
      </c>
      <c r="G72">
        <v>0</v>
      </c>
      <c r="H72" s="3">
        <f>G72/$D72</f>
        <v>0</v>
      </c>
      <c r="I72">
        <v>495</v>
      </c>
      <c r="J72" s="3">
        <f>I72/$D72</f>
        <v>0.81014729950900166</v>
      </c>
      <c r="K72">
        <v>104</v>
      </c>
      <c r="L72" s="3">
        <f>K72/$D72</f>
        <v>0.1702127659574468</v>
      </c>
      <c r="M72">
        <v>8</v>
      </c>
      <c r="N72" s="3">
        <f>M72/$D72</f>
        <v>1.3093289689034371E-2</v>
      </c>
      <c r="O72">
        <v>6</v>
      </c>
      <c r="P72" s="3">
        <f>O72/$D72</f>
        <v>9.8199672667757774E-3</v>
      </c>
      <c r="Q72">
        <v>5</v>
      </c>
      <c r="R72" s="3">
        <f>Q72/$D72</f>
        <v>8.1833060556464818E-3</v>
      </c>
      <c r="S72">
        <v>10</v>
      </c>
      <c r="T72" s="3">
        <f t="shared" si="35"/>
        <v>1.6366612111292964E-2</v>
      </c>
    </row>
    <row r="73" spans="1:20" x14ac:dyDescent="0.25">
      <c r="A73" s="1">
        <f>A72</f>
        <v>43846</v>
      </c>
      <c r="B73" t="s">
        <v>30</v>
      </c>
      <c r="C73" s="1" t="s">
        <v>39</v>
      </c>
      <c r="D73">
        <v>2437</v>
      </c>
      <c r="E73">
        <f>3*60+49</f>
        <v>229</v>
      </c>
      <c r="F73" s="3">
        <f t="shared" si="36"/>
        <v>0.82078853046594979</v>
      </c>
      <c r="G73">
        <v>112</v>
      </c>
      <c r="H73" s="3">
        <f>G73/$D73</f>
        <v>4.5958145260566269E-2</v>
      </c>
      <c r="I73">
        <v>2169</v>
      </c>
      <c r="J73" s="3">
        <f>I73/$D73</f>
        <v>0.89002872384078791</v>
      </c>
      <c r="K73">
        <v>142</v>
      </c>
      <c r="L73" s="3">
        <f>K73/$D73</f>
        <v>5.8268362741075094E-2</v>
      </c>
      <c r="M73">
        <v>2</v>
      </c>
      <c r="N73" s="3">
        <f>M73/$D73</f>
        <v>8.206811653672548E-4</v>
      </c>
      <c r="O73">
        <v>12</v>
      </c>
      <c r="P73" s="3">
        <f>O73/$D73</f>
        <v>4.9240869922035288E-3</v>
      </c>
      <c r="Q73">
        <v>1</v>
      </c>
      <c r="R73" s="3">
        <f>Q73/$D73</f>
        <v>4.103405826836274E-4</v>
      </c>
      <c r="S73">
        <v>14</v>
      </c>
      <c r="T73" s="3">
        <f t="shared" si="35"/>
        <v>5.7447681575707836E-3</v>
      </c>
    </row>
    <row r="74" spans="1:20" x14ac:dyDescent="0.25">
      <c r="A74" s="1"/>
      <c r="F74" s="3"/>
      <c r="H74" s="3"/>
      <c r="J74" s="3"/>
      <c r="L74" s="3"/>
      <c r="N74" s="3"/>
      <c r="P74" s="3"/>
      <c r="R74" s="3"/>
    </row>
    <row r="75" spans="1:20" x14ac:dyDescent="0.25">
      <c r="A75" s="1">
        <v>43847</v>
      </c>
      <c r="B75" s="1" t="s">
        <v>4</v>
      </c>
      <c r="C75" s="1" t="s">
        <v>40</v>
      </c>
      <c r="D75">
        <v>6369</v>
      </c>
      <c r="E75">
        <f>11*60+33</f>
        <v>693</v>
      </c>
      <c r="F75" s="3">
        <f t="shared" ref="F75" si="37">E75/E$76</f>
        <v>1.8333333333333333</v>
      </c>
      <c r="G75">
        <v>0</v>
      </c>
      <c r="H75" s="3">
        <f>G75/$D75</f>
        <v>0</v>
      </c>
      <c r="I75">
        <v>5141</v>
      </c>
      <c r="J75" s="3">
        <f>I75/$D75</f>
        <v>0.80719108180248078</v>
      </c>
      <c r="K75">
        <v>1096</v>
      </c>
      <c r="L75" s="3">
        <f>K75/$D75</f>
        <v>0.17208352959648296</v>
      </c>
      <c r="M75">
        <v>58</v>
      </c>
      <c r="N75" s="3">
        <f>M75/$D75</f>
        <v>9.1066101428795721E-3</v>
      </c>
      <c r="O75">
        <v>122</v>
      </c>
      <c r="P75" s="3">
        <f>O75/$D75</f>
        <v>1.9155283403988067E-2</v>
      </c>
      <c r="Q75">
        <v>55</v>
      </c>
      <c r="R75" s="3">
        <f>Q75/$D75</f>
        <v>8.6355785837651123E-3</v>
      </c>
      <c r="S75">
        <v>103</v>
      </c>
      <c r="T75" s="3">
        <f>S75/$D75</f>
        <v>1.6172083529596482E-2</v>
      </c>
    </row>
    <row r="76" spans="1:20" x14ac:dyDescent="0.25">
      <c r="A76" s="1">
        <f>A75</f>
        <v>43847</v>
      </c>
      <c r="B76" t="s">
        <v>3</v>
      </c>
      <c r="C76" s="1" t="s">
        <v>40</v>
      </c>
      <c r="D76">
        <v>598</v>
      </c>
      <c r="E76">
        <f>6*60+18</f>
        <v>378</v>
      </c>
      <c r="F76" s="3">
        <f>E76/E$76</f>
        <v>1</v>
      </c>
      <c r="G76">
        <v>0</v>
      </c>
      <c r="H76" s="3">
        <f>G76/$D76</f>
        <v>0</v>
      </c>
      <c r="I76">
        <v>486</v>
      </c>
      <c r="J76" s="3">
        <f>I76/$D76</f>
        <v>0.81270903010033446</v>
      </c>
      <c r="K76">
        <v>100</v>
      </c>
      <c r="L76" s="3">
        <f>K76/$D76</f>
        <v>0.16722408026755853</v>
      </c>
      <c r="M76">
        <v>4</v>
      </c>
      <c r="N76" s="3">
        <f>M76/$D76</f>
        <v>6.688963210702341E-3</v>
      </c>
      <c r="O76">
        <v>9</v>
      </c>
      <c r="P76" s="3">
        <f>O76/$D76</f>
        <v>1.5050167224080268E-2</v>
      </c>
      <c r="Q76">
        <v>5</v>
      </c>
      <c r="R76" s="3">
        <f>Q76/$D76</f>
        <v>8.3612040133779261E-3</v>
      </c>
      <c r="S76">
        <v>15</v>
      </c>
      <c r="T76" s="3">
        <f t="shared" ref="T76:T79" si="38">S76/$D76</f>
        <v>2.508361204013378E-2</v>
      </c>
    </row>
    <row r="77" spans="1:20" x14ac:dyDescent="0.25">
      <c r="A77" s="1">
        <f>A76</f>
        <v>43847</v>
      </c>
      <c r="B77" t="s">
        <v>5</v>
      </c>
      <c r="C77" s="1" t="s">
        <v>40</v>
      </c>
      <c r="D77">
        <v>609</v>
      </c>
      <c r="E77">
        <f>1*60+25</f>
        <v>85</v>
      </c>
      <c r="F77" s="3">
        <f t="shared" ref="F77:F79" si="39">E77/E$76</f>
        <v>0.22486772486772486</v>
      </c>
      <c r="G77">
        <v>0</v>
      </c>
      <c r="H77" s="3">
        <f>G77/$D77</f>
        <v>0</v>
      </c>
      <c r="I77">
        <v>517</v>
      </c>
      <c r="J77" s="3">
        <f>I77/$D77</f>
        <v>0.84893267651888338</v>
      </c>
      <c r="K77">
        <v>83</v>
      </c>
      <c r="L77" s="3">
        <f>K77/$D77</f>
        <v>0.13628899835796388</v>
      </c>
      <c r="M77">
        <v>3</v>
      </c>
      <c r="N77" s="3">
        <f>M77/$D77</f>
        <v>4.9261083743842365E-3</v>
      </c>
      <c r="O77">
        <v>15</v>
      </c>
      <c r="P77" s="3">
        <f>O77/$D77</f>
        <v>2.4630541871921183E-2</v>
      </c>
      <c r="Q77">
        <v>2</v>
      </c>
      <c r="R77" s="3">
        <f>Q77/$D77</f>
        <v>3.2840722495894909E-3</v>
      </c>
      <c r="S77">
        <v>4</v>
      </c>
      <c r="T77" s="3">
        <f t="shared" si="38"/>
        <v>6.5681444991789817E-3</v>
      </c>
    </row>
    <row r="78" spans="1:20" x14ac:dyDescent="0.25">
      <c r="A78" s="1">
        <f>A77</f>
        <v>43847</v>
      </c>
      <c r="B78" t="s">
        <v>6</v>
      </c>
      <c r="C78" s="1" t="s">
        <v>40</v>
      </c>
      <c r="D78">
        <v>611</v>
      </c>
      <c r="E78">
        <f>6*60+29</f>
        <v>389</v>
      </c>
      <c r="F78" s="3">
        <f t="shared" si="39"/>
        <v>1.0291005291005291</v>
      </c>
      <c r="G78">
        <v>0</v>
      </c>
      <c r="H78" s="3">
        <f>G78/$D78</f>
        <v>0</v>
      </c>
      <c r="I78">
        <v>490</v>
      </c>
      <c r="J78" s="3">
        <f>I78/$D78</f>
        <v>0.80196399345335512</v>
      </c>
      <c r="K78">
        <v>104</v>
      </c>
      <c r="L78" s="3">
        <f>K78/$D78</f>
        <v>0.1702127659574468</v>
      </c>
      <c r="M78">
        <v>7</v>
      </c>
      <c r="N78" s="3">
        <f>M78/$D78</f>
        <v>1.1456628477905073E-2</v>
      </c>
      <c r="O78">
        <v>17</v>
      </c>
      <c r="P78" s="3">
        <f>O78/$D78</f>
        <v>2.7823240589198037E-2</v>
      </c>
      <c r="Q78">
        <v>3</v>
      </c>
      <c r="R78" s="3">
        <f>Q78/$D78</f>
        <v>4.9099836333878887E-3</v>
      </c>
      <c r="S78">
        <v>17</v>
      </c>
      <c r="T78" s="3">
        <f t="shared" si="38"/>
        <v>2.7823240589198037E-2</v>
      </c>
    </row>
    <row r="79" spans="1:20" x14ac:dyDescent="0.25">
      <c r="A79" s="1">
        <f>A78</f>
        <v>43847</v>
      </c>
      <c r="B79" t="s">
        <v>30</v>
      </c>
      <c r="C79" s="1" t="s">
        <v>39</v>
      </c>
      <c r="D79">
        <v>2447</v>
      </c>
      <c r="E79">
        <f>9*60+1</f>
        <v>541</v>
      </c>
      <c r="F79" s="3">
        <f t="shared" si="39"/>
        <v>1.4312169312169312</v>
      </c>
      <c r="G79">
        <v>116</v>
      </c>
      <c r="H79" s="3">
        <f>G79/$D79</f>
        <v>4.7404985696771554E-2</v>
      </c>
      <c r="I79">
        <v>2182</v>
      </c>
      <c r="J79" s="3">
        <f>I79/$D79</f>
        <v>0.89170412750306494</v>
      </c>
      <c r="K79">
        <v>136</v>
      </c>
      <c r="L79" s="3">
        <f>K79/$D79</f>
        <v>5.5578259092766653E-2</v>
      </c>
      <c r="M79">
        <v>3</v>
      </c>
      <c r="N79" s="3">
        <f>M79/$D79</f>
        <v>1.2259910093992644E-3</v>
      </c>
      <c r="O79">
        <v>14</v>
      </c>
      <c r="P79" s="3">
        <f>O79/$D79</f>
        <v>5.7212913771965673E-3</v>
      </c>
      <c r="Q79">
        <v>1</v>
      </c>
      <c r="R79" s="3">
        <f>Q79/$D79</f>
        <v>4.086636697997548E-4</v>
      </c>
      <c r="S79">
        <v>16</v>
      </c>
      <c r="T79" s="3">
        <f t="shared" si="38"/>
        <v>6.5386187167960769E-3</v>
      </c>
    </row>
    <row r="80" spans="1:20" x14ac:dyDescent="0.25">
      <c r="A80" s="1"/>
      <c r="F80" s="3"/>
      <c r="H80" s="3"/>
      <c r="J80" s="3"/>
      <c r="L80" s="3"/>
      <c r="N80" s="3"/>
      <c r="P80" s="3"/>
      <c r="R80" s="3"/>
    </row>
    <row r="81" spans="1:20" x14ac:dyDescent="0.25">
      <c r="A81" s="1">
        <v>43848</v>
      </c>
      <c r="B81" s="1" t="s">
        <v>4</v>
      </c>
      <c r="C81" s="1" t="s">
        <v>40</v>
      </c>
      <c r="D81">
        <v>6366</v>
      </c>
      <c r="E81">
        <f>4*60+54</f>
        <v>294</v>
      </c>
      <c r="F81" s="3">
        <f t="shared" ref="F81" si="40">E81/E$82</f>
        <v>1.0068493150684932</v>
      </c>
      <c r="G81">
        <v>0</v>
      </c>
      <c r="H81" s="3">
        <f>G81/$D81</f>
        <v>0</v>
      </c>
      <c r="I81">
        <v>5141</v>
      </c>
      <c r="J81" s="3">
        <f>I81/$D81</f>
        <v>0.80757147345271751</v>
      </c>
      <c r="K81">
        <v>1093</v>
      </c>
      <c r="L81" s="3">
        <f>K81/$D81</f>
        <v>0.17169337103361609</v>
      </c>
      <c r="M81">
        <v>58</v>
      </c>
      <c r="N81" s="3">
        <f>M81/$D81</f>
        <v>9.1109016650958215E-3</v>
      </c>
      <c r="O81">
        <v>121</v>
      </c>
      <c r="P81" s="3">
        <f>O81/$D81</f>
        <v>1.9007225887527488E-2</v>
      </c>
      <c r="Q81">
        <v>56</v>
      </c>
      <c r="R81" s="3">
        <f>Q81/$D81</f>
        <v>8.7967326421614835E-3</v>
      </c>
      <c r="S81">
        <v>101</v>
      </c>
      <c r="T81" s="3">
        <f>S81/$D81</f>
        <v>1.5865535658184104E-2</v>
      </c>
    </row>
    <row r="82" spans="1:20" x14ac:dyDescent="0.25">
      <c r="A82" s="1">
        <f>A81</f>
        <v>43848</v>
      </c>
      <c r="B82" t="s">
        <v>3</v>
      </c>
      <c r="C82" s="1" t="s">
        <v>40</v>
      </c>
      <c r="D82">
        <v>609</v>
      </c>
      <c r="E82">
        <f>4*60+52</f>
        <v>292</v>
      </c>
      <c r="F82" s="3">
        <f>E82/E$82</f>
        <v>1</v>
      </c>
      <c r="G82">
        <v>0</v>
      </c>
      <c r="H82" s="3">
        <f>G82/$D82</f>
        <v>0</v>
      </c>
      <c r="I82">
        <v>482</v>
      </c>
      <c r="J82" s="3">
        <f>I82/$D82</f>
        <v>0.79146141215106736</v>
      </c>
      <c r="K82">
        <v>109</v>
      </c>
      <c r="L82" s="3">
        <f>K82/$D82</f>
        <v>0.17898193760262726</v>
      </c>
      <c r="M82">
        <v>6</v>
      </c>
      <c r="N82" s="3">
        <f>M82/$D82</f>
        <v>9.852216748768473E-3</v>
      </c>
      <c r="O82">
        <v>20</v>
      </c>
      <c r="P82" s="3">
        <f>O82/$D82</f>
        <v>3.2840722495894911E-2</v>
      </c>
      <c r="Q82">
        <v>6</v>
      </c>
      <c r="R82" s="3">
        <f>Q82/$D82</f>
        <v>9.852216748768473E-3</v>
      </c>
      <c r="S82">
        <v>14</v>
      </c>
      <c r="T82" s="3">
        <f t="shared" ref="T82:T85" si="41">S82/$D82</f>
        <v>2.2988505747126436E-2</v>
      </c>
    </row>
    <row r="83" spans="1:20" x14ac:dyDescent="0.25">
      <c r="A83" s="1">
        <f>A82</f>
        <v>43848</v>
      </c>
      <c r="B83" t="s">
        <v>5</v>
      </c>
      <c r="C83" s="1" t="s">
        <v>40</v>
      </c>
      <c r="D83">
        <v>600</v>
      </c>
      <c r="E83">
        <f>1*60+6</f>
        <v>66</v>
      </c>
      <c r="F83" s="3">
        <f t="shared" ref="F83:F85" si="42">E83/E$82</f>
        <v>0.22602739726027396</v>
      </c>
      <c r="G83">
        <v>0</v>
      </c>
      <c r="H83" s="3">
        <f>G83/$D83</f>
        <v>0</v>
      </c>
      <c r="I83">
        <v>505</v>
      </c>
      <c r="J83" s="3">
        <f>I83/$D83</f>
        <v>0.84166666666666667</v>
      </c>
      <c r="K83">
        <v>87</v>
      </c>
      <c r="L83" s="3">
        <f>K83/$D83</f>
        <v>0.14499999999999999</v>
      </c>
      <c r="M83">
        <v>5</v>
      </c>
      <c r="N83" s="3">
        <f>M83/$D83</f>
        <v>8.3333333333333332E-3</v>
      </c>
      <c r="O83">
        <v>11</v>
      </c>
      <c r="P83" s="3">
        <f>O83/$D83</f>
        <v>1.8333333333333333E-2</v>
      </c>
      <c r="Q83">
        <v>0</v>
      </c>
      <c r="R83" s="3">
        <f>Q83/$D83</f>
        <v>0</v>
      </c>
      <c r="S83">
        <v>5</v>
      </c>
      <c r="T83" s="3">
        <f t="shared" si="41"/>
        <v>8.3333333333333332E-3</v>
      </c>
    </row>
    <row r="84" spans="1:20" x14ac:dyDescent="0.25">
      <c r="A84" s="1">
        <f>A83</f>
        <v>43848</v>
      </c>
      <c r="B84" t="s">
        <v>6</v>
      </c>
      <c r="C84" s="1" t="s">
        <v>40</v>
      </c>
      <c r="D84">
        <v>612</v>
      </c>
      <c r="E84">
        <f>4*60+55</f>
        <v>295</v>
      </c>
      <c r="F84" s="3">
        <f t="shared" si="42"/>
        <v>1.0102739726027397</v>
      </c>
      <c r="G84">
        <v>0</v>
      </c>
      <c r="H84" s="3">
        <f>G84/$D84</f>
        <v>0</v>
      </c>
      <c r="I84">
        <v>501</v>
      </c>
      <c r="J84" s="3">
        <f>I84/$D84</f>
        <v>0.81862745098039214</v>
      </c>
      <c r="K84">
        <v>100</v>
      </c>
      <c r="L84" s="3">
        <f>K84/$D84</f>
        <v>0.16339869281045752</v>
      </c>
      <c r="M84">
        <v>3</v>
      </c>
      <c r="N84" s="3">
        <f>M84/$D84</f>
        <v>4.9019607843137254E-3</v>
      </c>
      <c r="O84">
        <v>10</v>
      </c>
      <c r="P84" s="3">
        <f>O84/$D84</f>
        <v>1.6339869281045753E-2</v>
      </c>
      <c r="Q84">
        <v>6</v>
      </c>
      <c r="R84" s="3">
        <f>Q84/$D84</f>
        <v>9.8039215686274508E-3</v>
      </c>
      <c r="S84">
        <v>9</v>
      </c>
      <c r="T84" s="3">
        <f t="shared" si="41"/>
        <v>1.4705882352941176E-2</v>
      </c>
    </row>
    <row r="85" spans="1:20" x14ac:dyDescent="0.25">
      <c r="A85" s="1">
        <f>A84</f>
        <v>43848</v>
      </c>
      <c r="B85" t="s">
        <v>30</v>
      </c>
      <c r="C85" s="1" t="s">
        <v>39</v>
      </c>
      <c r="D85">
        <v>2448</v>
      </c>
      <c r="E85">
        <f>3*60+55</f>
        <v>235</v>
      </c>
      <c r="F85" s="3">
        <f t="shared" si="42"/>
        <v>0.8047945205479452</v>
      </c>
      <c r="G85">
        <v>122</v>
      </c>
      <c r="H85" s="3">
        <f>G85/$D85</f>
        <v>4.9836601307189546E-2</v>
      </c>
      <c r="I85">
        <v>2173</v>
      </c>
      <c r="J85" s="3">
        <f>I85/$D85</f>
        <v>0.88766339869281041</v>
      </c>
      <c r="K85">
        <v>139</v>
      </c>
      <c r="L85" s="3">
        <f>K85/$D85</f>
        <v>5.6781045751633986E-2</v>
      </c>
      <c r="M85">
        <v>2</v>
      </c>
      <c r="N85" s="3">
        <f>M85/$D85</f>
        <v>8.1699346405228761E-4</v>
      </c>
      <c r="O85">
        <v>16</v>
      </c>
      <c r="P85" s="3">
        <f>O85/$D85</f>
        <v>6.5359477124183009E-3</v>
      </c>
      <c r="Q85">
        <v>2</v>
      </c>
      <c r="R85" s="3">
        <f>Q85/$D85</f>
        <v>8.1699346405228761E-4</v>
      </c>
      <c r="S85">
        <v>15</v>
      </c>
      <c r="T85" s="3">
        <f t="shared" si="41"/>
        <v>6.1274509803921568E-3</v>
      </c>
    </row>
    <row r="86" spans="1:20" x14ac:dyDescent="0.25">
      <c r="A86" s="1"/>
      <c r="F86" s="3"/>
      <c r="H86" s="3"/>
      <c r="J86" s="3"/>
      <c r="L86" s="3"/>
      <c r="N86" s="3"/>
      <c r="P86" s="3"/>
      <c r="R86" s="3"/>
    </row>
    <row r="87" spans="1:20" x14ac:dyDescent="0.25">
      <c r="A87" s="1">
        <v>43849</v>
      </c>
      <c r="B87" s="1" t="s">
        <v>4</v>
      </c>
      <c r="C87" s="1" t="s">
        <v>40</v>
      </c>
      <c r="D87">
        <v>6354</v>
      </c>
      <c r="E87">
        <f>5*60+55</f>
        <v>355</v>
      </c>
      <c r="F87" s="3">
        <f t="shared" ref="F87" si="43">E87/E$88</f>
        <v>1.2678571428571428</v>
      </c>
      <c r="G87">
        <v>0</v>
      </c>
      <c r="H87" s="3">
        <f>G87/$D87</f>
        <v>0</v>
      </c>
      <c r="I87">
        <v>5128</v>
      </c>
      <c r="J87" s="3">
        <f>I87/$D87</f>
        <v>0.80705067673906206</v>
      </c>
      <c r="K87">
        <v>1095</v>
      </c>
      <c r="L87" s="3">
        <f>K87/$D87</f>
        <v>0.17233238904627007</v>
      </c>
      <c r="M87">
        <v>58</v>
      </c>
      <c r="N87" s="3">
        <f>M87/$D87</f>
        <v>9.1281082782499207E-3</v>
      </c>
      <c r="O87">
        <v>121</v>
      </c>
      <c r="P87" s="3">
        <f>O87/$D87</f>
        <v>1.904312244255587E-2</v>
      </c>
      <c r="Q87">
        <v>56</v>
      </c>
      <c r="R87" s="3">
        <f>Q87/$D87</f>
        <v>8.8133459238275095E-3</v>
      </c>
      <c r="S87">
        <v>100</v>
      </c>
      <c r="T87" s="3">
        <f>S87/$D87</f>
        <v>1.5738117721120555E-2</v>
      </c>
    </row>
    <row r="88" spans="1:20" x14ac:dyDescent="0.25">
      <c r="A88" s="1">
        <f>A87</f>
        <v>43849</v>
      </c>
      <c r="B88" t="s">
        <v>3</v>
      </c>
      <c r="C88" s="1" t="s">
        <v>40</v>
      </c>
      <c r="D88">
        <v>602</v>
      </c>
      <c r="E88">
        <f>4*60+40</f>
        <v>280</v>
      </c>
      <c r="F88" s="3">
        <f>E88/E$88</f>
        <v>1</v>
      </c>
      <c r="G88">
        <v>0</v>
      </c>
      <c r="H88" s="3">
        <f>G88/$D88</f>
        <v>0</v>
      </c>
      <c r="I88">
        <v>486</v>
      </c>
      <c r="J88" s="3">
        <f>I88/$D88</f>
        <v>0.80730897009966773</v>
      </c>
      <c r="K88">
        <v>101</v>
      </c>
      <c r="L88" s="3">
        <f>K88/$D88</f>
        <v>0.16777408637873753</v>
      </c>
      <c r="M88">
        <v>2</v>
      </c>
      <c r="N88" s="3">
        <f>M88/$D88</f>
        <v>3.3222591362126247E-3</v>
      </c>
      <c r="O88">
        <v>17</v>
      </c>
      <c r="P88" s="3">
        <f>O88/$D88</f>
        <v>2.823920265780731E-2</v>
      </c>
      <c r="Q88">
        <v>8</v>
      </c>
      <c r="R88" s="3">
        <f>Q88/$D88</f>
        <v>1.3289036544850499E-2</v>
      </c>
      <c r="S88">
        <v>15</v>
      </c>
      <c r="T88" s="3">
        <f t="shared" ref="T88:T91" si="44">S88/$D88</f>
        <v>2.4916943521594685E-2</v>
      </c>
    </row>
    <row r="89" spans="1:20" x14ac:dyDescent="0.25">
      <c r="A89" s="1">
        <f>A88</f>
        <v>43849</v>
      </c>
      <c r="B89" t="s">
        <v>5</v>
      </c>
      <c r="C89" s="1" t="s">
        <v>40</v>
      </c>
      <c r="D89">
        <v>610</v>
      </c>
      <c r="E89">
        <f>1*60+16</f>
        <v>76</v>
      </c>
      <c r="F89" s="3">
        <f t="shared" ref="F89:F91" si="45">E89/E$88</f>
        <v>0.27142857142857141</v>
      </c>
      <c r="G89">
        <v>0</v>
      </c>
      <c r="H89" s="3">
        <f>G89/$D89</f>
        <v>0</v>
      </c>
      <c r="I89">
        <v>484</v>
      </c>
      <c r="J89" s="3">
        <f>I89/$D89</f>
        <v>0.79344262295081969</v>
      </c>
      <c r="K89">
        <v>103</v>
      </c>
      <c r="L89" s="3">
        <f>K89/$D89</f>
        <v>0.16885245901639345</v>
      </c>
      <c r="M89">
        <v>12</v>
      </c>
      <c r="N89" s="3">
        <f>M89/$D89</f>
        <v>1.9672131147540985E-2</v>
      </c>
      <c r="O89">
        <v>15</v>
      </c>
      <c r="P89" s="3">
        <f>O89/$D89</f>
        <v>2.4590163934426229E-2</v>
      </c>
      <c r="Q89">
        <v>15</v>
      </c>
      <c r="R89" s="3">
        <f>Q89/$D89</f>
        <v>2.4590163934426229E-2</v>
      </c>
      <c r="S89">
        <v>12</v>
      </c>
      <c r="T89" s="3">
        <f t="shared" si="44"/>
        <v>1.9672131147540985E-2</v>
      </c>
    </row>
    <row r="90" spans="1:20" x14ac:dyDescent="0.25">
      <c r="A90" s="1">
        <f>A89</f>
        <v>43849</v>
      </c>
      <c r="B90" t="s">
        <v>6</v>
      </c>
      <c r="C90" s="1" t="s">
        <v>40</v>
      </c>
      <c r="D90">
        <v>615</v>
      </c>
      <c r="E90">
        <f>7*60+17</f>
        <v>437</v>
      </c>
      <c r="F90" s="3">
        <f t="shared" si="45"/>
        <v>1.5607142857142857</v>
      </c>
      <c r="G90">
        <v>0</v>
      </c>
      <c r="H90" s="3">
        <f>G90/$D90</f>
        <v>0</v>
      </c>
      <c r="I90">
        <v>489</v>
      </c>
      <c r="J90" s="3">
        <f>I90/$D90</f>
        <v>0.79512195121951224</v>
      </c>
      <c r="K90">
        <v>110</v>
      </c>
      <c r="L90" s="3">
        <f>K90/$D90</f>
        <v>0.17886178861788618</v>
      </c>
      <c r="M90">
        <v>10</v>
      </c>
      <c r="N90" s="3">
        <f>M90/$D90</f>
        <v>1.6260162601626018E-2</v>
      </c>
      <c r="O90">
        <v>13</v>
      </c>
      <c r="P90" s="3">
        <f>O90/$D90</f>
        <v>2.113821138211382E-2</v>
      </c>
      <c r="Q90">
        <v>7</v>
      </c>
      <c r="R90" s="3">
        <f>Q90/$D90</f>
        <v>1.1382113821138212E-2</v>
      </c>
      <c r="S90">
        <v>12</v>
      </c>
      <c r="T90" s="3">
        <f t="shared" si="44"/>
        <v>1.9512195121951219E-2</v>
      </c>
    </row>
    <row r="91" spans="1:20" x14ac:dyDescent="0.25">
      <c r="A91" s="1">
        <f>A90</f>
        <v>43849</v>
      </c>
      <c r="B91" t="s">
        <v>30</v>
      </c>
      <c r="C91" s="1" t="s">
        <v>39</v>
      </c>
      <c r="D91">
        <v>2447</v>
      </c>
      <c r="E91">
        <f>3*60+52</f>
        <v>232</v>
      </c>
      <c r="F91" s="3">
        <f t="shared" si="45"/>
        <v>0.82857142857142863</v>
      </c>
      <c r="G91">
        <v>133</v>
      </c>
      <c r="H91" s="3">
        <f>G91/$D91</f>
        <v>5.4352268083367392E-2</v>
      </c>
      <c r="I91">
        <v>2155</v>
      </c>
      <c r="J91" s="3">
        <f>I91/$D91</f>
        <v>0.88067020841847155</v>
      </c>
      <c r="K91">
        <v>143</v>
      </c>
      <c r="L91" s="3">
        <f>K91/$D91</f>
        <v>5.8438904781364938E-2</v>
      </c>
      <c r="M91">
        <v>2</v>
      </c>
      <c r="N91" s="3">
        <f>M91/$D91</f>
        <v>8.1732733959950961E-4</v>
      </c>
      <c r="O91">
        <v>15</v>
      </c>
      <c r="P91" s="3">
        <f>O91/$D91</f>
        <v>6.1299550469963221E-3</v>
      </c>
      <c r="Q91">
        <v>2</v>
      </c>
      <c r="R91" s="3">
        <f>Q91/$D91</f>
        <v>8.1732733959950961E-4</v>
      </c>
      <c r="S91">
        <v>15</v>
      </c>
      <c r="T91" s="3">
        <f t="shared" si="44"/>
        <v>6.1299550469963221E-3</v>
      </c>
    </row>
    <row r="92" spans="1:20" x14ac:dyDescent="0.25">
      <c r="A92" s="1"/>
      <c r="F92" s="3"/>
      <c r="H92" s="3"/>
      <c r="J92" s="3"/>
      <c r="L92" s="3"/>
      <c r="N92" s="3"/>
      <c r="P92" s="3"/>
      <c r="R92" s="3"/>
    </row>
    <row r="93" spans="1:20" x14ac:dyDescent="0.25">
      <c r="A93" s="1">
        <v>43850</v>
      </c>
      <c r="B93" s="1" t="s">
        <v>4</v>
      </c>
      <c r="C93" s="1" t="s">
        <v>40</v>
      </c>
      <c r="D93">
        <v>6354</v>
      </c>
      <c r="E93">
        <f>10*60+0</f>
        <v>600</v>
      </c>
      <c r="F93" s="3">
        <f t="shared" ref="F93" si="46">E93/E$94</f>
        <v>1.8691588785046729</v>
      </c>
      <c r="G93">
        <v>0</v>
      </c>
      <c r="H93" s="3">
        <f>G93/$D93</f>
        <v>0</v>
      </c>
      <c r="I93">
        <v>5127</v>
      </c>
      <c r="J93" s="3">
        <f>I93/$D93</f>
        <v>0.80689329556185085</v>
      </c>
      <c r="K93">
        <v>1096</v>
      </c>
      <c r="L93" s="3">
        <f>K93/$D93</f>
        <v>0.17248977022348128</v>
      </c>
      <c r="M93">
        <v>58</v>
      </c>
      <c r="N93" s="3">
        <f>M93/$D93</f>
        <v>9.1281082782499207E-3</v>
      </c>
      <c r="O93">
        <v>121</v>
      </c>
      <c r="P93" s="3">
        <f>O93/$D93</f>
        <v>1.904312244255587E-2</v>
      </c>
      <c r="Q93">
        <v>56</v>
      </c>
      <c r="R93" s="3">
        <f>Q93/$D93</f>
        <v>8.8133459238275095E-3</v>
      </c>
      <c r="S93">
        <v>100</v>
      </c>
      <c r="T93" s="3">
        <f>S93/$D93</f>
        <v>1.5738117721120555E-2</v>
      </c>
    </row>
    <row r="94" spans="1:20" x14ac:dyDescent="0.25">
      <c r="A94" s="1">
        <f>A93</f>
        <v>43850</v>
      </c>
      <c r="B94" t="s">
        <v>3</v>
      </c>
      <c r="C94" s="1" t="s">
        <v>40</v>
      </c>
      <c r="D94">
        <v>597</v>
      </c>
      <c r="E94">
        <f>5*60+21</f>
        <v>321</v>
      </c>
      <c r="F94" s="3">
        <f>E94/E$94</f>
        <v>1</v>
      </c>
      <c r="G94">
        <v>0</v>
      </c>
      <c r="H94" s="3">
        <f>G94/$D94</f>
        <v>0</v>
      </c>
      <c r="I94">
        <v>484</v>
      </c>
      <c r="J94" s="3">
        <f>I94/$D94</f>
        <v>0.81072026800670016</v>
      </c>
      <c r="K94">
        <v>101</v>
      </c>
      <c r="L94" s="3">
        <f>K94/$D94</f>
        <v>0.16917922948073702</v>
      </c>
      <c r="M94">
        <v>5</v>
      </c>
      <c r="N94" s="3">
        <f>M94/$D94</f>
        <v>8.3752093802345051E-3</v>
      </c>
      <c r="O94">
        <v>8</v>
      </c>
      <c r="P94" s="3">
        <f>O94/$D94</f>
        <v>1.340033500837521E-2</v>
      </c>
      <c r="Q94">
        <v>5</v>
      </c>
      <c r="R94" s="3">
        <f>Q94/$D94</f>
        <v>8.3752093802345051E-3</v>
      </c>
      <c r="S94">
        <v>8</v>
      </c>
      <c r="T94" s="3">
        <f t="shared" ref="T94:T97" si="47">S94/$D94</f>
        <v>1.340033500837521E-2</v>
      </c>
    </row>
    <row r="95" spans="1:20" x14ac:dyDescent="0.25">
      <c r="A95" s="1">
        <f>A94</f>
        <v>43850</v>
      </c>
      <c r="B95" t="s">
        <v>5</v>
      </c>
      <c r="C95" s="1" t="s">
        <v>40</v>
      </c>
      <c r="D95">
        <v>590</v>
      </c>
      <c r="E95">
        <f>1*60+34</f>
        <v>94</v>
      </c>
      <c r="F95" s="3">
        <f t="shared" ref="F95:F97" si="48">E95/E$94</f>
        <v>0.29283489096573206</v>
      </c>
      <c r="G95">
        <v>0</v>
      </c>
      <c r="H95" s="3">
        <f>G95/$D95</f>
        <v>0</v>
      </c>
      <c r="I95">
        <v>486</v>
      </c>
      <c r="J95" s="3">
        <f>I95/$D95</f>
        <v>0.82372881355932204</v>
      </c>
      <c r="K95">
        <v>108</v>
      </c>
      <c r="L95" s="3">
        <f>K95/$D95</f>
        <v>0.18305084745762712</v>
      </c>
      <c r="M95">
        <v>3</v>
      </c>
      <c r="N95" s="3">
        <f>M95/$D95</f>
        <v>5.084745762711864E-3</v>
      </c>
      <c r="O95">
        <v>14</v>
      </c>
      <c r="P95" s="3">
        <f>O95/$D95</f>
        <v>2.3728813559322035E-2</v>
      </c>
      <c r="Q95">
        <v>7</v>
      </c>
      <c r="R95" s="3">
        <f>Q95/$D95</f>
        <v>1.1864406779661017E-2</v>
      </c>
      <c r="S95">
        <v>17</v>
      </c>
      <c r="T95" s="3">
        <f t="shared" si="47"/>
        <v>2.8813559322033899E-2</v>
      </c>
    </row>
    <row r="96" spans="1:20" x14ac:dyDescent="0.25">
      <c r="A96" s="1">
        <f>A95</f>
        <v>43850</v>
      </c>
      <c r="B96" t="s">
        <v>6</v>
      </c>
      <c r="C96" s="1" t="s">
        <v>40</v>
      </c>
      <c r="D96">
        <v>614</v>
      </c>
      <c r="E96">
        <f>5*60+41</f>
        <v>341</v>
      </c>
      <c r="F96" s="3">
        <f t="shared" si="48"/>
        <v>1.0623052959501558</v>
      </c>
      <c r="G96">
        <v>0</v>
      </c>
      <c r="H96" s="3">
        <f>G96/$D96</f>
        <v>0</v>
      </c>
      <c r="I96">
        <v>484</v>
      </c>
      <c r="J96" s="3">
        <f>I96/$D96</f>
        <v>0.78827361563517917</v>
      </c>
      <c r="K96">
        <v>112</v>
      </c>
      <c r="L96" s="3">
        <f>K96/$D96</f>
        <v>0.18241042345276873</v>
      </c>
      <c r="M96">
        <v>6</v>
      </c>
      <c r="N96" s="3">
        <f>M96/$D96</f>
        <v>9.7719869706840382E-3</v>
      </c>
      <c r="O96">
        <v>17</v>
      </c>
      <c r="P96" s="3">
        <f>O96/$D96</f>
        <v>2.7687296416938109E-2</v>
      </c>
      <c r="Q96">
        <v>8</v>
      </c>
      <c r="R96" s="3">
        <f>Q96/$D96</f>
        <v>1.3029315960912053E-2</v>
      </c>
      <c r="S96">
        <v>17</v>
      </c>
      <c r="T96" s="3">
        <f t="shared" si="47"/>
        <v>2.7687296416938109E-2</v>
      </c>
    </row>
    <row r="97" spans="1:20" x14ac:dyDescent="0.25">
      <c r="A97" s="1">
        <f>A96</f>
        <v>43850</v>
      </c>
      <c r="B97" t="s">
        <v>30</v>
      </c>
      <c r="C97" s="1" t="s">
        <v>39</v>
      </c>
      <c r="D97">
        <v>2448</v>
      </c>
      <c r="E97">
        <f>6*60+25</f>
        <v>385</v>
      </c>
      <c r="F97" s="3">
        <f t="shared" si="48"/>
        <v>1.1993769470404985</v>
      </c>
      <c r="G97">
        <v>123</v>
      </c>
      <c r="H97" s="3">
        <f>G97/$D97</f>
        <v>5.0245098039215688E-2</v>
      </c>
      <c r="I97">
        <v>2164</v>
      </c>
      <c r="J97" s="3">
        <f>I97/$D97</f>
        <v>0.88398692810457513</v>
      </c>
      <c r="K97">
        <v>143</v>
      </c>
      <c r="L97" s="3">
        <f>K97/$D97</f>
        <v>5.8415032679738563E-2</v>
      </c>
      <c r="M97">
        <v>3</v>
      </c>
      <c r="N97" s="3">
        <f>M97/$D97</f>
        <v>1.2254901960784314E-3</v>
      </c>
      <c r="O97">
        <v>15</v>
      </c>
      <c r="P97" s="3">
        <f>O97/$D97</f>
        <v>6.1274509803921568E-3</v>
      </c>
      <c r="Q97">
        <v>2</v>
      </c>
      <c r="R97" s="3">
        <f>Q97/$D97</f>
        <v>8.1699346405228761E-4</v>
      </c>
      <c r="S97">
        <v>14</v>
      </c>
      <c r="T97" s="3">
        <f t="shared" si="47"/>
        <v>5.7189542483660127E-3</v>
      </c>
    </row>
    <row r="98" spans="1:20" x14ac:dyDescent="0.25">
      <c r="A98" s="1"/>
      <c r="F98" s="3"/>
      <c r="H98" s="3"/>
      <c r="J98" s="3"/>
      <c r="L98" s="3"/>
      <c r="N98" s="3"/>
      <c r="P98" s="3"/>
      <c r="R98" s="3"/>
    </row>
    <row r="99" spans="1:20" x14ac:dyDescent="0.25">
      <c r="A99" s="1">
        <v>43851</v>
      </c>
      <c r="B99" s="1" t="s">
        <v>4</v>
      </c>
      <c r="C99" s="1" t="s">
        <v>40</v>
      </c>
      <c r="D99">
        <v>6357</v>
      </c>
      <c r="E99">
        <f>5*60+41</f>
        <v>341</v>
      </c>
      <c r="F99" s="3">
        <f t="shared" ref="F99" si="49">E99/E$100</f>
        <v>1.132890365448505</v>
      </c>
      <c r="G99">
        <v>0</v>
      </c>
      <c r="H99" s="3">
        <f>G99/$D99</f>
        <v>0</v>
      </c>
      <c r="I99">
        <v>5132</v>
      </c>
      <c r="J99" s="3">
        <f>I99/$D99</f>
        <v>0.80729904042787481</v>
      </c>
      <c r="K99">
        <v>1098</v>
      </c>
      <c r="L99" s="3">
        <f>K99/$D99</f>
        <v>0.17272298253893345</v>
      </c>
      <c r="M99">
        <v>58</v>
      </c>
      <c r="N99" s="3">
        <f>M99/$D99</f>
        <v>9.1238005348434799E-3</v>
      </c>
      <c r="O99">
        <v>119</v>
      </c>
      <c r="P99" s="3">
        <f>O99/$D99</f>
        <v>1.8719521787006449E-2</v>
      </c>
      <c r="Q99">
        <v>56</v>
      </c>
      <c r="R99" s="3">
        <f>Q99/$D99</f>
        <v>8.8091867232971532E-3</v>
      </c>
      <c r="S99">
        <v>100</v>
      </c>
      <c r="T99" s="3">
        <f>S99/$D99</f>
        <v>1.5730690577316343E-2</v>
      </c>
    </row>
    <row r="100" spans="1:20" x14ac:dyDescent="0.25">
      <c r="A100" s="1">
        <f>A99</f>
        <v>43851</v>
      </c>
      <c r="B100" t="s">
        <v>3</v>
      </c>
      <c r="C100" s="1" t="s">
        <v>40</v>
      </c>
      <c r="D100">
        <v>606</v>
      </c>
      <c r="E100">
        <f>5*60+1</f>
        <v>301</v>
      </c>
      <c r="F100" s="3">
        <f>E100/E$100</f>
        <v>1</v>
      </c>
      <c r="G100">
        <v>0</v>
      </c>
      <c r="H100" s="3">
        <f>G100/$D100</f>
        <v>0</v>
      </c>
      <c r="I100">
        <v>492</v>
      </c>
      <c r="J100" s="3">
        <f>I100/$D100</f>
        <v>0.81188118811881194</v>
      </c>
      <c r="K100">
        <v>98</v>
      </c>
      <c r="L100" s="3">
        <f>K100/$D100</f>
        <v>0.1617161716171617</v>
      </c>
      <c r="M100">
        <v>7</v>
      </c>
      <c r="N100" s="3">
        <f>M100/$D100</f>
        <v>1.155115511551155E-2</v>
      </c>
      <c r="O100">
        <v>9</v>
      </c>
      <c r="P100" s="3">
        <f>O100/$D100</f>
        <v>1.4851485148514851E-2</v>
      </c>
      <c r="Q100">
        <v>6</v>
      </c>
      <c r="R100" s="3">
        <f>Q100/$D100</f>
        <v>9.9009900990099011E-3</v>
      </c>
      <c r="S100">
        <v>18</v>
      </c>
      <c r="T100" s="3">
        <f t="shared" ref="T100:T103" si="50">S100/$D100</f>
        <v>2.9702970297029702E-2</v>
      </c>
    </row>
    <row r="101" spans="1:20" x14ac:dyDescent="0.25">
      <c r="A101" s="1">
        <f>A100</f>
        <v>43851</v>
      </c>
      <c r="B101" t="s">
        <v>5</v>
      </c>
      <c r="C101" s="1" t="s">
        <v>40</v>
      </c>
      <c r="D101">
        <v>590</v>
      </c>
      <c r="E101">
        <f>1*60+2</f>
        <v>62</v>
      </c>
      <c r="F101" s="3">
        <f t="shared" ref="F101:F103" si="51">E101/E$100</f>
        <v>0.20598006644518271</v>
      </c>
      <c r="G101">
        <v>0</v>
      </c>
      <c r="H101" s="3">
        <f>G101/$D101</f>
        <v>0</v>
      </c>
      <c r="I101">
        <v>481</v>
      </c>
      <c r="J101" s="3">
        <f>I101/$D101</f>
        <v>0.81525423728813562</v>
      </c>
      <c r="K101">
        <v>100</v>
      </c>
      <c r="L101" s="3">
        <f>K101/$D101</f>
        <v>0.16949152542372881</v>
      </c>
      <c r="M101">
        <v>3</v>
      </c>
      <c r="N101" s="3">
        <f>M101/$D101</f>
        <v>5.084745762711864E-3</v>
      </c>
      <c r="O101">
        <v>13</v>
      </c>
      <c r="P101" s="3">
        <f>O101/$D101</f>
        <v>2.2033898305084745E-2</v>
      </c>
      <c r="Q101">
        <v>6</v>
      </c>
      <c r="R101" s="3">
        <f>Q101/$D101</f>
        <v>1.0169491525423728E-2</v>
      </c>
      <c r="S101">
        <v>8</v>
      </c>
      <c r="T101" s="3">
        <f t="shared" si="50"/>
        <v>1.3559322033898305E-2</v>
      </c>
    </row>
    <row r="102" spans="1:20" x14ac:dyDescent="0.25">
      <c r="A102" s="1">
        <f>A101</f>
        <v>43851</v>
      </c>
      <c r="B102" t="s">
        <v>6</v>
      </c>
      <c r="C102" s="1" t="s">
        <v>40</v>
      </c>
      <c r="D102">
        <v>624</v>
      </c>
      <c r="E102">
        <f>5*60+23</f>
        <v>323</v>
      </c>
      <c r="F102" s="3">
        <f t="shared" si="51"/>
        <v>1.0730897009966778</v>
      </c>
      <c r="G102">
        <v>0</v>
      </c>
      <c r="H102" s="3">
        <f>G102/$D102</f>
        <v>0</v>
      </c>
      <c r="I102">
        <v>512</v>
      </c>
      <c r="J102" s="3">
        <f>I102/$D102</f>
        <v>0.82051282051282048</v>
      </c>
      <c r="K102">
        <v>103</v>
      </c>
      <c r="L102" s="3">
        <f>K102/$D102</f>
        <v>0.16506410256410256</v>
      </c>
      <c r="M102">
        <v>3</v>
      </c>
      <c r="N102" s="3">
        <f>M102/$D102</f>
        <v>4.807692307692308E-3</v>
      </c>
      <c r="O102">
        <v>8</v>
      </c>
      <c r="P102" s="3">
        <f>O102/$D102</f>
        <v>1.282051282051282E-2</v>
      </c>
      <c r="Q102">
        <v>2</v>
      </c>
      <c r="R102" s="3">
        <f>Q102/$D102</f>
        <v>3.205128205128205E-3</v>
      </c>
      <c r="S102">
        <v>8</v>
      </c>
      <c r="T102" s="3">
        <f t="shared" si="50"/>
        <v>1.282051282051282E-2</v>
      </c>
    </row>
    <row r="103" spans="1:20" x14ac:dyDescent="0.25">
      <c r="A103" s="1">
        <f>A102</f>
        <v>43851</v>
      </c>
      <c r="B103" t="s">
        <v>30</v>
      </c>
      <c r="C103" s="1" t="s">
        <v>39</v>
      </c>
      <c r="D103">
        <v>2445</v>
      </c>
      <c r="E103">
        <f>4*60+47</f>
        <v>287</v>
      </c>
      <c r="F103" s="3">
        <f t="shared" si="51"/>
        <v>0.95348837209302328</v>
      </c>
      <c r="G103">
        <v>105</v>
      </c>
      <c r="H103" s="3">
        <f>G103/$D103</f>
        <v>4.2944785276073622E-2</v>
      </c>
      <c r="I103">
        <v>2190</v>
      </c>
      <c r="J103" s="3">
        <f>I103/$D103</f>
        <v>0.89570552147239269</v>
      </c>
      <c r="K103">
        <v>141</v>
      </c>
      <c r="L103" s="3">
        <f>K103/$D103</f>
        <v>5.7668711656441718E-2</v>
      </c>
      <c r="M103">
        <v>2</v>
      </c>
      <c r="N103" s="3">
        <f>M103/$D103</f>
        <v>8.1799591002044991E-4</v>
      </c>
      <c r="O103">
        <v>12</v>
      </c>
      <c r="P103" s="3">
        <f>O103/$D103</f>
        <v>4.9079754601226997E-3</v>
      </c>
      <c r="Q103">
        <v>2</v>
      </c>
      <c r="R103" s="3">
        <f>Q103/$D103</f>
        <v>8.1799591002044991E-4</v>
      </c>
      <c r="S103">
        <v>12</v>
      </c>
      <c r="T103" s="3">
        <f t="shared" si="50"/>
        <v>4.9079754601226997E-3</v>
      </c>
    </row>
    <row r="105" spans="1:20" x14ac:dyDescent="0.25">
      <c r="A105" s="1">
        <v>43852</v>
      </c>
      <c r="B105" s="1" t="s">
        <v>4</v>
      </c>
      <c r="C105" s="1" t="s">
        <v>40</v>
      </c>
      <c r="D105">
        <v>6360</v>
      </c>
      <c r="E105">
        <f>4*60+48</f>
        <v>288</v>
      </c>
      <c r="F105" s="3">
        <f t="shared" ref="F105" si="52">E105/E$106</f>
        <v>1.054945054945055</v>
      </c>
      <c r="G105">
        <v>0</v>
      </c>
      <c r="H105" s="3">
        <f t="shared" ref="H105:H114" si="53">G105/$D105</f>
        <v>0</v>
      </c>
      <c r="I105">
        <v>5128</v>
      </c>
      <c r="J105" s="3">
        <f t="shared" ref="J105:J110" si="54">I105/$D105</f>
        <v>0.80628930817610067</v>
      </c>
      <c r="K105">
        <v>1096</v>
      </c>
      <c r="L105" s="3">
        <f t="shared" ref="L105:L110" si="55">K105/$D105</f>
        <v>0.17232704402515722</v>
      </c>
      <c r="M105">
        <v>58</v>
      </c>
      <c r="N105" s="3">
        <f t="shared" ref="N105:N110" si="56">M105/$D105</f>
        <v>9.1194968553459117E-3</v>
      </c>
      <c r="O105">
        <v>117</v>
      </c>
      <c r="P105" s="3">
        <f t="shared" ref="P105:P110" si="57">O105/$D105</f>
        <v>1.8396226415094339E-2</v>
      </c>
      <c r="Q105">
        <v>56</v>
      </c>
      <c r="R105" s="3">
        <f t="shared" ref="R105:R110" si="58">Q105/$D105</f>
        <v>8.8050314465408803E-3</v>
      </c>
      <c r="S105">
        <v>100</v>
      </c>
      <c r="T105" s="3">
        <f>S105/$D105</f>
        <v>1.5723270440251572E-2</v>
      </c>
    </row>
    <row r="106" spans="1:20" x14ac:dyDescent="0.25">
      <c r="A106" s="1">
        <f t="shared" ref="A106:A114" si="59">A105</f>
        <v>43852</v>
      </c>
      <c r="B106" t="s">
        <v>3</v>
      </c>
      <c r="C106" s="1" t="s">
        <v>40</v>
      </c>
      <c r="D106">
        <v>606</v>
      </c>
      <c r="E106">
        <f>4*60+33</f>
        <v>273</v>
      </c>
      <c r="F106" s="3">
        <f>E106/E$106</f>
        <v>1</v>
      </c>
      <c r="G106">
        <v>0</v>
      </c>
      <c r="H106" s="3">
        <f t="shared" si="53"/>
        <v>0</v>
      </c>
      <c r="I106">
        <v>502</v>
      </c>
      <c r="J106" s="3">
        <f t="shared" si="54"/>
        <v>0.82838283828382842</v>
      </c>
      <c r="K106">
        <v>94</v>
      </c>
      <c r="L106" s="3">
        <f t="shared" si="55"/>
        <v>0.15511551155115511</v>
      </c>
      <c r="M106">
        <v>5</v>
      </c>
      <c r="N106" s="3">
        <f t="shared" si="56"/>
        <v>8.2508250825082501E-3</v>
      </c>
      <c r="O106">
        <v>10</v>
      </c>
      <c r="P106" s="3">
        <f t="shared" si="57"/>
        <v>1.65016501650165E-2</v>
      </c>
      <c r="Q106">
        <v>3</v>
      </c>
      <c r="R106" s="3">
        <f t="shared" si="58"/>
        <v>4.9504950495049506E-3</v>
      </c>
      <c r="S106">
        <v>11</v>
      </c>
      <c r="T106" s="3">
        <f t="shared" ref="T106:T110" si="60">S106/$D106</f>
        <v>1.8151815181518153E-2</v>
      </c>
    </row>
    <row r="107" spans="1:20" x14ac:dyDescent="0.25">
      <c r="A107" s="1">
        <f t="shared" si="59"/>
        <v>43852</v>
      </c>
      <c r="B107" t="s">
        <v>5</v>
      </c>
      <c r="C107" s="1" t="s">
        <v>40</v>
      </c>
      <c r="D107">
        <v>600</v>
      </c>
      <c r="E107">
        <f>1*60+0</f>
        <v>60</v>
      </c>
      <c r="F107" s="3">
        <f t="shared" ref="F107:F109" si="61">E107/E$106</f>
        <v>0.21978021978021978</v>
      </c>
      <c r="G107">
        <v>0</v>
      </c>
      <c r="H107" s="3">
        <f t="shared" si="53"/>
        <v>0</v>
      </c>
      <c r="I107">
        <v>472</v>
      </c>
      <c r="J107" s="3">
        <f t="shared" si="54"/>
        <v>0.78666666666666663</v>
      </c>
      <c r="K107">
        <v>116</v>
      </c>
      <c r="L107" s="3">
        <f t="shared" si="55"/>
        <v>0.19333333333333333</v>
      </c>
      <c r="M107">
        <v>5</v>
      </c>
      <c r="N107" s="3">
        <f t="shared" si="56"/>
        <v>8.3333333333333332E-3</v>
      </c>
      <c r="O107">
        <v>13</v>
      </c>
      <c r="P107" s="3">
        <f t="shared" si="57"/>
        <v>2.1666666666666667E-2</v>
      </c>
      <c r="Q107">
        <v>5</v>
      </c>
      <c r="R107" s="3">
        <f t="shared" si="58"/>
        <v>8.3333333333333332E-3</v>
      </c>
      <c r="S107">
        <v>11</v>
      </c>
      <c r="T107" s="3">
        <f t="shared" si="60"/>
        <v>1.8333333333333333E-2</v>
      </c>
    </row>
    <row r="108" spans="1:20" x14ac:dyDescent="0.25">
      <c r="A108" s="1">
        <f t="shared" si="59"/>
        <v>43852</v>
      </c>
      <c r="B108" t="s">
        <v>6</v>
      </c>
      <c r="C108" s="1" t="s">
        <v>40</v>
      </c>
      <c r="D108">
        <v>608</v>
      </c>
      <c r="E108">
        <f>5*60+34</f>
        <v>334</v>
      </c>
      <c r="F108" s="3">
        <f t="shared" si="61"/>
        <v>1.2234432234432235</v>
      </c>
      <c r="G108">
        <v>0</v>
      </c>
      <c r="H108" s="3">
        <f t="shared" si="53"/>
        <v>0</v>
      </c>
      <c r="I108">
        <v>503</v>
      </c>
      <c r="J108" s="3">
        <f t="shared" si="54"/>
        <v>0.82730263157894735</v>
      </c>
      <c r="K108">
        <v>93</v>
      </c>
      <c r="L108" s="3">
        <f t="shared" si="55"/>
        <v>0.15296052631578946</v>
      </c>
      <c r="M108">
        <v>5</v>
      </c>
      <c r="N108" s="3">
        <f t="shared" si="56"/>
        <v>8.2236842105263153E-3</v>
      </c>
      <c r="O108">
        <v>7</v>
      </c>
      <c r="P108" s="3">
        <f t="shared" si="57"/>
        <v>1.1513157894736841E-2</v>
      </c>
      <c r="Q108">
        <v>4</v>
      </c>
      <c r="R108" s="3">
        <f t="shared" si="58"/>
        <v>6.5789473684210523E-3</v>
      </c>
      <c r="S108">
        <v>9</v>
      </c>
      <c r="T108" s="3">
        <f t="shared" si="60"/>
        <v>1.4802631578947368E-2</v>
      </c>
    </row>
    <row r="109" spans="1:20" x14ac:dyDescent="0.25">
      <c r="A109" s="1">
        <f t="shared" si="59"/>
        <v>43852</v>
      </c>
      <c r="B109" t="s">
        <v>30</v>
      </c>
      <c r="C109" s="1" t="s">
        <v>39</v>
      </c>
      <c r="D109">
        <v>2449</v>
      </c>
      <c r="E109">
        <f>3*60+32</f>
        <v>212</v>
      </c>
      <c r="F109" s="3">
        <f t="shared" si="61"/>
        <v>0.77655677655677657</v>
      </c>
      <c r="G109">
        <v>104</v>
      </c>
      <c r="H109" s="3">
        <f t="shared" si="53"/>
        <v>4.246631278072683E-2</v>
      </c>
      <c r="I109">
        <v>2206</v>
      </c>
      <c r="J109" s="3">
        <f t="shared" si="54"/>
        <v>0.90077582686810942</v>
      </c>
      <c r="K109">
        <v>125</v>
      </c>
      <c r="L109" s="3">
        <f t="shared" si="55"/>
        <v>5.1041241322988977E-2</v>
      </c>
      <c r="M109">
        <v>2</v>
      </c>
      <c r="N109" s="3">
        <f t="shared" si="56"/>
        <v>8.1665986116782364E-4</v>
      </c>
      <c r="O109">
        <v>10</v>
      </c>
      <c r="P109" s="3">
        <f t="shared" si="57"/>
        <v>4.0832993058391182E-3</v>
      </c>
      <c r="Q109">
        <v>2</v>
      </c>
      <c r="R109" s="3">
        <f t="shared" si="58"/>
        <v>8.1665986116782364E-4</v>
      </c>
      <c r="S109">
        <v>14</v>
      </c>
      <c r="T109" s="3">
        <f t="shared" si="60"/>
        <v>5.7166190281747655E-3</v>
      </c>
    </row>
    <row r="110" spans="1:20" x14ac:dyDescent="0.25">
      <c r="A110" s="1">
        <f t="shared" si="59"/>
        <v>43852</v>
      </c>
      <c r="B110" t="s">
        <v>5</v>
      </c>
      <c r="C110" t="s">
        <v>36</v>
      </c>
      <c r="D110">
        <v>550</v>
      </c>
      <c r="E110">
        <f>1*60+30</f>
        <v>90</v>
      </c>
      <c r="F110" s="3">
        <f>E110/E$106</f>
        <v>0.32967032967032966</v>
      </c>
      <c r="G110">
        <v>0</v>
      </c>
      <c r="H110" s="3">
        <f t="shared" si="53"/>
        <v>0</v>
      </c>
      <c r="I110">
        <v>442</v>
      </c>
      <c r="J110" s="3">
        <f t="shared" si="54"/>
        <v>0.80363636363636359</v>
      </c>
      <c r="K110">
        <v>89</v>
      </c>
      <c r="L110" s="3">
        <f t="shared" si="55"/>
        <v>0.16181818181818181</v>
      </c>
      <c r="M110">
        <v>8</v>
      </c>
      <c r="N110" s="3">
        <f t="shared" si="56"/>
        <v>1.4545454545454545E-2</v>
      </c>
      <c r="O110">
        <v>16</v>
      </c>
      <c r="P110" s="3">
        <f t="shared" si="57"/>
        <v>2.9090909090909091E-2</v>
      </c>
      <c r="Q110">
        <v>8</v>
      </c>
      <c r="R110" s="3">
        <f t="shared" si="58"/>
        <v>1.4545454545454545E-2</v>
      </c>
      <c r="S110">
        <v>11</v>
      </c>
      <c r="T110" s="3">
        <f t="shared" si="60"/>
        <v>0.02</v>
      </c>
    </row>
    <row r="111" spans="1:20" x14ac:dyDescent="0.25">
      <c r="A111" s="1">
        <f t="shared" si="59"/>
        <v>43852</v>
      </c>
      <c r="B111" t="s">
        <v>5</v>
      </c>
      <c r="C111" t="s">
        <v>32</v>
      </c>
      <c r="D111">
        <v>580</v>
      </c>
      <c r="E111">
        <f>0*60+58</f>
        <v>58</v>
      </c>
      <c r="F111" s="3">
        <f t="shared" ref="F111:F114" si="62">E111/E$106</f>
        <v>0.21245421245421245</v>
      </c>
      <c r="G111">
        <v>0</v>
      </c>
      <c r="H111" s="3">
        <f t="shared" si="53"/>
        <v>0</v>
      </c>
      <c r="I111">
        <v>455</v>
      </c>
      <c r="J111" s="3">
        <f t="shared" ref="J111:J114" si="63">I111/$D111</f>
        <v>0.78448275862068961</v>
      </c>
      <c r="K111">
        <v>110</v>
      </c>
      <c r="L111" s="3">
        <f t="shared" ref="L111:L114" si="64">K111/$D111</f>
        <v>0.18965517241379309</v>
      </c>
      <c r="M111">
        <v>11</v>
      </c>
      <c r="N111" s="3">
        <f t="shared" ref="N111:N114" si="65">M111/$D111</f>
        <v>1.896551724137931E-2</v>
      </c>
      <c r="O111">
        <v>7</v>
      </c>
      <c r="P111" s="3">
        <f t="shared" ref="P111:P114" si="66">O111/$D111</f>
        <v>1.2068965517241379E-2</v>
      </c>
      <c r="Q111">
        <v>9</v>
      </c>
      <c r="R111" s="3">
        <f t="shared" ref="R111:R114" si="67">Q111/$D111</f>
        <v>1.5517241379310345E-2</v>
      </c>
      <c r="S111">
        <v>12</v>
      </c>
      <c r="T111" s="3">
        <f t="shared" ref="T111:T114" si="68">S111/$D111</f>
        <v>2.0689655172413793E-2</v>
      </c>
    </row>
    <row r="112" spans="1:20" x14ac:dyDescent="0.25">
      <c r="A112" s="1">
        <f t="shared" si="59"/>
        <v>43852</v>
      </c>
      <c r="B112" t="s">
        <v>5</v>
      </c>
      <c r="C112" t="s">
        <v>33</v>
      </c>
      <c r="D112">
        <v>580</v>
      </c>
      <c r="E112">
        <f>1*60+4</f>
        <v>64</v>
      </c>
      <c r="F112" s="3">
        <f t="shared" si="62"/>
        <v>0.23443223443223443</v>
      </c>
      <c r="G112">
        <v>0</v>
      </c>
      <c r="H112" s="3">
        <f t="shared" si="53"/>
        <v>0</v>
      </c>
      <c r="I112">
        <v>495</v>
      </c>
      <c r="J112" s="3">
        <f t="shared" si="63"/>
        <v>0.85344827586206895</v>
      </c>
      <c r="K112">
        <v>82</v>
      </c>
      <c r="L112" s="3">
        <f t="shared" si="64"/>
        <v>0.14137931034482759</v>
      </c>
      <c r="M112">
        <v>1</v>
      </c>
      <c r="N112" s="3">
        <f t="shared" si="65"/>
        <v>1.7241379310344827E-3</v>
      </c>
      <c r="O112">
        <v>12</v>
      </c>
      <c r="P112" s="3">
        <f t="shared" si="66"/>
        <v>2.0689655172413793E-2</v>
      </c>
      <c r="Q112">
        <v>0</v>
      </c>
      <c r="R112" s="3">
        <f t="shared" si="67"/>
        <v>0</v>
      </c>
      <c r="S112">
        <v>3</v>
      </c>
      <c r="T112" s="3">
        <f t="shared" si="68"/>
        <v>5.1724137931034482E-3</v>
      </c>
    </row>
    <row r="113" spans="1:20" x14ac:dyDescent="0.25">
      <c r="A113" s="1">
        <f t="shared" si="59"/>
        <v>43852</v>
      </c>
      <c r="B113" t="s">
        <v>5</v>
      </c>
      <c r="C113" t="s">
        <v>34</v>
      </c>
      <c r="D113">
        <v>600</v>
      </c>
      <c r="E113">
        <f>1*60+0</f>
        <v>60</v>
      </c>
      <c r="F113" s="3">
        <f t="shared" si="62"/>
        <v>0.21978021978021978</v>
      </c>
      <c r="G113">
        <v>0</v>
      </c>
      <c r="H113" s="3">
        <f t="shared" si="53"/>
        <v>0</v>
      </c>
      <c r="I113">
        <v>471</v>
      </c>
      <c r="J113" s="3">
        <f t="shared" si="63"/>
        <v>0.78500000000000003</v>
      </c>
      <c r="K113">
        <v>115</v>
      </c>
      <c r="L113" s="3">
        <f t="shared" si="64"/>
        <v>0.19166666666666668</v>
      </c>
      <c r="M113">
        <v>10</v>
      </c>
      <c r="N113" s="3">
        <f t="shared" si="65"/>
        <v>1.6666666666666666E-2</v>
      </c>
      <c r="O113">
        <v>12</v>
      </c>
      <c r="P113" s="3">
        <f t="shared" si="66"/>
        <v>0.02</v>
      </c>
      <c r="Q113">
        <v>9</v>
      </c>
      <c r="R113" s="3">
        <f t="shared" si="67"/>
        <v>1.4999999999999999E-2</v>
      </c>
      <c r="S113">
        <v>13</v>
      </c>
      <c r="T113" s="3">
        <f t="shared" si="68"/>
        <v>2.1666666666666667E-2</v>
      </c>
    </row>
    <row r="114" spans="1:20" x14ac:dyDescent="0.25">
      <c r="A114" s="1">
        <f t="shared" si="59"/>
        <v>43852</v>
      </c>
      <c r="B114" t="s">
        <v>5</v>
      </c>
      <c r="C114" t="s">
        <v>35</v>
      </c>
      <c r="D114">
        <v>620</v>
      </c>
      <c r="E114">
        <f>1*60+3</f>
        <v>63</v>
      </c>
      <c r="F114" s="3">
        <f t="shared" si="62"/>
        <v>0.23076923076923078</v>
      </c>
      <c r="G114">
        <v>0</v>
      </c>
      <c r="H114" s="3">
        <f t="shared" si="53"/>
        <v>0</v>
      </c>
      <c r="I114">
        <v>508</v>
      </c>
      <c r="J114" s="3">
        <f t="shared" si="63"/>
        <v>0.8193548387096774</v>
      </c>
      <c r="K114">
        <v>95</v>
      </c>
      <c r="L114" s="3">
        <f t="shared" si="64"/>
        <v>0.15322580645161291</v>
      </c>
      <c r="M114">
        <v>8</v>
      </c>
      <c r="N114" s="3">
        <f t="shared" si="65"/>
        <v>1.2903225806451613E-2</v>
      </c>
      <c r="O114">
        <v>10</v>
      </c>
      <c r="P114" s="3">
        <f t="shared" si="66"/>
        <v>1.6129032258064516E-2</v>
      </c>
      <c r="Q114">
        <v>10</v>
      </c>
      <c r="R114" s="3">
        <f t="shared" si="67"/>
        <v>1.6129032258064516E-2</v>
      </c>
      <c r="S114">
        <v>14</v>
      </c>
      <c r="T114" s="3">
        <f t="shared" si="68"/>
        <v>2.2580645161290321E-2</v>
      </c>
    </row>
    <row r="116" spans="1:20" x14ac:dyDescent="0.25">
      <c r="A116" s="1">
        <v>43853</v>
      </c>
      <c r="B116" s="1" t="s">
        <v>4</v>
      </c>
      <c r="C116" s="1" t="s">
        <v>40</v>
      </c>
      <c r="D116">
        <v>6378</v>
      </c>
      <c r="E116">
        <f>5*60+26</f>
        <v>326</v>
      </c>
      <c r="F116" s="3">
        <f t="shared" ref="F116" si="69">E116/E$117</f>
        <v>1.1319444444444444</v>
      </c>
      <c r="G116">
        <v>0</v>
      </c>
      <c r="H116" s="3">
        <f t="shared" ref="H116:H125" si="70">G116/$D116</f>
        <v>0</v>
      </c>
      <c r="I116">
        <v>5144</v>
      </c>
      <c r="J116" s="3">
        <f t="shared" ref="J116:J125" si="71">I116/$D116</f>
        <v>0.80652242082157422</v>
      </c>
      <c r="K116">
        <v>1106</v>
      </c>
      <c r="L116" s="3">
        <f t="shared" ref="L116:L125" si="72">K116/$D116</f>
        <v>0.17340859203512074</v>
      </c>
      <c r="M116">
        <v>58</v>
      </c>
      <c r="N116" s="3">
        <f t="shared" ref="N116:N125" si="73">M116/$D116</f>
        <v>9.0937597993101284E-3</v>
      </c>
      <c r="O116">
        <v>118</v>
      </c>
      <c r="P116" s="3">
        <f t="shared" ref="P116:P125" si="74">O116/$D116</f>
        <v>1.8501097522734399E-2</v>
      </c>
      <c r="Q116">
        <v>58</v>
      </c>
      <c r="R116" s="3">
        <f>Q116/$D116</f>
        <v>9.0937597993101284E-3</v>
      </c>
      <c r="S116">
        <v>100</v>
      </c>
      <c r="T116" s="3">
        <f>S116/$D116</f>
        <v>1.5678896205707119E-2</v>
      </c>
    </row>
    <row r="117" spans="1:20" x14ac:dyDescent="0.25">
      <c r="A117" s="1">
        <f t="shared" ref="A117:A125" si="75">A116</f>
        <v>43853</v>
      </c>
      <c r="B117" t="s">
        <v>3</v>
      </c>
      <c r="C117" s="1" t="s">
        <v>40</v>
      </c>
      <c r="D117">
        <v>611</v>
      </c>
      <c r="E117">
        <f>4*60+48</f>
        <v>288</v>
      </c>
      <c r="F117" s="3">
        <f>E117/E$117</f>
        <v>1</v>
      </c>
      <c r="G117">
        <v>0</v>
      </c>
      <c r="H117" s="3">
        <f t="shared" si="70"/>
        <v>0</v>
      </c>
      <c r="I117">
        <v>493</v>
      </c>
      <c r="J117" s="3">
        <f t="shared" si="71"/>
        <v>0.80687397708674302</v>
      </c>
      <c r="K117">
        <v>103</v>
      </c>
      <c r="L117" s="3">
        <f t="shared" si="72"/>
        <v>0.16857610474631751</v>
      </c>
      <c r="M117">
        <v>9</v>
      </c>
      <c r="N117" s="3">
        <f t="shared" si="73"/>
        <v>1.4729950900163666E-2</v>
      </c>
      <c r="O117">
        <v>14</v>
      </c>
      <c r="P117" s="3">
        <f t="shared" si="74"/>
        <v>2.2913256955810146E-2</v>
      </c>
      <c r="Q117">
        <v>7</v>
      </c>
      <c r="R117" s="3">
        <f>Q117/$D117</f>
        <v>1.1456628477905073E-2</v>
      </c>
      <c r="S117">
        <v>7</v>
      </c>
      <c r="T117" s="3">
        <f t="shared" ref="T117:T125" si="76">S117/$D117</f>
        <v>1.1456628477905073E-2</v>
      </c>
    </row>
    <row r="118" spans="1:20" x14ac:dyDescent="0.25">
      <c r="A118" s="1">
        <f t="shared" si="75"/>
        <v>43853</v>
      </c>
      <c r="B118" t="s">
        <v>5</v>
      </c>
      <c r="C118" s="1" t="s">
        <v>40</v>
      </c>
      <c r="D118">
        <v>580</v>
      </c>
      <c r="E118">
        <f>1*60+22</f>
        <v>82</v>
      </c>
      <c r="F118" s="3">
        <f t="shared" ref="F118:F125" si="77">E118/E$117</f>
        <v>0.28472222222222221</v>
      </c>
      <c r="G118">
        <v>0</v>
      </c>
      <c r="H118" s="3">
        <f t="shared" si="70"/>
        <v>0</v>
      </c>
      <c r="I118">
        <v>457</v>
      </c>
      <c r="J118" s="3">
        <f t="shared" si="71"/>
        <v>0.78793103448275859</v>
      </c>
      <c r="K118">
        <v>107</v>
      </c>
      <c r="L118" s="3">
        <f t="shared" si="72"/>
        <v>0.18448275862068966</v>
      </c>
      <c r="M118">
        <v>7</v>
      </c>
      <c r="N118" s="3">
        <f t="shared" si="73"/>
        <v>1.2068965517241379E-2</v>
      </c>
      <c r="O118">
        <v>12</v>
      </c>
      <c r="P118" s="3">
        <f t="shared" si="74"/>
        <v>2.0689655172413793E-2</v>
      </c>
      <c r="Q118">
        <v>11</v>
      </c>
      <c r="R118" s="3">
        <f>Q118/$D118</f>
        <v>1.896551724137931E-2</v>
      </c>
      <c r="S118">
        <v>12</v>
      </c>
      <c r="T118" s="3">
        <f t="shared" si="76"/>
        <v>2.0689655172413793E-2</v>
      </c>
    </row>
    <row r="119" spans="1:20" x14ac:dyDescent="0.25">
      <c r="A119" s="1">
        <f t="shared" si="75"/>
        <v>43853</v>
      </c>
      <c r="B119" t="s">
        <v>6</v>
      </c>
      <c r="C119" s="1" t="s">
        <v>40</v>
      </c>
      <c r="D119">
        <v>607</v>
      </c>
      <c r="E119">
        <f>4*60+39</f>
        <v>279</v>
      </c>
      <c r="F119" s="3">
        <f t="shared" si="77"/>
        <v>0.96875</v>
      </c>
      <c r="G119">
        <v>0</v>
      </c>
      <c r="H119" s="3">
        <f t="shared" si="70"/>
        <v>0</v>
      </c>
      <c r="I119">
        <v>469</v>
      </c>
      <c r="J119" s="3">
        <f t="shared" si="71"/>
        <v>0.77265238879736409</v>
      </c>
      <c r="K119">
        <v>122</v>
      </c>
      <c r="L119" s="3">
        <f t="shared" si="72"/>
        <v>0.20098846787479407</v>
      </c>
      <c r="M119">
        <v>6</v>
      </c>
      <c r="N119" s="3">
        <f t="shared" si="73"/>
        <v>9.8846787479406912E-3</v>
      </c>
      <c r="O119">
        <v>19</v>
      </c>
      <c r="P119" s="3">
        <f t="shared" si="74"/>
        <v>3.130148270181219E-2</v>
      </c>
      <c r="Q119">
        <v>8</v>
      </c>
      <c r="R119" s="3">
        <f>Q119/$D119</f>
        <v>1.3179571663920923E-2</v>
      </c>
      <c r="S119">
        <v>15</v>
      </c>
      <c r="T119" s="3">
        <f t="shared" si="76"/>
        <v>2.4711696869851731E-2</v>
      </c>
    </row>
    <row r="120" spans="1:20" x14ac:dyDescent="0.25">
      <c r="A120" s="1">
        <f t="shared" si="75"/>
        <v>43853</v>
      </c>
      <c r="B120" t="s">
        <v>30</v>
      </c>
      <c r="C120" s="1" t="s">
        <v>39</v>
      </c>
      <c r="D120">
        <v>2451</v>
      </c>
      <c r="E120">
        <f>3*60+55</f>
        <v>235</v>
      </c>
      <c r="F120" s="3">
        <f t="shared" si="77"/>
        <v>0.81597222222222221</v>
      </c>
      <c r="G120">
        <v>95</v>
      </c>
      <c r="H120" s="3">
        <f t="shared" si="70"/>
        <v>3.875968992248062E-2</v>
      </c>
      <c r="I120">
        <v>2205</v>
      </c>
      <c r="J120" s="3">
        <f t="shared" si="71"/>
        <v>0.89963280293757653</v>
      </c>
      <c r="K120">
        <v>136</v>
      </c>
      <c r="L120" s="3">
        <f t="shared" si="72"/>
        <v>5.5487556099551201E-2</v>
      </c>
      <c r="M120">
        <v>3</v>
      </c>
      <c r="N120" s="3">
        <f t="shared" si="73"/>
        <v>1.2239902080783353E-3</v>
      </c>
      <c r="O120">
        <v>10</v>
      </c>
      <c r="P120" s="3">
        <f t="shared" si="74"/>
        <v>4.0799673602611181E-3</v>
      </c>
      <c r="Q120">
        <v>3</v>
      </c>
      <c r="R120" s="3">
        <f>Q120/$D120</f>
        <v>1.2239902080783353E-3</v>
      </c>
      <c r="S120">
        <v>13</v>
      </c>
      <c r="T120" s="3">
        <f t="shared" si="76"/>
        <v>5.3039575683394534E-3</v>
      </c>
    </row>
    <row r="121" spans="1:20" x14ac:dyDescent="0.25">
      <c r="A121" s="1">
        <f t="shared" si="75"/>
        <v>43853</v>
      </c>
      <c r="B121" t="s">
        <v>5</v>
      </c>
      <c r="C121" t="s">
        <v>36</v>
      </c>
      <c r="D121">
        <v>580</v>
      </c>
      <c r="E121">
        <f t="shared" ref="E121:E125" si="78">1*60+1</f>
        <v>61</v>
      </c>
      <c r="F121" s="3">
        <f t="shared" si="77"/>
        <v>0.21180555555555555</v>
      </c>
      <c r="G121">
        <v>2</v>
      </c>
      <c r="H121" s="3">
        <f t="shared" si="70"/>
        <v>3.4482758620689655E-3</v>
      </c>
      <c r="I121">
        <v>467</v>
      </c>
      <c r="J121" s="3">
        <f t="shared" si="71"/>
        <v>0.80517241379310345</v>
      </c>
      <c r="K121">
        <v>97</v>
      </c>
      <c r="L121" s="3">
        <f t="shared" si="72"/>
        <v>0.16724137931034483</v>
      </c>
      <c r="M121">
        <v>7</v>
      </c>
      <c r="N121" s="3">
        <f t="shared" si="73"/>
        <v>1.2068965517241379E-2</v>
      </c>
      <c r="O121">
        <v>11</v>
      </c>
      <c r="P121" s="3">
        <f t="shared" si="74"/>
        <v>1.896551724137931E-2</v>
      </c>
      <c r="Q121">
        <v>4</v>
      </c>
      <c r="R121" s="3">
        <f t="shared" ref="R121:R125" si="79">Q121/$D121</f>
        <v>6.8965517241379309E-3</v>
      </c>
      <c r="S121">
        <v>11</v>
      </c>
      <c r="T121" s="3">
        <f t="shared" si="76"/>
        <v>1.896551724137931E-2</v>
      </c>
    </row>
    <row r="122" spans="1:20" x14ac:dyDescent="0.25">
      <c r="A122" s="1">
        <f t="shared" si="75"/>
        <v>43853</v>
      </c>
      <c r="B122" t="s">
        <v>5</v>
      </c>
      <c r="C122" t="s">
        <v>32</v>
      </c>
      <c r="D122">
        <v>570</v>
      </c>
      <c r="E122">
        <f t="shared" si="78"/>
        <v>61</v>
      </c>
      <c r="F122" s="3">
        <f t="shared" si="77"/>
        <v>0.21180555555555555</v>
      </c>
      <c r="G122">
        <v>0</v>
      </c>
      <c r="H122" s="3">
        <f t="shared" si="70"/>
        <v>0</v>
      </c>
      <c r="I122">
        <v>451</v>
      </c>
      <c r="J122" s="3">
        <f t="shared" si="71"/>
        <v>0.79122807017543861</v>
      </c>
      <c r="K122">
        <v>103</v>
      </c>
      <c r="L122" s="3">
        <f t="shared" si="72"/>
        <v>0.18070175438596492</v>
      </c>
      <c r="M122">
        <v>8</v>
      </c>
      <c r="N122" s="3">
        <f t="shared" si="73"/>
        <v>1.4035087719298246E-2</v>
      </c>
      <c r="O122">
        <v>11</v>
      </c>
      <c r="P122" s="3">
        <f t="shared" si="74"/>
        <v>1.9298245614035089E-2</v>
      </c>
      <c r="Q122">
        <v>12</v>
      </c>
      <c r="R122" s="3">
        <f t="shared" si="79"/>
        <v>2.1052631578947368E-2</v>
      </c>
      <c r="S122">
        <v>9</v>
      </c>
      <c r="T122" s="3">
        <f t="shared" si="76"/>
        <v>1.5789473684210527E-2</v>
      </c>
    </row>
    <row r="123" spans="1:20" x14ac:dyDescent="0.25">
      <c r="A123" s="1">
        <f t="shared" si="75"/>
        <v>43853</v>
      </c>
      <c r="B123" t="s">
        <v>5</v>
      </c>
      <c r="C123" t="s">
        <v>33</v>
      </c>
      <c r="D123">
        <v>610</v>
      </c>
      <c r="E123">
        <f>1*60+5</f>
        <v>65</v>
      </c>
      <c r="F123" s="3">
        <f t="shared" si="77"/>
        <v>0.22569444444444445</v>
      </c>
      <c r="G123">
        <v>0</v>
      </c>
      <c r="H123" s="3">
        <f t="shared" si="70"/>
        <v>0</v>
      </c>
      <c r="I123">
        <v>491</v>
      </c>
      <c r="J123" s="3">
        <f t="shared" si="71"/>
        <v>0.80491803278688523</v>
      </c>
      <c r="K123">
        <v>110</v>
      </c>
      <c r="L123" s="3">
        <f t="shared" si="72"/>
        <v>0.18032786885245902</v>
      </c>
      <c r="M123">
        <v>5</v>
      </c>
      <c r="N123" s="3">
        <f t="shared" si="73"/>
        <v>8.1967213114754103E-3</v>
      </c>
      <c r="O123">
        <v>9</v>
      </c>
      <c r="P123" s="3">
        <f t="shared" si="74"/>
        <v>1.4754098360655738E-2</v>
      </c>
      <c r="Q123">
        <v>0</v>
      </c>
      <c r="R123" s="3">
        <f t="shared" si="79"/>
        <v>0</v>
      </c>
      <c r="S123">
        <v>5</v>
      </c>
      <c r="T123" s="3">
        <f t="shared" si="76"/>
        <v>8.1967213114754103E-3</v>
      </c>
    </row>
    <row r="124" spans="1:20" x14ac:dyDescent="0.25">
      <c r="A124" s="1">
        <f t="shared" si="75"/>
        <v>43853</v>
      </c>
      <c r="B124" t="s">
        <v>5</v>
      </c>
      <c r="C124" t="s">
        <v>34</v>
      </c>
      <c r="D124">
        <v>610</v>
      </c>
      <c r="E124">
        <f t="shared" si="78"/>
        <v>61</v>
      </c>
      <c r="F124" s="3">
        <f t="shared" si="77"/>
        <v>0.21180555555555555</v>
      </c>
      <c r="G124">
        <v>0</v>
      </c>
      <c r="H124" s="3">
        <f t="shared" si="70"/>
        <v>0</v>
      </c>
      <c r="I124">
        <v>484</v>
      </c>
      <c r="J124" s="3">
        <f t="shared" si="71"/>
        <v>0.79344262295081969</v>
      </c>
      <c r="K124">
        <v>112</v>
      </c>
      <c r="L124" s="3">
        <f t="shared" si="72"/>
        <v>0.18360655737704917</v>
      </c>
      <c r="M124">
        <v>8</v>
      </c>
      <c r="N124" s="3">
        <f t="shared" si="73"/>
        <v>1.3114754098360656E-2</v>
      </c>
      <c r="O124">
        <v>7</v>
      </c>
      <c r="P124" s="3">
        <f t="shared" si="74"/>
        <v>1.1475409836065573E-2</v>
      </c>
      <c r="Q124">
        <v>6</v>
      </c>
      <c r="R124" s="3">
        <f t="shared" si="79"/>
        <v>9.8360655737704927E-3</v>
      </c>
      <c r="S124">
        <v>14</v>
      </c>
      <c r="T124" s="3">
        <f t="shared" si="76"/>
        <v>2.2950819672131147E-2</v>
      </c>
    </row>
    <row r="125" spans="1:20" x14ac:dyDescent="0.25">
      <c r="A125" s="1">
        <f t="shared" si="75"/>
        <v>43853</v>
      </c>
      <c r="B125" t="s">
        <v>5</v>
      </c>
      <c r="C125" t="s">
        <v>35</v>
      </c>
      <c r="D125">
        <v>620</v>
      </c>
      <c r="E125">
        <f t="shared" si="78"/>
        <v>61</v>
      </c>
      <c r="F125" s="3">
        <f t="shared" si="77"/>
        <v>0.21180555555555555</v>
      </c>
      <c r="G125">
        <v>3</v>
      </c>
      <c r="H125" s="3">
        <f t="shared" si="70"/>
        <v>4.8387096774193551E-3</v>
      </c>
      <c r="I125">
        <v>489</v>
      </c>
      <c r="J125" s="3">
        <f t="shared" si="71"/>
        <v>0.78870967741935483</v>
      </c>
      <c r="K125">
        <v>113</v>
      </c>
      <c r="L125" s="3">
        <f t="shared" si="72"/>
        <v>0.18225806451612903</v>
      </c>
      <c r="M125">
        <v>7</v>
      </c>
      <c r="N125" s="3">
        <f t="shared" si="73"/>
        <v>1.1290322580645161E-2</v>
      </c>
      <c r="O125">
        <v>17</v>
      </c>
      <c r="P125" s="3">
        <f t="shared" si="74"/>
        <v>2.7419354838709678E-2</v>
      </c>
      <c r="Q125">
        <v>12</v>
      </c>
      <c r="R125" s="3">
        <f t="shared" si="79"/>
        <v>1.935483870967742E-2</v>
      </c>
      <c r="S125">
        <v>12</v>
      </c>
      <c r="T125" s="3">
        <f t="shared" si="76"/>
        <v>1.935483870967742E-2</v>
      </c>
    </row>
    <row r="127" spans="1:20" x14ac:dyDescent="0.25">
      <c r="A127" s="1">
        <v>43854</v>
      </c>
      <c r="B127" s="1" t="s">
        <v>4</v>
      </c>
      <c r="C127" s="1" t="s">
        <v>40</v>
      </c>
      <c r="D127">
        <v>6382</v>
      </c>
      <c r="E127">
        <f>6*60+28</f>
        <v>388</v>
      </c>
      <c r="F127" s="3">
        <f t="shared" ref="F127:F136" si="80">E127/E$128</f>
        <v>1.3379310344827586</v>
      </c>
      <c r="G127">
        <v>0</v>
      </c>
      <c r="H127" s="3">
        <f t="shared" ref="H127:H136" si="81">G127/$D127</f>
        <v>0</v>
      </c>
      <c r="I127">
        <v>5150</v>
      </c>
      <c r="J127" s="3">
        <f t="shared" ref="J127:J136" si="82">I127/$D127</f>
        <v>0.80695706675023504</v>
      </c>
      <c r="K127">
        <v>1102</v>
      </c>
      <c r="L127" s="3">
        <f t="shared" ref="L127:L136" si="83">K127/$D127</f>
        <v>0.17267314321529301</v>
      </c>
      <c r="M127">
        <v>58</v>
      </c>
      <c r="N127" s="3">
        <f t="shared" ref="N127:N136" si="84">M127/$D127</f>
        <v>9.0880601692259477E-3</v>
      </c>
      <c r="O127">
        <v>118</v>
      </c>
      <c r="P127" s="3">
        <f t="shared" ref="P127:P136" si="85">O127/$D127</f>
        <v>1.8489501723597618E-2</v>
      </c>
      <c r="Q127">
        <v>58</v>
      </c>
      <c r="R127" s="3">
        <f t="shared" ref="R127:R136" si="86">Q127/$D127</f>
        <v>9.0880601692259477E-3</v>
      </c>
      <c r="S127">
        <v>100</v>
      </c>
      <c r="T127" s="3">
        <f t="shared" ref="T127:T136" si="87">S127/$D127</f>
        <v>1.5669069257286117E-2</v>
      </c>
    </row>
    <row r="128" spans="1:20" x14ac:dyDescent="0.25">
      <c r="A128" s="1">
        <f t="shared" ref="A128:A136" si="88">A127</f>
        <v>43854</v>
      </c>
      <c r="B128" t="s">
        <v>3</v>
      </c>
      <c r="C128" s="1" t="s">
        <v>40</v>
      </c>
      <c r="D128">
        <v>607</v>
      </c>
      <c r="E128">
        <f>4*60+50</f>
        <v>290</v>
      </c>
      <c r="F128" s="3">
        <f t="shared" si="80"/>
        <v>1</v>
      </c>
      <c r="G128">
        <v>0</v>
      </c>
      <c r="H128" s="3">
        <f t="shared" si="81"/>
        <v>0</v>
      </c>
      <c r="I128">
        <v>490</v>
      </c>
      <c r="J128" s="3">
        <f t="shared" si="82"/>
        <v>0.80724876441515647</v>
      </c>
      <c r="K128">
        <v>108</v>
      </c>
      <c r="L128" s="3">
        <f t="shared" si="83"/>
        <v>0.17792421746293247</v>
      </c>
      <c r="M128">
        <v>3</v>
      </c>
      <c r="N128" s="3">
        <f t="shared" si="84"/>
        <v>4.9423393739703456E-3</v>
      </c>
      <c r="O128">
        <v>10</v>
      </c>
      <c r="P128" s="3">
        <f t="shared" si="85"/>
        <v>1.6474464579901153E-2</v>
      </c>
      <c r="Q128">
        <v>5</v>
      </c>
      <c r="R128" s="3">
        <f t="shared" si="86"/>
        <v>8.2372322899505763E-3</v>
      </c>
      <c r="S128">
        <v>7</v>
      </c>
      <c r="T128" s="3">
        <f t="shared" si="87"/>
        <v>1.1532125205930808E-2</v>
      </c>
    </row>
    <row r="129" spans="1:20" x14ac:dyDescent="0.25">
      <c r="A129" s="1">
        <f t="shared" si="88"/>
        <v>43854</v>
      </c>
      <c r="B129" t="s">
        <v>5</v>
      </c>
      <c r="C129" s="1" t="s">
        <v>40</v>
      </c>
      <c r="D129">
        <v>610</v>
      </c>
      <c r="E129">
        <f>1*60+18</f>
        <v>78</v>
      </c>
      <c r="F129" s="3">
        <f t="shared" si="80"/>
        <v>0.26896551724137929</v>
      </c>
      <c r="G129">
        <v>0</v>
      </c>
      <c r="H129" s="3">
        <f t="shared" si="81"/>
        <v>0</v>
      </c>
      <c r="I129">
        <v>507</v>
      </c>
      <c r="J129" s="3">
        <f t="shared" si="82"/>
        <v>0.83114754098360655</v>
      </c>
      <c r="K129">
        <v>95</v>
      </c>
      <c r="L129" s="3">
        <f t="shared" si="83"/>
        <v>0.15573770491803279</v>
      </c>
      <c r="M129">
        <v>5</v>
      </c>
      <c r="N129" s="3">
        <f t="shared" si="84"/>
        <v>8.1967213114754103E-3</v>
      </c>
      <c r="O129">
        <v>12</v>
      </c>
      <c r="P129" s="3">
        <f t="shared" si="85"/>
        <v>1.9672131147540985E-2</v>
      </c>
      <c r="Q129">
        <v>3</v>
      </c>
      <c r="R129" s="3">
        <f t="shared" si="86"/>
        <v>4.9180327868852463E-3</v>
      </c>
      <c r="S129">
        <v>5</v>
      </c>
      <c r="T129" s="3">
        <f t="shared" si="87"/>
        <v>8.1967213114754103E-3</v>
      </c>
    </row>
    <row r="130" spans="1:20" x14ac:dyDescent="0.25">
      <c r="A130" s="1">
        <f t="shared" si="88"/>
        <v>43854</v>
      </c>
      <c r="B130" t="s">
        <v>6</v>
      </c>
      <c r="C130" s="1" t="s">
        <v>40</v>
      </c>
      <c r="D130">
        <v>615</v>
      </c>
      <c r="E130">
        <f>4*60+57</f>
        <v>297</v>
      </c>
      <c r="F130" s="3">
        <f t="shared" si="80"/>
        <v>1.0241379310344827</v>
      </c>
      <c r="G130">
        <v>0</v>
      </c>
      <c r="H130" s="3">
        <f t="shared" si="81"/>
        <v>0</v>
      </c>
      <c r="I130">
        <v>487</v>
      </c>
      <c r="J130" s="3">
        <f t="shared" si="82"/>
        <v>0.79186991869918699</v>
      </c>
      <c r="K130">
        <v>111</v>
      </c>
      <c r="L130" s="3">
        <f t="shared" si="83"/>
        <v>0.18048780487804877</v>
      </c>
      <c r="M130">
        <v>8</v>
      </c>
      <c r="N130" s="3">
        <f t="shared" si="84"/>
        <v>1.3008130081300813E-2</v>
      </c>
      <c r="O130">
        <v>9</v>
      </c>
      <c r="P130" s="3">
        <f t="shared" si="85"/>
        <v>1.4634146341463415E-2</v>
      </c>
      <c r="Q130">
        <v>7</v>
      </c>
      <c r="R130" s="3">
        <f t="shared" si="86"/>
        <v>1.1382113821138212E-2</v>
      </c>
      <c r="S130">
        <v>14</v>
      </c>
      <c r="T130" s="3">
        <f t="shared" si="87"/>
        <v>2.2764227642276424E-2</v>
      </c>
    </row>
    <row r="131" spans="1:20" x14ac:dyDescent="0.25">
      <c r="A131" s="1">
        <f t="shared" si="88"/>
        <v>43854</v>
      </c>
      <c r="B131" t="s">
        <v>30</v>
      </c>
      <c r="C131" s="1" t="s">
        <v>39</v>
      </c>
      <c r="D131">
        <v>2451</v>
      </c>
      <c r="E131">
        <f>3*60+58</f>
        <v>238</v>
      </c>
      <c r="F131" s="3">
        <f t="shared" si="80"/>
        <v>0.82068965517241377</v>
      </c>
      <c r="G131">
        <v>93</v>
      </c>
      <c r="H131" s="3">
        <f t="shared" si="81"/>
        <v>3.7943696450428395E-2</v>
      </c>
      <c r="I131">
        <v>2210</v>
      </c>
      <c r="J131" s="3">
        <f t="shared" si="82"/>
        <v>0.90167278661770711</v>
      </c>
      <c r="K131">
        <v>135</v>
      </c>
      <c r="L131" s="3">
        <f t="shared" si="83"/>
        <v>5.5079559363525092E-2</v>
      </c>
      <c r="M131">
        <v>3</v>
      </c>
      <c r="N131" s="3">
        <f t="shared" si="84"/>
        <v>1.2239902080783353E-3</v>
      </c>
      <c r="O131">
        <v>9</v>
      </c>
      <c r="P131" s="3">
        <f t="shared" si="85"/>
        <v>3.6719706242350062E-3</v>
      </c>
      <c r="Q131">
        <v>3</v>
      </c>
      <c r="R131" s="3">
        <f t="shared" si="86"/>
        <v>1.2239902080783353E-3</v>
      </c>
      <c r="S131">
        <v>13</v>
      </c>
      <c r="T131" s="3">
        <f t="shared" si="87"/>
        <v>5.3039575683394534E-3</v>
      </c>
    </row>
    <row r="132" spans="1:20" x14ac:dyDescent="0.25">
      <c r="A132" s="1">
        <f t="shared" si="88"/>
        <v>43854</v>
      </c>
      <c r="B132" t="s">
        <v>5</v>
      </c>
      <c r="C132" t="s">
        <v>36</v>
      </c>
      <c r="D132">
        <v>620</v>
      </c>
      <c r="E132">
        <f t="shared" ref="E132" si="89">1*60+1</f>
        <v>61</v>
      </c>
      <c r="F132" s="3">
        <f t="shared" si="80"/>
        <v>0.2103448275862069</v>
      </c>
      <c r="G132">
        <v>4</v>
      </c>
      <c r="H132" s="3">
        <f t="shared" si="81"/>
        <v>6.4516129032258064E-3</v>
      </c>
      <c r="I132">
        <v>495</v>
      </c>
      <c r="J132" s="3">
        <f t="shared" si="82"/>
        <v>0.79838709677419351</v>
      </c>
      <c r="K132">
        <v>107</v>
      </c>
      <c r="L132" s="3">
        <f t="shared" si="83"/>
        <v>0.17258064516129032</v>
      </c>
      <c r="M132">
        <v>8</v>
      </c>
      <c r="N132" s="3">
        <f t="shared" si="84"/>
        <v>1.2903225806451613E-2</v>
      </c>
      <c r="O132">
        <v>20</v>
      </c>
      <c r="P132" s="3">
        <f t="shared" si="85"/>
        <v>3.2258064516129031E-2</v>
      </c>
      <c r="Q132">
        <v>5</v>
      </c>
      <c r="R132" s="3">
        <f t="shared" si="86"/>
        <v>8.0645161290322578E-3</v>
      </c>
      <c r="S132">
        <v>10</v>
      </c>
      <c r="T132" s="3">
        <f t="shared" si="87"/>
        <v>1.6129032258064516E-2</v>
      </c>
    </row>
    <row r="133" spans="1:20" x14ac:dyDescent="0.25">
      <c r="A133" s="1">
        <f t="shared" si="88"/>
        <v>43854</v>
      </c>
      <c r="B133" t="s">
        <v>5</v>
      </c>
      <c r="C133" t="s">
        <v>32</v>
      </c>
      <c r="D133">
        <v>560</v>
      </c>
      <c r="E133">
        <f t="shared" ref="E133:E165" si="90">1*60+1</f>
        <v>61</v>
      </c>
      <c r="F133" s="3">
        <f t="shared" si="80"/>
        <v>0.2103448275862069</v>
      </c>
      <c r="G133">
        <v>0</v>
      </c>
      <c r="H133" s="3">
        <f t="shared" si="81"/>
        <v>0</v>
      </c>
      <c r="I133">
        <v>437</v>
      </c>
      <c r="J133" s="3">
        <f t="shared" si="82"/>
        <v>0.78035714285714286</v>
      </c>
      <c r="K133">
        <v>112</v>
      </c>
      <c r="L133" s="3">
        <f t="shared" si="83"/>
        <v>0.2</v>
      </c>
      <c r="M133">
        <v>5</v>
      </c>
      <c r="N133" s="3">
        <f t="shared" si="84"/>
        <v>8.9285714285714281E-3</v>
      </c>
      <c r="O133">
        <v>12</v>
      </c>
      <c r="P133" s="3">
        <f t="shared" si="85"/>
        <v>2.1428571428571429E-2</v>
      </c>
      <c r="Q133">
        <v>5</v>
      </c>
      <c r="R133" s="3">
        <f t="shared" si="86"/>
        <v>8.9285714285714281E-3</v>
      </c>
      <c r="S133">
        <v>12</v>
      </c>
      <c r="T133" s="3">
        <f t="shared" si="87"/>
        <v>2.1428571428571429E-2</v>
      </c>
    </row>
    <row r="134" spans="1:20" x14ac:dyDescent="0.25">
      <c r="A134" s="1">
        <f t="shared" si="88"/>
        <v>43854</v>
      </c>
      <c r="B134" t="s">
        <v>5</v>
      </c>
      <c r="C134" t="s">
        <v>33</v>
      </c>
      <c r="D134">
        <v>610</v>
      </c>
      <c r="E134">
        <f>1*60+4</f>
        <v>64</v>
      </c>
      <c r="F134" s="3">
        <f t="shared" si="80"/>
        <v>0.22068965517241379</v>
      </c>
      <c r="G134">
        <v>0</v>
      </c>
      <c r="H134" s="3">
        <f t="shared" si="81"/>
        <v>0</v>
      </c>
      <c r="I134">
        <v>505</v>
      </c>
      <c r="J134" s="3">
        <f t="shared" si="82"/>
        <v>0.82786885245901642</v>
      </c>
      <c r="K134">
        <v>98</v>
      </c>
      <c r="L134" s="3">
        <f t="shared" si="83"/>
        <v>0.16065573770491803</v>
      </c>
      <c r="M134">
        <v>2</v>
      </c>
      <c r="N134" s="3">
        <f t="shared" si="84"/>
        <v>3.2786885245901639E-3</v>
      </c>
      <c r="O134">
        <v>10</v>
      </c>
      <c r="P134" s="3">
        <f t="shared" si="85"/>
        <v>1.6393442622950821E-2</v>
      </c>
      <c r="Q134">
        <v>0</v>
      </c>
      <c r="R134" s="3">
        <f t="shared" si="86"/>
        <v>0</v>
      </c>
      <c r="S134">
        <v>7</v>
      </c>
      <c r="T134" s="3">
        <f t="shared" si="87"/>
        <v>1.1475409836065573E-2</v>
      </c>
    </row>
    <row r="135" spans="1:20" x14ac:dyDescent="0.25">
      <c r="A135" s="1">
        <f t="shared" si="88"/>
        <v>43854</v>
      </c>
      <c r="B135" t="s">
        <v>5</v>
      </c>
      <c r="C135" t="s">
        <v>34</v>
      </c>
      <c r="D135">
        <v>590</v>
      </c>
      <c r="E135">
        <f>1*60+4</f>
        <v>64</v>
      </c>
      <c r="F135" s="3">
        <f t="shared" si="80"/>
        <v>0.22068965517241379</v>
      </c>
      <c r="G135">
        <v>2</v>
      </c>
      <c r="H135" s="3">
        <f t="shared" si="81"/>
        <v>3.3898305084745762E-3</v>
      </c>
      <c r="I135">
        <v>484</v>
      </c>
      <c r="J135" s="3">
        <f t="shared" si="82"/>
        <v>0.8203389830508474</v>
      </c>
      <c r="K135">
        <v>95</v>
      </c>
      <c r="L135" s="3">
        <f t="shared" si="83"/>
        <v>0.16101694915254236</v>
      </c>
      <c r="M135">
        <v>3</v>
      </c>
      <c r="N135" s="3">
        <f t="shared" si="84"/>
        <v>5.084745762711864E-3</v>
      </c>
      <c r="O135">
        <v>7</v>
      </c>
      <c r="P135" s="3">
        <f t="shared" si="85"/>
        <v>1.1864406779661017E-2</v>
      </c>
      <c r="Q135">
        <v>1</v>
      </c>
      <c r="R135" s="3">
        <f t="shared" si="86"/>
        <v>1.6949152542372881E-3</v>
      </c>
      <c r="S135">
        <v>9</v>
      </c>
      <c r="T135" s="3">
        <f t="shared" si="87"/>
        <v>1.5254237288135594E-2</v>
      </c>
    </row>
    <row r="136" spans="1:20" x14ac:dyDescent="0.25">
      <c r="A136" s="1">
        <f t="shared" si="88"/>
        <v>43854</v>
      </c>
      <c r="B136" t="s">
        <v>5</v>
      </c>
      <c r="C136" t="s">
        <v>35</v>
      </c>
      <c r="D136">
        <v>580</v>
      </c>
      <c r="E136">
        <f>1*60+25</f>
        <v>85</v>
      </c>
      <c r="F136" s="3">
        <f t="shared" si="80"/>
        <v>0.29310344827586204</v>
      </c>
      <c r="G136">
        <v>3</v>
      </c>
      <c r="H136" s="3">
        <f t="shared" si="81"/>
        <v>5.1724137931034482E-3</v>
      </c>
      <c r="I136">
        <v>508</v>
      </c>
      <c r="J136" s="3">
        <f t="shared" si="82"/>
        <v>0.87586206896551722</v>
      </c>
      <c r="K136">
        <v>63</v>
      </c>
      <c r="L136" s="3">
        <f t="shared" si="83"/>
        <v>0.10862068965517241</v>
      </c>
      <c r="M136">
        <v>4</v>
      </c>
      <c r="N136" s="3">
        <f t="shared" si="84"/>
        <v>6.8965517241379309E-3</v>
      </c>
      <c r="O136">
        <v>7</v>
      </c>
      <c r="P136" s="3">
        <f t="shared" si="85"/>
        <v>1.2068965517241379E-2</v>
      </c>
      <c r="Q136">
        <v>3</v>
      </c>
      <c r="R136" s="3">
        <f t="shared" si="86"/>
        <v>5.1724137931034482E-3</v>
      </c>
      <c r="S136">
        <v>2</v>
      </c>
      <c r="T136" s="3">
        <f t="shared" si="87"/>
        <v>3.4482758620689655E-3</v>
      </c>
    </row>
    <row r="138" spans="1:20" x14ac:dyDescent="0.25">
      <c r="A138" s="1">
        <v>43855</v>
      </c>
      <c r="B138" s="1" t="s">
        <v>4</v>
      </c>
      <c r="C138" s="1" t="s">
        <v>40</v>
      </c>
      <c r="D138">
        <v>6383</v>
      </c>
      <c r="E138">
        <f>11*60+31</f>
        <v>691</v>
      </c>
      <c r="F138" s="3">
        <f t="shared" ref="F138" si="91">E138/E$161</f>
        <v>1.6650602409638555</v>
      </c>
      <c r="G138">
        <v>0</v>
      </c>
      <c r="H138" s="3">
        <f t="shared" ref="H138:H147" si="92">G138/$D138</f>
        <v>0</v>
      </c>
      <c r="I138">
        <v>5148</v>
      </c>
      <c r="J138" s="3">
        <f t="shared" ref="J138:J147" si="93">I138/$D138</f>
        <v>0.80651731160896134</v>
      </c>
      <c r="K138">
        <v>1106</v>
      </c>
      <c r="L138" s="3">
        <f t="shared" ref="L138:L147" si="94">K138/$D138</f>
        <v>0.1732727557574808</v>
      </c>
      <c r="M138">
        <v>58</v>
      </c>
      <c r="N138" s="3">
        <f t="shared" ref="N138:N147" si="95">M138/$D138</f>
        <v>9.0866363778787408E-3</v>
      </c>
      <c r="O138">
        <v>117</v>
      </c>
      <c r="P138" s="3">
        <f t="shared" ref="P138:P147" si="96">O138/$D138</f>
        <v>1.8329938900203666E-2</v>
      </c>
      <c r="Q138">
        <v>59</v>
      </c>
      <c r="R138" s="3">
        <f t="shared" ref="R138:R147" si="97">Q138/$D138</f>
        <v>9.2433025223249247E-3</v>
      </c>
      <c r="S138">
        <v>99</v>
      </c>
      <c r="T138" s="3">
        <f t="shared" ref="T138:T147" si="98">S138/$D138</f>
        <v>1.5509948300172332E-2</v>
      </c>
    </row>
    <row r="139" spans="1:20" x14ac:dyDescent="0.25">
      <c r="A139" s="1">
        <f t="shared" ref="A139:A147" si="99">A138</f>
        <v>43855</v>
      </c>
      <c r="B139" t="s">
        <v>3</v>
      </c>
      <c r="C139" s="1" t="s">
        <v>40</v>
      </c>
      <c r="D139">
        <v>619</v>
      </c>
      <c r="E139">
        <f>6*60+9</f>
        <v>369</v>
      </c>
      <c r="F139" s="3">
        <f>E139/E$161</f>
        <v>0.88915662650602412</v>
      </c>
      <c r="G139">
        <v>0</v>
      </c>
      <c r="H139" s="3">
        <f t="shared" si="92"/>
        <v>0</v>
      </c>
      <c r="I139">
        <v>501</v>
      </c>
      <c r="J139" s="3">
        <f t="shared" si="93"/>
        <v>0.80936995153473346</v>
      </c>
      <c r="K139">
        <v>104</v>
      </c>
      <c r="L139" s="3">
        <f t="shared" si="94"/>
        <v>0.1680129240710824</v>
      </c>
      <c r="M139">
        <v>6</v>
      </c>
      <c r="N139" s="3">
        <f t="shared" si="95"/>
        <v>9.6930533117932146E-3</v>
      </c>
      <c r="O139">
        <v>10</v>
      </c>
      <c r="P139" s="3">
        <f t="shared" si="96"/>
        <v>1.6155088852988692E-2</v>
      </c>
      <c r="Q139">
        <v>6</v>
      </c>
      <c r="R139" s="3">
        <f t="shared" si="97"/>
        <v>9.6930533117932146E-3</v>
      </c>
      <c r="S139">
        <v>5</v>
      </c>
      <c r="T139" s="3">
        <f t="shared" si="98"/>
        <v>8.0775444264943458E-3</v>
      </c>
    </row>
    <row r="140" spans="1:20" x14ac:dyDescent="0.25">
      <c r="A140" s="1">
        <f t="shared" si="99"/>
        <v>43855</v>
      </c>
      <c r="B140" t="s">
        <v>5</v>
      </c>
      <c r="C140" s="1" t="s">
        <v>40</v>
      </c>
      <c r="D140">
        <v>610</v>
      </c>
      <c r="E140">
        <f>1*60+48</f>
        <v>108</v>
      </c>
      <c r="F140" s="3">
        <f t="shared" ref="F140:F147" si="100">E140/E$161</f>
        <v>0.26024096385542167</v>
      </c>
      <c r="G140">
        <v>0</v>
      </c>
      <c r="H140" s="3">
        <f t="shared" si="92"/>
        <v>0</v>
      </c>
      <c r="I140">
        <v>496</v>
      </c>
      <c r="J140" s="3">
        <f t="shared" si="93"/>
        <v>0.81311475409836065</v>
      </c>
      <c r="K140">
        <v>98</v>
      </c>
      <c r="L140" s="3">
        <f t="shared" si="94"/>
        <v>0.16065573770491803</v>
      </c>
      <c r="M140">
        <v>6</v>
      </c>
      <c r="N140" s="3">
        <f t="shared" si="95"/>
        <v>9.8360655737704927E-3</v>
      </c>
      <c r="O140">
        <v>10</v>
      </c>
      <c r="P140" s="3">
        <f t="shared" si="96"/>
        <v>1.6393442622950821E-2</v>
      </c>
      <c r="Q140">
        <v>6</v>
      </c>
      <c r="R140" s="3">
        <f t="shared" si="97"/>
        <v>9.8360655737704927E-3</v>
      </c>
      <c r="S140">
        <v>13</v>
      </c>
      <c r="T140" s="3">
        <f t="shared" si="98"/>
        <v>2.1311475409836064E-2</v>
      </c>
    </row>
    <row r="141" spans="1:20" x14ac:dyDescent="0.25">
      <c r="A141" s="1">
        <f t="shared" si="99"/>
        <v>43855</v>
      </c>
      <c r="B141" t="s">
        <v>6</v>
      </c>
      <c r="C141" s="1" t="s">
        <v>40</v>
      </c>
      <c r="D141">
        <v>614</v>
      </c>
      <c r="E141">
        <f>6*60+12</f>
        <v>372</v>
      </c>
      <c r="F141" s="3">
        <f t="shared" si="100"/>
        <v>0.89638554216867472</v>
      </c>
      <c r="G141">
        <v>0</v>
      </c>
      <c r="H141" s="3">
        <f t="shared" si="92"/>
        <v>0</v>
      </c>
      <c r="I141">
        <v>492</v>
      </c>
      <c r="J141" s="3">
        <f t="shared" si="93"/>
        <v>0.80130293159609123</v>
      </c>
      <c r="K141">
        <v>108</v>
      </c>
      <c r="L141" s="3">
        <f t="shared" si="94"/>
        <v>0.1758957654723127</v>
      </c>
      <c r="M141">
        <v>5</v>
      </c>
      <c r="N141" s="3">
        <f t="shared" si="95"/>
        <v>8.1433224755700327E-3</v>
      </c>
      <c r="O141">
        <v>12</v>
      </c>
      <c r="P141" s="3">
        <f t="shared" si="96"/>
        <v>1.9543973941368076E-2</v>
      </c>
      <c r="Q141">
        <v>5</v>
      </c>
      <c r="R141" s="3">
        <f t="shared" si="97"/>
        <v>8.1433224755700327E-3</v>
      </c>
      <c r="S141">
        <v>12</v>
      </c>
      <c r="T141" s="3">
        <f t="shared" si="98"/>
        <v>1.9543973941368076E-2</v>
      </c>
    </row>
    <row r="142" spans="1:20" x14ac:dyDescent="0.25">
      <c r="A142" s="1">
        <f t="shared" si="99"/>
        <v>43855</v>
      </c>
      <c r="B142" t="s">
        <v>30</v>
      </c>
      <c r="C142" s="1" t="s">
        <v>39</v>
      </c>
      <c r="D142">
        <v>2450</v>
      </c>
      <c r="E142">
        <f>9*60+59</f>
        <v>599</v>
      </c>
      <c r="F142" s="3">
        <f t="shared" si="100"/>
        <v>1.4433734939759035</v>
      </c>
      <c r="G142">
        <v>116</v>
      </c>
      <c r="H142" s="3">
        <f t="shared" si="92"/>
        <v>4.7346938775510203E-2</v>
      </c>
      <c r="I142">
        <v>2187</v>
      </c>
      <c r="J142" s="3">
        <f t="shared" si="93"/>
        <v>0.89265306122448984</v>
      </c>
      <c r="K142">
        <v>139</v>
      </c>
      <c r="L142" s="3">
        <f t="shared" si="94"/>
        <v>5.6734693877551021E-2</v>
      </c>
      <c r="M142">
        <v>2</v>
      </c>
      <c r="N142" s="3">
        <f t="shared" si="95"/>
        <v>8.1632653061224493E-4</v>
      </c>
      <c r="O142">
        <v>9</v>
      </c>
      <c r="P142" s="3">
        <f t="shared" si="96"/>
        <v>3.6734693877551019E-3</v>
      </c>
      <c r="Q142">
        <v>3</v>
      </c>
      <c r="R142" s="3">
        <f t="shared" si="97"/>
        <v>1.2244897959183673E-3</v>
      </c>
      <c r="S142">
        <v>12</v>
      </c>
      <c r="T142" s="3">
        <f t="shared" si="98"/>
        <v>4.8979591836734691E-3</v>
      </c>
    </row>
    <row r="143" spans="1:20" x14ac:dyDescent="0.25">
      <c r="A143" s="1">
        <f t="shared" si="99"/>
        <v>43855</v>
      </c>
      <c r="B143" t="s">
        <v>5</v>
      </c>
      <c r="C143" t="s">
        <v>36</v>
      </c>
      <c r="D143">
        <v>570</v>
      </c>
      <c r="E143">
        <f>1*60+37</f>
        <v>97</v>
      </c>
      <c r="F143" s="3">
        <f t="shared" si="100"/>
        <v>0.23373493975903614</v>
      </c>
      <c r="G143">
        <v>9</v>
      </c>
      <c r="H143" s="3">
        <f t="shared" si="92"/>
        <v>1.5789473684210527E-2</v>
      </c>
      <c r="I143">
        <v>454</v>
      </c>
      <c r="J143" s="3">
        <f t="shared" si="93"/>
        <v>0.79649122807017547</v>
      </c>
      <c r="K143">
        <v>93</v>
      </c>
      <c r="L143" s="3">
        <f t="shared" si="94"/>
        <v>0.16315789473684211</v>
      </c>
      <c r="M143">
        <v>4</v>
      </c>
      <c r="N143" s="3">
        <f t="shared" si="95"/>
        <v>7.0175438596491229E-3</v>
      </c>
      <c r="O143">
        <v>10</v>
      </c>
      <c r="P143" s="3">
        <f t="shared" si="96"/>
        <v>1.7543859649122806E-2</v>
      </c>
      <c r="Q143">
        <v>5</v>
      </c>
      <c r="R143" s="3">
        <f t="shared" si="97"/>
        <v>8.771929824561403E-3</v>
      </c>
      <c r="S143">
        <v>5</v>
      </c>
      <c r="T143" s="3">
        <f t="shared" si="98"/>
        <v>8.771929824561403E-3</v>
      </c>
    </row>
    <row r="144" spans="1:20" x14ac:dyDescent="0.25">
      <c r="A144" s="1">
        <f t="shared" si="99"/>
        <v>43855</v>
      </c>
      <c r="B144" t="s">
        <v>5</v>
      </c>
      <c r="C144" t="s">
        <v>32</v>
      </c>
      <c r="D144">
        <v>550</v>
      </c>
      <c r="E144">
        <f>1*60+24</f>
        <v>84</v>
      </c>
      <c r="F144" s="3">
        <f t="shared" si="100"/>
        <v>0.20240963855421687</v>
      </c>
      <c r="G144">
        <v>0</v>
      </c>
      <c r="H144" s="3">
        <f t="shared" si="92"/>
        <v>0</v>
      </c>
      <c r="I144">
        <v>425</v>
      </c>
      <c r="J144" s="3">
        <f t="shared" si="93"/>
        <v>0.77272727272727271</v>
      </c>
      <c r="K144">
        <v>100</v>
      </c>
      <c r="L144" s="3">
        <f t="shared" si="94"/>
        <v>0.18181818181818182</v>
      </c>
      <c r="M144">
        <v>7</v>
      </c>
      <c r="N144" s="3">
        <f t="shared" si="95"/>
        <v>1.2727272727272728E-2</v>
      </c>
      <c r="O144">
        <v>13</v>
      </c>
      <c r="P144" s="3">
        <f t="shared" si="96"/>
        <v>2.3636363636363636E-2</v>
      </c>
      <c r="Q144">
        <v>22</v>
      </c>
      <c r="R144" s="3">
        <f t="shared" si="97"/>
        <v>0.04</v>
      </c>
      <c r="S144">
        <v>14</v>
      </c>
      <c r="T144" s="3">
        <f t="shared" si="98"/>
        <v>2.5454545454545455E-2</v>
      </c>
    </row>
    <row r="145" spans="1:20" x14ac:dyDescent="0.25">
      <c r="A145" s="1">
        <f t="shared" si="99"/>
        <v>43855</v>
      </c>
      <c r="B145" t="s">
        <v>5</v>
      </c>
      <c r="C145" t="s">
        <v>33</v>
      </c>
      <c r="D145">
        <v>570</v>
      </c>
      <c r="E145">
        <f>1*60+36</f>
        <v>96</v>
      </c>
      <c r="F145" s="3">
        <f t="shared" si="100"/>
        <v>0.23132530120481928</v>
      </c>
      <c r="G145">
        <v>0</v>
      </c>
      <c r="H145" s="3">
        <f t="shared" si="92"/>
        <v>0</v>
      </c>
      <c r="I145">
        <v>479</v>
      </c>
      <c r="J145" s="3">
        <f t="shared" si="93"/>
        <v>0.8403508771929824</v>
      </c>
      <c r="K145">
        <v>85</v>
      </c>
      <c r="L145" s="3">
        <f t="shared" si="94"/>
        <v>0.14912280701754385</v>
      </c>
      <c r="M145">
        <v>2</v>
      </c>
      <c r="N145" s="3">
        <f t="shared" si="95"/>
        <v>3.5087719298245615E-3</v>
      </c>
      <c r="O145">
        <v>11</v>
      </c>
      <c r="P145" s="3">
        <f t="shared" si="96"/>
        <v>1.9298245614035089E-2</v>
      </c>
      <c r="Q145">
        <v>0</v>
      </c>
      <c r="R145" s="3">
        <f t="shared" si="97"/>
        <v>0</v>
      </c>
      <c r="S145">
        <v>6</v>
      </c>
      <c r="T145" s="3">
        <f t="shared" si="98"/>
        <v>1.0526315789473684E-2</v>
      </c>
    </row>
    <row r="146" spans="1:20" x14ac:dyDescent="0.25">
      <c r="A146" s="1">
        <f t="shared" si="99"/>
        <v>43855</v>
      </c>
      <c r="B146" t="s">
        <v>5</v>
      </c>
      <c r="C146" t="s">
        <v>34</v>
      </c>
      <c r="D146">
        <v>620</v>
      </c>
      <c r="E146">
        <f>1*60+35</f>
        <v>95</v>
      </c>
      <c r="F146" s="3">
        <f t="shared" si="100"/>
        <v>0.2289156626506024</v>
      </c>
      <c r="G146">
        <v>0</v>
      </c>
      <c r="H146" s="3">
        <f t="shared" si="92"/>
        <v>0</v>
      </c>
      <c r="I146">
        <v>523</v>
      </c>
      <c r="J146" s="3">
        <f t="shared" si="93"/>
        <v>0.84354838709677415</v>
      </c>
      <c r="K146">
        <v>88</v>
      </c>
      <c r="L146" s="3">
        <f t="shared" si="94"/>
        <v>0.14193548387096774</v>
      </c>
      <c r="M146">
        <v>0</v>
      </c>
      <c r="N146" s="3">
        <f t="shared" si="95"/>
        <v>0</v>
      </c>
      <c r="O146">
        <v>10</v>
      </c>
      <c r="P146" s="3">
        <f t="shared" si="96"/>
        <v>1.6129032258064516E-2</v>
      </c>
      <c r="Q146">
        <v>4</v>
      </c>
      <c r="R146" s="3">
        <f t="shared" si="97"/>
        <v>6.4516129032258064E-3</v>
      </c>
      <c r="S146">
        <v>9</v>
      </c>
      <c r="T146" s="3">
        <f t="shared" si="98"/>
        <v>1.4516129032258065E-2</v>
      </c>
    </row>
    <row r="147" spans="1:20" x14ac:dyDescent="0.25">
      <c r="A147" s="1">
        <f t="shared" si="99"/>
        <v>43855</v>
      </c>
      <c r="B147" t="s">
        <v>5</v>
      </c>
      <c r="C147" t="s">
        <v>35</v>
      </c>
      <c r="D147">
        <v>620</v>
      </c>
      <c r="E147">
        <f>1*60+35</f>
        <v>95</v>
      </c>
      <c r="F147" s="3">
        <f t="shared" si="100"/>
        <v>0.2289156626506024</v>
      </c>
      <c r="G147">
        <v>0</v>
      </c>
      <c r="H147" s="3">
        <f t="shared" si="92"/>
        <v>0</v>
      </c>
      <c r="I147">
        <v>499</v>
      </c>
      <c r="J147" s="3">
        <f t="shared" si="93"/>
        <v>0.80483870967741933</v>
      </c>
      <c r="K147">
        <v>108</v>
      </c>
      <c r="L147" s="3">
        <f t="shared" si="94"/>
        <v>0.17419354838709677</v>
      </c>
      <c r="M147">
        <v>6</v>
      </c>
      <c r="N147" s="3">
        <f t="shared" si="95"/>
        <v>9.6774193548387101E-3</v>
      </c>
      <c r="O147">
        <v>15</v>
      </c>
      <c r="P147" s="3">
        <f t="shared" si="96"/>
        <v>2.4193548387096774E-2</v>
      </c>
      <c r="Q147">
        <v>5</v>
      </c>
      <c r="R147" s="3">
        <f t="shared" si="97"/>
        <v>8.0645161290322578E-3</v>
      </c>
      <c r="S147">
        <v>9</v>
      </c>
      <c r="T147" s="3">
        <f t="shared" si="98"/>
        <v>1.4516129032258065E-2</v>
      </c>
    </row>
    <row r="149" spans="1:20" x14ac:dyDescent="0.25">
      <c r="A149" s="1">
        <v>43856</v>
      </c>
      <c r="B149" s="1" t="s">
        <v>4</v>
      </c>
      <c r="C149" s="1" t="s">
        <v>40</v>
      </c>
      <c r="D149">
        <v>6377</v>
      </c>
      <c r="E149">
        <f>5*60+49</f>
        <v>349</v>
      </c>
      <c r="F149" s="3">
        <f t="shared" ref="F149" si="101">E149/E$150</f>
        <v>1.0705521472392638</v>
      </c>
      <c r="G149">
        <v>0</v>
      </c>
      <c r="H149" s="3">
        <f t="shared" ref="H149:H158" si="102">G149/$D149</f>
        <v>0</v>
      </c>
      <c r="I149">
        <v>5146</v>
      </c>
      <c r="J149" s="3">
        <f t="shared" ref="J149:J158" si="103">I149/$D149</f>
        <v>0.80696252156186299</v>
      </c>
      <c r="K149">
        <v>1102</v>
      </c>
      <c r="L149" s="3">
        <f t="shared" ref="L149:L158" si="104">K149/$D149</f>
        <v>0.17280853065704876</v>
      </c>
      <c r="M149">
        <v>58</v>
      </c>
      <c r="N149" s="3">
        <f t="shared" ref="N149:N158" si="105">M149/$D149</f>
        <v>9.0951858240551978E-3</v>
      </c>
      <c r="O149">
        <v>116</v>
      </c>
      <c r="P149" s="3">
        <f t="shared" ref="P149:P158" si="106">O149/$D149</f>
        <v>1.8190371648110396E-2</v>
      </c>
      <c r="Q149">
        <v>59</v>
      </c>
      <c r="R149" s="3">
        <f t="shared" ref="R149:R158" si="107">Q149/$D149</f>
        <v>9.251999372745805E-3</v>
      </c>
      <c r="S149">
        <v>98</v>
      </c>
      <c r="T149" s="3">
        <f t="shared" ref="T149:T158" si="108">S149/$D149</f>
        <v>1.5367727771679473E-2</v>
      </c>
    </row>
    <row r="150" spans="1:20" x14ac:dyDescent="0.25">
      <c r="A150" s="1">
        <f t="shared" ref="A150:A158" si="109">A149</f>
        <v>43856</v>
      </c>
      <c r="B150" t="s">
        <v>3</v>
      </c>
      <c r="C150" s="1" t="s">
        <v>40</v>
      </c>
      <c r="D150">
        <v>606</v>
      </c>
      <c r="E150">
        <f>5*60+26</f>
        <v>326</v>
      </c>
      <c r="F150" s="3">
        <f>E150/E$150</f>
        <v>1</v>
      </c>
      <c r="G150">
        <v>0</v>
      </c>
      <c r="H150" s="3">
        <f t="shared" si="102"/>
        <v>0</v>
      </c>
      <c r="I150">
        <v>482</v>
      </c>
      <c r="J150" s="3">
        <f t="shared" si="103"/>
        <v>0.79537953795379535</v>
      </c>
      <c r="K150">
        <v>110</v>
      </c>
      <c r="L150" s="3">
        <f t="shared" si="104"/>
        <v>0.18151815181518152</v>
      </c>
      <c r="M150">
        <v>5</v>
      </c>
      <c r="N150" s="3">
        <f t="shared" si="105"/>
        <v>8.2508250825082501E-3</v>
      </c>
      <c r="O150">
        <v>11</v>
      </c>
      <c r="P150" s="3">
        <f t="shared" si="106"/>
        <v>1.8151815181518153E-2</v>
      </c>
      <c r="Q150">
        <v>6</v>
      </c>
      <c r="R150" s="3">
        <f t="shared" si="107"/>
        <v>9.9009900990099011E-3</v>
      </c>
      <c r="S150">
        <v>9</v>
      </c>
      <c r="T150" s="3">
        <f t="shared" si="108"/>
        <v>1.4851485148514851E-2</v>
      </c>
    </row>
    <row r="151" spans="1:20" x14ac:dyDescent="0.25">
      <c r="A151" s="1">
        <f t="shared" si="109"/>
        <v>43856</v>
      </c>
      <c r="B151" t="s">
        <v>5</v>
      </c>
      <c r="C151" s="1" t="s">
        <v>40</v>
      </c>
      <c r="D151">
        <v>620</v>
      </c>
      <c r="E151">
        <f>1*60+16</f>
        <v>76</v>
      </c>
      <c r="F151" s="3">
        <f t="shared" ref="F151:F158" si="110">E151/E$150</f>
        <v>0.23312883435582821</v>
      </c>
      <c r="G151">
        <v>0</v>
      </c>
      <c r="H151" s="3">
        <f t="shared" si="102"/>
        <v>0</v>
      </c>
      <c r="I151">
        <v>491</v>
      </c>
      <c r="J151" s="3">
        <f t="shared" si="103"/>
        <v>0.79193548387096779</v>
      </c>
      <c r="K151">
        <v>110</v>
      </c>
      <c r="L151" s="3">
        <f t="shared" si="104"/>
        <v>0.17741935483870969</v>
      </c>
      <c r="M151">
        <v>4</v>
      </c>
      <c r="N151" s="3">
        <f t="shared" si="105"/>
        <v>6.4516129032258064E-3</v>
      </c>
      <c r="O151">
        <v>20</v>
      </c>
      <c r="P151" s="3">
        <f t="shared" si="106"/>
        <v>3.2258064516129031E-2</v>
      </c>
      <c r="Q151">
        <v>13</v>
      </c>
      <c r="R151" s="3">
        <f t="shared" si="107"/>
        <v>2.0967741935483872E-2</v>
      </c>
      <c r="S151">
        <v>15</v>
      </c>
      <c r="T151" s="3">
        <f t="shared" si="108"/>
        <v>2.4193548387096774E-2</v>
      </c>
    </row>
    <row r="152" spans="1:20" x14ac:dyDescent="0.25">
      <c r="A152" s="1">
        <f t="shared" si="109"/>
        <v>43856</v>
      </c>
      <c r="B152" t="s">
        <v>6</v>
      </c>
      <c r="C152" s="1" t="s">
        <v>40</v>
      </c>
      <c r="D152">
        <v>610</v>
      </c>
      <c r="E152">
        <f>5*60+25</f>
        <v>325</v>
      </c>
      <c r="F152" s="3">
        <f t="shared" si="110"/>
        <v>0.99693251533742333</v>
      </c>
      <c r="G152">
        <v>0</v>
      </c>
      <c r="H152" s="3">
        <f t="shared" si="102"/>
        <v>0</v>
      </c>
      <c r="I152">
        <v>501</v>
      </c>
      <c r="J152" s="3">
        <f t="shared" si="103"/>
        <v>0.82131147540983607</v>
      </c>
      <c r="K152">
        <v>95</v>
      </c>
      <c r="L152" s="3">
        <f t="shared" si="104"/>
        <v>0.15573770491803279</v>
      </c>
      <c r="M152">
        <v>4</v>
      </c>
      <c r="N152" s="3">
        <f t="shared" si="105"/>
        <v>6.5573770491803279E-3</v>
      </c>
      <c r="O152">
        <v>11</v>
      </c>
      <c r="P152" s="3">
        <f t="shared" si="106"/>
        <v>1.8032786885245903E-2</v>
      </c>
      <c r="Q152">
        <v>3</v>
      </c>
      <c r="R152" s="3">
        <f t="shared" si="107"/>
        <v>4.9180327868852463E-3</v>
      </c>
      <c r="S152">
        <v>11</v>
      </c>
      <c r="T152" s="3">
        <f t="shared" si="108"/>
        <v>1.8032786885245903E-2</v>
      </c>
    </row>
    <row r="153" spans="1:20" x14ac:dyDescent="0.25">
      <c r="A153" s="1">
        <f t="shared" si="109"/>
        <v>43856</v>
      </c>
      <c r="B153" t="s">
        <v>30</v>
      </c>
      <c r="C153" s="1" t="s">
        <v>39</v>
      </c>
      <c r="D153">
        <v>2449</v>
      </c>
      <c r="E153">
        <f>4*60+11</f>
        <v>251</v>
      </c>
      <c r="F153" s="3">
        <f t="shared" si="110"/>
        <v>0.76993865030674846</v>
      </c>
      <c r="G153">
        <v>99</v>
      </c>
      <c r="H153" s="3">
        <f t="shared" si="102"/>
        <v>4.0424663127807271E-2</v>
      </c>
      <c r="I153">
        <v>2201</v>
      </c>
      <c r="J153" s="3">
        <f t="shared" si="103"/>
        <v>0.89873417721518989</v>
      </c>
      <c r="K153">
        <v>137</v>
      </c>
      <c r="L153" s="3">
        <f t="shared" si="104"/>
        <v>5.5941200489995915E-2</v>
      </c>
      <c r="M153">
        <v>2</v>
      </c>
      <c r="N153" s="3">
        <f t="shared" si="105"/>
        <v>8.1665986116782364E-4</v>
      </c>
      <c r="O153">
        <v>10</v>
      </c>
      <c r="P153" s="3">
        <v>0.03</v>
      </c>
      <c r="Q153">
        <v>3</v>
      </c>
      <c r="R153" s="3">
        <f t="shared" si="107"/>
        <v>1.2249897917517355E-3</v>
      </c>
      <c r="S153">
        <v>13</v>
      </c>
      <c r="T153" s="3">
        <f t="shared" si="108"/>
        <v>5.3082890975908537E-3</v>
      </c>
    </row>
    <row r="154" spans="1:20" x14ac:dyDescent="0.25">
      <c r="A154" s="1">
        <f t="shared" si="109"/>
        <v>43856</v>
      </c>
      <c r="B154" t="s">
        <v>5</v>
      </c>
      <c r="C154" t="s">
        <v>36</v>
      </c>
      <c r="D154">
        <v>600</v>
      </c>
      <c r="E154">
        <f>1*60+11</f>
        <v>71</v>
      </c>
      <c r="F154" s="3">
        <f t="shared" si="110"/>
        <v>0.21779141104294478</v>
      </c>
      <c r="G154">
        <v>22</v>
      </c>
      <c r="H154" s="3">
        <f t="shared" si="102"/>
        <v>3.6666666666666667E-2</v>
      </c>
      <c r="I154">
        <v>471</v>
      </c>
      <c r="J154" s="3">
        <f t="shared" si="103"/>
        <v>0.78500000000000003</v>
      </c>
      <c r="K154">
        <v>115</v>
      </c>
      <c r="L154" s="3">
        <f t="shared" si="104"/>
        <v>0.19166666666666668</v>
      </c>
      <c r="M154">
        <v>5</v>
      </c>
      <c r="N154" s="3">
        <f t="shared" si="105"/>
        <v>8.3333333333333332E-3</v>
      </c>
      <c r="O154">
        <v>11</v>
      </c>
      <c r="P154" s="3">
        <f t="shared" si="106"/>
        <v>1.8333333333333333E-2</v>
      </c>
      <c r="Q154">
        <v>9</v>
      </c>
      <c r="R154" s="3">
        <f t="shared" si="107"/>
        <v>1.4999999999999999E-2</v>
      </c>
      <c r="S154">
        <v>11</v>
      </c>
      <c r="T154" s="3">
        <f t="shared" si="108"/>
        <v>1.8333333333333333E-2</v>
      </c>
    </row>
    <row r="155" spans="1:20" x14ac:dyDescent="0.25">
      <c r="A155" s="1">
        <f t="shared" si="109"/>
        <v>43856</v>
      </c>
      <c r="B155" t="s">
        <v>5</v>
      </c>
      <c r="C155" t="s">
        <v>32</v>
      </c>
      <c r="D155">
        <v>570</v>
      </c>
      <c r="E155">
        <f>1*60+9</f>
        <v>69</v>
      </c>
      <c r="F155" s="3">
        <f t="shared" si="110"/>
        <v>0.21165644171779141</v>
      </c>
      <c r="G155">
        <v>0</v>
      </c>
      <c r="H155" s="3">
        <f t="shared" si="102"/>
        <v>0</v>
      </c>
      <c r="I155">
        <v>444</v>
      </c>
      <c r="J155" s="3">
        <f t="shared" si="103"/>
        <v>0.77894736842105261</v>
      </c>
      <c r="K155">
        <v>106</v>
      </c>
      <c r="L155" s="3">
        <f t="shared" si="104"/>
        <v>0.18596491228070175</v>
      </c>
      <c r="M155">
        <v>9</v>
      </c>
      <c r="N155" s="3">
        <f t="shared" si="105"/>
        <v>1.5789473684210527E-2</v>
      </c>
      <c r="O155">
        <v>9</v>
      </c>
      <c r="P155" s="3">
        <f t="shared" si="106"/>
        <v>1.5789473684210527E-2</v>
      </c>
      <c r="Q155">
        <v>15</v>
      </c>
      <c r="R155" s="3">
        <f t="shared" si="107"/>
        <v>2.6315789473684209E-2</v>
      </c>
      <c r="S155">
        <v>16</v>
      </c>
      <c r="T155" s="3">
        <f t="shared" si="108"/>
        <v>2.8070175438596492E-2</v>
      </c>
    </row>
    <row r="156" spans="1:20" x14ac:dyDescent="0.25">
      <c r="A156" s="1">
        <f t="shared" si="109"/>
        <v>43856</v>
      </c>
      <c r="B156" t="s">
        <v>5</v>
      </c>
      <c r="C156" t="s">
        <v>33</v>
      </c>
      <c r="D156">
        <v>630</v>
      </c>
      <c r="E156">
        <f>1*60+23</f>
        <v>83</v>
      </c>
      <c r="F156" s="3">
        <f t="shared" si="110"/>
        <v>0.254601226993865</v>
      </c>
      <c r="G156">
        <v>0</v>
      </c>
      <c r="H156" s="3">
        <f t="shared" si="102"/>
        <v>0</v>
      </c>
      <c r="I156">
        <v>486</v>
      </c>
      <c r="J156" s="3">
        <f t="shared" si="103"/>
        <v>0.77142857142857146</v>
      </c>
      <c r="K156">
        <v>124</v>
      </c>
      <c r="L156" s="3">
        <f t="shared" si="104"/>
        <v>0.19682539682539682</v>
      </c>
      <c r="M156">
        <v>13</v>
      </c>
      <c r="N156" s="3">
        <f t="shared" si="105"/>
        <v>2.0634920634920634E-2</v>
      </c>
      <c r="O156">
        <v>9</v>
      </c>
      <c r="P156" s="3">
        <f t="shared" si="106"/>
        <v>1.4285714285714285E-2</v>
      </c>
      <c r="Q156">
        <v>12</v>
      </c>
      <c r="R156" s="3">
        <f t="shared" si="107"/>
        <v>1.9047619047619049E-2</v>
      </c>
      <c r="S156">
        <v>13</v>
      </c>
      <c r="T156" s="3">
        <f t="shared" si="108"/>
        <v>2.0634920634920634E-2</v>
      </c>
    </row>
    <row r="157" spans="1:20" x14ac:dyDescent="0.25">
      <c r="A157" s="1">
        <f t="shared" si="109"/>
        <v>43856</v>
      </c>
      <c r="B157" t="s">
        <v>5</v>
      </c>
      <c r="C157" t="s">
        <v>34</v>
      </c>
      <c r="D157">
        <v>580</v>
      </c>
      <c r="E157">
        <f>1*60+14</f>
        <v>74</v>
      </c>
      <c r="F157" s="3">
        <f t="shared" si="110"/>
        <v>0.22699386503067484</v>
      </c>
      <c r="G157">
        <v>3</v>
      </c>
      <c r="H157" s="3">
        <f t="shared" si="102"/>
        <v>5.1724137931034482E-3</v>
      </c>
      <c r="I157">
        <v>474</v>
      </c>
      <c r="J157" s="3">
        <f t="shared" si="103"/>
        <v>0.8172413793103448</v>
      </c>
      <c r="K157">
        <v>100</v>
      </c>
      <c r="L157" s="3">
        <f t="shared" si="104"/>
        <v>0.17241379310344829</v>
      </c>
      <c r="M157">
        <v>5</v>
      </c>
      <c r="N157" s="3">
        <f t="shared" si="105"/>
        <v>8.6206896551724137E-3</v>
      </c>
      <c r="O157">
        <v>10</v>
      </c>
      <c r="P157" s="3">
        <f t="shared" si="106"/>
        <v>1.7241379310344827E-2</v>
      </c>
      <c r="Q157">
        <v>2</v>
      </c>
      <c r="R157" s="3">
        <f t="shared" si="107"/>
        <v>3.4482758620689655E-3</v>
      </c>
      <c r="S157">
        <v>4</v>
      </c>
      <c r="T157" s="3">
        <f t="shared" si="108"/>
        <v>6.8965517241379309E-3</v>
      </c>
    </row>
    <row r="158" spans="1:20" x14ac:dyDescent="0.25">
      <c r="A158" s="1">
        <f t="shared" si="109"/>
        <v>43856</v>
      </c>
      <c r="B158" t="s">
        <v>5</v>
      </c>
      <c r="C158" t="s">
        <v>35</v>
      </c>
      <c r="D158">
        <v>610</v>
      </c>
      <c r="E158">
        <f>1*60+16</f>
        <v>76</v>
      </c>
      <c r="F158" s="3">
        <f t="shared" si="110"/>
        <v>0.23312883435582821</v>
      </c>
      <c r="G158">
        <v>3</v>
      </c>
      <c r="H158" s="3">
        <f t="shared" si="102"/>
        <v>4.9180327868852463E-3</v>
      </c>
      <c r="I158">
        <v>503</v>
      </c>
      <c r="J158" s="3">
        <f t="shared" si="103"/>
        <v>0.82459016393442619</v>
      </c>
      <c r="K158">
        <v>89</v>
      </c>
      <c r="L158" s="3">
        <f t="shared" si="104"/>
        <v>0.14590163934426228</v>
      </c>
      <c r="M158">
        <v>8</v>
      </c>
      <c r="N158" s="3">
        <f t="shared" si="105"/>
        <v>1.3114754098360656E-2</v>
      </c>
      <c r="O158">
        <v>13</v>
      </c>
      <c r="P158" s="3">
        <f t="shared" si="106"/>
        <v>2.1311475409836064E-2</v>
      </c>
      <c r="Q158">
        <v>10</v>
      </c>
      <c r="R158" s="3">
        <f t="shared" si="107"/>
        <v>1.6393442622950821E-2</v>
      </c>
      <c r="S158">
        <v>11</v>
      </c>
      <c r="T158" s="3">
        <f t="shared" si="108"/>
        <v>1.8032786885245903E-2</v>
      </c>
    </row>
    <row r="160" spans="1:20" x14ac:dyDescent="0.25">
      <c r="A160" s="1">
        <v>43857</v>
      </c>
      <c r="B160" s="1" t="s">
        <v>4</v>
      </c>
      <c r="C160" s="1" t="s">
        <v>40</v>
      </c>
      <c r="D160">
        <v>6369</v>
      </c>
      <c r="E160">
        <f>6*60+27</f>
        <v>387</v>
      </c>
      <c r="F160" s="3">
        <f t="shared" ref="F160" si="111">E160/E$161</f>
        <v>0.93253012048192774</v>
      </c>
      <c r="G160">
        <v>1</v>
      </c>
      <c r="H160" s="3">
        <f t="shared" ref="H160:H169" si="112">G160/$D160</f>
        <v>1.5701051970482021E-4</v>
      </c>
      <c r="I160">
        <v>5140</v>
      </c>
      <c r="J160" s="3">
        <f t="shared" ref="J160:J169" si="113">I160/$D160</f>
        <v>0.80703407128277593</v>
      </c>
      <c r="K160">
        <v>1101</v>
      </c>
      <c r="L160" s="3">
        <f t="shared" ref="L160:L169" si="114">K160/$D160</f>
        <v>0.17286858219500706</v>
      </c>
      <c r="M160">
        <v>57</v>
      </c>
      <c r="N160" s="3">
        <f t="shared" ref="N160:N169" si="115">M160/$D160</f>
        <v>8.9495996231747522E-3</v>
      </c>
      <c r="O160">
        <v>115</v>
      </c>
      <c r="P160" s="3">
        <f t="shared" ref="P160:P169" si="116">O160/$D160</f>
        <v>1.8056209766054324E-2</v>
      </c>
      <c r="Q160">
        <v>59</v>
      </c>
      <c r="R160" s="3">
        <f t="shared" ref="R160:R169" si="117">Q160/$D160</f>
        <v>9.2636206625843938E-3</v>
      </c>
      <c r="S160">
        <v>97</v>
      </c>
      <c r="T160" s="3">
        <f t="shared" ref="T160:T169" si="118">S160/$D160</f>
        <v>1.5230020411367562E-2</v>
      </c>
    </row>
    <row r="161" spans="1:20" x14ac:dyDescent="0.25">
      <c r="A161" s="1">
        <f t="shared" ref="A161:A169" si="119">A160</f>
        <v>43857</v>
      </c>
      <c r="B161" t="s">
        <v>3</v>
      </c>
      <c r="C161" s="1" t="s">
        <v>40</v>
      </c>
      <c r="D161">
        <v>613</v>
      </c>
      <c r="E161">
        <f>6*60+55</f>
        <v>415</v>
      </c>
      <c r="F161" s="3">
        <f>E161/E$161</f>
        <v>1</v>
      </c>
      <c r="G161">
        <v>0</v>
      </c>
      <c r="H161" s="3">
        <f t="shared" si="112"/>
        <v>0</v>
      </c>
      <c r="I161">
        <v>505</v>
      </c>
      <c r="J161" s="3">
        <f t="shared" si="113"/>
        <v>0.82381729200652531</v>
      </c>
      <c r="K161">
        <v>99</v>
      </c>
      <c r="L161" s="3">
        <f t="shared" si="114"/>
        <v>0.16150081566068517</v>
      </c>
      <c r="M161">
        <v>5</v>
      </c>
      <c r="N161" s="3">
        <f t="shared" si="115"/>
        <v>8.1566068515497546E-3</v>
      </c>
      <c r="O161">
        <v>10</v>
      </c>
      <c r="P161" s="3">
        <f t="shared" si="116"/>
        <v>1.6313213703099509E-2</v>
      </c>
      <c r="Q161">
        <v>5</v>
      </c>
      <c r="R161" s="3">
        <f t="shared" si="117"/>
        <v>8.1566068515497546E-3</v>
      </c>
      <c r="S161">
        <v>6</v>
      </c>
      <c r="T161" s="3">
        <f t="shared" si="118"/>
        <v>9.7879282218597055E-3</v>
      </c>
    </row>
    <row r="162" spans="1:20" x14ac:dyDescent="0.25">
      <c r="A162" s="1">
        <f t="shared" si="119"/>
        <v>43857</v>
      </c>
      <c r="B162" t="s">
        <v>5</v>
      </c>
      <c r="C162" s="1" t="s">
        <v>40</v>
      </c>
      <c r="D162">
        <v>589</v>
      </c>
      <c r="E162">
        <f>1*60+5</f>
        <v>65</v>
      </c>
      <c r="F162" s="3">
        <f t="shared" ref="F162:F169" si="120">E162/E$161</f>
        <v>0.15662650602409639</v>
      </c>
      <c r="G162">
        <v>0</v>
      </c>
      <c r="H162" s="3">
        <f t="shared" si="112"/>
        <v>0</v>
      </c>
      <c r="I162">
        <v>483</v>
      </c>
      <c r="J162" s="3">
        <f t="shared" si="113"/>
        <v>0.82003395585738537</v>
      </c>
      <c r="K162">
        <v>95</v>
      </c>
      <c r="L162" s="3">
        <f t="shared" si="114"/>
        <v>0.16129032258064516</v>
      </c>
      <c r="M162">
        <v>4</v>
      </c>
      <c r="N162" s="3">
        <f t="shared" si="115"/>
        <v>6.7911714770797962E-3</v>
      </c>
      <c r="O162">
        <v>8</v>
      </c>
      <c r="P162" s="3">
        <f t="shared" si="116"/>
        <v>1.3582342954159592E-2</v>
      </c>
      <c r="Q162">
        <v>6</v>
      </c>
      <c r="R162" s="3">
        <f t="shared" si="117"/>
        <v>1.0186757215619695E-2</v>
      </c>
      <c r="S162">
        <v>11</v>
      </c>
      <c r="T162" s="3">
        <f t="shared" si="118"/>
        <v>1.8675721561969439E-2</v>
      </c>
    </row>
    <row r="163" spans="1:20" x14ac:dyDescent="0.25">
      <c r="A163" s="1">
        <f t="shared" si="119"/>
        <v>43857</v>
      </c>
      <c r="B163" t="s">
        <v>6</v>
      </c>
      <c r="C163" s="1" t="s">
        <v>40</v>
      </c>
      <c r="D163">
        <v>615</v>
      </c>
      <c r="E163">
        <f>5*60+17</f>
        <v>317</v>
      </c>
      <c r="F163" s="3">
        <f t="shared" si="120"/>
        <v>0.76385542168674703</v>
      </c>
      <c r="G163">
        <v>0</v>
      </c>
      <c r="H163" s="3">
        <f t="shared" si="112"/>
        <v>0</v>
      </c>
      <c r="I163">
        <v>484</v>
      </c>
      <c r="J163" s="3">
        <f t="shared" si="113"/>
        <v>0.78699186991869918</v>
      </c>
      <c r="K163">
        <v>123</v>
      </c>
      <c r="L163" s="3">
        <f t="shared" si="114"/>
        <v>0.2</v>
      </c>
      <c r="M163">
        <v>3</v>
      </c>
      <c r="N163" s="3">
        <f t="shared" si="115"/>
        <v>4.8780487804878049E-3</v>
      </c>
      <c r="O163">
        <v>10</v>
      </c>
      <c r="P163" s="3">
        <f t="shared" si="116"/>
        <v>1.6260162601626018E-2</v>
      </c>
      <c r="Q163">
        <v>3</v>
      </c>
      <c r="R163" s="3">
        <f t="shared" si="117"/>
        <v>4.8780487804878049E-3</v>
      </c>
      <c r="S163">
        <v>10</v>
      </c>
      <c r="T163" s="3">
        <f t="shared" si="118"/>
        <v>1.6260162601626018E-2</v>
      </c>
    </row>
    <row r="164" spans="1:20" x14ac:dyDescent="0.25">
      <c r="A164" s="1">
        <f t="shared" si="119"/>
        <v>43857</v>
      </c>
      <c r="B164" t="s">
        <v>30</v>
      </c>
      <c r="C164" s="1" t="s">
        <v>39</v>
      </c>
      <c r="D164">
        <v>2449</v>
      </c>
      <c r="E164">
        <f>3*60+28</f>
        <v>208</v>
      </c>
      <c r="F164" s="3">
        <f t="shared" si="120"/>
        <v>0.50120481927710847</v>
      </c>
      <c r="G164">
        <v>104</v>
      </c>
      <c r="H164" s="3">
        <f t="shared" si="112"/>
        <v>4.246631278072683E-2</v>
      </c>
      <c r="I164">
        <v>2193</v>
      </c>
      <c r="J164" s="3">
        <f t="shared" si="113"/>
        <v>0.89546753777051857</v>
      </c>
      <c r="K164">
        <v>140</v>
      </c>
      <c r="L164" s="3">
        <f t="shared" si="114"/>
        <v>5.7166190281747652E-2</v>
      </c>
      <c r="M164">
        <v>1</v>
      </c>
      <c r="N164" s="3">
        <f t="shared" si="115"/>
        <v>4.0832993058391182E-4</v>
      </c>
      <c r="O164">
        <v>9</v>
      </c>
      <c r="P164" s="3">
        <f t="shared" si="116"/>
        <v>3.6749693752552064E-3</v>
      </c>
      <c r="Q164">
        <v>3</v>
      </c>
      <c r="R164" s="3">
        <f t="shared" si="117"/>
        <v>1.2249897917517355E-3</v>
      </c>
      <c r="S164">
        <v>13</v>
      </c>
      <c r="T164" s="3">
        <f t="shared" si="118"/>
        <v>5.3082890975908537E-3</v>
      </c>
    </row>
    <row r="165" spans="1:20" x14ac:dyDescent="0.25">
      <c r="A165" s="1">
        <f t="shared" si="119"/>
        <v>43857</v>
      </c>
      <c r="B165" t="s">
        <v>5</v>
      </c>
      <c r="C165" t="s">
        <v>36</v>
      </c>
      <c r="D165">
        <v>590</v>
      </c>
      <c r="E165">
        <f t="shared" si="90"/>
        <v>61</v>
      </c>
      <c r="F165" s="3">
        <f t="shared" si="120"/>
        <v>0.14698795180722893</v>
      </c>
      <c r="G165">
        <v>0</v>
      </c>
      <c r="H165" s="3">
        <f t="shared" si="112"/>
        <v>0</v>
      </c>
      <c r="I165">
        <v>487</v>
      </c>
      <c r="J165" s="3">
        <f t="shared" si="113"/>
        <v>0.8254237288135593</v>
      </c>
      <c r="K165">
        <v>92</v>
      </c>
      <c r="L165" s="3">
        <f t="shared" si="114"/>
        <v>0.15593220338983052</v>
      </c>
      <c r="M165">
        <v>6</v>
      </c>
      <c r="N165" s="3">
        <f t="shared" si="115"/>
        <v>1.0169491525423728E-2</v>
      </c>
      <c r="O165">
        <v>8</v>
      </c>
      <c r="P165" s="3">
        <f t="shared" si="116"/>
        <v>1.3559322033898305E-2</v>
      </c>
      <c r="Q165">
        <v>7</v>
      </c>
      <c r="R165" s="3">
        <f t="shared" si="117"/>
        <v>1.1864406779661017E-2</v>
      </c>
      <c r="S165">
        <v>8</v>
      </c>
      <c r="T165" s="3">
        <f t="shared" si="118"/>
        <v>1.3559322033898305E-2</v>
      </c>
    </row>
    <row r="166" spans="1:20" x14ac:dyDescent="0.25">
      <c r="A166" s="1">
        <f t="shared" si="119"/>
        <v>43857</v>
      </c>
      <c r="B166" t="s">
        <v>5</v>
      </c>
      <c r="C166" t="s">
        <v>32</v>
      </c>
      <c r="D166">
        <v>570</v>
      </c>
      <c r="E166">
        <f>1*60+12</f>
        <v>72</v>
      </c>
      <c r="F166" s="3">
        <f t="shared" si="120"/>
        <v>0.17349397590361446</v>
      </c>
      <c r="G166">
        <v>0</v>
      </c>
      <c r="H166" s="3">
        <f t="shared" si="112"/>
        <v>0</v>
      </c>
      <c r="I166">
        <v>479</v>
      </c>
      <c r="J166" s="3">
        <f t="shared" si="113"/>
        <v>0.8403508771929824</v>
      </c>
      <c r="K166">
        <v>86</v>
      </c>
      <c r="L166" s="3">
        <f t="shared" si="114"/>
        <v>0.15087719298245614</v>
      </c>
      <c r="M166">
        <v>1</v>
      </c>
      <c r="N166" s="3">
        <f t="shared" si="115"/>
        <v>1.7543859649122807E-3</v>
      </c>
      <c r="O166">
        <v>11</v>
      </c>
      <c r="P166" s="3">
        <f t="shared" si="116"/>
        <v>1.9298245614035089E-2</v>
      </c>
      <c r="Q166">
        <v>1</v>
      </c>
      <c r="R166" s="3">
        <f t="shared" si="117"/>
        <v>1.7543859649122807E-3</v>
      </c>
      <c r="S166">
        <v>5</v>
      </c>
      <c r="T166" s="3">
        <f t="shared" si="118"/>
        <v>8.771929824561403E-3</v>
      </c>
    </row>
    <row r="167" spans="1:20" x14ac:dyDescent="0.25">
      <c r="A167" s="1">
        <f t="shared" si="119"/>
        <v>43857</v>
      </c>
      <c r="B167" t="s">
        <v>5</v>
      </c>
      <c r="C167" t="s">
        <v>33</v>
      </c>
      <c r="D167">
        <v>600</v>
      </c>
      <c r="E167">
        <f>1*60+12</f>
        <v>72</v>
      </c>
      <c r="F167" s="3">
        <f t="shared" si="120"/>
        <v>0.17349397590361446</v>
      </c>
      <c r="G167">
        <v>0</v>
      </c>
      <c r="H167" s="3">
        <f t="shared" si="112"/>
        <v>0</v>
      </c>
      <c r="I167">
        <v>498</v>
      </c>
      <c r="J167" s="3">
        <f t="shared" si="113"/>
        <v>0.83</v>
      </c>
      <c r="K167">
        <v>95</v>
      </c>
      <c r="L167" s="3">
        <f t="shared" si="114"/>
        <v>0.15833333333333333</v>
      </c>
      <c r="M167">
        <v>6</v>
      </c>
      <c r="N167" s="3">
        <f t="shared" si="115"/>
        <v>0.01</v>
      </c>
      <c r="O167">
        <v>10</v>
      </c>
      <c r="P167" s="3">
        <f t="shared" si="116"/>
        <v>1.6666666666666666E-2</v>
      </c>
      <c r="Q167">
        <v>0</v>
      </c>
      <c r="R167" s="3">
        <f t="shared" si="117"/>
        <v>0</v>
      </c>
      <c r="S167">
        <v>4</v>
      </c>
      <c r="T167" s="3">
        <f t="shared" si="118"/>
        <v>6.6666666666666671E-3</v>
      </c>
    </row>
    <row r="168" spans="1:20" x14ac:dyDescent="0.25">
      <c r="A168" s="1">
        <f t="shared" si="119"/>
        <v>43857</v>
      </c>
      <c r="B168" t="s">
        <v>5</v>
      </c>
      <c r="C168" t="s">
        <v>34</v>
      </c>
      <c r="D168">
        <v>610</v>
      </c>
      <c r="E168">
        <f>1*60+4</f>
        <v>64</v>
      </c>
      <c r="F168" s="3">
        <f t="shared" si="120"/>
        <v>0.15421686746987953</v>
      </c>
      <c r="G168">
        <v>3</v>
      </c>
      <c r="H168" s="3">
        <f t="shared" si="112"/>
        <v>4.9180327868852463E-3</v>
      </c>
      <c r="I168">
        <v>481</v>
      </c>
      <c r="J168" s="3">
        <f t="shared" si="113"/>
        <v>0.78852459016393439</v>
      </c>
      <c r="K168">
        <v>110</v>
      </c>
      <c r="L168" s="3">
        <f t="shared" si="114"/>
        <v>0.18032786885245902</v>
      </c>
      <c r="M168">
        <v>10</v>
      </c>
      <c r="N168" s="3">
        <f t="shared" si="115"/>
        <v>1.6393442622950821E-2</v>
      </c>
      <c r="O168">
        <v>8</v>
      </c>
      <c r="P168" s="3">
        <f t="shared" si="116"/>
        <v>1.3114754098360656E-2</v>
      </c>
      <c r="Q168">
        <v>7</v>
      </c>
      <c r="R168" s="3">
        <f t="shared" si="117"/>
        <v>1.1475409836065573E-2</v>
      </c>
      <c r="S168">
        <v>9</v>
      </c>
      <c r="T168" s="3">
        <f t="shared" si="118"/>
        <v>1.4754098360655738E-2</v>
      </c>
    </row>
    <row r="169" spans="1:20" x14ac:dyDescent="0.25">
      <c r="A169" s="1">
        <f t="shared" si="119"/>
        <v>43857</v>
      </c>
      <c r="B169" t="s">
        <v>5</v>
      </c>
      <c r="C169" t="s">
        <v>35</v>
      </c>
      <c r="D169">
        <v>600</v>
      </c>
      <c r="E169">
        <f>1*60+0</f>
        <v>60</v>
      </c>
      <c r="F169" s="3">
        <f t="shared" si="120"/>
        <v>0.14457831325301204</v>
      </c>
      <c r="G169">
        <v>7</v>
      </c>
      <c r="H169" s="3">
        <f t="shared" si="112"/>
        <v>1.1666666666666667E-2</v>
      </c>
      <c r="I169">
        <v>445</v>
      </c>
      <c r="J169" s="3">
        <f t="shared" si="113"/>
        <v>0.7416666666666667</v>
      </c>
      <c r="K169">
        <v>135</v>
      </c>
      <c r="L169" s="3">
        <f t="shared" si="114"/>
        <v>0.22500000000000001</v>
      </c>
      <c r="M169">
        <v>7</v>
      </c>
      <c r="N169" s="3">
        <f t="shared" si="115"/>
        <v>1.1666666666666667E-2</v>
      </c>
      <c r="O169">
        <v>14</v>
      </c>
      <c r="P169" s="3">
        <f t="shared" si="116"/>
        <v>2.3333333333333334E-2</v>
      </c>
      <c r="Q169">
        <v>7</v>
      </c>
      <c r="R169" s="3">
        <f t="shared" si="117"/>
        <v>1.1666666666666667E-2</v>
      </c>
      <c r="S169">
        <v>6</v>
      </c>
      <c r="T169" s="3">
        <f t="shared" si="118"/>
        <v>0.01</v>
      </c>
    </row>
    <row r="171" spans="1:20" x14ac:dyDescent="0.25">
      <c r="A171" s="1">
        <v>43858</v>
      </c>
      <c r="B171" s="1" t="s">
        <v>4</v>
      </c>
      <c r="C171" s="1" t="s">
        <v>40</v>
      </c>
      <c r="D171">
        <v>6390</v>
      </c>
      <c r="E171">
        <f>5*60+39</f>
        <v>339</v>
      </c>
      <c r="F171" s="3">
        <f t="shared" ref="F171" si="121">E171/E$172</f>
        <v>1.193661971830986</v>
      </c>
      <c r="G171">
        <v>0</v>
      </c>
      <c r="H171" s="3">
        <f t="shared" ref="H171:H181" si="122">G171/$D171</f>
        <v>0</v>
      </c>
      <c r="I171">
        <v>5159</v>
      </c>
      <c r="J171" s="3">
        <f t="shared" ref="J171:J180" si="123">I171/$D171</f>
        <v>0.80735524256651015</v>
      </c>
      <c r="K171">
        <v>1105</v>
      </c>
      <c r="L171" s="3">
        <f t="shared" ref="L171:L180" si="124">K171/$D171</f>
        <v>0.1729264475743349</v>
      </c>
      <c r="M171">
        <v>55</v>
      </c>
      <c r="N171" s="3">
        <f t="shared" ref="N171:N180" si="125">M171/$D171</f>
        <v>8.6071987480438178E-3</v>
      </c>
      <c r="O171">
        <v>117</v>
      </c>
      <c r="P171" s="3">
        <f t="shared" ref="P171:P180" si="126">O171/$D171</f>
        <v>1.8309859154929577E-2</v>
      </c>
      <c r="Q171">
        <v>60</v>
      </c>
      <c r="R171" s="3">
        <f t="shared" ref="R171:R180" si="127">Q171/$D171</f>
        <v>9.3896713615023476E-3</v>
      </c>
      <c r="S171">
        <v>99</v>
      </c>
      <c r="T171" s="3">
        <f t="shared" ref="T171:T180" si="128">S171/$D171</f>
        <v>1.5492957746478873E-2</v>
      </c>
    </row>
    <row r="172" spans="1:20" x14ac:dyDescent="0.25">
      <c r="A172" s="1">
        <f t="shared" ref="A172:A192" si="129">A171</f>
        <v>43858</v>
      </c>
      <c r="B172" t="s">
        <v>3</v>
      </c>
      <c r="C172" s="1" t="s">
        <v>40</v>
      </c>
      <c r="D172">
        <v>613</v>
      </c>
      <c r="E172">
        <f>4*60+44</f>
        <v>284</v>
      </c>
      <c r="F172" s="3">
        <f>E172/E$172</f>
        <v>1</v>
      </c>
      <c r="G172">
        <v>0</v>
      </c>
      <c r="H172" s="3">
        <f t="shared" si="122"/>
        <v>0</v>
      </c>
      <c r="I172">
        <v>496</v>
      </c>
      <c r="J172" s="3">
        <f t="shared" si="123"/>
        <v>0.80913539967373571</v>
      </c>
      <c r="K172">
        <v>104</v>
      </c>
      <c r="L172" s="3">
        <f t="shared" si="124"/>
        <v>0.16965742251223492</v>
      </c>
      <c r="M172">
        <v>4</v>
      </c>
      <c r="N172" s="3">
        <f t="shared" si="125"/>
        <v>6.5252854812398045E-3</v>
      </c>
      <c r="O172">
        <v>13</v>
      </c>
      <c r="P172" s="3">
        <f t="shared" si="126"/>
        <v>2.1207177814029365E-2</v>
      </c>
      <c r="Q172">
        <v>6</v>
      </c>
      <c r="R172" s="3">
        <f t="shared" si="127"/>
        <v>9.7879282218597055E-3</v>
      </c>
      <c r="S172">
        <v>9</v>
      </c>
      <c r="T172" s="3">
        <f t="shared" si="128"/>
        <v>1.468189233278956E-2</v>
      </c>
    </row>
    <row r="173" spans="1:20" x14ac:dyDescent="0.25">
      <c r="A173" s="1">
        <f t="shared" si="129"/>
        <v>43858</v>
      </c>
      <c r="B173" t="s">
        <v>5</v>
      </c>
      <c r="C173" s="1" t="s">
        <v>40</v>
      </c>
      <c r="D173">
        <v>570</v>
      </c>
      <c r="E173">
        <f>1*60+4</f>
        <v>64</v>
      </c>
      <c r="F173" s="3">
        <f t="shared" ref="F173:F181" si="130">E173/E$172</f>
        <v>0.22535211267605634</v>
      </c>
      <c r="G173">
        <v>0</v>
      </c>
      <c r="H173" s="3">
        <f t="shared" si="122"/>
        <v>0</v>
      </c>
      <c r="I173">
        <v>459</v>
      </c>
      <c r="J173" s="3">
        <f t="shared" si="123"/>
        <v>0.80526315789473679</v>
      </c>
      <c r="K173">
        <v>100</v>
      </c>
      <c r="L173" s="3">
        <f t="shared" si="124"/>
        <v>0.17543859649122806</v>
      </c>
      <c r="M173">
        <v>7</v>
      </c>
      <c r="N173" s="3">
        <f t="shared" si="125"/>
        <v>1.2280701754385965E-2</v>
      </c>
      <c r="O173">
        <v>8</v>
      </c>
      <c r="P173" s="3">
        <f t="shared" si="126"/>
        <v>1.4035087719298246E-2</v>
      </c>
      <c r="Q173">
        <v>5</v>
      </c>
      <c r="R173" s="3">
        <f t="shared" si="127"/>
        <v>8.771929824561403E-3</v>
      </c>
      <c r="S173">
        <v>4</v>
      </c>
      <c r="T173" s="3">
        <f t="shared" si="128"/>
        <v>7.0175438596491229E-3</v>
      </c>
    </row>
    <row r="174" spans="1:20" x14ac:dyDescent="0.25">
      <c r="A174" s="1">
        <f t="shared" si="129"/>
        <v>43858</v>
      </c>
      <c r="B174" t="s">
        <v>6</v>
      </c>
      <c r="C174" s="1" t="s">
        <v>40</v>
      </c>
      <c r="D174">
        <v>613</v>
      </c>
      <c r="E174">
        <f>5*60+4</f>
        <v>304</v>
      </c>
      <c r="F174" s="3">
        <f t="shared" si="130"/>
        <v>1.0704225352112675</v>
      </c>
      <c r="G174">
        <v>0</v>
      </c>
      <c r="H174" s="3">
        <f t="shared" si="122"/>
        <v>0</v>
      </c>
      <c r="I174">
        <v>501</v>
      </c>
      <c r="J174" s="3">
        <f t="shared" si="123"/>
        <v>0.81729200652528544</v>
      </c>
      <c r="K174">
        <v>103</v>
      </c>
      <c r="L174" s="3">
        <f t="shared" si="124"/>
        <v>0.16802610114192496</v>
      </c>
      <c r="M174">
        <v>1</v>
      </c>
      <c r="N174" s="3">
        <f t="shared" si="125"/>
        <v>1.6313213703099511E-3</v>
      </c>
      <c r="O174">
        <v>15</v>
      </c>
      <c r="P174" s="3">
        <f t="shared" si="126"/>
        <v>2.4469820554649267E-2</v>
      </c>
      <c r="Q174">
        <v>3</v>
      </c>
      <c r="R174" s="3">
        <f t="shared" si="127"/>
        <v>4.8939641109298528E-3</v>
      </c>
      <c r="S174">
        <v>9</v>
      </c>
      <c r="T174" s="3">
        <f t="shared" si="128"/>
        <v>1.468189233278956E-2</v>
      </c>
    </row>
    <row r="175" spans="1:20" x14ac:dyDescent="0.25">
      <c r="A175" s="1">
        <f t="shared" si="129"/>
        <v>43858</v>
      </c>
      <c r="B175" t="s">
        <v>30</v>
      </c>
      <c r="C175" s="1" t="s">
        <v>39</v>
      </c>
      <c r="D175">
        <v>2451</v>
      </c>
      <c r="E175">
        <f>5*60+0</f>
        <v>300</v>
      </c>
      <c r="F175" s="3">
        <f t="shared" ref="F175" si="131">E175/E$172</f>
        <v>1.056338028169014</v>
      </c>
      <c r="G175">
        <v>94</v>
      </c>
      <c r="H175" s="3">
        <f t="shared" si="122"/>
        <v>3.8351693186454511E-2</v>
      </c>
      <c r="I175">
        <v>2208</v>
      </c>
      <c r="J175" s="3">
        <f t="shared" ref="J175" si="132">I175/$D175</f>
        <v>0.90085679314565481</v>
      </c>
      <c r="K175">
        <v>137</v>
      </c>
      <c r="L175" s="3">
        <f t="shared" ref="L175" si="133">K175/$D175</f>
        <v>5.5895552835577317E-2</v>
      </c>
      <c r="M175">
        <v>1</v>
      </c>
      <c r="N175" s="3">
        <f t="shared" ref="N175" si="134">M175/$D175</f>
        <v>4.0799673602611179E-4</v>
      </c>
      <c r="O175">
        <v>10</v>
      </c>
      <c r="P175" s="3">
        <f t="shared" ref="P175" si="135">O175/$D175</f>
        <v>4.0799673602611181E-3</v>
      </c>
      <c r="Q175">
        <v>3</v>
      </c>
      <c r="R175" s="3">
        <f t="shared" ref="R175" si="136">Q175/$D175</f>
        <v>1.2239902080783353E-3</v>
      </c>
      <c r="S175">
        <v>13</v>
      </c>
      <c r="T175" s="3">
        <f t="shared" ref="T175" si="137">S175/$D175</f>
        <v>5.3039575683394534E-3</v>
      </c>
    </row>
    <row r="176" spans="1:20" x14ac:dyDescent="0.25">
      <c r="A176" s="1">
        <f t="shared" si="129"/>
        <v>43858</v>
      </c>
      <c r="B176" t="s">
        <v>5</v>
      </c>
      <c r="C176" t="s">
        <v>36</v>
      </c>
      <c r="D176">
        <v>610</v>
      </c>
      <c r="E176">
        <f>1*60+12</f>
        <v>72</v>
      </c>
      <c r="F176" s="3">
        <f t="shared" si="130"/>
        <v>0.25352112676056338</v>
      </c>
      <c r="G176">
        <v>0</v>
      </c>
      <c r="H176" s="3">
        <f t="shared" si="122"/>
        <v>0</v>
      </c>
      <c r="I176">
        <v>498</v>
      </c>
      <c r="J176" s="3">
        <f t="shared" si="123"/>
        <v>0.81639344262295077</v>
      </c>
      <c r="K176">
        <v>99</v>
      </c>
      <c r="L176" s="3">
        <f t="shared" si="124"/>
        <v>0.16229508196721312</v>
      </c>
      <c r="M176">
        <v>5</v>
      </c>
      <c r="N176" s="3">
        <f t="shared" si="125"/>
        <v>8.1967213114754103E-3</v>
      </c>
      <c r="O176">
        <v>17</v>
      </c>
      <c r="P176" s="3">
        <f t="shared" si="126"/>
        <v>2.7868852459016394E-2</v>
      </c>
      <c r="Q176">
        <v>8</v>
      </c>
      <c r="R176" s="3">
        <f t="shared" si="127"/>
        <v>1.3114754098360656E-2</v>
      </c>
      <c r="S176">
        <v>4</v>
      </c>
      <c r="T176" s="3">
        <f t="shared" si="128"/>
        <v>6.5573770491803279E-3</v>
      </c>
    </row>
    <row r="177" spans="1:20" x14ac:dyDescent="0.25">
      <c r="A177" s="1">
        <f t="shared" si="129"/>
        <v>43858</v>
      </c>
      <c r="B177" t="s">
        <v>5</v>
      </c>
      <c r="C177" t="s">
        <v>32</v>
      </c>
      <c r="D177">
        <v>590</v>
      </c>
      <c r="E177">
        <f>0*60+59</f>
        <v>59</v>
      </c>
      <c r="F177" s="3">
        <f t="shared" si="130"/>
        <v>0.20774647887323944</v>
      </c>
      <c r="G177">
        <v>0</v>
      </c>
      <c r="H177" s="3">
        <f t="shared" si="122"/>
        <v>0</v>
      </c>
      <c r="I177">
        <v>477</v>
      </c>
      <c r="J177" s="3">
        <f t="shared" si="123"/>
        <v>0.80847457627118646</v>
      </c>
      <c r="K177">
        <v>100</v>
      </c>
      <c r="L177" s="3">
        <f t="shared" si="124"/>
        <v>0.16949152542372881</v>
      </c>
      <c r="M177">
        <v>4</v>
      </c>
      <c r="N177" s="3">
        <f t="shared" si="125"/>
        <v>6.7796610169491523E-3</v>
      </c>
      <c r="O177">
        <v>10</v>
      </c>
      <c r="P177" s="3">
        <f t="shared" si="126"/>
        <v>1.6949152542372881E-2</v>
      </c>
      <c r="Q177">
        <v>0</v>
      </c>
      <c r="R177" s="3">
        <f t="shared" si="127"/>
        <v>0</v>
      </c>
      <c r="S177">
        <v>14</v>
      </c>
      <c r="T177" s="3">
        <f t="shared" si="128"/>
        <v>2.3728813559322035E-2</v>
      </c>
    </row>
    <row r="178" spans="1:20" x14ac:dyDescent="0.25">
      <c r="A178" s="1">
        <f t="shared" si="129"/>
        <v>43858</v>
      </c>
      <c r="B178" t="s">
        <v>5</v>
      </c>
      <c r="C178" t="s">
        <v>33</v>
      </c>
      <c r="D178">
        <v>580</v>
      </c>
      <c r="E178">
        <f>0*60+58</f>
        <v>58</v>
      </c>
      <c r="F178" s="3">
        <f t="shared" si="130"/>
        <v>0.20422535211267606</v>
      </c>
      <c r="G178">
        <v>0</v>
      </c>
      <c r="H178" s="3">
        <f t="shared" si="122"/>
        <v>0</v>
      </c>
      <c r="I178">
        <v>464</v>
      </c>
      <c r="J178" s="3">
        <f t="shared" si="123"/>
        <v>0.8</v>
      </c>
      <c r="K178">
        <v>103</v>
      </c>
      <c r="L178" s="3">
        <f t="shared" si="124"/>
        <v>0.17758620689655172</v>
      </c>
      <c r="M178">
        <v>5</v>
      </c>
      <c r="N178" s="3">
        <f t="shared" si="125"/>
        <v>8.6206896551724137E-3</v>
      </c>
      <c r="O178">
        <v>8</v>
      </c>
      <c r="P178" s="3">
        <f t="shared" si="126"/>
        <v>1.3793103448275862E-2</v>
      </c>
      <c r="Q178">
        <v>10</v>
      </c>
      <c r="R178" s="3">
        <f t="shared" si="127"/>
        <v>1.7241379310344827E-2</v>
      </c>
      <c r="S178">
        <v>16</v>
      </c>
      <c r="T178" s="3">
        <f t="shared" si="128"/>
        <v>2.7586206896551724E-2</v>
      </c>
    </row>
    <row r="179" spans="1:20" x14ac:dyDescent="0.25">
      <c r="A179" s="1">
        <f t="shared" si="129"/>
        <v>43858</v>
      </c>
      <c r="B179" t="s">
        <v>5</v>
      </c>
      <c r="C179" t="s">
        <v>34</v>
      </c>
      <c r="D179">
        <v>610</v>
      </c>
      <c r="E179">
        <f>1*60+2</f>
        <v>62</v>
      </c>
      <c r="F179" s="3">
        <f t="shared" si="130"/>
        <v>0.21830985915492956</v>
      </c>
      <c r="G179">
        <v>2</v>
      </c>
      <c r="H179" s="3">
        <f t="shared" si="122"/>
        <v>3.2786885245901639E-3</v>
      </c>
      <c r="I179">
        <v>493</v>
      </c>
      <c r="J179" s="3">
        <f t="shared" si="123"/>
        <v>0.80819672131147546</v>
      </c>
      <c r="K179">
        <v>106</v>
      </c>
      <c r="L179" s="3">
        <f t="shared" si="124"/>
        <v>0.17377049180327869</v>
      </c>
      <c r="M179">
        <v>4</v>
      </c>
      <c r="N179" s="3">
        <f t="shared" si="125"/>
        <v>6.5573770491803279E-3</v>
      </c>
      <c r="O179">
        <v>9</v>
      </c>
      <c r="P179" s="3">
        <f t="shared" si="126"/>
        <v>1.4754098360655738E-2</v>
      </c>
      <c r="Q179">
        <v>4</v>
      </c>
      <c r="R179" s="3">
        <f t="shared" si="127"/>
        <v>6.5573770491803279E-3</v>
      </c>
      <c r="S179">
        <v>9</v>
      </c>
      <c r="T179" s="3">
        <f t="shared" si="128"/>
        <v>1.4754098360655738E-2</v>
      </c>
    </row>
    <row r="180" spans="1:20" x14ac:dyDescent="0.25">
      <c r="A180" s="1">
        <f t="shared" si="129"/>
        <v>43858</v>
      </c>
      <c r="B180" t="s">
        <v>5</v>
      </c>
      <c r="C180" t="s">
        <v>35</v>
      </c>
      <c r="D180">
        <v>610</v>
      </c>
      <c r="E180">
        <f>1*60+8</f>
        <v>68</v>
      </c>
      <c r="F180" s="3">
        <f t="shared" si="130"/>
        <v>0.23943661971830985</v>
      </c>
      <c r="G180">
        <v>1</v>
      </c>
      <c r="H180" s="3">
        <f t="shared" si="122"/>
        <v>1.639344262295082E-3</v>
      </c>
      <c r="I180">
        <v>494</v>
      </c>
      <c r="J180" s="3">
        <f t="shared" si="123"/>
        <v>0.80983606557377052</v>
      </c>
      <c r="K180">
        <v>108</v>
      </c>
      <c r="L180" s="3">
        <f t="shared" si="124"/>
        <v>0.17704918032786884</v>
      </c>
      <c r="M180">
        <v>6</v>
      </c>
      <c r="N180" s="3">
        <f t="shared" si="125"/>
        <v>9.8360655737704927E-3</v>
      </c>
      <c r="O180">
        <v>9</v>
      </c>
      <c r="P180" s="3">
        <f t="shared" si="126"/>
        <v>1.4754098360655738E-2</v>
      </c>
      <c r="Q180">
        <v>3</v>
      </c>
      <c r="R180" s="3">
        <f t="shared" si="127"/>
        <v>4.9180327868852463E-3</v>
      </c>
      <c r="S180">
        <v>8</v>
      </c>
      <c r="T180" s="3">
        <f t="shared" si="128"/>
        <v>1.3114754098360656E-2</v>
      </c>
    </row>
    <row r="181" spans="1:20" x14ac:dyDescent="0.25">
      <c r="A181" s="1">
        <v>43858</v>
      </c>
      <c r="B181" s="1" t="s">
        <v>4</v>
      </c>
      <c r="C181" t="s">
        <v>34</v>
      </c>
      <c r="D181">
        <v>6390</v>
      </c>
      <c r="E181">
        <f>5*60+39</f>
        <v>339</v>
      </c>
      <c r="F181" s="3">
        <f t="shared" si="130"/>
        <v>1.193661971830986</v>
      </c>
      <c r="G181">
        <v>113</v>
      </c>
      <c r="H181" s="3">
        <f t="shared" si="122"/>
        <v>1.7683881064162753E-2</v>
      </c>
      <c r="I181">
        <v>5109</v>
      </c>
      <c r="J181" s="3">
        <f t="shared" ref="J181" si="138">I181/$D181</f>
        <v>0.79953051643192485</v>
      </c>
      <c r="K181">
        <v>1065</v>
      </c>
      <c r="L181" s="3">
        <f t="shared" ref="L181" si="139">K181/$D181</f>
        <v>0.16666666666666666</v>
      </c>
      <c r="M181">
        <v>50</v>
      </c>
      <c r="N181" s="3">
        <f t="shared" ref="N181" si="140">M181/$D181</f>
        <v>7.8247261345852897E-3</v>
      </c>
      <c r="O181">
        <v>109</v>
      </c>
      <c r="P181" s="3">
        <f t="shared" ref="P181" si="141">O181/$D181</f>
        <v>1.705790297339593E-2</v>
      </c>
      <c r="Q181">
        <v>56</v>
      </c>
      <c r="R181" s="3">
        <f t="shared" ref="R181" si="142">Q181/$D181</f>
        <v>8.7636932707355238E-3</v>
      </c>
      <c r="S181">
        <v>97</v>
      </c>
      <c r="T181" s="3">
        <f t="shared" ref="T181" si="143">S181/$D181</f>
        <v>1.5179968701095461E-2</v>
      </c>
    </row>
    <row r="183" spans="1:20" x14ac:dyDescent="0.25">
      <c r="A183" s="1">
        <v>43859</v>
      </c>
      <c r="B183" s="1" t="s">
        <v>4</v>
      </c>
      <c r="C183" s="1" t="s">
        <v>40</v>
      </c>
      <c r="D183">
        <v>6395</v>
      </c>
      <c r="E183">
        <f>5*60+6</f>
        <v>306</v>
      </c>
      <c r="F183" s="3">
        <f t="shared" ref="F183" si="144">E183/E$184</f>
        <v>1.1086956521739131</v>
      </c>
      <c r="G183">
        <v>0</v>
      </c>
      <c r="H183" s="3">
        <f t="shared" ref="H183:H193" si="145">G183/$D183</f>
        <v>0</v>
      </c>
      <c r="I183">
        <v>5164</v>
      </c>
      <c r="J183" s="3">
        <f t="shared" ref="J183:J193" si="146">I183/$D183</f>
        <v>0.80750586395621582</v>
      </c>
      <c r="K183">
        <v>1105</v>
      </c>
      <c r="L183" s="3">
        <f t="shared" ref="L183:L193" si="147">K183/$D183</f>
        <v>0.17279124315871774</v>
      </c>
      <c r="M183">
        <v>55</v>
      </c>
      <c r="N183" s="3">
        <f t="shared" ref="N183:N193" si="148">M183/$D183</f>
        <v>8.6004691164972627E-3</v>
      </c>
      <c r="O183">
        <v>117</v>
      </c>
      <c r="P183" s="3">
        <f t="shared" ref="P183:P193" si="149">O183/$D183</f>
        <v>1.8295543393275996E-2</v>
      </c>
      <c r="Q183">
        <v>60</v>
      </c>
      <c r="R183" s="3">
        <f t="shared" ref="R183:R193" si="150">Q183/$D183</f>
        <v>9.3823299452697427E-3</v>
      </c>
      <c r="S183">
        <v>97</v>
      </c>
      <c r="T183" s="3">
        <f t="shared" ref="T183:T193" si="151">S183/$D183</f>
        <v>1.5168100078186083E-2</v>
      </c>
    </row>
    <row r="184" spans="1:20" x14ac:dyDescent="0.25">
      <c r="A184" s="1">
        <f t="shared" si="129"/>
        <v>43859</v>
      </c>
      <c r="B184" t="s">
        <v>3</v>
      </c>
      <c r="C184" s="1" t="s">
        <v>40</v>
      </c>
      <c r="D184">
        <v>601</v>
      </c>
      <c r="E184">
        <f>4*60+36</f>
        <v>276</v>
      </c>
      <c r="F184" s="3">
        <f>E184/E$184</f>
        <v>1</v>
      </c>
      <c r="G184">
        <v>0</v>
      </c>
      <c r="H184" s="3">
        <f t="shared" si="145"/>
        <v>0</v>
      </c>
      <c r="I184">
        <v>488</v>
      </c>
      <c r="J184" s="3">
        <f t="shared" si="146"/>
        <v>0.81198003327787016</v>
      </c>
      <c r="K184">
        <v>100</v>
      </c>
      <c r="L184" s="3">
        <f t="shared" si="147"/>
        <v>0.16638935108153077</v>
      </c>
      <c r="M184">
        <v>5</v>
      </c>
      <c r="N184" s="3">
        <f t="shared" si="148"/>
        <v>8.3194675540765387E-3</v>
      </c>
      <c r="O184">
        <v>9</v>
      </c>
      <c r="P184" s="3">
        <f t="shared" si="149"/>
        <v>1.4975041597337771E-2</v>
      </c>
      <c r="Q184">
        <v>9</v>
      </c>
      <c r="R184" s="3">
        <f t="shared" si="150"/>
        <v>1.4975041597337771E-2</v>
      </c>
      <c r="S184">
        <v>14</v>
      </c>
      <c r="T184" s="3">
        <f t="shared" si="151"/>
        <v>2.329450915141431E-2</v>
      </c>
    </row>
    <row r="185" spans="1:20" x14ac:dyDescent="0.25">
      <c r="A185" s="1">
        <f t="shared" si="129"/>
        <v>43859</v>
      </c>
      <c r="B185" t="s">
        <v>5</v>
      </c>
      <c r="C185" s="1" t="s">
        <v>40</v>
      </c>
      <c r="D185">
        <v>615</v>
      </c>
      <c r="E185">
        <f>1*60+6</f>
        <v>66</v>
      </c>
      <c r="F185" s="3">
        <f t="shared" ref="F185:F193" si="152">E185/E$184</f>
        <v>0.2391304347826087</v>
      </c>
      <c r="G185">
        <v>0</v>
      </c>
      <c r="H185" s="3">
        <f t="shared" si="145"/>
        <v>0</v>
      </c>
      <c r="I185">
        <v>481</v>
      </c>
      <c r="J185" s="3">
        <f t="shared" si="146"/>
        <v>0.78211382113821137</v>
      </c>
      <c r="K185">
        <v>124</v>
      </c>
      <c r="L185" s="3">
        <f t="shared" si="147"/>
        <v>0.2016260162601626</v>
      </c>
      <c r="M185">
        <v>4</v>
      </c>
      <c r="N185" s="3">
        <f t="shared" si="148"/>
        <v>6.5040650406504065E-3</v>
      </c>
      <c r="O185">
        <v>10</v>
      </c>
      <c r="P185" s="3">
        <f t="shared" si="149"/>
        <v>1.6260162601626018E-2</v>
      </c>
      <c r="Q185">
        <v>6</v>
      </c>
      <c r="R185" s="3">
        <f t="shared" si="150"/>
        <v>9.7560975609756097E-3</v>
      </c>
      <c r="S185">
        <v>12</v>
      </c>
      <c r="T185" s="3">
        <f t="shared" si="151"/>
        <v>1.9512195121951219E-2</v>
      </c>
    </row>
    <row r="186" spans="1:20" x14ac:dyDescent="0.25">
      <c r="A186" s="1">
        <f t="shared" si="129"/>
        <v>43859</v>
      </c>
      <c r="B186" t="s">
        <v>6</v>
      </c>
      <c r="C186" s="1" t="s">
        <v>40</v>
      </c>
      <c r="D186">
        <v>615</v>
      </c>
      <c r="E186">
        <f>4*60+52</f>
        <v>292</v>
      </c>
      <c r="F186" s="3">
        <f t="shared" si="152"/>
        <v>1.0579710144927537</v>
      </c>
      <c r="G186">
        <v>0</v>
      </c>
      <c r="H186" s="3">
        <f t="shared" si="145"/>
        <v>0</v>
      </c>
      <c r="I186">
        <v>491</v>
      </c>
      <c r="J186" s="3">
        <f t="shared" si="146"/>
        <v>0.79837398373983737</v>
      </c>
      <c r="K186">
        <v>114</v>
      </c>
      <c r="L186" s="3">
        <f t="shared" si="147"/>
        <v>0.18536585365853658</v>
      </c>
      <c r="M186">
        <v>7</v>
      </c>
      <c r="N186" s="3">
        <f t="shared" si="148"/>
        <v>1.1382113821138212E-2</v>
      </c>
      <c r="O186">
        <v>13</v>
      </c>
      <c r="P186" s="3">
        <f t="shared" si="149"/>
        <v>2.113821138211382E-2</v>
      </c>
      <c r="Q186">
        <v>6</v>
      </c>
      <c r="R186" s="3">
        <f t="shared" si="150"/>
        <v>9.7560975609756097E-3</v>
      </c>
      <c r="S186">
        <v>9</v>
      </c>
      <c r="T186" s="3">
        <f t="shared" si="151"/>
        <v>1.4634146341463415E-2</v>
      </c>
    </row>
    <row r="187" spans="1:20" x14ac:dyDescent="0.25">
      <c r="A187" s="1">
        <f t="shared" si="129"/>
        <v>43859</v>
      </c>
      <c r="B187" t="s">
        <v>30</v>
      </c>
      <c r="C187" s="1" t="s">
        <v>39</v>
      </c>
      <c r="D187">
        <v>2453</v>
      </c>
      <c r="E187">
        <f>3*60+44</f>
        <v>224</v>
      </c>
      <c r="F187" s="3">
        <f t="shared" si="152"/>
        <v>0.81159420289855078</v>
      </c>
      <c r="G187">
        <v>110</v>
      </c>
      <c r="H187" s="3">
        <f t="shared" si="145"/>
        <v>4.4843049327354258E-2</v>
      </c>
      <c r="I187">
        <v>2189</v>
      </c>
      <c r="J187" s="3">
        <f t="shared" si="146"/>
        <v>0.8923766816143498</v>
      </c>
      <c r="K187">
        <v>141</v>
      </c>
      <c r="L187" s="3">
        <f t="shared" si="147"/>
        <v>5.7480635955972276E-2</v>
      </c>
      <c r="M187">
        <v>1</v>
      </c>
      <c r="N187" s="3">
        <f t="shared" si="148"/>
        <v>4.0766408479412964E-4</v>
      </c>
      <c r="O187">
        <v>9</v>
      </c>
      <c r="P187" s="3">
        <f t="shared" si="149"/>
        <v>3.6689767631471666E-3</v>
      </c>
      <c r="Q187">
        <v>3</v>
      </c>
      <c r="R187" s="3">
        <f t="shared" si="150"/>
        <v>1.2229922543823889E-3</v>
      </c>
      <c r="S187">
        <v>15</v>
      </c>
      <c r="T187" s="3">
        <f t="shared" si="151"/>
        <v>6.1149612719119447E-3</v>
      </c>
    </row>
    <row r="188" spans="1:20" x14ac:dyDescent="0.25">
      <c r="A188" s="1">
        <f t="shared" si="129"/>
        <v>43859</v>
      </c>
      <c r="B188" t="s">
        <v>5</v>
      </c>
      <c r="C188" t="s">
        <v>36</v>
      </c>
      <c r="D188">
        <v>560</v>
      </c>
      <c r="E188">
        <f>0*60+54</f>
        <v>54</v>
      </c>
      <c r="F188" s="3">
        <f t="shared" si="152"/>
        <v>0.19565217391304349</v>
      </c>
      <c r="G188">
        <v>0</v>
      </c>
      <c r="H188" s="3">
        <f t="shared" si="145"/>
        <v>0</v>
      </c>
      <c r="I188">
        <v>445</v>
      </c>
      <c r="J188" s="3">
        <f t="shared" si="146"/>
        <v>0.7946428571428571</v>
      </c>
      <c r="K188">
        <v>98</v>
      </c>
      <c r="L188" s="3">
        <f t="shared" si="147"/>
        <v>0.17499999999999999</v>
      </c>
      <c r="M188">
        <v>6</v>
      </c>
      <c r="N188" s="3">
        <f t="shared" si="148"/>
        <v>1.0714285714285714E-2</v>
      </c>
      <c r="O188">
        <v>11</v>
      </c>
      <c r="P188" s="3">
        <f t="shared" si="149"/>
        <v>1.9642857142857142E-2</v>
      </c>
      <c r="Q188">
        <v>14</v>
      </c>
      <c r="R188" s="3">
        <f t="shared" si="150"/>
        <v>2.5000000000000001E-2</v>
      </c>
      <c r="S188">
        <v>17</v>
      </c>
      <c r="T188" s="3">
        <f t="shared" si="151"/>
        <v>3.0357142857142857E-2</v>
      </c>
    </row>
    <row r="189" spans="1:20" x14ac:dyDescent="0.25">
      <c r="A189" s="1">
        <f t="shared" si="129"/>
        <v>43859</v>
      </c>
      <c r="B189" t="s">
        <v>5</v>
      </c>
      <c r="C189" t="s">
        <v>32</v>
      </c>
      <c r="D189">
        <v>550</v>
      </c>
      <c r="E189">
        <f>2*60+14</f>
        <v>134</v>
      </c>
      <c r="F189" s="3">
        <f t="shared" si="152"/>
        <v>0.48550724637681159</v>
      </c>
      <c r="G189">
        <v>0</v>
      </c>
      <c r="H189" s="3">
        <f t="shared" si="145"/>
        <v>0</v>
      </c>
      <c r="I189">
        <v>420</v>
      </c>
      <c r="J189" s="3">
        <f t="shared" si="146"/>
        <v>0.76363636363636367</v>
      </c>
      <c r="K189">
        <v>107</v>
      </c>
      <c r="L189" s="3">
        <f t="shared" si="147"/>
        <v>0.19454545454545455</v>
      </c>
      <c r="M189">
        <v>4</v>
      </c>
      <c r="N189" s="3">
        <f t="shared" si="148"/>
        <v>7.2727272727272727E-3</v>
      </c>
      <c r="O189">
        <v>17</v>
      </c>
      <c r="P189" s="3">
        <f t="shared" si="149"/>
        <v>3.090909090909091E-2</v>
      </c>
      <c r="Q189">
        <v>18</v>
      </c>
      <c r="R189" s="3">
        <f t="shared" si="150"/>
        <v>3.272727272727273E-2</v>
      </c>
      <c r="S189">
        <v>13</v>
      </c>
      <c r="T189" s="3">
        <f t="shared" si="151"/>
        <v>2.3636363636363636E-2</v>
      </c>
    </row>
    <row r="190" spans="1:20" x14ac:dyDescent="0.25">
      <c r="A190" s="1">
        <f t="shared" si="129"/>
        <v>43859</v>
      </c>
      <c r="B190" t="s">
        <v>5</v>
      </c>
      <c r="C190" t="s">
        <v>33</v>
      </c>
      <c r="D190">
        <v>570</v>
      </c>
      <c r="E190">
        <f>0*60+54</f>
        <v>54</v>
      </c>
      <c r="F190" s="3">
        <f t="shared" si="152"/>
        <v>0.19565217391304349</v>
      </c>
      <c r="G190">
        <v>0</v>
      </c>
      <c r="H190" s="3">
        <f t="shared" si="145"/>
        <v>0</v>
      </c>
      <c r="I190">
        <v>465</v>
      </c>
      <c r="J190" s="3">
        <f t="shared" si="146"/>
        <v>0.81578947368421051</v>
      </c>
      <c r="K190">
        <v>82</v>
      </c>
      <c r="L190" s="3">
        <f t="shared" si="147"/>
        <v>0.14385964912280702</v>
      </c>
      <c r="M190">
        <v>8</v>
      </c>
      <c r="N190" s="3">
        <f t="shared" si="148"/>
        <v>1.4035087719298246E-2</v>
      </c>
      <c r="O190">
        <v>14</v>
      </c>
      <c r="P190" s="3">
        <f t="shared" si="149"/>
        <v>2.456140350877193E-2</v>
      </c>
      <c r="Q190">
        <v>20</v>
      </c>
      <c r="R190" s="3">
        <f t="shared" si="150"/>
        <v>3.5087719298245612E-2</v>
      </c>
      <c r="S190">
        <v>16</v>
      </c>
      <c r="T190" s="3">
        <f t="shared" si="151"/>
        <v>2.8070175438596492E-2</v>
      </c>
    </row>
    <row r="191" spans="1:20" x14ac:dyDescent="0.25">
      <c r="A191" s="1">
        <f t="shared" si="129"/>
        <v>43859</v>
      </c>
      <c r="B191" t="s">
        <v>5</v>
      </c>
      <c r="C191" t="s">
        <v>34</v>
      </c>
      <c r="D191">
        <v>620</v>
      </c>
      <c r="E191">
        <f>1*60+5</f>
        <v>65</v>
      </c>
      <c r="F191" s="3">
        <f t="shared" si="152"/>
        <v>0.23550724637681159</v>
      </c>
      <c r="G191">
        <v>0</v>
      </c>
      <c r="H191" s="3">
        <f t="shared" si="145"/>
        <v>0</v>
      </c>
      <c r="I191">
        <v>518</v>
      </c>
      <c r="J191" s="3">
        <f t="shared" si="146"/>
        <v>0.8354838709677419</v>
      </c>
      <c r="K191">
        <v>93</v>
      </c>
      <c r="L191" s="3">
        <f t="shared" si="147"/>
        <v>0.15</v>
      </c>
      <c r="M191">
        <v>2</v>
      </c>
      <c r="N191" s="3">
        <f t="shared" si="148"/>
        <v>3.2258064516129032E-3</v>
      </c>
      <c r="O191">
        <v>15</v>
      </c>
      <c r="P191" s="3">
        <f t="shared" si="149"/>
        <v>2.4193548387096774E-2</v>
      </c>
      <c r="Q191">
        <v>3</v>
      </c>
      <c r="R191" s="3">
        <f t="shared" si="150"/>
        <v>4.8387096774193551E-3</v>
      </c>
      <c r="S191">
        <v>5</v>
      </c>
      <c r="T191" s="3">
        <f t="shared" si="151"/>
        <v>8.0645161290322578E-3</v>
      </c>
    </row>
    <row r="192" spans="1:20" x14ac:dyDescent="0.25">
      <c r="A192" s="1">
        <f t="shared" si="129"/>
        <v>43859</v>
      </c>
      <c r="B192" t="s">
        <v>5</v>
      </c>
      <c r="C192" t="s">
        <v>35</v>
      </c>
      <c r="D192">
        <v>580</v>
      </c>
      <c r="E192">
        <f>1*60+2</f>
        <v>62</v>
      </c>
      <c r="F192" s="3">
        <f t="shared" si="152"/>
        <v>0.22463768115942029</v>
      </c>
      <c r="G192">
        <v>0</v>
      </c>
      <c r="H192" s="3">
        <f t="shared" si="145"/>
        <v>0</v>
      </c>
      <c r="I192">
        <v>466</v>
      </c>
      <c r="J192" s="3">
        <f t="shared" si="146"/>
        <v>0.80344827586206902</v>
      </c>
      <c r="K192">
        <v>103</v>
      </c>
      <c r="L192" s="3">
        <f t="shared" si="147"/>
        <v>0.17758620689655172</v>
      </c>
      <c r="M192">
        <v>8</v>
      </c>
      <c r="N192" s="3">
        <f t="shared" si="148"/>
        <v>1.3793103448275862E-2</v>
      </c>
      <c r="O192">
        <v>11</v>
      </c>
      <c r="P192" s="3">
        <f t="shared" si="149"/>
        <v>1.896551724137931E-2</v>
      </c>
      <c r="Q192">
        <v>4</v>
      </c>
      <c r="R192" s="3">
        <f t="shared" si="150"/>
        <v>6.8965517241379309E-3</v>
      </c>
      <c r="S192">
        <v>7</v>
      </c>
      <c r="T192" s="3">
        <f t="shared" si="151"/>
        <v>1.2068965517241379E-2</v>
      </c>
    </row>
    <row r="193" spans="1:20" x14ac:dyDescent="0.25">
      <c r="A193" s="1">
        <v>43860</v>
      </c>
      <c r="B193" s="1" t="s">
        <v>4</v>
      </c>
      <c r="C193" t="s">
        <v>35</v>
      </c>
      <c r="D193">
        <v>6395</v>
      </c>
      <c r="E193">
        <f>5*60+36</f>
        <v>336</v>
      </c>
      <c r="F193" s="3">
        <f t="shared" si="152"/>
        <v>1.2173913043478262</v>
      </c>
      <c r="G193">
        <v>66</v>
      </c>
      <c r="H193" s="3">
        <f t="shared" si="145"/>
        <v>1.0320562939796716E-2</v>
      </c>
      <c r="I193">
        <v>5185</v>
      </c>
      <c r="J193" s="3">
        <f t="shared" si="146"/>
        <v>0.81078967943706015</v>
      </c>
      <c r="K193">
        <v>1051</v>
      </c>
      <c r="L193" s="3">
        <f t="shared" si="147"/>
        <v>0.16434714620797497</v>
      </c>
      <c r="M193">
        <v>54</v>
      </c>
      <c r="N193" s="3">
        <f t="shared" si="148"/>
        <v>8.4440969507427674E-3</v>
      </c>
      <c r="O193">
        <v>116</v>
      </c>
      <c r="P193" s="3">
        <f t="shared" si="149"/>
        <v>1.8139171227521501E-2</v>
      </c>
      <c r="Q193">
        <v>60</v>
      </c>
      <c r="R193" s="3">
        <f t="shared" si="150"/>
        <v>9.3823299452697427E-3</v>
      </c>
      <c r="S193">
        <v>96</v>
      </c>
      <c r="T193" s="3">
        <f t="shared" si="151"/>
        <v>1.5011727912431588E-2</v>
      </c>
    </row>
    <row r="195" spans="1:20" x14ac:dyDescent="0.25">
      <c r="A195" s="1">
        <v>43860</v>
      </c>
      <c r="B195" s="1" t="s">
        <v>4</v>
      </c>
      <c r="C195" s="1" t="s">
        <v>40</v>
      </c>
      <c r="D195">
        <v>6392</v>
      </c>
      <c r="E195">
        <f>11*60+50</f>
        <v>710</v>
      </c>
      <c r="F195" s="3">
        <f t="shared" ref="F195" si="153">E195/E$196</f>
        <v>1.806615776081425</v>
      </c>
      <c r="G195">
        <v>0</v>
      </c>
      <c r="H195" s="3">
        <f t="shared" ref="H195:H205" si="154">G195/$D195</f>
        <v>0</v>
      </c>
      <c r="I195">
        <v>5158</v>
      </c>
      <c r="J195" s="3">
        <f t="shared" ref="J195:J204" si="155">I195/$D195</f>
        <v>0.80694618272841057</v>
      </c>
      <c r="K195">
        <v>1108</v>
      </c>
      <c r="L195" s="3">
        <f t="shared" ref="L195:L204" si="156">K195/$D195</f>
        <v>0.17334167709637047</v>
      </c>
      <c r="M195">
        <v>55</v>
      </c>
      <c r="N195" s="3">
        <f t="shared" ref="N195:N204" si="157">M195/$D195</f>
        <v>8.6045056320400506E-3</v>
      </c>
      <c r="O195">
        <v>117</v>
      </c>
      <c r="P195" s="3">
        <f t="shared" ref="P195:P204" si="158">O195/$D195</f>
        <v>1.830413016270338E-2</v>
      </c>
      <c r="Q195">
        <v>60</v>
      </c>
      <c r="R195" s="3">
        <f t="shared" ref="R195:R204" si="159">Q195/$D195</f>
        <v>9.3867334167709645E-3</v>
      </c>
      <c r="S195">
        <v>97</v>
      </c>
      <c r="T195" s="3">
        <f t="shared" ref="T195:T204" si="160">S195/$D195</f>
        <v>1.5175219023779725E-2</v>
      </c>
    </row>
    <row r="196" spans="1:20" x14ac:dyDescent="0.25">
      <c r="A196" s="1">
        <f t="shared" ref="A196:A204" si="161">A195</f>
        <v>43860</v>
      </c>
      <c r="B196" t="s">
        <v>3</v>
      </c>
      <c r="C196" s="1" t="s">
        <v>40</v>
      </c>
      <c r="D196">
        <v>605</v>
      </c>
      <c r="E196">
        <f>6*60+33</f>
        <v>393</v>
      </c>
      <c r="F196" s="3">
        <f>E196/E$196</f>
        <v>1</v>
      </c>
      <c r="G196">
        <v>0</v>
      </c>
      <c r="H196" s="3">
        <f t="shared" si="154"/>
        <v>0</v>
      </c>
      <c r="I196">
        <v>492</v>
      </c>
      <c r="J196" s="3">
        <f t="shared" si="155"/>
        <v>0.81322314049586775</v>
      </c>
      <c r="K196">
        <v>97</v>
      </c>
      <c r="L196" s="3">
        <f t="shared" si="156"/>
        <v>0.16033057851239668</v>
      </c>
      <c r="M196">
        <v>4</v>
      </c>
      <c r="N196" s="3">
        <f t="shared" si="157"/>
        <v>6.6115702479338841E-3</v>
      </c>
      <c r="O196">
        <v>13</v>
      </c>
      <c r="P196" s="3">
        <f t="shared" si="158"/>
        <v>2.1487603305785124E-2</v>
      </c>
      <c r="Q196">
        <v>8</v>
      </c>
      <c r="R196" s="3">
        <f t="shared" si="159"/>
        <v>1.3223140495867768E-2</v>
      </c>
      <c r="S196">
        <v>9</v>
      </c>
      <c r="T196" s="3">
        <f t="shared" si="160"/>
        <v>1.487603305785124E-2</v>
      </c>
    </row>
    <row r="197" spans="1:20" x14ac:dyDescent="0.25">
      <c r="A197" s="1">
        <f t="shared" si="161"/>
        <v>43860</v>
      </c>
      <c r="B197" t="s">
        <v>5</v>
      </c>
      <c r="C197" s="1" t="s">
        <v>40</v>
      </c>
      <c r="D197">
        <v>582</v>
      </c>
      <c r="E197">
        <f>1*60+43</f>
        <v>103</v>
      </c>
      <c r="F197" s="3">
        <f t="shared" ref="F197:F205" si="162">E197/E$196</f>
        <v>0.26208651399491095</v>
      </c>
      <c r="G197">
        <v>0</v>
      </c>
      <c r="H197" s="3">
        <f t="shared" si="154"/>
        <v>0</v>
      </c>
      <c r="I197">
        <v>474</v>
      </c>
      <c r="J197" s="3">
        <f t="shared" si="155"/>
        <v>0.81443298969072164</v>
      </c>
      <c r="K197">
        <v>99</v>
      </c>
      <c r="L197" s="3">
        <f t="shared" si="156"/>
        <v>0.17010309278350516</v>
      </c>
      <c r="M197">
        <v>3</v>
      </c>
      <c r="N197" s="3">
        <f t="shared" si="157"/>
        <v>5.1546391752577319E-3</v>
      </c>
      <c r="O197">
        <v>11</v>
      </c>
      <c r="P197" s="3">
        <f t="shared" si="158"/>
        <v>1.8900343642611683E-2</v>
      </c>
      <c r="Q197">
        <v>7</v>
      </c>
      <c r="R197" s="3">
        <f t="shared" si="159"/>
        <v>1.2027491408934709E-2</v>
      </c>
      <c r="S197">
        <v>9</v>
      </c>
      <c r="T197" s="3">
        <f t="shared" si="160"/>
        <v>1.5463917525773196E-2</v>
      </c>
    </row>
    <row r="198" spans="1:20" x14ac:dyDescent="0.25">
      <c r="A198" s="1">
        <f t="shared" si="161"/>
        <v>43860</v>
      </c>
      <c r="B198" t="s">
        <v>6</v>
      </c>
      <c r="C198" s="1" t="s">
        <v>40</v>
      </c>
      <c r="D198">
        <v>608</v>
      </c>
      <c r="E198">
        <f>8*60+59</f>
        <v>539</v>
      </c>
      <c r="F198" s="3">
        <f t="shared" si="162"/>
        <v>1.3715012722646311</v>
      </c>
      <c r="G198">
        <v>0</v>
      </c>
      <c r="H198" s="3">
        <f t="shared" si="154"/>
        <v>0</v>
      </c>
      <c r="I198">
        <v>496</v>
      </c>
      <c r="J198" s="3">
        <f t="shared" si="155"/>
        <v>0.81578947368421051</v>
      </c>
      <c r="K198">
        <v>102</v>
      </c>
      <c r="L198" s="3">
        <f t="shared" si="156"/>
        <v>0.16776315789473684</v>
      </c>
      <c r="M198">
        <v>6</v>
      </c>
      <c r="N198" s="3">
        <f t="shared" si="157"/>
        <v>9.8684210526315784E-3</v>
      </c>
      <c r="O198">
        <v>6</v>
      </c>
      <c r="P198" s="3">
        <f t="shared" si="158"/>
        <v>9.8684210526315784E-3</v>
      </c>
      <c r="Q198">
        <v>7</v>
      </c>
      <c r="R198" s="3">
        <f t="shared" si="159"/>
        <v>1.1513157894736841E-2</v>
      </c>
      <c r="S198">
        <v>9</v>
      </c>
      <c r="T198" s="3">
        <f t="shared" si="160"/>
        <v>1.4802631578947368E-2</v>
      </c>
    </row>
    <row r="199" spans="1:20" x14ac:dyDescent="0.25">
      <c r="A199" s="1">
        <f t="shared" si="161"/>
        <v>43860</v>
      </c>
      <c r="B199" t="s">
        <v>30</v>
      </c>
      <c r="C199" s="1" t="s">
        <v>39</v>
      </c>
      <c r="D199">
        <v>2454</v>
      </c>
      <c r="E199">
        <f>12*60+48</f>
        <v>768</v>
      </c>
      <c r="F199" s="3">
        <f t="shared" si="162"/>
        <v>1.9541984732824427</v>
      </c>
      <c r="G199">
        <v>90</v>
      </c>
      <c r="H199" s="3">
        <f t="shared" si="154"/>
        <v>3.6674816625916873E-2</v>
      </c>
      <c r="I199">
        <v>2211</v>
      </c>
      <c r="J199" s="3">
        <f t="shared" si="155"/>
        <v>0.90097799511002441</v>
      </c>
      <c r="K199">
        <v>139</v>
      </c>
      <c r="L199" s="3">
        <f t="shared" si="156"/>
        <v>5.6642216788916053E-2</v>
      </c>
      <c r="M199">
        <v>1</v>
      </c>
      <c r="N199" s="3">
        <f t="shared" si="157"/>
        <v>4.0749796251018743E-4</v>
      </c>
      <c r="O199">
        <v>9</v>
      </c>
      <c r="P199" s="3">
        <f t="shared" si="158"/>
        <v>3.667481662591687E-3</v>
      </c>
      <c r="Q199">
        <v>3</v>
      </c>
      <c r="R199" s="3">
        <f t="shared" si="159"/>
        <v>1.2224938875305623E-3</v>
      </c>
      <c r="S199">
        <v>14</v>
      </c>
      <c r="T199" s="3">
        <f t="shared" si="160"/>
        <v>5.7049714751426246E-3</v>
      </c>
    </row>
    <row r="200" spans="1:20" x14ac:dyDescent="0.25">
      <c r="A200" s="1">
        <f t="shared" si="161"/>
        <v>43860</v>
      </c>
      <c r="B200" t="s">
        <v>5</v>
      </c>
      <c r="C200" t="s">
        <v>36</v>
      </c>
      <c r="D200">
        <v>610</v>
      </c>
      <c r="E200">
        <f>2*60+51</f>
        <v>171</v>
      </c>
      <c r="F200" s="3">
        <f t="shared" si="162"/>
        <v>0.4351145038167939</v>
      </c>
      <c r="G200">
        <v>2</v>
      </c>
      <c r="H200" s="3">
        <f t="shared" si="154"/>
        <v>3.2786885245901639E-3</v>
      </c>
      <c r="I200">
        <v>483</v>
      </c>
      <c r="J200" s="3">
        <f t="shared" si="155"/>
        <v>0.79180327868852463</v>
      </c>
      <c r="K200">
        <v>116</v>
      </c>
      <c r="L200" s="3">
        <f t="shared" si="156"/>
        <v>0.1901639344262295</v>
      </c>
      <c r="M200">
        <v>3</v>
      </c>
      <c r="N200" s="3">
        <f t="shared" si="157"/>
        <v>4.9180327868852463E-3</v>
      </c>
      <c r="O200">
        <v>15</v>
      </c>
      <c r="P200" s="3">
        <f t="shared" si="158"/>
        <v>2.4590163934426229E-2</v>
      </c>
      <c r="Q200">
        <v>4</v>
      </c>
      <c r="R200" s="3">
        <f t="shared" si="159"/>
        <v>6.5573770491803279E-3</v>
      </c>
      <c r="S200">
        <v>5</v>
      </c>
      <c r="T200" s="3">
        <f t="shared" si="160"/>
        <v>8.1967213114754103E-3</v>
      </c>
    </row>
    <row r="201" spans="1:20" x14ac:dyDescent="0.25">
      <c r="A201" s="1">
        <f t="shared" si="161"/>
        <v>43860</v>
      </c>
      <c r="B201" t="s">
        <v>5</v>
      </c>
      <c r="C201" t="s">
        <v>32</v>
      </c>
      <c r="D201">
        <v>560</v>
      </c>
      <c r="E201">
        <f>2*60+44</f>
        <v>164</v>
      </c>
      <c r="F201" s="3">
        <f t="shared" si="162"/>
        <v>0.41730279898218831</v>
      </c>
      <c r="G201">
        <v>0</v>
      </c>
      <c r="H201" s="3">
        <f t="shared" si="154"/>
        <v>0</v>
      </c>
      <c r="I201">
        <v>445</v>
      </c>
      <c r="J201" s="3">
        <f t="shared" si="155"/>
        <v>0.7946428571428571</v>
      </c>
      <c r="K201">
        <v>102</v>
      </c>
      <c r="L201" s="3">
        <f t="shared" si="156"/>
        <v>0.18214285714285713</v>
      </c>
      <c r="M201">
        <v>6</v>
      </c>
      <c r="N201" s="3">
        <f t="shared" si="157"/>
        <v>1.0714285714285714E-2</v>
      </c>
      <c r="O201">
        <v>13</v>
      </c>
      <c r="P201" s="3">
        <f t="shared" si="158"/>
        <v>2.3214285714285715E-2</v>
      </c>
      <c r="Q201">
        <v>8</v>
      </c>
      <c r="R201" s="3">
        <f t="shared" si="159"/>
        <v>1.4285714285714285E-2</v>
      </c>
      <c r="S201">
        <v>6</v>
      </c>
      <c r="T201" s="3">
        <f t="shared" si="160"/>
        <v>1.0714285714285714E-2</v>
      </c>
    </row>
    <row r="202" spans="1:20" x14ac:dyDescent="0.25">
      <c r="A202" s="1">
        <f t="shared" si="161"/>
        <v>43860</v>
      </c>
      <c r="B202" t="s">
        <v>5</v>
      </c>
      <c r="C202" t="s">
        <v>33</v>
      </c>
      <c r="D202">
        <v>610</v>
      </c>
      <c r="E202">
        <f>2*60+20</f>
        <v>140</v>
      </c>
      <c r="F202" s="3">
        <f t="shared" si="162"/>
        <v>0.35623409669211198</v>
      </c>
      <c r="G202">
        <v>0</v>
      </c>
      <c r="H202" s="3">
        <f t="shared" si="154"/>
        <v>0</v>
      </c>
      <c r="I202">
        <v>480</v>
      </c>
      <c r="J202" s="3">
        <f t="shared" si="155"/>
        <v>0.78688524590163933</v>
      </c>
      <c r="K202">
        <v>117</v>
      </c>
      <c r="L202" s="3">
        <f t="shared" si="156"/>
        <v>0.19180327868852459</v>
      </c>
      <c r="M202">
        <v>7</v>
      </c>
      <c r="N202" s="3">
        <f t="shared" si="157"/>
        <v>1.1475409836065573E-2</v>
      </c>
      <c r="O202">
        <v>17</v>
      </c>
      <c r="P202" s="3">
        <f t="shared" si="158"/>
        <v>2.7868852459016394E-2</v>
      </c>
      <c r="Q202">
        <v>10</v>
      </c>
      <c r="R202" s="3">
        <f t="shared" si="159"/>
        <v>1.6393442622950821E-2</v>
      </c>
      <c r="S202">
        <v>12</v>
      </c>
      <c r="T202" s="3">
        <f t="shared" si="160"/>
        <v>1.9672131147540985E-2</v>
      </c>
    </row>
    <row r="203" spans="1:20" x14ac:dyDescent="0.25">
      <c r="A203" s="1">
        <f t="shared" si="161"/>
        <v>43860</v>
      </c>
      <c r="B203" t="s">
        <v>5</v>
      </c>
      <c r="C203" t="s">
        <v>34</v>
      </c>
      <c r="D203">
        <v>610</v>
      </c>
      <c r="E203">
        <f>2*60+12</f>
        <v>132</v>
      </c>
      <c r="F203" s="3">
        <f t="shared" si="162"/>
        <v>0.33587786259541985</v>
      </c>
      <c r="G203">
        <v>2</v>
      </c>
      <c r="H203" s="3">
        <f t="shared" si="154"/>
        <v>3.2786885245901639E-3</v>
      </c>
      <c r="I203">
        <v>498</v>
      </c>
      <c r="J203" s="3">
        <f t="shared" si="155"/>
        <v>0.81639344262295077</v>
      </c>
      <c r="K203">
        <v>102</v>
      </c>
      <c r="L203" s="3">
        <f t="shared" si="156"/>
        <v>0.16721311475409836</v>
      </c>
      <c r="M203">
        <v>3</v>
      </c>
      <c r="N203" s="3">
        <f t="shared" si="157"/>
        <v>4.9180327868852463E-3</v>
      </c>
      <c r="O203">
        <v>21</v>
      </c>
      <c r="P203" s="3">
        <f t="shared" si="158"/>
        <v>3.4426229508196723E-2</v>
      </c>
      <c r="Q203">
        <v>4</v>
      </c>
      <c r="R203" s="3">
        <f t="shared" si="159"/>
        <v>6.5573770491803279E-3</v>
      </c>
      <c r="S203">
        <v>12</v>
      </c>
      <c r="T203" s="3">
        <f t="shared" si="160"/>
        <v>1.9672131147540985E-2</v>
      </c>
    </row>
    <row r="204" spans="1:20" x14ac:dyDescent="0.25">
      <c r="A204" s="1">
        <f t="shared" si="161"/>
        <v>43860</v>
      </c>
      <c r="B204" t="s">
        <v>5</v>
      </c>
      <c r="C204" t="s">
        <v>35</v>
      </c>
      <c r="D204">
        <v>582</v>
      </c>
      <c r="E204">
        <f>1*60+50</f>
        <v>110</v>
      </c>
      <c r="F204" s="3">
        <f t="shared" si="162"/>
        <v>0.27989821882951654</v>
      </c>
      <c r="G204">
        <v>3</v>
      </c>
      <c r="H204" s="3">
        <f t="shared" si="154"/>
        <v>5.1546391752577319E-3</v>
      </c>
      <c r="I204">
        <v>477</v>
      </c>
      <c r="J204" s="3">
        <f t="shared" si="155"/>
        <v>0.81958762886597936</v>
      </c>
      <c r="K204">
        <v>93</v>
      </c>
      <c r="L204" s="3">
        <f t="shared" si="156"/>
        <v>0.15979381443298968</v>
      </c>
      <c r="M204">
        <v>5</v>
      </c>
      <c r="N204" s="3">
        <f t="shared" si="157"/>
        <v>8.5910652920962206E-3</v>
      </c>
      <c r="O204">
        <v>17</v>
      </c>
      <c r="P204" s="3">
        <f t="shared" si="158"/>
        <v>2.9209621993127148E-2</v>
      </c>
      <c r="Q204">
        <v>4</v>
      </c>
      <c r="R204" s="3">
        <f t="shared" si="159"/>
        <v>6.8728522336769758E-3</v>
      </c>
      <c r="S204">
        <v>10</v>
      </c>
      <c r="T204" s="3">
        <f t="shared" si="160"/>
        <v>1.7182130584192441E-2</v>
      </c>
    </row>
    <row r="205" spans="1:20" x14ac:dyDescent="0.25">
      <c r="A205" s="1">
        <v>43860</v>
      </c>
      <c r="B205" s="1" t="s">
        <v>4</v>
      </c>
      <c r="C205" t="s">
        <v>36</v>
      </c>
      <c r="D205">
        <v>6392</v>
      </c>
      <c r="E205">
        <f>10*60+22</f>
        <v>622</v>
      </c>
      <c r="F205" s="3">
        <f t="shared" si="162"/>
        <v>1.5826972010178118</v>
      </c>
      <c r="G205">
        <v>141</v>
      </c>
      <c r="H205" s="3">
        <f t="shared" si="154"/>
        <v>2.2058823529411766E-2</v>
      </c>
      <c r="I205">
        <v>5175</v>
      </c>
      <c r="J205" s="3">
        <f t="shared" ref="J205" si="163">I205/$D205</f>
        <v>0.80960575719649563</v>
      </c>
      <c r="K205">
        <v>984</v>
      </c>
      <c r="L205" s="3">
        <f t="shared" ref="L205" si="164">K205/$D205</f>
        <v>0.15394242803504379</v>
      </c>
      <c r="M205">
        <v>47</v>
      </c>
      <c r="N205" s="3">
        <f t="shared" ref="N205" si="165">M205/$D205</f>
        <v>7.3529411764705881E-3</v>
      </c>
      <c r="O205">
        <v>107</v>
      </c>
      <c r="P205" s="3">
        <f t="shared" ref="P205" si="166">O205/$D205</f>
        <v>1.6739674593241553E-2</v>
      </c>
      <c r="Q205">
        <v>57</v>
      </c>
      <c r="R205" s="3">
        <f t="shared" ref="R205" si="167">Q205/$D205</f>
        <v>8.9173967459324158E-3</v>
      </c>
      <c r="S205">
        <v>85</v>
      </c>
      <c r="T205" s="3">
        <f t="shared" ref="T205" si="168">S205/$D205</f>
        <v>1.3297872340425532E-2</v>
      </c>
    </row>
    <row r="207" spans="1:20" x14ac:dyDescent="0.25">
      <c r="A207" s="1">
        <v>43861</v>
      </c>
      <c r="B207" s="1" t="s">
        <v>4</v>
      </c>
      <c r="C207" s="1" t="s">
        <v>40</v>
      </c>
      <c r="D207">
        <v>6378</v>
      </c>
      <c r="E207">
        <f>4*60+51</f>
        <v>291</v>
      </c>
      <c r="F207" s="3">
        <f t="shared" ref="F207" si="169">E207/E$208</f>
        <v>1</v>
      </c>
      <c r="G207">
        <v>0</v>
      </c>
      <c r="H207" s="3">
        <f t="shared" ref="H207:H217" si="170">G207/$D207</f>
        <v>0</v>
      </c>
      <c r="I207">
        <v>5147</v>
      </c>
      <c r="J207" s="3">
        <f t="shared" ref="J207:J216" si="171">I207/$D207</f>
        <v>0.80699278770774541</v>
      </c>
      <c r="K207">
        <v>1105</v>
      </c>
      <c r="L207" s="3">
        <f t="shared" ref="L207:L216" si="172">K207/$D207</f>
        <v>0.17325180307306365</v>
      </c>
      <c r="M207">
        <v>55</v>
      </c>
      <c r="N207" s="3">
        <f t="shared" ref="N207:N216" si="173">M207/$D207</f>
        <v>8.6233929131389157E-3</v>
      </c>
      <c r="O207">
        <v>115</v>
      </c>
      <c r="P207" s="3">
        <f t="shared" ref="P207:P216" si="174">O207/$D207</f>
        <v>1.8030730636563186E-2</v>
      </c>
      <c r="Q207">
        <v>59</v>
      </c>
      <c r="R207" s="3">
        <f t="shared" ref="R207:R216" si="175">Q207/$D207</f>
        <v>9.2505487613671993E-3</v>
      </c>
      <c r="S207">
        <v>97</v>
      </c>
      <c r="T207" s="3">
        <f t="shared" ref="T207:T216" si="176">S207/$D207</f>
        <v>1.5208529319535905E-2</v>
      </c>
    </row>
    <row r="208" spans="1:20" x14ac:dyDescent="0.25">
      <c r="A208" s="1">
        <f t="shared" ref="A208:A216" si="177">A207</f>
        <v>43861</v>
      </c>
      <c r="B208" t="s">
        <v>3</v>
      </c>
      <c r="C208" s="1" t="s">
        <v>40</v>
      </c>
      <c r="D208">
        <v>607</v>
      </c>
      <c r="E208">
        <f>4*60+51</f>
        <v>291</v>
      </c>
      <c r="F208" s="3">
        <f>E208/E$208</f>
        <v>1</v>
      </c>
      <c r="G208">
        <v>0</v>
      </c>
      <c r="H208" s="3">
        <f t="shared" si="170"/>
        <v>0</v>
      </c>
      <c r="I208">
        <v>495</v>
      </c>
      <c r="J208" s="3">
        <f t="shared" si="171"/>
        <v>0.81548599670510713</v>
      </c>
      <c r="K208">
        <v>101</v>
      </c>
      <c r="L208" s="3">
        <f t="shared" si="172"/>
        <v>0.16639209225700163</v>
      </c>
      <c r="M208">
        <v>4</v>
      </c>
      <c r="N208" s="3">
        <f t="shared" si="173"/>
        <v>6.5897858319604614E-3</v>
      </c>
      <c r="O208">
        <v>11</v>
      </c>
      <c r="P208" s="3">
        <f t="shared" si="174"/>
        <v>1.8121911037891267E-2</v>
      </c>
      <c r="Q208">
        <v>4</v>
      </c>
      <c r="R208" s="3">
        <f t="shared" si="175"/>
        <v>6.5897858319604614E-3</v>
      </c>
      <c r="S208">
        <v>11</v>
      </c>
      <c r="T208" s="3">
        <f t="shared" si="176"/>
        <v>1.8121911037891267E-2</v>
      </c>
    </row>
    <row r="209" spans="1:20" x14ac:dyDescent="0.25">
      <c r="A209" s="1">
        <f t="shared" si="177"/>
        <v>43861</v>
      </c>
      <c r="B209" t="s">
        <v>5</v>
      </c>
      <c r="C209" s="1" t="s">
        <v>40</v>
      </c>
      <c r="D209">
        <v>598</v>
      </c>
      <c r="E209">
        <f>0*60+57</f>
        <v>57</v>
      </c>
      <c r="F209" s="3">
        <f t="shared" ref="F209:F217" si="178">E209/E$208</f>
        <v>0.19587628865979381</v>
      </c>
      <c r="G209">
        <v>0</v>
      </c>
      <c r="H209" s="3">
        <f t="shared" si="170"/>
        <v>0</v>
      </c>
      <c r="I209">
        <v>475</v>
      </c>
      <c r="J209" s="3">
        <f t="shared" si="171"/>
        <v>0.79431438127090304</v>
      </c>
      <c r="K209">
        <v>107</v>
      </c>
      <c r="L209" s="3">
        <f t="shared" si="172"/>
        <v>0.17892976588628762</v>
      </c>
      <c r="M209">
        <v>9</v>
      </c>
      <c r="N209" s="3">
        <f t="shared" si="173"/>
        <v>1.5050167224080268E-2</v>
      </c>
      <c r="O209">
        <v>12</v>
      </c>
      <c r="P209" s="3">
        <f t="shared" si="174"/>
        <v>2.0066889632107024E-2</v>
      </c>
      <c r="Q209">
        <v>4</v>
      </c>
      <c r="R209" s="3">
        <f t="shared" si="175"/>
        <v>6.688963210702341E-3</v>
      </c>
      <c r="S209">
        <v>9</v>
      </c>
      <c r="T209" s="3">
        <f t="shared" si="176"/>
        <v>1.5050167224080268E-2</v>
      </c>
    </row>
    <row r="210" spans="1:20" x14ac:dyDescent="0.25">
      <c r="A210" s="1">
        <f t="shared" si="177"/>
        <v>43861</v>
      </c>
      <c r="B210" s="6" t="s">
        <v>6</v>
      </c>
      <c r="C210" s="7" t="s">
        <v>40</v>
      </c>
      <c r="D210">
        <v>224</v>
      </c>
      <c r="E210">
        <f>1*60+46</f>
        <v>106</v>
      </c>
      <c r="F210" s="3">
        <f t="shared" si="178"/>
        <v>0.36426116838487971</v>
      </c>
      <c r="G210">
        <v>0</v>
      </c>
      <c r="H210" s="3">
        <f t="shared" si="170"/>
        <v>0</v>
      </c>
      <c r="I210">
        <v>173</v>
      </c>
      <c r="J210" s="3">
        <f t="shared" si="171"/>
        <v>0.7723214285714286</v>
      </c>
      <c r="K210">
        <v>46</v>
      </c>
      <c r="L210" s="3">
        <f t="shared" si="172"/>
        <v>0.20535714285714285</v>
      </c>
      <c r="M210">
        <v>1</v>
      </c>
      <c r="N210" s="3">
        <f t="shared" si="173"/>
        <v>4.464285714285714E-3</v>
      </c>
      <c r="O210">
        <v>6</v>
      </c>
      <c r="P210" s="3">
        <f t="shared" si="174"/>
        <v>2.6785714285714284E-2</v>
      </c>
      <c r="Q210">
        <v>4</v>
      </c>
      <c r="R210" s="3">
        <f t="shared" si="175"/>
        <v>1.7857142857142856E-2</v>
      </c>
      <c r="S210">
        <v>5</v>
      </c>
      <c r="T210" s="3">
        <f t="shared" si="176"/>
        <v>2.2321428571428572E-2</v>
      </c>
    </row>
    <row r="211" spans="1:20" x14ac:dyDescent="0.25">
      <c r="A211" s="1">
        <f t="shared" si="177"/>
        <v>43861</v>
      </c>
      <c r="B211" t="s">
        <v>30</v>
      </c>
      <c r="C211" s="1" t="s">
        <v>39</v>
      </c>
      <c r="D211">
        <v>2448</v>
      </c>
      <c r="E211">
        <f>3*60+39</f>
        <v>219</v>
      </c>
      <c r="F211" s="3">
        <f t="shared" si="178"/>
        <v>0.75257731958762886</v>
      </c>
      <c r="G211">
        <v>95</v>
      </c>
      <c r="H211" s="3">
        <f t="shared" si="170"/>
        <v>3.8807189542483661E-2</v>
      </c>
      <c r="I211">
        <v>2198</v>
      </c>
      <c r="J211" s="3">
        <f t="shared" si="171"/>
        <v>0.89787581699346408</v>
      </c>
      <c r="K211">
        <v>141</v>
      </c>
      <c r="L211" s="3">
        <f t="shared" si="172"/>
        <v>5.7598039215686271E-2</v>
      </c>
      <c r="M211">
        <v>2</v>
      </c>
      <c r="N211" s="3">
        <f t="shared" si="173"/>
        <v>8.1699346405228761E-4</v>
      </c>
      <c r="O211">
        <v>9</v>
      </c>
      <c r="P211" s="3">
        <f t="shared" si="174"/>
        <v>3.6764705882352941E-3</v>
      </c>
      <c r="Q211">
        <v>3</v>
      </c>
      <c r="R211" s="3">
        <f t="shared" si="175"/>
        <v>1.2254901960784314E-3</v>
      </c>
      <c r="S211">
        <v>13</v>
      </c>
      <c r="T211" s="3">
        <f t="shared" si="176"/>
        <v>5.3104575163398695E-3</v>
      </c>
    </row>
    <row r="212" spans="1:20" x14ac:dyDescent="0.25">
      <c r="A212" s="1">
        <f t="shared" si="177"/>
        <v>43861</v>
      </c>
      <c r="B212" t="s">
        <v>5</v>
      </c>
      <c r="C212" t="s">
        <v>36</v>
      </c>
      <c r="D212">
        <v>608</v>
      </c>
      <c r="E212">
        <f t="shared" ref="E212:E217" si="179">1*60+1</f>
        <v>61</v>
      </c>
      <c r="F212" s="3">
        <f t="shared" si="178"/>
        <v>0.20962199312714777</v>
      </c>
      <c r="G212">
        <v>5</v>
      </c>
      <c r="H212" s="3">
        <f t="shared" si="170"/>
        <v>8.2236842105263153E-3</v>
      </c>
      <c r="I212">
        <v>490</v>
      </c>
      <c r="J212" s="3">
        <f t="shared" si="171"/>
        <v>0.80592105263157898</v>
      </c>
      <c r="K212">
        <v>106</v>
      </c>
      <c r="L212" s="3">
        <f t="shared" si="172"/>
        <v>0.17434210526315788</v>
      </c>
      <c r="M212">
        <v>2</v>
      </c>
      <c r="N212" s="3">
        <f t="shared" si="173"/>
        <v>3.2894736842105261E-3</v>
      </c>
      <c r="O212">
        <v>9</v>
      </c>
      <c r="P212" s="3">
        <f t="shared" si="174"/>
        <v>1.4802631578947368E-2</v>
      </c>
      <c r="Q212">
        <v>2</v>
      </c>
      <c r="R212" s="3">
        <f t="shared" si="175"/>
        <v>3.2894736842105261E-3</v>
      </c>
      <c r="S212">
        <v>7</v>
      </c>
      <c r="T212" s="3">
        <f t="shared" si="176"/>
        <v>1.1513157894736841E-2</v>
      </c>
    </row>
    <row r="213" spans="1:20" x14ac:dyDescent="0.25">
      <c r="A213" s="1">
        <f t="shared" si="177"/>
        <v>43861</v>
      </c>
      <c r="B213" t="s">
        <v>5</v>
      </c>
      <c r="C213" t="s">
        <v>32</v>
      </c>
      <c r="D213">
        <v>580</v>
      </c>
      <c r="E213">
        <f>1*60+7</f>
        <v>67</v>
      </c>
      <c r="F213" s="3">
        <f t="shared" si="178"/>
        <v>0.23024054982817868</v>
      </c>
      <c r="G213">
        <v>0</v>
      </c>
      <c r="H213" s="3">
        <f t="shared" si="170"/>
        <v>0</v>
      </c>
      <c r="I213">
        <v>477</v>
      </c>
      <c r="J213" s="3">
        <f t="shared" si="171"/>
        <v>0.82241379310344831</v>
      </c>
      <c r="K213">
        <v>97</v>
      </c>
      <c r="L213" s="3">
        <f t="shared" si="172"/>
        <v>0.16724137931034483</v>
      </c>
      <c r="M213">
        <v>4</v>
      </c>
      <c r="N213" s="3">
        <f t="shared" si="173"/>
        <v>6.8965517241379309E-3</v>
      </c>
      <c r="O213">
        <v>1</v>
      </c>
      <c r="P213" s="3">
        <f t="shared" si="174"/>
        <v>1.7241379310344827E-3</v>
      </c>
      <c r="Q213">
        <v>1</v>
      </c>
      <c r="R213" s="3">
        <f t="shared" si="175"/>
        <v>1.7241379310344827E-3</v>
      </c>
      <c r="S213">
        <v>3</v>
      </c>
      <c r="T213" s="3">
        <f t="shared" si="176"/>
        <v>5.1724137931034482E-3</v>
      </c>
    </row>
    <row r="214" spans="1:20" x14ac:dyDescent="0.25">
      <c r="A214" s="1">
        <f t="shared" si="177"/>
        <v>43861</v>
      </c>
      <c r="B214" t="s">
        <v>5</v>
      </c>
      <c r="C214" t="s">
        <v>33</v>
      </c>
      <c r="D214">
        <v>600</v>
      </c>
      <c r="E214">
        <f>0*60+56</f>
        <v>56</v>
      </c>
      <c r="F214" s="3">
        <f t="shared" si="178"/>
        <v>0.19243986254295534</v>
      </c>
      <c r="G214">
        <v>0</v>
      </c>
      <c r="H214" s="3">
        <f t="shared" si="170"/>
        <v>0</v>
      </c>
      <c r="I214">
        <v>478</v>
      </c>
      <c r="J214" s="3">
        <f t="shared" si="171"/>
        <v>0.79666666666666663</v>
      </c>
      <c r="K214">
        <v>104</v>
      </c>
      <c r="L214" s="3">
        <f t="shared" si="172"/>
        <v>0.17333333333333334</v>
      </c>
      <c r="M214">
        <v>6</v>
      </c>
      <c r="N214" s="3">
        <f t="shared" si="173"/>
        <v>0.01</v>
      </c>
      <c r="O214">
        <v>14</v>
      </c>
      <c r="P214" s="3">
        <f t="shared" si="174"/>
        <v>2.3333333333333334E-2</v>
      </c>
      <c r="Q214">
        <v>10</v>
      </c>
      <c r="R214" s="3">
        <f t="shared" si="175"/>
        <v>1.6666666666666666E-2</v>
      </c>
      <c r="S214">
        <v>10</v>
      </c>
      <c r="T214" s="3">
        <f t="shared" si="176"/>
        <v>1.6666666666666666E-2</v>
      </c>
    </row>
    <row r="215" spans="1:20" x14ac:dyDescent="0.25">
      <c r="A215" s="1">
        <f t="shared" si="177"/>
        <v>43861</v>
      </c>
      <c r="B215" t="s">
        <v>5</v>
      </c>
      <c r="C215" t="s">
        <v>34</v>
      </c>
      <c r="D215">
        <v>590</v>
      </c>
      <c r="E215">
        <f>1*60+4</f>
        <v>64</v>
      </c>
      <c r="F215" s="3">
        <f t="shared" si="178"/>
        <v>0.21993127147766323</v>
      </c>
      <c r="G215">
        <v>1</v>
      </c>
      <c r="H215" s="3">
        <f t="shared" si="170"/>
        <v>1.6949152542372881E-3</v>
      </c>
      <c r="I215">
        <v>476</v>
      </c>
      <c r="J215" s="3">
        <f t="shared" si="171"/>
        <v>0.8067796610169492</v>
      </c>
      <c r="K215">
        <v>106</v>
      </c>
      <c r="L215" s="3">
        <f t="shared" si="172"/>
        <v>0.17966101694915254</v>
      </c>
      <c r="M215">
        <v>3</v>
      </c>
      <c r="N215" s="3">
        <f t="shared" si="173"/>
        <v>5.084745762711864E-3</v>
      </c>
      <c r="O215">
        <v>12</v>
      </c>
      <c r="P215" s="3">
        <f t="shared" si="174"/>
        <v>2.0338983050847456E-2</v>
      </c>
      <c r="Q215">
        <v>1</v>
      </c>
      <c r="R215" s="3">
        <f t="shared" si="175"/>
        <v>1.6949152542372881E-3</v>
      </c>
      <c r="S215">
        <v>6</v>
      </c>
      <c r="T215" s="3">
        <f t="shared" si="176"/>
        <v>1.0169491525423728E-2</v>
      </c>
    </row>
    <row r="216" spans="1:20" x14ac:dyDescent="0.25">
      <c r="A216" s="1">
        <f t="shared" si="177"/>
        <v>43861</v>
      </c>
      <c r="B216" t="s">
        <v>5</v>
      </c>
      <c r="C216" t="s">
        <v>35</v>
      </c>
      <c r="D216">
        <v>600</v>
      </c>
      <c r="E216">
        <f>1*60+23</f>
        <v>83</v>
      </c>
      <c r="F216" s="3">
        <f t="shared" si="178"/>
        <v>0.28522336769759449</v>
      </c>
      <c r="G216">
        <v>2</v>
      </c>
      <c r="H216" s="3">
        <f t="shared" si="170"/>
        <v>3.3333333333333335E-3</v>
      </c>
      <c r="I216">
        <v>500</v>
      </c>
      <c r="J216" s="3">
        <f t="shared" si="171"/>
        <v>0.83333333333333337</v>
      </c>
      <c r="K216">
        <v>88</v>
      </c>
      <c r="L216" s="3">
        <f t="shared" si="172"/>
        <v>0.14666666666666667</v>
      </c>
      <c r="M216">
        <v>4</v>
      </c>
      <c r="N216" s="3">
        <f t="shared" si="173"/>
        <v>6.6666666666666671E-3</v>
      </c>
      <c r="O216">
        <v>7</v>
      </c>
      <c r="P216" s="3">
        <f t="shared" si="174"/>
        <v>1.1666666666666667E-2</v>
      </c>
      <c r="Q216">
        <v>4</v>
      </c>
      <c r="R216" s="3">
        <f t="shared" si="175"/>
        <v>6.6666666666666671E-3</v>
      </c>
      <c r="S216">
        <v>7</v>
      </c>
      <c r="T216" s="3">
        <f t="shared" si="176"/>
        <v>1.1666666666666667E-2</v>
      </c>
    </row>
    <row r="217" spans="1:20" x14ac:dyDescent="0.25">
      <c r="A217" s="1">
        <v>43861</v>
      </c>
      <c r="B217" s="1" t="s">
        <v>4</v>
      </c>
      <c r="C217" t="s">
        <v>32</v>
      </c>
      <c r="D217">
        <v>5988</v>
      </c>
      <c r="E217">
        <f>5*60+1</f>
        <v>301</v>
      </c>
      <c r="F217" s="3">
        <f t="shared" si="178"/>
        <v>1.034364261168385</v>
      </c>
      <c r="G217">
        <v>0</v>
      </c>
      <c r="H217" s="3">
        <f t="shared" si="170"/>
        <v>0</v>
      </c>
      <c r="I217">
        <v>4797</v>
      </c>
      <c r="J217" s="3">
        <f t="shared" ref="J217" si="180">I217/$D217</f>
        <v>0.80110220440881763</v>
      </c>
      <c r="K217">
        <v>1071</v>
      </c>
      <c r="L217" s="3">
        <f t="shared" ref="L217" si="181">K217/$D217</f>
        <v>0.17885771543086174</v>
      </c>
      <c r="M217">
        <v>55</v>
      </c>
      <c r="N217" s="3">
        <f t="shared" ref="N217" si="182">M217/$D217</f>
        <v>9.1850367401469599E-3</v>
      </c>
      <c r="O217">
        <v>114</v>
      </c>
      <c r="P217" s="3">
        <f t="shared" ref="P217" si="183">O217/$D217</f>
        <v>1.9038076152304611E-2</v>
      </c>
      <c r="Q217">
        <v>59</v>
      </c>
      <c r="R217" s="3">
        <f t="shared" ref="R217" si="184">Q217/$D217</f>
        <v>9.8530394121576492E-3</v>
      </c>
      <c r="S217">
        <v>92</v>
      </c>
      <c r="T217" s="3">
        <f t="shared" ref="T217" si="185">S217/$D217</f>
        <v>1.5364061456245824E-2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opLeftCell="A136" workbookViewId="0">
      <pane xSplit="10545" topLeftCell="S1" activePane="topRight"/>
      <selection activeCell="F110" sqref="F110"/>
      <selection pane="topRight" activeCell="T157" sqref="T157"/>
    </sheetView>
  </sheetViews>
  <sheetFormatPr defaultRowHeight="15" x14ac:dyDescent="0.25"/>
  <cols>
    <col min="1" max="1" width="8.28515625" bestFit="1" customWidth="1"/>
    <col min="2" max="9" width="9.7109375" bestFit="1" customWidth="1"/>
    <col min="10" max="12" width="10.7109375" bestFit="1" customWidth="1"/>
    <col min="13" max="14" width="10.7109375" customWidth="1"/>
    <col min="15" max="18" width="10.7109375" bestFit="1" customWidth="1"/>
    <col min="19" max="20" width="9.7109375" bestFit="1" customWidth="1"/>
  </cols>
  <sheetData>
    <row r="1" spans="1:20" x14ac:dyDescent="0.25">
      <c r="A1" t="s">
        <v>20</v>
      </c>
    </row>
    <row r="2" spans="1:20" x14ac:dyDescent="0.25">
      <c r="A2" t="str">
        <f>rawData!A2</f>
        <v>date</v>
      </c>
      <c r="B2" s="1">
        <f>rawData!A3</f>
        <v>43835</v>
      </c>
      <c r="C2" s="1">
        <f>B2+1</f>
        <v>43836</v>
      </c>
      <c r="D2" s="1">
        <f t="shared" ref="D2:M2" si="0">C2+1</f>
        <v>43837</v>
      </c>
      <c r="E2" s="1">
        <f t="shared" si="0"/>
        <v>43838</v>
      </c>
      <c r="F2" s="1">
        <f t="shared" si="0"/>
        <v>43839</v>
      </c>
      <c r="G2" s="1">
        <f t="shared" si="0"/>
        <v>43840</v>
      </c>
      <c r="H2" s="1">
        <f t="shared" si="0"/>
        <v>43841</v>
      </c>
      <c r="I2" s="1">
        <f t="shared" si="0"/>
        <v>43842</v>
      </c>
      <c r="J2" s="1">
        <f t="shared" si="0"/>
        <v>43843</v>
      </c>
      <c r="K2" s="1">
        <f t="shared" si="0"/>
        <v>43844</v>
      </c>
      <c r="L2" s="1">
        <f t="shared" si="0"/>
        <v>43845</v>
      </c>
      <c r="M2" s="1">
        <f t="shared" si="0"/>
        <v>43846</v>
      </c>
      <c r="N2" s="1">
        <f t="shared" ref="N2" si="1">M2+1</f>
        <v>43847</v>
      </c>
      <c r="O2" s="1">
        <f t="shared" ref="O2:R2" si="2">N2+1</f>
        <v>43848</v>
      </c>
      <c r="P2" s="1">
        <f t="shared" si="2"/>
        <v>43849</v>
      </c>
      <c r="Q2" s="1">
        <f t="shared" si="2"/>
        <v>43850</v>
      </c>
      <c r="R2" s="1">
        <f t="shared" si="2"/>
        <v>43851</v>
      </c>
      <c r="S2" s="1">
        <f t="shared" ref="S2:T2" si="3">R2+1</f>
        <v>43852</v>
      </c>
      <c r="T2" s="1">
        <f t="shared" si="3"/>
        <v>43853</v>
      </c>
    </row>
    <row r="3" spans="1:20" x14ac:dyDescent="0.25">
      <c r="A3" s="1" t="str">
        <f>rawData!$B$3</f>
        <v>Total</v>
      </c>
      <c r="B3" s="3">
        <f>rawData!$F3</f>
        <v>1.4677002583979328</v>
      </c>
      <c r="C3" s="3">
        <f>rawData!$F9</f>
        <v>1.0185528756957329</v>
      </c>
      <c r="D3" s="3">
        <f>rawData!$F15</f>
        <v>1.7761732851985559</v>
      </c>
      <c r="E3" s="3">
        <f>rawData!$F21</f>
        <v>0.87878787878787878</v>
      </c>
      <c r="F3" s="3">
        <f>rawData!$F27</f>
        <v>1.0636704119850187</v>
      </c>
      <c r="G3" s="3">
        <f>rawData!$F33</f>
        <v>1.0326086956521738</v>
      </c>
      <c r="H3" s="3">
        <f>rawData!$F39</f>
        <v>0.59082568807339453</v>
      </c>
      <c r="I3" s="3">
        <f>rawData!$F45</f>
        <v>1.0451127819548873</v>
      </c>
      <c r="J3" s="3">
        <f>rawData!$F51</f>
        <v>1.6492537313432836</v>
      </c>
      <c r="K3" s="3">
        <f>rawData!$F57</f>
        <v>0.72790697674418603</v>
      </c>
      <c r="L3" s="3">
        <f>rawData!$F63</f>
        <v>0.91218130311614731</v>
      </c>
      <c r="M3" s="3">
        <f>rawData!$F69</f>
        <v>1.0716845878136201</v>
      </c>
      <c r="N3" s="3">
        <f>rawData!$F75</f>
        <v>1.8333333333333333</v>
      </c>
      <c r="O3" s="3">
        <f>rawData!$F81</f>
        <v>1.0068493150684932</v>
      </c>
      <c r="P3" s="3">
        <f>rawData!$F87</f>
        <v>1.2678571428571428</v>
      </c>
      <c r="Q3" s="3">
        <f>rawData!$F93</f>
        <v>1.8691588785046729</v>
      </c>
      <c r="R3" s="3">
        <f>rawData!$F99</f>
        <v>1.132890365448505</v>
      </c>
      <c r="S3" s="3">
        <f>rawData!$F105</f>
        <v>1.054945054945055</v>
      </c>
      <c r="T3" s="3">
        <f>rawData!$F116</f>
        <v>1.1319444444444444</v>
      </c>
    </row>
    <row r="4" spans="1:20" x14ac:dyDescent="0.25">
      <c r="A4" s="1" t="str">
        <f>rawData!$B$4</f>
        <v>Random</v>
      </c>
      <c r="B4" s="3">
        <f>rawData!$F4</f>
        <v>1</v>
      </c>
      <c r="C4" s="3">
        <f>rawData!$F10</f>
        <v>1</v>
      </c>
      <c r="D4" s="3">
        <f>rawData!$F16</f>
        <v>1</v>
      </c>
      <c r="E4" s="3">
        <f>rawData!$F22</f>
        <v>1</v>
      </c>
      <c r="F4" s="3">
        <f>rawData!$F28</f>
        <v>1</v>
      </c>
      <c r="G4" s="3">
        <f>rawData!$F34</f>
        <v>1</v>
      </c>
      <c r="H4" s="3">
        <f>rawData!$F40</f>
        <v>1</v>
      </c>
      <c r="I4" s="3">
        <f>rawData!$F46</f>
        <v>1</v>
      </c>
      <c r="J4" s="3">
        <f>rawData!$F52</f>
        <v>1</v>
      </c>
      <c r="K4" s="3">
        <f>rawData!$F58</f>
        <v>1</v>
      </c>
      <c r="L4" s="3">
        <f>rawData!$F64</f>
        <v>1</v>
      </c>
      <c r="M4" s="3">
        <f>rawData!$F70</f>
        <v>1</v>
      </c>
      <c r="N4" s="3">
        <f>rawData!$F76</f>
        <v>1</v>
      </c>
      <c r="O4" s="3">
        <f>rawData!$F82</f>
        <v>1</v>
      </c>
      <c r="P4" s="3">
        <f>rawData!$F88</f>
        <v>1</v>
      </c>
      <c r="Q4" s="3">
        <f>rawData!$F94</f>
        <v>1</v>
      </c>
      <c r="R4" s="3">
        <f>rawData!$F100</f>
        <v>1</v>
      </c>
      <c r="S4" s="3">
        <f>rawData!$F106</f>
        <v>1</v>
      </c>
      <c r="T4" s="3">
        <f>rawData!$F117</f>
        <v>1</v>
      </c>
    </row>
    <row r="5" spans="1:20" x14ac:dyDescent="0.25">
      <c r="A5" s="1" t="str">
        <f>rawData!$B$5</f>
        <v>Cluster</v>
      </c>
      <c r="B5" s="3">
        <f>rawData!$F5</f>
        <v>0.48578811369509045</v>
      </c>
      <c r="C5" s="3">
        <f>rawData!$F11</f>
        <v>0.11131725417439703</v>
      </c>
      <c r="D5" s="3">
        <f>rawData!$F17</f>
        <v>0.22743682310469315</v>
      </c>
      <c r="E5" s="3">
        <f>rawData!$F23</f>
        <v>0.18484848484848485</v>
      </c>
      <c r="F5" s="3">
        <f>rawData!$F29</f>
        <v>0.21722846441947566</v>
      </c>
      <c r="G5" s="3">
        <f>rawData!$F35</f>
        <v>0.21014492753623187</v>
      </c>
      <c r="H5" s="3">
        <f>rawData!$F41</f>
        <v>0.19633027522935781</v>
      </c>
      <c r="I5" s="3">
        <f>rawData!$F47</f>
        <v>0.22932330827067668</v>
      </c>
      <c r="J5" s="3">
        <f>rawData!$F53</f>
        <v>0.22014925373134328</v>
      </c>
      <c r="K5" s="3">
        <f>rawData!$F59</f>
        <v>0.31860465116279069</v>
      </c>
      <c r="L5" s="3">
        <f>rawData!$F65</f>
        <v>0.17280453257790368</v>
      </c>
      <c r="M5" s="3">
        <f>rawData!$F71</f>
        <v>0.2078853046594982</v>
      </c>
      <c r="N5" s="3">
        <f>rawData!$F77</f>
        <v>0.22486772486772486</v>
      </c>
      <c r="O5" s="3">
        <f>rawData!$F83</f>
        <v>0.22602739726027396</v>
      </c>
      <c r="P5" s="3">
        <f>rawData!$F89</f>
        <v>0.27142857142857141</v>
      </c>
      <c r="Q5" s="3">
        <f>rawData!$F95</f>
        <v>0.29283489096573206</v>
      </c>
      <c r="R5" s="3">
        <f>rawData!$F101</f>
        <v>0.20598006644518271</v>
      </c>
      <c r="S5" s="3">
        <f>rawData!$F107</f>
        <v>0.21978021978021978</v>
      </c>
      <c r="T5" s="3">
        <f>rawData!$F118</f>
        <v>0.28472222222222221</v>
      </c>
    </row>
    <row r="6" spans="1:20" x14ac:dyDescent="0.25">
      <c r="A6" s="1" t="str">
        <f>rawData!$B$6</f>
        <v>Strata</v>
      </c>
      <c r="B6" s="3">
        <f>rawData!$F6</f>
        <v>0.84496124031007747</v>
      </c>
      <c r="C6" s="3">
        <f>rawData!$F12</f>
        <v>0.54730983302411873</v>
      </c>
      <c r="D6" s="3">
        <f>rawData!$F18</f>
        <v>1.1119133574007221</v>
      </c>
      <c r="E6" s="3">
        <f>rawData!$F24</f>
        <v>1.5393939393939393</v>
      </c>
      <c r="F6" s="3">
        <f>rawData!$F30</f>
        <v>1.0262172284644195</v>
      </c>
      <c r="G6" s="3">
        <f>rawData!$F36</f>
        <v>1.0942028985507246</v>
      </c>
      <c r="H6" s="3">
        <f>rawData!$F42</f>
        <v>1.1908256880733945</v>
      </c>
      <c r="I6" s="3">
        <f>rawData!$F48</f>
        <v>1.0488721804511278</v>
      </c>
      <c r="J6" s="3">
        <f>rawData!$F54</f>
        <v>1.1343283582089552</v>
      </c>
      <c r="K6" s="3">
        <f>rawData!$F60</f>
        <v>0.96279069767441861</v>
      </c>
      <c r="L6" s="3">
        <f>rawData!$F66</f>
        <v>0.79320113314447593</v>
      </c>
      <c r="M6" s="3">
        <f>rawData!$F72</f>
        <v>1.043010752688172</v>
      </c>
      <c r="N6" s="3">
        <f>rawData!$F78</f>
        <v>1.0291005291005291</v>
      </c>
      <c r="O6" s="3">
        <f>rawData!$F84</f>
        <v>1.0102739726027397</v>
      </c>
      <c r="P6" s="3">
        <f>rawData!$F90</f>
        <v>1.5607142857142857</v>
      </c>
      <c r="Q6" s="3">
        <f>rawData!$F96</f>
        <v>1.0623052959501558</v>
      </c>
      <c r="R6" s="3">
        <f>rawData!$F102</f>
        <v>1.0730897009966778</v>
      </c>
      <c r="S6" s="3">
        <f>rawData!$F108</f>
        <v>1.2234432234432235</v>
      </c>
      <c r="T6" s="3">
        <f>rawData!$F119</f>
        <v>0.96875</v>
      </c>
    </row>
    <row r="7" spans="1:20" x14ac:dyDescent="0.25">
      <c r="A7" s="1" t="str">
        <f>rawData!$B$7</f>
        <v>Convent</v>
      </c>
      <c r="B7" s="3">
        <f>rawData!$F7</f>
        <v>0.84754521963824292</v>
      </c>
      <c r="C7" s="3">
        <f>rawData!$F13</f>
        <v>0.37476808905380332</v>
      </c>
      <c r="D7" s="3">
        <f>rawData!$F19</f>
        <v>1.6787003610108304</v>
      </c>
      <c r="E7" s="3">
        <f>rawData!$F25</f>
        <v>0.70909090909090911</v>
      </c>
      <c r="F7" s="3">
        <f>rawData!$F31</f>
        <v>0.77153558052434457</v>
      </c>
      <c r="G7" s="3">
        <f>rawData!$F37</f>
        <v>0.76086956521739135</v>
      </c>
      <c r="H7" s="3">
        <f>rawData!$F43</f>
        <v>0.43119266055045874</v>
      </c>
      <c r="I7" s="3">
        <f>rawData!$F49</f>
        <v>0.85338345864661658</v>
      </c>
      <c r="J7" s="3">
        <f>rawData!$F55</f>
        <v>0.89552238805970152</v>
      </c>
      <c r="K7" s="3">
        <f>rawData!$F61</f>
        <v>0.48837209302325579</v>
      </c>
      <c r="L7" s="3">
        <f>rawData!$F67</f>
        <v>0.60339943342776203</v>
      </c>
      <c r="M7" s="3">
        <f>rawData!$F73</f>
        <v>0.82078853046594979</v>
      </c>
      <c r="N7" s="3">
        <f>rawData!$F79</f>
        <v>1.4312169312169312</v>
      </c>
      <c r="O7" s="3">
        <f>rawData!$F85</f>
        <v>0.8047945205479452</v>
      </c>
      <c r="P7" s="3">
        <f>rawData!$F91</f>
        <v>0.82857142857142863</v>
      </c>
      <c r="Q7" s="3">
        <f>rawData!$F97</f>
        <v>1.1993769470404985</v>
      </c>
      <c r="R7" s="3">
        <f>rawData!$F103</f>
        <v>0.95348837209302328</v>
      </c>
      <c r="S7" s="3">
        <f>rawData!$F109</f>
        <v>0.77655677655677657</v>
      </c>
      <c r="T7" s="3">
        <f>rawData!$F120</f>
        <v>0.81597222222222221</v>
      </c>
    </row>
    <row r="8" spans="1:20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2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2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2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2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2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2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2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2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2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2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2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2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2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2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2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20" x14ac:dyDescent="0.25">
      <c r="A25" t="s">
        <v>27</v>
      </c>
      <c r="B25">
        <f>3/100</f>
        <v>0.03</v>
      </c>
      <c r="C25">
        <f>B25</f>
        <v>0.03</v>
      </c>
      <c r="D25">
        <f t="shared" ref="D25:L25" si="4">C25</f>
        <v>0.03</v>
      </c>
      <c r="E25">
        <f t="shared" si="4"/>
        <v>0.03</v>
      </c>
      <c r="F25">
        <f t="shared" si="4"/>
        <v>0.03</v>
      </c>
      <c r="G25">
        <f t="shared" si="4"/>
        <v>0.03</v>
      </c>
      <c r="H25">
        <f t="shared" si="4"/>
        <v>0.03</v>
      </c>
      <c r="I25">
        <f t="shared" si="4"/>
        <v>0.03</v>
      </c>
      <c r="J25">
        <f t="shared" si="4"/>
        <v>0.03</v>
      </c>
      <c r="K25">
        <f t="shared" si="4"/>
        <v>0.03</v>
      </c>
      <c r="L25">
        <f t="shared" si="4"/>
        <v>0.03</v>
      </c>
      <c r="M25">
        <f t="shared" ref="M25:R25" si="5">L25</f>
        <v>0.03</v>
      </c>
      <c r="N25">
        <f t="shared" si="5"/>
        <v>0.03</v>
      </c>
      <c r="O25">
        <f t="shared" si="5"/>
        <v>0.03</v>
      </c>
      <c r="P25">
        <f t="shared" si="5"/>
        <v>0.03</v>
      </c>
      <c r="Q25">
        <f t="shared" si="5"/>
        <v>0.03</v>
      </c>
      <c r="R25">
        <f t="shared" si="5"/>
        <v>0.03</v>
      </c>
      <c r="S25">
        <f t="shared" ref="S25:T25" si="6">R25</f>
        <v>0.03</v>
      </c>
      <c r="T25">
        <f t="shared" si="6"/>
        <v>0.03</v>
      </c>
    </row>
    <row r="26" spans="1:20" x14ac:dyDescent="0.25">
      <c r="A26" t="s">
        <v>19</v>
      </c>
      <c r="B26" s="1">
        <f t="shared" ref="B26:R26" si="7">B2</f>
        <v>43835</v>
      </c>
      <c r="C26" s="1">
        <f t="shared" si="7"/>
        <v>43836</v>
      </c>
      <c r="D26" s="1">
        <f t="shared" si="7"/>
        <v>43837</v>
      </c>
      <c r="E26" s="1">
        <f t="shared" si="7"/>
        <v>43838</v>
      </c>
      <c r="F26" s="1">
        <f t="shared" si="7"/>
        <v>43839</v>
      </c>
      <c r="G26" s="1">
        <f t="shared" si="7"/>
        <v>43840</v>
      </c>
      <c r="H26" s="1">
        <f t="shared" si="7"/>
        <v>43841</v>
      </c>
      <c r="I26" s="1">
        <f t="shared" si="7"/>
        <v>43842</v>
      </c>
      <c r="J26" s="1">
        <f t="shared" si="7"/>
        <v>43843</v>
      </c>
      <c r="K26" s="1">
        <f t="shared" si="7"/>
        <v>43844</v>
      </c>
      <c r="L26" s="1">
        <f t="shared" si="7"/>
        <v>43845</v>
      </c>
      <c r="M26" s="1">
        <f t="shared" si="7"/>
        <v>43846</v>
      </c>
      <c r="N26" s="1">
        <f t="shared" si="7"/>
        <v>43847</v>
      </c>
      <c r="O26" s="1">
        <f t="shared" si="7"/>
        <v>43848</v>
      </c>
      <c r="P26" s="1">
        <f t="shared" si="7"/>
        <v>43849</v>
      </c>
      <c r="Q26" s="1">
        <f t="shared" si="7"/>
        <v>43850</v>
      </c>
      <c r="R26" s="1">
        <f t="shared" si="7"/>
        <v>43851</v>
      </c>
      <c r="S26" s="1">
        <f t="shared" ref="S26:T26" si="8">S2</f>
        <v>43852</v>
      </c>
      <c r="T26" s="1">
        <f t="shared" si="8"/>
        <v>43853</v>
      </c>
    </row>
    <row r="27" spans="1:20" x14ac:dyDescent="0.25">
      <c r="A27" t="s">
        <v>25</v>
      </c>
      <c r="B27" s="5">
        <f>B29+B25</f>
        <v>0.83752739399714149</v>
      </c>
      <c r="C27" s="5">
        <f t="shared" ref="C27:L27" si="9">C29+C25</f>
        <v>0.83708723979024313</v>
      </c>
      <c r="D27" s="5">
        <f t="shared" si="9"/>
        <v>0.83740623516379176</v>
      </c>
      <c r="E27" s="5">
        <f t="shared" si="9"/>
        <v>0.83778357854769814</v>
      </c>
      <c r="F27" s="5">
        <f t="shared" si="9"/>
        <v>0.83848369737258632</v>
      </c>
      <c r="G27" s="5">
        <f t="shared" si="9"/>
        <v>0.83798989420495817</v>
      </c>
      <c r="H27" s="5">
        <f t="shared" si="9"/>
        <v>0.83853080568720384</v>
      </c>
      <c r="I27" s="5">
        <f t="shared" si="9"/>
        <v>0.83810639645345153</v>
      </c>
      <c r="J27" s="5">
        <f t="shared" si="9"/>
        <v>0.8379239302694137</v>
      </c>
      <c r="K27" s="5">
        <f t="shared" si="9"/>
        <v>0.83830164765525983</v>
      </c>
      <c r="L27" s="5">
        <f t="shared" si="9"/>
        <v>0.83824088748019021</v>
      </c>
      <c r="M27" s="5">
        <f t="shared" ref="M27:O27" si="10">M29+M25</f>
        <v>0.83750356181731833</v>
      </c>
      <c r="N27" s="5">
        <f t="shared" si="10"/>
        <v>0.83719108180248081</v>
      </c>
      <c r="O27" s="5">
        <f t="shared" si="10"/>
        <v>0.83757147345271754</v>
      </c>
      <c r="P27" s="5">
        <f t="shared" ref="P27:Q27" si="11">P29+P25</f>
        <v>0.83705067673906208</v>
      </c>
      <c r="Q27" s="5">
        <f t="shared" si="11"/>
        <v>0.83689329556185088</v>
      </c>
      <c r="R27" s="5">
        <f t="shared" ref="R27:S27" si="12">R29+R25</f>
        <v>0.83729904042787484</v>
      </c>
      <c r="S27" s="5">
        <f t="shared" si="12"/>
        <v>0.8362893081761007</v>
      </c>
      <c r="T27" s="5">
        <f t="shared" ref="T27" si="13">T29+T25</f>
        <v>0.83652242082157424</v>
      </c>
    </row>
    <row r="28" spans="1:20" x14ac:dyDescent="0.25">
      <c r="A28" t="s">
        <v>26</v>
      </c>
      <c r="B28" s="5">
        <f>B29-B25</f>
        <v>0.77752739399714144</v>
      </c>
      <c r="C28" s="5">
        <f t="shared" ref="C28:L28" si="14">C29-C25</f>
        <v>0.77708723979024308</v>
      </c>
      <c r="D28" s="5">
        <f t="shared" si="14"/>
        <v>0.7774062351637917</v>
      </c>
      <c r="E28" s="5">
        <f t="shared" si="14"/>
        <v>0.77778357854769808</v>
      </c>
      <c r="F28" s="5">
        <f t="shared" si="14"/>
        <v>0.77848369737258627</v>
      </c>
      <c r="G28" s="5">
        <f t="shared" si="14"/>
        <v>0.77798989420495812</v>
      </c>
      <c r="H28" s="5">
        <f t="shared" si="14"/>
        <v>0.77853080568720379</v>
      </c>
      <c r="I28" s="5">
        <f t="shared" si="14"/>
        <v>0.77810639645345148</v>
      </c>
      <c r="J28" s="5">
        <f t="shared" si="14"/>
        <v>0.77792393026941364</v>
      </c>
      <c r="K28" s="5">
        <f t="shared" si="14"/>
        <v>0.77830164765525978</v>
      </c>
      <c r="L28" s="5">
        <f t="shared" si="14"/>
        <v>0.77824088748019016</v>
      </c>
      <c r="M28" s="5">
        <f t="shared" ref="M28:O28" si="15">M29-M25</f>
        <v>0.77750356181731828</v>
      </c>
      <c r="N28" s="5">
        <f t="shared" si="15"/>
        <v>0.77719108180248075</v>
      </c>
      <c r="O28" s="5">
        <f t="shared" si="15"/>
        <v>0.77757147345271749</v>
      </c>
      <c r="P28" s="5">
        <f t="shared" ref="P28:Q28" si="16">P29-P25</f>
        <v>0.77705067673906203</v>
      </c>
      <c r="Q28" s="5">
        <f t="shared" si="16"/>
        <v>0.77689329556185083</v>
      </c>
      <c r="R28" s="5">
        <f t="shared" ref="R28:S28" si="17">R29-R25</f>
        <v>0.77729904042787479</v>
      </c>
      <c r="S28" s="5">
        <f t="shared" si="17"/>
        <v>0.77628930817610065</v>
      </c>
      <c r="T28" s="5">
        <f t="shared" ref="T28" si="18">T29-T25</f>
        <v>0.77652242082157419</v>
      </c>
    </row>
    <row r="29" spans="1:20" x14ac:dyDescent="0.25">
      <c r="A29" s="1" t="str">
        <f>rawData!$B$3</f>
        <v>Total</v>
      </c>
      <c r="B29" s="3">
        <f>rawData!$J3</f>
        <v>0.80752739399714146</v>
      </c>
      <c r="C29" s="3">
        <f>rawData!$J9</f>
        <v>0.80708723979024311</v>
      </c>
      <c r="D29" s="3">
        <f>rawData!$J15</f>
        <v>0.80740623516379173</v>
      </c>
      <c r="E29" s="3">
        <f>rawData!$J21</f>
        <v>0.80778357854769811</v>
      </c>
      <c r="F29" s="3">
        <f>rawData!$J27</f>
        <v>0.8084836973725863</v>
      </c>
      <c r="G29" s="3">
        <f>rawData!$J33</f>
        <v>0.80798989420495815</v>
      </c>
      <c r="H29" s="3">
        <f>rawData!$J39</f>
        <v>0.80853080568720381</v>
      </c>
      <c r="I29" s="3">
        <f>rawData!$J45</f>
        <v>0.8081063964534515</v>
      </c>
      <c r="J29" s="3">
        <f>rawData!$J51</f>
        <v>0.80792393026941367</v>
      </c>
      <c r="K29" s="3">
        <f>rawData!$J57</f>
        <v>0.8083016476552598</v>
      </c>
      <c r="L29" s="3">
        <f>rawData!$J63</f>
        <v>0.80824088748019018</v>
      </c>
      <c r="M29" s="3">
        <f>rawData!$J69</f>
        <v>0.8075035618173183</v>
      </c>
      <c r="N29" s="3">
        <f>rawData!$J75</f>
        <v>0.80719108180248078</v>
      </c>
      <c r="O29" s="3">
        <f>rawData!$J81</f>
        <v>0.80757147345271751</v>
      </c>
      <c r="P29" s="3">
        <f>rawData!$J87</f>
        <v>0.80705067673906206</v>
      </c>
      <c r="Q29" s="3">
        <f>rawData!$J93</f>
        <v>0.80689329556185085</v>
      </c>
      <c r="R29" s="3">
        <f>rawData!$J99</f>
        <v>0.80729904042787481</v>
      </c>
      <c r="S29" s="3">
        <f>rawData!$J105</f>
        <v>0.80628930817610067</v>
      </c>
      <c r="T29" s="3">
        <f>rawData!$J116</f>
        <v>0.80652242082157422</v>
      </c>
    </row>
    <row r="30" spans="1:20" x14ac:dyDescent="0.25">
      <c r="A30" s="1" t="str">
        <f>rawData!$B$4</f>
        <v>Random</v>
      </c>
      <c r="B30" s="3">
        <f>rawData!$J4</f>
        <v>0.81090289608177168</v>
      </c>
      <c r="C30" s="3">
        <f>rawData!$J10</f>
        <v>0.80272108843537415</v>
      </c>
      <c r="D30" s="3">
        <f>rawData!$J16</f>
        <v>0.79495798319327726</v>
      </c>
      <c r="E30" s="3">
        <f>rawData!$J22</f>
        <v>0.80463576158940397</v>
      </c>
      <c r="F30" s="3">
        <f>rawData!$J28</f>
        <v>0.80099502487562191</v>
      </c>
      <c r="G30" s="3">
        <f>rawData!$J34</f>
        <v>0.78239202657807305</v>
      </c>
      <c r="H30" s="3">
        <f>rawData!$J40</f>
        <v>0.80645161290322576</v>
      </c>
      <c r="I30" s="3">
        <f>rawData!$J46</f>
        <v>0.79026845637583898</v>
      </c>
      <c r="J30" s="3">
        <f>rawData!$J52</f>
        <v>0.82352941176470584</v>
      </c>
      <c r="K30" s="3">
        <f>rawData!$J58</f>
        <v>0.78441127694859036</v>
      </c>
      <c r="L30" s="3">
        <f>rawData!$J64</f>
        <v>0.80801335559265441</v>
      </c>
      <c r="M30" s="3">
        <f>rawData!$J70</f>
        <v>0.79867986798679869</v>
      </c>
      <c r="N30" s="3">
        <f>rawData!$J76</f>
        <v>0.81270903010033446</v>
      </c>
      <c r="O30" s="3">
        <f>rawData!$J82</f>
        <v>0.79146141215106736</v>
      </c>
      <c r="P30" s="3">
        <f>rawData!$J88</f>
        <v>0.80730897009966773</v>
      </c>
      <c r="Q30" s="3">
        <f>rawData!$J94</f>
        <v>0.81072026800670016</v>
      </c>
      <c r="R30" s="3">
        <f>rawData!$J100</f>
        <v>0.81188118811881194</v>
      </c>
      <c r="S30" s="3">
        <f>rawData!$J106</f>
        <v>0.82838283828382842</v>
      </c>
      <c r="T30" s="3">
        <f>rawData!$J117</f>
        <v>0.80687397708674302</v>
      </c>
    </row>
    <row r="31" spans="1:20" x14ac:dyDescent="0.25">
      <c r="A31" s="1" t="str">
        <f>rawData!$B$5</f>
        <v>Cluster</v>
      </c>
      <c r="B31" s="3">
        <f>rawData!$J5</f>
        <v>0.81834215167548496</v>
      </c>
      <c r="C31" s="3">
        <f>rawData!$J11</f>
        <v>0.79672131147540981</v>
      </c>
      <c r="D31" s="3">
        <f>rawData!$J17</f>
        <v>0.81311475409836065</v>
      </c>
      <c r="E31" s="3">
        <f>rawData!$J23</f>
        <v>0.83</v>
      </c>
      <c r="F31" s="3">
        <f>rawData!$J29</f>
        <v>0.81864406779661014</v>
      </c>
      <c r="G31" s="3">
        <f>rawData!$J35</f>
        <v>0.78688524590163933</v>
      </c>
      <c r="H31" s="3">
        <f>rawData!$J41</f>
        <v>0.81904761904761902</v>
      </c>
      <c r="I31" s="3">
        <f>rawData!$J47</f>
        <v>0.84833333333333338</v>
      </c>
      <c r="J31" s="3">
        <f>rawData!$J53</f>
        <v>0.84210526315789469</v>
      </c>
      <c r="K31" s="3">
        <f>rawData!$J59</f>
        <v>0.81646655231560894</v>
      </c>
      <c r="L31" s="3">
        <f>rawData!$J65</f>
        <v>0.83333333333333337</v>
      </c>
      <c r="M31" s="3">
        <f>rawData!$J71</f>
        <v>0.79824561403508776</v>
      </c>
      <c r="N31" s="3">
        <f>rawData!$J77</f>
        <v>0.84893267651888338</v>
      </c>
      <c r="O31" s="3">
        <f>rawData!$J83</f>
        <v>0.84166666666666667</v>
      </c>
      <c r="P31" s="3">
        <f>rawData!$J89</f>
        <v>0.79344262295081969</v>
      </c>
      <c r="Q31" s="3">
        <f>rawData!$J95</f>
        <v>0.82372881355932204</v>
      </c>
      <c r="R31" s="3">
        <f>rawData!$J101</f>
        <v>0.81525423728813562</v>
      </c>
      <c r="S31" s="3">
        <f>rawData!$J107</f>
        <v>0.78666666666666663</v>
      </c>
      <c r="T31" s="3">
        <f>rawData!$J118</f>
        <v>0.78793103448275859</v>
      </c>
    </row>
    <row r="32" spans="1:20" x14ac:dyDescent="0.25">
      <c r="A32" s="1" t="str">
        <f>rawData!$B$6</f>
        <v>Strata</v>
      </c>
      <c r="B32" s="3">
        <f>rawData!$J6</f>
        <v>0.83112582781456956</v>
      </c>
      <c r="C32" s="3">
        <f>rawData!$J12</f>
        <v>0.79899497487437188</v>
      </c>
      <c r="D32" s="3">
        <f>rawData!$J18</f>
        <v>0.80491803278688523</v>
      </c>
      <c r="E32" s="3">
        <f>rawData!$J24</f>
        <v>0.79767827529021562</v>
      </c>
      <c r="F32" s="3">
        <f>rawData!$J30</f>
        <v>0.81302170283806341</v>
      </c>
      <c r="G32" s="3">
        <f>rawData!$J36</f>
        <v>0.80431177446102819</v>
      </c>
      <c r="H32" s="3">
        <f>rawData!$J42</f>
        <v>0.81892332789559541</v>
      </c>
      <c r="I32" s="3">
        <f>rawData!$J48</f>
        <v>0.81622516556291391</v>
      </c>
      <c r="J32" s="3">
        <f>rawData!$J54</f>
        <v>0.81178396072013093</v>
      </c>
      <c r="K32" s="3">
        <f>rawData!$J60</f>
        <v>0.79834710743801651</v>
      </c>
      <c r="L32" s="3">
        <f>rawData!$J66</f>
        <v>0.79601990049751248</v>
      </c>
      <c r="M32" s="3">
        <f>rawData!$J72</f>
        <v>0.81014729950900166</v>
      </c>
      <c r="N32" s="3">
        <f>rawData!$J78</f>
        <v>0.80196399345335512</v>
      </c>
      <c r="O32" s="3">
        <f>rawData!$J84</f>
        <v>0.81862745098039214</v>
      </c>
      <c r="P32" s="3">
        <f>rawData!$J90</f>
        <v>0.79512195121951224</v>
      </c>
      <c r="Q32" s="3">
        <f>rawData!$J96</f>
        <v>0.78827361563517917</v>
      </c>
      <c r="R32" s="3">
        <f>rawData!$J102</f>
        <v>0.82051282051282048</v>
      </c>
      <c r="S32" s="3">
        <f>rawData!$J108</f>
        <v>0.82730263157894735</v>
      </c>
      <c r="T32" s="3">
        <f>rawData!$J119</f>
        <v>0.77265238879736409</v>
      </c>
    </row>
    <row r="33" spans="1:20" x14ac:dyDescent="0.25">
      <c r="A33" s="1" t="str">
        <f>rawData!$B$7</f>
        <v>Convent</v>
      </c>
      <c r="B33" s="3">
        <f>rawData!$J7</f>
        <v>0.88459958932238192</v>
      </c>
      <c r="C33" s="3">
        <f>rawData!$J13</f>
        <v>0.88952772073921971</v>
      </c>
      <c r="D33" s="3">
        <f>rawData!$J19</f>
        <v>0.89372178908494049</v>
      </c>
      <c r="E33" s="3">
        <f>rawData!$J25</f>
        <v>0.89745693191140274</v>
      </c>
      <c r="F33" s="3">
        <f>rawData!$J31</f>
        <v>0.89987689782519487</v>
      </c>
      <c r="G33" s="3">
        <f>rawData!$J37</f>
        <v>0.88975409836065578</v>
      </c>
      <c r="H33" s="3">
        <f>rawData!$J43</f>
        <v>0.88276719138359572</v>
      </c>
      <c r="I33" s="3">
        <f>rawData!$J49</f>
        <v>0.89704675963904845</v>
      </c>
      <c r="J33" s="3">
        <f>rawData!$J55</f>
        <v>0.88961838325810427</v>
      </c>
      <c r="K33" s="3">
        <f>rawData!$J61</f>
        <v>0.89659417316372592</v>
      </c>
      <c r="L33" s="3">
        <f>rawData!$J67</f>
        <v>0.88998357963875208</v>
      </c>
      <c r="M33" s="3">
        <f>rawData!$J73</f>
        <v>0.89002872384078791</v>
      </c>
      <c r="N33" s="3">
        <f>rawData!$J79</f>
        <v>0.89170412750306494</v>
      </c>
      <c r="O33" s="3">
        <f>rawData!$J85</f>
        <v>0.88766339869281041</v>
      </c>
      <c r="P33" s="3">
        <f>rawData!$J91</f>
        <v>0.88067020841847155</v>
      </c>
      <c r="Q33" s="3">
        <f>rawData!$J97</f>
        <v>0.88398692810457513</v>
      </c>
      <c r="R33" s="3">
        <f>rawData!$J103</f>
        <v>0.89570552147239269</v>
      </c>
      <c r="S33" s="3">
        <f>rawData!$J109</f>
        <v>0.90077582686810942</v>
      </c>
      <c r="T33" s="3">
        <f>rawData!$J120</f>
        <v>0.89963280293757653</v>
      </c>
    </row>
    <row r="34" spans="1:20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20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20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20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20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20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20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20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20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20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20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20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20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20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20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20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20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20" x14ac:dyDescent="0.25">
      <c r="A51" t="s">
        <v>27</v>
      </c>
      <c r="B51">
        <f>2.88/100</f>
        <v>2.8799999999999999E-2</v>
      </c>
      <c r="C51">
        <f>B51</f>
        <v>2.8799999999999999E-2</v>
      </c>
      <c r="D51">
        <f t="shared" ref="D51:L51" si="19">C51</f>
        <v>2.8799999999999999E-2</v>
      </c>
      <c r="E51">
        <f t="shared" si="19"/>
        <v>2.8799999999999999E-2</v>
      </c>
      <c r="F51">
        <f t="shared" si="19"/>
        <v>2.8799999999999999E-2</v>
      </c>
      <c r="G51">
        <f t="shared" si="19"/>
        <v>2.8799999999999999E-2</v>
      </c>
      <c r="H51">
        <f t="shared" si="19"/>
        <v>2.8799999999999999E-2</v>
      </c>
      <c r="I51">
        <f t="shared" si="19"/>
        <v>2.8799999999999999E-2</v>
      </c>
      <c r="J51">
        <f t="shared" si="19"/>
        <v>2.8799999999999999E-2</v>
      </c>
      <c r="K51">
        <f t="shared" si="19"/>
        <v>2.8799999999999999E-2</v>
      </c>
      <c r="L51">
        <f t="shared" si="19"/>
        <v>2.8799999999999999E-2</v>
      </c>
      <c r="M51">
        <f t="shared" ref="M51:R51" si="20">L51</f>
        <v>2.8799999999999999E-2</v>
      </c>
      <c r="N51">
        <f t="shared" si="20"/>
        <v>2.8799999999999999E-2</v>
      </c>
      <c r="O51">
        <f t="shared" si="20"/>
        <v>2.8799999999999999E-2</v>
      </c>
      <c r="P51">
        <f t="shared" si="20"/>
        <v>2.8799999999999999E-2</v>
      </c>
      <c r="Q51">
        <f t="shared" si="20"/>
        <v>2.8799999999999999E-2</v>
      </c>
      <c r="R51">
        <f t="shared" si="20"/>
        <v>2.8799999999999999E-2</v>
      </c>
      <c r="S51">
        <f t="shared" ref="S51:T51" si="21">R51</f>
        <v>2.8799999999999999E-2</v>
      </c>
      <c r="T51">
        <f t="shared" si="21"/>
        <v>2.8799999999999999E-2</v>
      </c>
    </row>
    <row r="52" spans="1:20" x14ac:dyDescent="0.25">
      <c r="A52" t="s">
        <v>21</v>
      </c>
      <c r="B52" s="1">
        <f t="shared" ref="B52:R52" si="22">B26</f>
        <v>43835</v>
      </c>
      <c r="C52" s="1">
        <f t="shared" si="22"/>
        <v>43836</v>
      </c>
      <c r="D52" s="1">
        <f t="shared" si="22"/>
        <v>43837</v>
      </c>
      <c r="E52" s="1">
        <f t="shared" si="22"/>
        <v>43838</v>
      </c>
      <c r="F52" s="1">
        <f t="shared" si="22"/>
        <v>43839</v>
      </c>
      <c r="G52" s="1">
        <f t="shared" si="22"/>
        <v>43840</v>
      </c>
      <c r="H52" s="1">
        <f t="shared" si="22"/>
        <v>43841</v>
      </c>
      <c r="I52" s="1">
        <f t="shared" si="22"/>
        <v>43842</v>
      </c>
      <c r="J52" s="1">
        <f t="shared" si="22"/>
        <v>43843</v>
      </c>
      <c r="K52" s="1">
        <f t="shared" si="22"/>
        <v>43844</v>
      </c>
      <c r="L52" s="1">
        <f t="shared" si="22"/>
        <v>43845</v>
      </c>
      <c r="M52" s="1">
        <f t="shared" si="22"/>
        <v>43846</v>
      </c>
      <c r="N52" s="1">
        <f t="shared" si="22"/>
        <v>43847</v>
      </c>
      <c r="O52" s="1">
        <f t="shared" si="22"/>
        <v>43848</v>
      </c>
      <c r="P52" s="1">
        <f t="shared" si="22"/>
        <v>43849</v>
      </c>
      <c r="Q52" s="1">
        <f t="shared" si="22"/>
        <v>43850</v>
      </c>
      <c r="R52" s="1">
        <f t="shared" si="22"/>
        <v>43851</v>
      </c>
      <c r="S52" s="1">
        <f t="shared" ref="S52:T52" si="23">S26</f>
        <v>43852</v>
      </c>
      <c r="T52" s="1">
        <f t="shared" si="23"/>
        <v>43853</v>
      </c>
    </row>
    <row r="53" spans="1:20" x14ac:dyDescent="0.25">
      <c r="A53" t="s">
        <v>25</v>
      </c>
      <c r="B53" s="5">
        <f>B55+B51</f>
        <v>0.2017394949976179</v>
      </c>
      <c r="C53" s="5">
        <f t="shared" ref="C53:L53" si="24">C55+C51</f>
        <v>0.20216723343397425</v>
      </c>
      <c r="D53" s="5">
        <f t="shared" si="24"/>
        <v>0.20161215382180725</v>
      </c>
      <c r="E53" s="5">
        <f t="shared" si="24"/>
        <v>0.20171567789906661</v>
      </c>
      <c r="F53" s="5">
        <f t="shared" si="24"/>
        <v>0.20132295030072808</v>
      </c>
      <c r="G53" s="5">
        <f t="shared" si="24"/>
        <v>0.20170383704405495</v>
      </c>
      <c r="H53" s="5">
        <f t="shared" si="24"/>
        <v>0.20131184834123222</v>
      </c>
      <c r="I53" s="5">
        <f t="shared" si="24"/>
        <v>0.20169423685877136</v>
      </c>
      <c r="J53" s="5">
        <f t="shared" si="24"/>
        <v>0.20185863708399365</v>
      </c>
      <c r="K53" s="5">
        <f t="shared" si="24"/>
        <v>0.20180380228136882</v>
      </c>
      <c r="L53" s="5">
        <f t="shared" si="24"/>
        <v>0.20185863708399365</v>
      </c>
      <c r="M53" s="5">
        <f t="shared" ref="M53:O53" si="25">M55+M51</f>
        <v>0.20198347316764287</v>
      </c>
      <c r="N53" s="5">
        <f t="shared" si="25"/>
        <v>0.20088352959648295</v>
      </c>
      <c r="O53" s="5">
        <f t="shared" si="25"/>
        <v>0.20049337103361609</v>
      </c>
      <c r="P53" s="5">
        <f t="shared" ref="P53:Q53" si="26">P55+P51</f>
        <v>0.20113238904627007</v>
      </c>
      <c r="Q53" s="5">
        <f t="shared" si="26"/>
        <v>0.20128977022348127</v>
      </c>
      <c r="R53" s="5">
        <f t="shared" ref="R53:S53" si="27">R55+R51</f>
        <v>0.20152298253893344</v>
      </c>
      <c r="S53" s="5">
        <f t="shared" si="27"/>
        <v>0.20112704402515721</v>
      </c>
      <c r="T53" s="5">
        <f t="shared" ref="T53" si="28">T55+T51</f>
        <v>0.20220859203512073</v>
      </c>
    </row>
    <row r="54" spans="1:20" x14ac:dyDescent="0.25">
      <c r="A54" t="s">
        <v>26</v>
      </c>
      <c r="B54" s="5">
        <f>B55-B51</f>
        <v>0.14413949499761791</v>
      </c>
      <c r="C54" s="5">
        <f t="shared" ref="C54:L54" si="29">C55-C51</f>
        <v>0.14456723343397426</v>
      </c>
      <c r="D54" s="5">
        <f t="shared" si="29"/>
        <v>0.14401215382180726</v>
      </c>
      <c r="E54" s="5">
        <f t="shared" si="29"/>
        <v>0.14411567789906662</v>
      </c>
      <c r="F54" s="5">
        <f t="shared" si="29"/>
        <v>0.1437229503007281</v>
      </c>
      <c r="G54" s="5">
        <f t="shared" si="29"/>
        <v>0.14410383704405497</v>
      </c>
      <c r="H54" s="5">
        <f t="shared" si="29"/>
        <v>0.14371184834123224</v>
      </c>
      <c r="I54" s="5">
        <f t="shared" si="29"/>
        <v>0.14409423685877137</v>
      </c>
      <c r="J54" s="5">
        <f t="shared" si="29"/>
        <v>0.14425863708399367</v>
      </c>
      <c r="K54" s="5">
        <f t="shared" si="29"/>
        <v>0.14420380228136884</v>
      </c>
      <c r="L54" s="5">
        <f t="shared" si="29"/>
        <v>0.14425863708399367</v>
      </c>
      <c r="M54" s="5">
        <f t="shared" ref="M54:O54" si="30">M55-M51</f>
        <v>0.14438347316764288</v>
      </c>
      <c r="N54" s="5">
        <f t="shared" si="30"/>
        <v>0.14328352959648297</v>
      </c>
      <c r="O54" s="5">
        <f t="shared" si="30"/>
        <v>0.1428933710336161</v>
      </c>
      <c r="P54" s="5">
        <f t="shared" ref="P54:Q54" si="31">P55-P51</f>
        <v>0.14353238904627008</v>
      </c>
      <c r="Q54" s="5">
        <f t="shared" si="31"/>
        <v>0.14368977022348128</v>
      </c>
      <c r="R54" s="5">
        <f t="shared" ref="R54:S54" si="32">R55-R51</f>
        <v>0.14392298253893346</v>
      </c>
      <c r="S54" s="5">
        <f t="shared" si="32"/>
        <v>0.14352704402515723</v>
      </c>
      <c r="T54" s="5">
        <f t="shared" ref="T54" si="33">T55-T51</f>
        <v>0.14460859203512075</v>
      </c>
    </row>
    <row r="55" spans="1:20" x14ac:dyDescent="0.25">
      <c r="A55" s="1" t="str">
        <f>rawData!$B$3</f>
        <v>Total</v>
      </c>
      <c r="B55" s="3">
        <f>rawData!$L3</f>
        <v>0.1729394949976179</v>
      </c>
      <c r="C55" s="3">
        <f>rawData!$L9</f>
        <v>0.17336723343397425</v>
      </c>
      <c r="D55" s="3">
        <f>rawData!$L15</f>
        <v>0.17281215382180726</v>
      </c>
      <c r="E55" s="3">
        <f>rawData!$L21</f>
        <v>0.17291567789906662</v>
      </c>
      <c r="F55" s="3">
        <f>rawData!$L27</f>
        <v>0.17252295030072809</v>
      </c>
      <c r="G55" s="3">
        <f>rawData!$L33</f>
        <v>0.17290383704405496</v>
      </c>
      <c r="H55" s="3">
        <f>rawData!$L39</f>
        <v>0.17251184834123223</v>
      </c>
      <c r="I55" s="3">
        <f>rawData!$L45</f>
        <v>0.17289423685877137</v>
      </c>
      <c r="J55" s="3">
        <f>rawData!$L51</f>
        <v>0.17305863708399366</v>
      </c>
      <c r="K55" s="3">
        <f>rawData!$L57</f>
        <v>0.17300380228136883</v>
      </c>
      <c r="L55" s="3">
        <f>rawData!$L63</f>
        <v>0.17305863708399366</v>
      </c>
      <c r="M55" s="3">
        <f>rawData!$L69</f>
        <v>0.17318347316764288</v>
      </c>
      <c r="N55" s="3">
        <f>rawData!$L75</f>
        <v>0.17208352959648296</v>
      </c>
      <c r="O55" s="3">
        <f>rawData!$L81</f>
        <v>0.17169337103361609</v>
      </c>
      <c r="P55" s="3">
        <f>rawData!$L87</f>
        <v>0.17233238904627007</v>
      </c>
      <c r="Q55" s="3">
        <f>rawData!$L93</f>
        <v>0.17248977022348128</v>
      </c>
      <c r="R55" s="3">
        <f>rawData!$L99</f>
        <v>0.17272298253893345</v>
      </c>
      <c r="S55" s="3">
        <f>rawData!$L105</f>
        <v>0.17232704402515722</v>
      </c>
      <c r="T55" s="3">
        <f>rawData!$L116</f>
        <v>0.17340859203512074</v>
      </c>
    </row>
    <row r="56" spans="1:20" x14ac:dyDescent="0.25">
      <c r="A56" s="1" t="str">
        <f>rawData!$B$4</f>
        <v>Random</v>
      </c>
      <c r="B56" s="3">
        <f>rawData!$L4</f>
        <v>0.16695059625212946</v>
      </c>
      <c r="C56" s="3">
        <f>rawData!$L10</f>
        <v>0.17176870748299319</v>
      </c>
      <c r="D56" s="3">
        <f>rawData!$L16</f>
        <v>0.18319327731092436</v>
      </c>
      <c r="E56" s="3">
        <f>rawData!$L22</f>
        <v>0.17715231788079469</v>
      </c>
      <c r="F56" s="3">
        <f>rawData!$L28</f>
        <v>0.17247097844112769</v>
      </c>
      <c r="G56" s="3">
        <f>rawData!$L34</f>
        <v>0.19102990033222592</v>
      </c>
      <c r="H56" s="3">
        <f>rawData!$L40</f>
        <v>0.1697792869269949</v>
      </c>
      <c r="I56" s="3">
        <f>rawData!$L46</f>
        <v>0.18959731543624161</v>
      </c>
      <c r="J56" s="3">
        <f>rawData!$L52</f>
        <v>0.15798319327731092</v>
      </c>
      <c r="K56" s="3">
        <f>rawData!$L58</f>
        <v>0.19568822553897181</v>
      </c>
      <c r="L56" s="3">
        <f>rawData!$L64</f>
        <v>0.17195325542570952</v>
      </c>
      <c r="M56" s="3">
        <f>rawData!$L70</f>
        <v>0.16996699669966997</v>
      </c>
      <c r="N56" s="3">
        <f>rawData!$L76</f>
        <v>0.16722408026755853</v>
      </c>
      <c r="O56" s="3">
        <f>rawData!$L82</f>
        <v>0.17898193760262726</v>
      </c>
      <c r="P56" s="3">
        <f>rawData!$L88</f>
        <v>0.16777408637873753</v>
      </c>
      <c r="Q56" s="3">
        <f>rawData!$L94</f>
        <v>0.16917922948073702</v>
      </c>
      <c r="R56" s="3">
        <f>rawData!$L100</f>
        <v>0.1617161716171617</v>
      </c>
      <c r="S56" s="3">
        <f>rawData!$L106</f>
        <v>0.15511551155115511</v>
      </c>
      <c r="T56" s="3">
        <f>rawData!$L117</f>
        <v>0.16857610474631751</v>
      </c>
    </row>
    <row r="57" spans="1:20" x14ac:dyDescent="0.25">
      <c r="A57" s="1" t="str">
        <f>rawData!$B$5</f>
        <v>Cluster</v>
      </c>
      <c r="B57" s="3">
        <f>rawData!$L5</f>
        <v>0.16402116402116401</v>
      </c>
      <c r="C57" s="3">
        <f>rawData!$L11</f>
        <v>0.19180327868852459</v>
      </c>
      <c r="D57" s="3">
        <f>rawData!$L17</f>
        <v>0.16229508196721312</v>
      </c>
      <c r="E57" s="3">
        <f>rawData!$L23</f>
        <v>0.15333333333333332</v>
      </c>
      <c r="F57" s="3">
        <f>rawData!$L29</f>
        <v>0.16610169491525423</v>
      </c>
      <c r="G57" s="3">
        <f>rawData!$L35</f>
        <v>0.19180327868852459</v>
      </c>
      <c r="H57" s="3">
        <f>rawData!$L41</f>
        <v>0.16349206349206349</v>
      </c>
      <c r="I57" s="3">
        <f>rawData!$L47</f>
        <v>0.13500000000000001</v>
      </c>
      <c r="J57" s="3">
        <f>rawData!$L53</f>
        <v>0.14210526315789473</v>
      </c>
      <c r="K57" s="3">
        <f>rawData!$L59</f>
        <v>0.15094339622641509</v>
      </c>
      <c r="L57" s="3">
        <f>rawData!$L65</f>
        <v>0.14833333333333334</v>
      </c>
      <c r="M57" s="3">
        <f>rawData!$L71</f>
        <v>0.17192982456140352</v>
      </c>
      <c r="N57" s="3">
        <f>rawData!$L77</f>
        <v>0.13628899835796388</v>
      </c>
      <c r="O57" s="3">
        <f>rawData!$L83</f>
        <v>0.14499999999999999</v>
      </c>
      <c r="P57" s="3">
        <f>rawData!$L89</f>
        <v>0.16885245901639345</v>
      </c>
      <c r="Q57" s="3">
        <f>rawData!$L95</f>
        <v>0.18305084745762712</v>
      </c>
      <c r="R57" s="3">
        <f>rawData!$L101</f>
        <v>0.16949152542372881</v>
      </c>
      <c r="S57" s="3">
        <f>rawData!$L107</f>
        <v>0.19333333333333333</v>
      </c>
      <c r="T57" s="3">
        <f>rawData!$L118</f>
        <v>0.18448275862068966</v>
      </c>
    </row>
    <row r="58" spans="1:20" x14ac:dyDescent="0.25">
      <c r="A58" s="1" t="str">
        <f>rawData!$B$6</f>
        <v>Strata</v>
      </c>
      <c r="B58" s="3">
        <f>rawData!$L6</f>
        <v>0.1490066225165563</v>
      </c>
      <c r="C58" s="3">
        <f>rawData!$L12</f>
        <v>0.17252931323283083</v>
      </c>
      <c r="D58" s="3">
        <f>rawData!$L18</f>
        <v>0.17377049180327869</v>
      </c>
      <c r="E58" s="3">
        <f>rawData!$L24</f>
        <v>0.1824212271973466</v>
      </c>
      <c r="F58" s="3">
        <f>rawData!$L30</f>
        <v>0.1652754590984975</v>
      </c>
      <c r="G58" s="3">
        <f>rawData!$L36</f>
        <v>0.1691542288557214</v>
      </c>
      <c r="H58" s="3">
        <f>rawData!$L42</f>
        <v>0.15497553017944535</v>
      </c>
      <c r="I58" s="3">
        <f>rawData!$L48</f>
        <v>0.16556291390728478</v>
      </c>
      <c r="J58" s="3">
        <f>rawData!$L54</f>
        <v>0.17348608837970539</v>
      </c>
      <c r="K58" s="3">
        <f>rawData!$L60</f>
        <v>0.17685950413223139</v>
      </c>
      <c r="L58" s="3">
        <f>rawData!$L66</f>
        <v>0.18739635157545606</v>
      </c>
      <c r="M58" s="3">
        <f>rawData!$L72</f>
        <v>0.1702127659574468</v>
      </c>
      <c r="N58" s="3">
        <f>rawData!$L78</f>
        <v>0.1702127659574468</v>
      </c>
      <c r="O58" s="3">
        <f>rawData!$L84</f>
        <v>0.16339869281045752</v>
      </c>
      <c r="P58" s="3">
        <f>rawData!$L90</f>
        <v>0.17886178861788618</v>
      </c>
      <c r="Q58" s="3">
        <f>rawData!$L96</f>
        <v>0.18241042345276873</v>
      </c>
      <c r="R58" s="3">
        <f>rawData!$L102</f>
        <v>0.16506410256410256</v>
      </c>
      <c r="S58" s="3">
        <f>rawData!$L108</f>
        <v>0.15296052631578946</v>
      </c>
      <c r="T58" s="3">
        <f>rawData!$L119</f>
        <v>0.20098846787479407</v>
      </c>
    </row>
    <row r="59" spans="1:20" x14ac:dyDescent="0.25">
      <c r="A59" s="1" t="str">
        <f>rawData!$B$7</f>
        <v>Convent</v>
      </c>
      <c r="B59" s="3">
        <f>rawData!$L7</f>
        <v>6.4065708418891171E-2</v>
      </c>
      <c r="C59" s="3">
        <f>rawData!$L13</f>
        <v>6.5297741273100618E-2</v>
      </c>
      <c r="D59" s="3">
        <f>rawData!$L19</f>
        <v>6.032006565449323E-2</v>
      </c>
      <c r="E59" s="3">
        <f>rawData!$L25</f>
        <v>5.947497949138638E-2</v>
      </c>
      <c r="F59" s="3">
        <f>rawData!$L31</f>
        <v>5.9499384489125971E-2</v>
      </c>
      <c r="G59" s="3">
        <f>rawData!$L37</f>
        <v>6.3524590163934427E-2</v>
      </c>
      <c r="H59" s="3">
        <f>rawData!$L43</f>
        <v>7.6636288318144161E-2</v>
      </c>
      <c r="I59" s="3">
        <f>rawData!$L49</f>
        <v>6.0295324036095159E-2</v>
      </c>
      <c r="J59" s="3">
        <f>rawData!$L55</f>
        <v>6.5654493229380384E-2</v>
      </c>
      <c r="K59" s="3">
        <f>rawData!$L61</f>
        <v>6.032006565449323E-2</v>
      </c>
      <c r="L59" s="3">
        <f>rawData!$L67</f>
        <v>5.7471264367816091E-2</v>
      </c>
      <c r="M59" s="3">
        <f>rawData!$L73</f>
        <v>5.8268362741075094E-2</v>
      </c>
      <c r="N59" s="3">
        <f>rawData!$L79</f>
        <v>5.5578259092766653E-2</v>
      </c>
      <c r="O59" s="3">
        <f>rawData!$L85</f>
        <v>5.6781045751633986E-2</v>
      </c>
      <c r="P59" s="3">
        <f>rawData!$L91</f>
        <v>5.8438904781364938E-2</v>
      </c>
      <c r="Q59" s="3">
        <f>rawData!$L97</f>
        <v>5.8415032679738563E-2</v>
      </c>
      <c r="R59" s="3">
        <f>rawData!$L103</f>
        <v>5.7668711656441718E-2</v>
      </c>
      <c r="S59" s="3">
        <f>rawData!$L109</f>
        <v>5.1041241322988977E-2</v>
      </c>
      <c r="T59" s="3">
        <f>rawData!$L120</f>
        <v>5.5487556099551201E-2</v>
      </c>
    </row>
    <row r="60" spans="1:20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20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20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20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20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20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20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20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20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20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20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20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20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20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20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20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20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20" x14ac:dyDescent="0.25">
      <c r="A77" t="s">
        <v>27</v>
      </c>
      <c r="B77">
        <f>0.76/100</f>
        <v>7.6E-3</v>
      </c>
      <c r="C77">
        <f>B77</f>
        <v>7.6E-3</v>
      </c>
      <c r="D77">
        <f t="shared" ref="D77:L77" si="34">C77</f>
        <v>7.6E-3</v>
      </c>
      <c r="E77">
        <f t="shared" si="34"/>
        <v>7.6E-3</v>
      </c>
      <c r="F77">
        <f t="shared" si="34"/>
        <v>7.6E-3</v>
      </c>
      <c r="G77">
        <f t="shared" si="34"/>
        <v>7.6E-3</v>
      </c>
      <c r="H77">
        <f t="shared" si="34"/>
        <v>7.6E-3</v>
      </c>
      <c r="I77">
        <f t="shared" si="34"/>
        <v>7.6E-3</v>
      </c>
      <c r="J77">
        <f t="shared" si="34"/>
        <v>7.6E-3</v>
      </c>
      <c r="K77">
        <f t="shared" si="34"/>
        <v>7.6E-3</v>
      </c>
      <c r="L77">
        <f t="shared" si="34"/>
        <v>7.6E-3</v>
      </c>
      <c r="M77">
        <f t="shared" ref="M77:R77" si="35">L77</f>
        <v>7.6E-3</v>
      </c>
      <c r="N77">
        <f t="shared" si="35"/>
        <v>7.6E-3</v>
      </c>
      <c r="O77">
        <f t="shared" si="35"/>
        <v>7.6E-3</v>
      </c>
      <c r="P77">
        <f t="shared" si="35"/>
        <v>7.6E-3</v>
      </c>
      <c r="Q77">
        <f t="shared" si="35"/>
        <v>7.6E-3</v>
      </c>
      <c r="R77">
        <f t="shared" si="35"/>
        <v>7.6E-3</v>
      </c>
      <c r="S77">
        <f t="shared" ref="S77:T77" si="36">R77</f>
        <v>7.6E-3</v>
      </c>
      <c r="T77">
        <f t="shared" si="36"/>
        <v>7.6E-3</v>
      </c>
    </row>
    <row r="78" spans="1:20" x14ac:dyDescent="0.25">
      <c r="A78" t="s">
        <v>22</v>
      </c>
      <c r="B78" s="1">
        <f t="shared" ref="B78:R78" si="37">B52</f>
        <v>43835</v>
      </c>
      <c r="C78" s="1">
        <f t="shared" si="37"/>
        <v>43836</v>
      </c>
      <c r="D78" s="1">
        <f t="shared" si="37"/>
        <v>43837</v>
      </c>
      <c r="E78" s="1">
        <f t="shared" si="37"/>
        <v>43838</v>
      </c>
      <c r="F78" s="1">
        <f t="shared" si="37"/>
        <v>43839</v>
      </c>
      <c r="G78" s="1">
        <f t="shared" si="37"/>
        <v>43840</v>
      </c>
      <c r="H78" s="1">
        <f t="shared" si="37"/>
        <v>43841</v>
      </c>
      <c r="I78" s="1">
        <f t="shared" si="37"/>
        <v>43842</v>
      </c>
      <c r="J78" s="1">
        <f t="shared" si="37"/>
        <v>43843</v>
      </c>
      <c r="K78" s="1">
        <f t="shared" si="37"/>
        <v>43844</v>
      </c>
      <c r="L78" s="1">
        <f t="shared" si="37"/>
        <v>43845</v>
      </c>
      <c r="M78" s="1">
        <f t="shared" si="37"/>
        <v>43846</v>
      </c>
      <c r="N78" s="1">
        <f t="shared" si="37"/>
        <v>43847</v>
      </c>
      <c r="O78" s="1">
        <f t="shared" si="37"/>
        <v>43848</v>
      </c>
      <c r="P78" s="1">
        <f t="shared" si="37"/>
        <v>43849</v>
      </c>
      <c r="Q78" s="1">
        <f t="shared" si="37"/>
        <v>43850</v>
      </c>
      <c r="R78" s="1">
        <f t="shared" si="37"/>
        <v>43851</v>
      </c>
      <c r="S78" s="1">
        <f t="shared" ref="S78:T78" si="38">S52</f>
        <v>43852</v>
      </c>
      <c r="T78" s="1">
        <f t="shared" si="38"/>
        <v>43853</v>
      </c>
    </row>
    <row r="79" spans="1:20" x14ac:dyDescent="0.25">
      <c r="A79" t="s">
        <v>25</v>
      </c>
      <c r="B79" s="5">
        <f>B81+B77</f>
        <v>1.7445958392885499E-2</v>
      </c>
      <c r="C79" s="5">
        <f t="shared" ref="C79:L79" si="39">C81+C77</f>
        <v>1.7611123470522804E-2</v>
      </c>
      <c r="D79" s="5">
        <f t="shared" si="39"/>
        <v>1.7569931951258111E-2</v>
      </c>
      <c r="E79" s="5">
        <f t="shared" si="39"/>
        <v>1.7092168960607498E-2</v>
      </c>
      <c r="F79" s="5">
        <f t="shared" si="39"/>
        <v>1.6938398227287117E-2</v>
      </c>
      <c r="G79" s="5">
        <f t="shared" si="39"/>
        <v>1.691627980420022E-2</v>
      </c>
      <c r="H79" s="5">
        <f t="shared" si="39"/>
        <v>1.6920695102685623E-2</v>
      </c>
      <c r="I79" s="5">
        <f t="shared" si="39"/>
        <v>1.6783027232425585E-2</v>
      </c>
      <c r="J79" s="5">
        <f t="shared" si="39"/>
        <v>1.6791759112519809E-2</v>
      </c>
      <c r="K79" s="5">
        <f t="shared" si="39"/>
        <v>1.6788846641318123E-2</v>
      </c>
      <c r="L79" s="5">
        <f t="shared" si="39"/>
        <v>1.6791759112519809E-2</v>
      </c>
      <c r="M79" s="5">
        <f t="shared" ref="M79:O79" si="40">M81+M77</f>
        <v>1.678157353173975E-2</v>
      </c>
      <c r="N79" s="5">
        <f t="shared" si="40"/>
        <v>1.6706610142879573E-2</v>
      </c>
      <c r="O79" s="5">
        <f t="shared" si="40"/>
        <v>1.6710901665095822E-2</v>
      </c>
      <c r="P79" s="5">
        <f t="shared" ref="P79:Q79" si="41">P81+P77</f>
        <v>1.6728108278249922E-2</v>
      </c>
      <c r="Q79" s="5">
        <f t="shared" si="41"/>
        <v>1.6728108278249922E-2</v>
      </c>
      <c r="R79" s="5">
        <f t="shared" ref="R79:S79" si="42">R81+R77</f>
        <v>1.6723800534843479E-2</v>
      </c>
      <c r="S79" s="5">
        <f t="shared" si="42"/>
        <v>1.6719496855345913E-2</v>
      </c>
      <c r="T79" s="5">
        <f t="shared" ref="T79" si="43">T81+T77</f>
        <v>1.6693759799310127E-2</v>
      </c>
    </row>
    <row r="80" spans="1:20" x14ac:dyDescent="0.25">
      <c r="A80" t="s">
        <v>26</v>
      </c>
      <c r="B80" s="5">
        <f>B81-B77</f>
        <v>2.2459583928855003E-3</v>
      </c>
      <c r="C80" s="5">
        <f t="shared" ref="C80:L80" si="44">C81-C77</f>
        <v>2.4111234705228033E-3</v>
      </c>
      <c r="D80" s="5">
        <f t="shared" si="44"/>
        <v>2.3699319512581101E-3</v>
      </c>
      <c r="E80" s="5">
        <f t="shared" si="44"/>
        <v>1.8921689606074986E-3</v>
      </c>
      <c r="F80" s="5">
        <f t="shared" si="44"/>
        <v>1.7383982272871157E-3</v>
      </c>
      <c r="G80" s="5">
        <f t="shared" si="44"/>
        <v>1.7162798042002205E-3</v>
      </c>
      <c r="H80" s="5">
        <f t="shared" si="44"/>
        <v>1.7206951026856243E-3</v>
      </c>
      <c r="I80" s="5">
        <f t="shared" si="44"/>
        <v>1.5830272324255856E-3</v>
      </c>
      <c r="J80" s="5">
        <f t="shared" si="44"/>
        <v>1.5917591125198102E-3</v>
      </c>
      <c r="K80" s="5">
        <f t="shared" si="44"/>
        <v>1.5888466413181241E-3</v>
      </c>
      <c r="L80" s="5">
        <f t="shared" si="44"/>
        <v>1.5917591125198102E-3</v>
      </c>
      <c r="M80" s="5">
        <f t="shared" ref="M80:O80" si="45">M81-M77</f>
        <v>1.5815735317397496E-3</v>
      </c>
      <c r="N80" s="5">
        <f t="shared" si="45"/>
        <v>1.5066101428795721E-3</v>
      </c>
      <c r="O80" s="5">
        <f t="shared" si="45"/>
        <v>1.5109016650958216E-3</v>
      </c>
      <c r="P80" s="5">
        <f t="shared" ref="P80:Q80" si="46">P81-P77</f>
        <v>1.5281082782499207E-3</v>
      </c>
      <c r="Q80" s="5">
        <f t="shared" si="46"/>
        <v>1.5281082782499207E-3</v>
      </c>
      <c r="R80" s="5">
        <f t="shared" ref="R80:S80" si="47">R81-R77</f>
        <v>1.5238005348434799E-3</v>
      </c>
      <c r="S80" s="5">
        <f t="shared" si="47"/>
        <v>1.5194968553459117E-3</v>
      </c>
      <c r="T80" s="5">
        <f t="shared" ref="T80" si="48">T81-T77</f>
        <v>1.4937597993101284E-3</v>
      </c>
    </row>
    <row r="81" spans="1:20" x14ac:dyDescent="0.25">
      <c r="A81" s="1" t="str">
        <f>rawData!$B$3</f>
        <v>Total</v>
      </c>
      <c r="B81" s="3">
        <f>rawData!$N3</f>
        <v>9.8459583928855003E-3</v>
      </c>
      <c r="C81" s="3">
        <f>rawData!$N9</f>
        <v>1.0011123470522803E-2</v>
      </c>
      <c r="D81" s="3">
        <f>rawData!$N15</f>
        <v>9.9699319512581101E-3</v>
      </c>
      <c r="E81" s="3">
        <f>rawData!$N21</f>
        <v>9.4921689606074985E-3</v>
      </c>
      <c r="F81" s="3">
        <f>rawData!$N27</f>
        <v>9.3383982272871157E-3</v>
      </c>
      <c r="G81" s="3">
        <f>rawData!$N33</f>
        <v>9.3162798042002205E-3</v>
      </c>
      <c r="H81" s="3">
        <f>rawData!$N39</f>
        <v>9.3206951026856243E-3</v>
      </c>
      <c r="I81" s="3">
        <f>rawData!$N45</f>
        <v>9.1830272324255856E-3</v>
      </c>
      <c r="J81" s="3">
        <f>rawData!$N51</f>
        <v>9.1917591125198102E-3</v>
      </c>
      <c r="K81" s="3">
        <f>rawData!$N57</f>
        <v>9.1888466413181241E-3</v>
      </c>
      <c r="L81" s="3">
        <f>rawData!$N63</f>
        <v>9.1917591125198102E-3</v>
      </c>
      <c r="M81" s="3">
        <f>rawData!$N69</f>
        <v>9.1815735317397496E-3</v>
      </c>
      <c r="N81" s="3">
        <f>rawData!$N75</f>
        <v>9.1066101428795721E-3</v>
      </c>
      <c r="O81" s="3">
        <f>rawData!$N81</f>
        <v>9.1109016650958215E-3</v>
      </c>
      <c r="P81" s="3">
        <f>rawData!$N87</f>
        <v>9.1281082782499207E-3</v>
      </c>
      <c r="Q81" s="3">
        <f>rawData!$N93</f>
        <v>9.1281082782499207E-3</v>
      </c>
      <c r="R81" s="3">
        <f>rawData!$N99</f>
        <v>9.1238005348434799E-3</v>
      </c>
      <c r="S81" s="3">
        <f>rawData!$N105</f>
        <v>9.1194968553459117E-3</v>
      </c>
      <c r="T81" s="3">
        <f>rawData!$N116</f>
        <v>9.0937597993101284E-3</v>
      </c>
    </row>
    <row r="82" spans="1:20" x14ac:dyDescent="0.25">
      <c r="A82" s="1" t="str">
        <f>rawData!$B$4</f>
        <v>Random</v>
      </c>
      <c r="B82" s="3">
        <f>rawData!$N4</f>
        <v>8.5178875638841564E-3</v>
      </c>
      <c r="C82" s="3">
        <f>rawData!$N10</f>
        <v>1.3605442176870748E-2</v>
      </c>
      <c r="D82" s="3">
        <f>rawData!$N16</f>
        <v>1.5126050420168067E-2</v>
      </c>
      <c r="E82" s="3">
        <f>rawData!$N22</f>
        <v>8.2781456953642391E-3</v>
      </c>
      <c r="F82" s="3">
        <f>rawData!$N28</f>
        <v>1.3266998341625208E-2</v>
      </c>
      <c r="G82" s="3">
        <f>rawData!$N34</f>
        <v>9.9667774086378731E-3</v>
      </c>
      <c r="H82" s="3">
        <f>rawData!$N40</f>
        <v>1.1884550084889643E-2</v>
      </c>
      <c r="I82" s="3">
        <f>rawData!$N46</f>
        <v>6.7114093959731542E-3</v>
      </c>
      <c r="J82" s="3">
        <f>rawData!$N52</f>
        <v>8.4033613445378148E-3</v>
      </c>
      <c r="K82" s="3">
        <f>rawData!$N58</f>
        <v>1.1608623548922056E-2</v>
      </c>
      <c r="L82" s="3">
        <f>rawData!$N64</f>
        <v>1.1686143572621035E-2</v>
      </c>
      <c r="M82" s="3">
        <f>rawData!$N70</f>
        <v>8.2508250825082501E-3</v>
      </c>
      <c r="N82" s="3">
        <f>rawData!$N76</f>
        <v>6.688963210702341E-3</v>
      </c>
      <c r="O82" s="3">
        <f>rawData!$N82</f>
        <v>9.852216748768473E-3</v>
      </c>
      <c r="P82" s="3">
        <f>rawData!$N88</f>
        <v>3.3222591362126247E-3</v>
      </c>
      <c r="Q82" s="3">
        <f>rawData!$N94</f>
        <v>8.3752093802345051E-3</v>
      </c>
      <c r="R82" s="3">
        <f>rawData!$N100</f>
        <v>1.155115511551155E-2</v>
      </c>
      <c r="S82" s="3">
        <f>rawData!$N106</f>
        <v>8.2508250825082501E-3</v>
      </c>
      <c r="T82" s="3">
        <f>rawData!$N117</f>
        <v>1.4729950900163666E-2</v>
      </c>
    </row>
    <row r="83" spans="1:20" x14ac:dyDescent="0.25">
      <c r="A83" s="1" t="str">
        <f>rawData!$B$5</f>
        <v>Cluster</v>
      </c>
      <c r="B83" s="3">
        <f>rawData!$N5</f>
        <v>7.0546737213403876E-3</v>
      </c>
      <c r="C83" s="3">
        <f>rawData!$N11</f>
        <v>8.1967213114754103E-3</v>
      </c>
      <c r="D83" s="3">
        <f>rawData!$N17</f>
        <v>6.5573770491803279E-3</v>
      </c>
      <c r="E83" s="3">
        <f>rawData!$N23</f>
        <v>6.6666666666666671E-3</v>
      </c>
      <c r="F83" s="3">
        <f>rawData!$N29</f>
        <v>5.084745762711864E-3</v>
      </c>
      <c r="G83" s="3">
        <f>rawData!$N35</f>
        <v>2.2950819672131147E-2</v>
      </c>
      <c r="H83" s="3">
        <f>rawData!$N41</f>
        <v>1.1111111111111112E-2</v>
      </c>
      <c r="I83" s="3">
        <f>rawData!$N47</f>
        <v>8.3333333333333332E-3</v>
      </c>
      <c r="J83" s="3">
        <f>rawData!$N53</f>
        <v>8.771929824561403E-3</v>
      </c>
      <c r="K83" s="3">
        <f>rawData!$N59</f>
        <v>1.3722126929674099E-2</v>
      </c>
      <c r="L83" s="3">
        <f>rawData!$N65</f>
        <v>8.3333333333333332E-3</v>
      </c>
      <c r="M83" s="3">
        <f>rawData!$N71</f>
        <v>1.7543859649122806E-2</v>
      </c>
      <c r="N83" s="3">
        <f>rawData!$N77</f>
        <v>4.9261083743842365E-3</v>
      </c>
      <c r="O83" s="3">
        <f>rawData!$N83</f>
        <v>8.3333333333333332E-3</v>
      </c>
      <c r="P83" s="3">
        <f>rawData!$N89</f>
        <v>1.9672131147540985E-2</v>
      </c>
      <c r="Q83" s="3">
        <f>rawData!$N95</f>
        <v>5.084745762711864E-3</v>
      </c>
      <c r="R83" s="3">
        <f>rawData!$N101</f>
        <v>5.084745762711864E-3</v>
      </c>
      <c r="S83" s="3">
        <f>rawData!$N107</f>
        <v>8.3333333333333332E-3</v>
      </c>
      <c r="T83" s="3">
        <f>rawData!$N118</f>
        <v>1.2068965517241379E-2</v>
      </c>
    </row>
    <row r="84" spans="1:20" x14ac:dyDescent="0.25">
      <c r="A84" s="1" t="str">
        <f>rawData!$B$6</f>
        <v>Strata</v>
      </c>
      <c r="B84" s="3">
        <f>rawData!$N6</f>
        <v>3.3112582781456954E-3</v>
      </c>
      <c r="C84" s="3">
        <f>rawData!$N12</f>
        <v>1.1725293132328308E-2</v>
      </c>
      <c r="D84" s="3">
        <f>rawData!$N18</f>
        <v>8.1967213114754103E-3</v>
      </c>
      <c r="E84" s="3">
        <f>rawData!$N24</f>
        <v>8.291873963515755E-3</v>
      </c>
      <c r="F84" s="3">
        <f>rawData!$N30</f>
        <v>1.335559265442404E-2</v>
      </c>
      <c r="G84" s="3">
        <f>rawData!$N36</f>
        <v>1.1608623548922056E-2</v>
      </c>
      <c r="H84" s="3">
        <f>rawData!$N42</f>
        <v>1.3050570962479609E-2</v>
      </c>
      <c r="I84" s="3">
        <f>rawData!$N48</f>
        <v>8.2781456953642391E-3</v>
      </c>
      <c r="J84" s="3">
        <f>rawData!$N54</f>
        <v>6.5466448445171853E-3</v>
      </c>
      <c r="K84" s="3">
        <f>rawData!$N60</f>
        <v>9.9173553719008271E-3</v>
      </c>
      <c r="L84" s="3">
        <f>rawData!$N66</f>
        <v>6.6334991708126038E-3</v>
      </c>
      <c r="M84" s="3">
        <f>rawData!$N72</f>
        <v>1.3093289689034371E-2</v>
      </c>
      <c r="N84" s="3">
        <f>rawData!$N78</f>
        <v>1.1456628477905073E-2</v>
      </c>
      <c r="O84" s="3">
        <f>rawData!$N84</f>
        <v>4.9019607843137254E-3</v>
      </c>
      <c r="P84" s="3">
        <f>rawData!$N90</f>
        <v>1.6260162601626018E-2</v>
      </c>
      <c r="Q84" s="3">
        <f>rawData!$N96</f>
        <v>9.7719869706840382E-3</v>
      </c>
      <c r="R84" s="3">
        <f>rawData!$N102</f>
        <v>4.807692307692308E-3</v>
      </c>
      <c r="S84" s="3">
        <f>rawData!$N108</f>
        <v>8.2236842105263153E-3</v>
      </c>
      <c r="T84" s="3">
        <f>rawData!$N119</f>
        <v>9.8846787479406912E-3</v>
      </c>
    </row>
    <row r="85" spans="1:20" x14ac:dyDescent="0.25">
      <c r="A85" s="1" t="str">
        <f>rawData!$B$7</f>
        <v>Convent</v>
      </c>
      <c r="B85" s="3">
        <f>rawData!$N7</f>
        <v>1.6427104722792608E-3</v>
      </c>
      <c r="C85" s="3">
        <f>rawData!$N13</f>
        <v>8.2135523613963038E-4</v>
      </c>
      <c r="D85" s="3">
        <f>rawData!$N19</f>
        <v>1.6413623307345096E-3</v>
      </c>
      <c r="E85" s="3">
        <f>rawData!$N25</f>
        <v>8.2034454470877774E-4</v>
      </c>
      <c r="F85" s="3">
        <f>rawData!$N31</f>
        <v>1.6413623307345096E-3</v>
      </c>
      <c r="G85" s="3">
        <f>rawData!$N37</f>
        <v>8.1967213114754098E-4</v>
      </c>
      <c r="H85" s="3">
        <f>rawData!$N43</f>
        <v>1.2427506213753107E-3</v>
      </c>
      <c r="I85" s="3">
        <f>rawData!$N49</f>
        <v>8.2034454470877774E-4</v>
      </c>
      <c r="J85" s="3">
        <f>rawData!$N55</f>
        <v>8.206811653672548E-4</v>
      </c>
      <c r="K85" s="3">
        <f>rawData!$N61</f>
        <v>1.6413623307345096E-3</v>
      </c>
      <c r="L85" s="3">
        <f>rawData!$N67</f>
        <v>8.2101806239737272E-4</v>
      </c>
      <c r="M85" s="3">
        <f>rawData!$N73</f>
        <v>8.206811653672548E-4</v>
      </c>
      <c r="N85" s="3">
        <f>rawData!$N79</f>
        <v>1.2259910093992644E-3</v>
      </c>
      <c r="O85" s="3">
        <f>rawData!$N85</f>
        <v>8.1699346405228761E-4</v>
      </c>
      <c r="P85" s="3">
        <f>rawData!$N91</f>
        <v>8.1732733959950961E-4</v>
      </c>
      <c r="Q85" s="3">
        <f>rawData!$N97</f>
        <v>1.2254901960784314E-3</v>
      </c>
      <c r="R85" s="3">
        <f>rawData!$N103</f>
        <v>8.1799591002044991E-4</v>
      </c>
      <c r="S85" s="3">
        <f>rawData!$N109</f>
        <v>8.1665986116782364E-4</v>
      </c>
      <c r="T85" s="3">
        <f>rawData!$N120</f>
        <v>1.2239902080783353E-3</v>
      </c>
    </row>
    <row r="86" spans="1:20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20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20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20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20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20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20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20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20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20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20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20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20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20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20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20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20" x14ac:dyDescent="0.25">
      <c r="A102" t="s">
        <v>27</v>
      </c>
      <c r="B102">
        <f>1.01/100</f>
        <v>1.01E-2</v>
      </c>
      <c r="C102">
        <f>B102</f>
        <v>1.01E-2</v>
      </c>
      <c r="D102">
        <f t="shared" ref="D102:L102" si="49">C102</f>
        <v>1.01E-2</v>
      </c>
      <c r="E102">
        <f t="shared" si="49"/>
        <v>1.01E-2</v>
      </c>
      <c r="F102">
        <f t="shared" si="49"/>
        <v>1.01E-2</v>
      </c>
      <c r="G102">
        <f t="shared" si="49"/>
        <v>1.01E-2</v>
      </c>
      <c r="H102">
        <f t="shared" si="49"/>
        <v>1.01E-2</v>
      </c>
      <c r="I102">
        <f t="shared" si="49"/>
        <v>1.01E-2</v>
      </c>
      <c r="J102">
        <f t="shared" si="49"/>
        <v>1.01E-2</v>
      </c>
      <c r="K102">
        <f t="shared" si="49"/>
        <v>1.01E-2</v>
      </c>
      <c r="L102">
        <f t="shared" si="49"/>
        <v>1.01E-2</v>
      </c>
      <c r="M102">
        <f t="shared" ref="M102:R102" si="50">L102</f>
        <v>1.01E-2</v>
      </c>
      <c r="N102">
        <f t="shared" si="50"/>
        <v>1.01E-2</v>
      </c>
      <c r="O102">
        <f t="shared" si="50"/>
        <v>1.01E-2</v>
      </c>
      <c r="P102">
        <f t="shared" si="50"/>
        <v>1.01E-2</v>
      </c>
      <c r="Q102">
        <f t="shared" si="50"/>
        <v>1.01E-2</v>
      </c>
      <c r="R102">
        <f t="shared" si="50"/>
        <v>1.01E-2</v>
      </c>
      <c r="S102">
        <f t="shared" ref="S102:T102" si="51">R102</f>
        <v>1.01E-2</v>
      </c>
      <c r="T102">
        <f t="shared" si="51"/>
        <v>1.01E-2</v>
      </c>
    </row>
    <row r="103" spans="1:20" x14ac:dyDescent="0.25">
      <c r="A103" t="s">
        <v>23</v>
      </c>
      <c r="B103" s="1">
        <f>B78</f>
        <v>43835</v>
      </c>
      <c r="C103" s="1">
        <f t="shared" ref="C103:L103" si="52">C78</f>
        <v>43836</v>
      </c>
      <c r="D103" s="1">
        <f t="shared" si="52"/>
        <v>43837</v>
      </c>
      <c r="E103" s="1">
        <f t="shared" si="52"/>
        <v>43838</v>
      </c>
      <c r="F103" s="1">
        <f t="shared" si="52"/>
        <v>43839</v>
      </c>
      <c r="G103" s="1">
        <f t="shared" si="52"/>
        <v>43840</v>
      </c>
      <c r="H103" s="1">
        <f t="shared" si="52"/>
        <v>43841</v>
      </c>
      <c r="I103" s="1">
        <f t="shared" si="52"/>
        <v>43842</v>
      </c>
      <c r="J103" s="1">
        <f t="shared" si="52"/>
        <v>43843</v>
      </c>
      <c r="K103" s="1">
        <f t="shared" si="52"/>
        <v>43844</v>
      </c>
      <c r="L103" s="1">
        <f t="shared" si="52"/>
        <v>43845</v>
      </c>
      <c r="M103" s="1">
        <f t="shared" ref="M103:O103" si="53">M78</f>
        <v>43846</v>
      </c>
      <c r="N103" s="1">
        <f t="shared" si="53"/>
        <v>43847</v>
      </c>
      <c r="O103" s="1">
        <f t="shared" si="53"/>
        <v>43848</v>
      </c>
      <c r="P103" s="1">
        <f t="shared" ref="P103:Q103" si="54">P78</f>
        <v>43849</v>
      </c>
      <c r="Q103" s="1">
        <f t="shared" si="54"/>
        <v>43850</v>
      </c>
      <c r="R103" s="1">
        <f t="shared" ref="R103:S103" si="55">R78</f>
        <v>43851</v>
      </c>
      <c r="S103" s="1">
        <f t="shared" si="55"/>
        <v>43852</v>
      </c>
      <c r="T103" s="1">
        <f t="shared" ref="T103" si="56">T78</f>
        <v>43853</v>
      </c>
    </row>
    <row r="104" spans="1:20" x14ac:dyDescent="0.25">
      <c r="A104" t="s">
        <v>25</v>
      </c>
      <c r="B104" s="5">
        <f>B106+B102</f>
        <v>2.8203858980466887E-2</v>
      </c>
      <c r="C104" s="5">
        <f t="shared" ref="C104:L104" si="57">C106+C102</f>
        <v>2.8215366279993645E-2</v>
      </c>
      <c r="D104" s="5">
        <f t="shared" si="57"/>
        <v>2.8140829245133725E-2</v>
      </c>
      <c r="E104" s="5">
        <f t="shared" si="57"/>
        <v>2.8293323841164369E-2</v>
      </c>
      <c r="F104" s="5">
        <f t="shared" si="57"/>
        <v>2.8301962646407088E-2</v>
      </c>
      <c r="G104" s="5">
        <f t="shared" si="57"/>
        <v>2.8258850465813987E-2</v>
      </c>
      <c r="H104" s="5">
        <f t="shared" si="57"/>
        <v>2.8109478672985778E-2</v>
      </c>
      <c r="I104" s="5">
        <f t="shared" si="57"/>
        <v>2.7991070297656746E-2</v>
      </c>
      <c r="J104" s="5">
        <f t="shared" si="57"/>
        <v>2.8008082408874799E-2</v>
      </c>
      <c r="K104" s="5">
        <f t="shared" si="57"/>
        <v>2.816083650190114E-2</v>
      </c>
      <c r="L104" s="5">
        <f t="shared" si="57"/>
        <v>2.8166561014263077E-2</v>
      </c>
      <c r="M104" s="5">
        <f t="shared" ref="M104:O104" si="58">M106+M102</f>
        <v>2.8304844071552954E-2</v>
      </c>
      <c r="N104" s="5">
        <f t="shared" si="58"/>
        <v>2.9255283403988065E-2</v>
      </c>
      <c r="O104" s="5">
        <f t="shared" si="58"/>
        <v>2.9107225887527489E-2</v>
      </c>
      <c r="P104" s="5">
        <f t="shared" ref="P104:Q104" si="59">P106+P102</f>
        <v>2.9143122442555867E-2</v>
      </c>
      <c r="Q104" s="5">
        <f t="shared" si="59"/>
        <v>2.9143122442555867E-2</v>
      </c>
      <c r="R104" s="5">
        <f t="shared" ref="R104:S104" si="60">R106+R102</f>
        <v>2.8819521787006447E-2</v>
      </c>
      <c r="S104" s="5">
        <f t="shared" si="60"/>
        <v>2.849622641509434E-2</v>
      </c>
      <c r="T104" s="5">
        <f t="shared" ref="T104" si="61">T106+T102</f>
        <v>2.8601097522734396E-2</v>
      </c>
    </row>
    <row r="105" spans="1:20" x14ac:dyDescent="0.25">
      <c r="A105" t="s">
        <v>26</v>
      </c>
      <c r="B105" s="5">
        <f>B106-B102</f>
        <v>8.0038589804668891E-3</v>
      </c>
      <c r="C105" s="5">
        <f t="shared" ref="C105" si="62">C106-C102</f>
        <v>8.0153662799936441E-3</v>
      </c>
      <c r="D105" s="5">
        <f t="shared" ref="D105" si="63">D106-D102</f>
        <v>7.940829245133724E-3</v>
      </c>
      <c r="E105" s="5">
        <f t="shared" ref="E105" si="64">E106-E102</f>
        <v>8.093323841164372E-3</v>
      </c>
      <c r="F105" s="5">
        <f t="shared" ref="F105" si="65">F106-F102</f>
        <v>8.1019626464070901E-3</v>
      </c>
      <c r="G105" s="5">
        <f t="shared" ref="G105" si="66">G106-G102</f>
        <v>8.0588504658139892E-3</v>
      </c>
      <c r="H105" s="5">
        <f t="shared" ref="H105" si="67">H106-H102</f>
        <v>7.909478672985781E-3</v>
      </c>
      <c r="I105" s="5">
        <f t="shared" ref="I105" si="68">I106-I102</f>
        <v>7.7910702976567454E-3</v>
      </c>
      <c r="J105" s="5">
        <f t="shared" ref="J105" si="69">J106-J102</f>
        <v>7.8080824088748012E-3</v>
      </c>
      <c r="K105" s="5">
        <f t="shared" ref="K105" si="70">K106-K102</f>
        <v>7.9608365019011394E-3</v>
      </c>
      <c r="L105" s="5">
        <f t="shared" ref="L105:M105" si="71">L106-L102</f>
        <v>7.9665610142630756E-3</v>
      </c>
      <c r="M105" s="5">
        <f t="shared" si="71"/>
        <v>8.1048440715529527E-3</v>
      </c>
      <c r="N105" s="5">
        <f t="shared" ref="N105:O105" si="72">N106-N102</f>
        <v>9.0552834039880677E-3</v>
      </c>
      <c r="O105" s="5">
        <f t="shared" si="72"/>
        <v>8.9072258875274885E-3</v>
      </c>
      <c r="P105" s="5">
        <f t="shared" ref="P105:Q105" si="73">P106-P102</f>
        <v>8.94312244255587E-3</v>
      </c>
      <c r="Q105" s="5">
        <f t="shared" si="73"/>
        <v>8.94312244255587E-3</v>
      </c>
      <c r="R105" s="5">
        <f t="shared" ref="R105:S105" si="74">R106-R102</f>
        <v>8.6195217870064494E-3</v>
      </c>
      <c r="S105" s="5">
        <f t="shared" si="74"/>
        <v>8.2962264150943394E-3</v>
      </c>
      <c r="T105" s="5">
        <f t="shared" ref="T105" si="75">T106-T102</f>
        <v>8.4010975227343989E-3</v>
      </c>
    </row>
    <row r="106" spans="1:20" x14ac:dyDescent="0.25">
      <c r="A106" s="1" t="str">
        <f>rawData!$B$3</f>
        <v>Total</v>
      </c>
      <c r="B106" s="3">
        <f>rawData!$P3</f>
        <v>1.8103858980466889E-2</v>
      </c>
      <c r="C106" s="3">
        <f>rawData!$P9</f>
        <v>1.8115366279993644E-2</v>
      </c>
      <c r="D106" s="3">
        <f>rawData!$P15</f>
        <v>1.8040829245133724E-2</v>
      </c>
      <c r="E106" s="3">
        <f>rawData!$P21</f>
        <v>1.8193323841164372E-2</v>
      </c>
      <c r="F106" s="3">
        <f>rawData!$P27</f>
        <v>1.820196264640709E-2</v>
      </c>
      <c r="G106" s="3">
        <f>rawData!$P33</f>
        <v>1.8158850465813989E-2</v>
      </c>
      <c r="H106" s="3">
        <f>rawData!$P39</f>
        <v>1.8009478672985781E-2</v>
      </c>
      <c r="I106" s="3">
        <f>rawData!$P45</f>
        <v>1.7891070297656745E-2</v>
      </c>
      <c r="J106" s="3">
        <f>rawData!$P51</f>
        <v>1.7908082408874801E-2</v>
      </c>
      <c r="K106" s="3">
        <f>rawData!$P57</f>
        <v>1.8060836501901139E-2</v>
      </c>
      <c r="L106" s="3">
        <f>rawData!$P63</f>
        <v>1.8066561014263075E-2</v>
      </c>
      <c r="M106" s="3">
        <f>rawData!$P69</f>
        <v>1.8204844071552952E-2</v>
      </c>
      <c r="N106" s="3">
        <f>rawData!$P75</f>
        <v>1.9155283403988067E-2</v>
      </c>
      <c r="O106" s="3">
        <f>rawData!$P81</f>
        <v>1.9007225887527488E-2</v>
      </c>
      <c r="P106" s="3">
        <f>rawData!$P87</f>
        <v>1.904312244255587E-2</v>
      </c>
      <c r="Q106" s="3">
        <f>rawData!$P93</f>
        <v>1.904312244255587E-2</v>
      </c>
      <c r="R106" s="3">
        <f>rawData!$P99</f>
        <v>1.8719521787006449E-2</v>
      </c>
      <c r="S106" s="3">
        <f>rawData!$P105</f>
        <v>1.8396226415094339E-2</v>
      </c>
      <c r="T106" s="3">
        <f>rawData!$P116</f>
        <v>1.8501097522734399E-2</v>
      </c>
    </row>
    <row r="107" spans="1:20" x14ac:dyDescent="0.25">
      <c r="A107" s="1" t="str">
        <f>rawData!$B$4</f>
        <v>Random</v>
      </c>
      <c r="B107" s="3">
        <f>rawData!$P4</f>
        <v>1.192504258943782E-2</v>
      </c>
      <c r="C107" s="3">
        <f>rawData!$P10</f>
        <v>2.0408163265306121E-2</v>
      </c>
      <c r="D107" s="3">
        <f>rawData!$P16</f>
        <v>2.0168067226890758E-2</v>
      </c>
      <c r="E107" s="3">
        <f>rawData!$P22</f>
        <v>1.8211920529801324E-2</v>
      </c>
      <c r="F107" s="3">
        <f>rawData!$P28</f>
        <v>1.658374792703151E-2</v>
      </c>
      <c r="G107" s="3">
        <f>rawData!$P34</f>
        <v>1.6611295681063124E-2</v>
      </c>
      <c r="H107" s="3">
        <f>rawData!$P40</f>
        <v>2.3769100169779286E-2</v>
      </c>
      <c r="I107" s="3">
        <f>rawData!$P46</f>
        <v>1.5100671140939598E-2</v>
      </c>
      <c r="J107" s="3">
        <f>rawData!$P52</f>
        <v>1.3445378151260505E-2</v>
      </c>
      <c r="K107" s="3">
        <f>rawData!$P58</f>
        <v>1.4925373134328358E-2</v>
      </c>
      <c r="L107" s="3">
        <f>rawData!$P64</f>
        <v>2.1702838063439065E-2</v>
      </c>
      <c r="M107" s="3">
        <f>rawData!$P70</f>
        <v>1.8151815181518153E-2</v>
      </c>
      <c r="N107" s="3">
        <f>rawData!$P76</f>
        <v>1.5050167224080268E-2</v>
      </c>
      <c r="O107" s="3">
        <f>rawData!$P82</f>
        <v>3.2840722495894911E-2</v>
      </c>
      <c r="P107" s="3">
        <f>rawData!$P88</f>
        <v>2.823920265780731E-2</v>
      </c>
      <c r="Q107" s="3">
        <f>rawData!$P94</f>
        <v>1.340033500837521E-2</v>
      </c>
      <c r="R107" s="3">
        <f>rawData!$P100</f>
        <v>1.4851485148514851E-2</v>
      </c>
      <c r="S107" s="3">
        <f>rawData!$P106</f>
        <v>1.65016501650165E-2</v>
      </c>
      <c r="T107" s="3">
        <f>rawData!$P117</f>
        <v>2.2913256955810146E-2</v>
      </c>
    </row>
    <row r="108" spans="1:20" x14ac:dyDescent="0.25">
      <c r="A108" s="1" t="str">
        <f>rawData!$B$5</f>
        <v>Cluster</v>
      </c>
      <c r="B108" s="3">
        <f>rawData!$P5</f>
        <v>2.4691358024691357E-2</v>
      </c>
      <c r="C108" s="3">
        <f>rawData!$P11</f>
        <v>9.8360655737704927E-3</v>
      </c>
      <c r="D108" s="3">
        <f>rawData!$P17</f>
        <v>1.8032786885245903E-2</v>
      </c>
      <c r="E108" s="3">
        <f>rawData!$P23</f>
        <v>2.1666666666666667E-2</v>
      </c>
      <c r="F108" s="3">
        <f>rawData!$P29</f>
        <v>1.6949152542372881E-2</v>
      </c>
      <c r="G108" s="3">
        <f>rawData!$P35</f>
        <v>1.6393442622950821E-2</v>
      </c>
      <c r="H108" s="3">
        <f>rawData!$P41</f>
        <v>1.9047619047619049E-2</v>
      </c>
      <c r="I108" s="3">
        <f>rawData!$P47</f>
        <v>1.8333333333333333E-2</v>
      </c>
      <c r="J108" s="3">
        <f>rawData!$P53</f>
        <v>2.8070175438596492E-2</v>
      </c>
      <c r="K108" s="3">
        <f>rawData!$P59</f>
        <v>2.2298456260720412E-2</v>
      </c>
      <c r="L108" s="3">
        <f>rawData!$P65</f>
        <v>1.6666666666666666E-2</v>
      </c>
      <c r="M108" s="3">
        <f>rawData!$P71</f>
        <v>2.2807017543859651E-2</v>
      </c>
      <c r="N108" s="3">
        <f>rawData!$P77</f>
        <v>2.4630541871921183E-2</v>
      </c>
      <c r="O108" s="3">
        <f>rawData!$P83</f>
        <v>1.8333333333333333E-2</v>
      </c>
      <c r="P108" s="3">
        <f>rawData!$P89</f>
        <v>2.4590163934426229E-2</v>
      </c>
      <c r="Q108" s="3">
        <f>rawData!$P95</f>
        <v>2.3728813559322035E-2</v>
      </c>
      <c r="R108" s="3">
        <f>rawData!$P101</f>
        <v>2.2033898305084745E-2</v>
      </c>
      <c r="S108" s="3">
        <f>rawData!$P107</f>
        <v>2.1666666666666667E-2</v>
      </c>
      <c r="T108" s="3">
        <f>rawData!$P118</f>
        <v>2.0689655172413793E-2</v>
      </c>
    </row>
    <row r="109" spans="1:20" x14ac:dyDescent="0.25">
      <c r="A109" s="1" t="str">
        <f>rawData!$B$6</f>
        <v>Strata</v>
      </c>
      <c r="B109" s="3">
        <f>rawData!$P6</f>
        <v>1.1589403973509934E-2</v>
      </c>
      <c r="C109" s="3">
        <f>rawData!$P12</f>
        <v>2.8475711892797319E-2</v>
      </c>
      <c r="D109" s="3">
        <f>rawData!$P18</f>
        <v>1.3114754098360656E-2</v>
      </c>
      <c r="E109" s="3">
        <f>rawData!$P24</f>
        <v>1.1608623548922056E-2</v>
      </c>
      <c r="F109" s="3">
        <f>rawData!$P30</f>
        <v>1.1686143572621035E-2</v>
      </c>
      <c r="G109" s="3">
        <f>rawData!$P36</f>
        <v>1.824212271973466E-2</v>
      </c>
      <c r="H109" s="3">
        <f>rawData!$P42</f>
        <v>2.1207177814029365E-2</v>
      </c>
      <c r="I109" s="3">
        <f>rawData!$P48</f>
        <v>1.9867549668874173E-2</v>
      </c>
      <c r="J109" s="3">
        <f>rawData!$P54</f>
        <v>2.2913256955810146E-2</v>
      </c>
      <c r="K109" s="3">
        <f>rawData!$P60</f>
        <v>2.6446280991735537E-2</v>
      </c>
      <c r="L109" s="3">
        <f>rawData!$P66</f>
        <v>2.1558872305140961E-2</v>
      </c>
      <c r="M109" s="3">
        <f>rawData!$P72</f>
        <v>9.8199672667757774E-3</v>
      </c>
      <c r="N109" s="3">
        <f>rawData!$P78</f>
        <v>2.7823240589198037E-2</v>
      </c>
      <c r="O109" s="3">
        <f>rawData!$P84</f>
        <v>1.6339869281045753E-2</v>
      </c>
      <c r="P109" s="3">
        <f>rawData!$P90</f>
        <v>2.113821138211382E-2</v>
      </c>
      <c r="Q109" s="3">
        <f>rawData!$P96</f>
        <v>2.7687296416938109E-2</v>
      </c>
      <c r="R109" s="3">
        <f>rawData!$P102</f>
        <v>1.282051282051282E-2</v>
      </c>
      <c r="S109" s="3">
        <f>rawData!$P108</f>
        <v>1.1513157894736841E-2</v>
      </c>
      <c r="T109" s="3">
        <f>rawData!$P119</f>
        <v>3.130148270181219E-2</v>
      </c>
    </row>
    <row r="110" spans="1:20" x14ac:dyDescent="0.25">
      <c r="A110" s="1" t="str">
        <f>rawData!$B$7</f>
        <v>Convent</v>
      </c>
      <c r="B110" s="3">
        <f>rawData!$P7</f>
        <v>5.3388090349075976E-3</v>
      </c>
      <c r="C110" s="3">
        <f>rawData!$P13</f>
        <v>5.7494866529774124E-3</v>
      </c>
      <c r="D110" s="3">
        <f>rawData!$P19</f>
        <v>6.155108740254411E-3</v>
      </c>
      <c r="E110" s="3">
        <f>rawData!$P25</f>
        <v>5.742411812961444E-3</v>
      </c>
      <c r="F110" s="3">
        <f>rawData!$P31</f>
        <v>5.7447681575707836E-3</v>
      </c>
      <c r="G110" s="3">
        <f>rawData!$P37</f>
        <v>6.1475409836065573E-3</v>
      </c>
      <c r="H110" s="3">
        <f>rawData!$P43</f>
        <v>6.6280033140016566E-3</v>
      </c>
      <c r="I110" s="3">
        <f>rawData!$P49</f>
        <v>5.3322395406070547E-3</v>
      </c>
      <c r="J110" s="3">
        <f>rawData!$P55</f>
        <v>5.7447681575707836E-3</v>
      </c>
      <c r="K110" s="3">
        <f>rawData!$P61</f>
        <v>5.3344275748871562E-3</v>
      </c>
      <c r="L110" s="3">
        <f>rawData!$P67</f>
        <v>4.5155993431855498E-3</v>
      </c>
      <c r="M110" s="3">
        <f>rawData!$P73</f>
        <v>4.9240869922035288E-3</v>
      </c>
      <c r="N110" s="3">
        <f>rawData!$P79</f>
        <v>5.7212913771965673E-3</v>
      </c>
      <c r="O110" s="3">
        <f>rawData!$P85</f>
        <v>6.5359477124183009E-3</v>
      </c>
      <c r="P110" s="3">
        <f>rawData!$P91</f>
        <v>6.1299550469963221E-3</v>
      </c>
      <c r="Q110" s="3">
        <f>rawData!$P97</f>
        <v>6.1274509803921568E-3</v>
      </c>
      <c r="R110" s="3">
        <f>rawData!$P103</f>
        <v>4.9079754601226997E-3</v>
      </c>
      <c r="S110" s="3">
        <f>rawData!$P109</f>
        <v>4.0832993058391182E-3</v>
      </c>
      <c r="T110" s="3">
        <f>rawData!$P120</f>
        <v>4.0799673602611181E-3</v>
      </c>
    </row>
    <row r="111" spans="1:20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20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20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20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20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20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20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20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20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20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20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20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20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20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20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20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20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20" x14ac:dyDescent="0.25">
      <c r="A128" t="s">
        <v>27</v>
      </c>
      <c r="B128">
        <f>0.76/100</f>
        <v>7.6E-3</v>
      </c>
      <c r="C128">
        <f>B128</f>
        <v>7.6E-3</v>
      </c>
      <c r="D128">
        <f t="shared" ref="D128" si="76">C128</f>
        <v>7.6E-3</v>
      </c>
      <c r="E128">
        <f t="shared" ref="E128" si="77">D128</f>
        <v>7.6E-3</v>
      </c>
      <c r="F128">
        <f t="shared" ref="F128" si="78">E128</f>
        <v>7.6E-3</v>
      </c>
      <c r="G128">
        <f t="shared" ref="G128" si="79">F128</f>
        <v>7.6E-3</v>
      </c>
      <c r="H128">
        <f t="shared" ref="H128" si="80">G128</f>
        <v>7.6E-3</v>
      </c>
      <c r="I128">
        <f t="shared" ref="I128" si="81">H128</f>
        <v>7.6E-3</v>
      </c>
      <c r="J128">
        <f t="shared" ref="J128" si="82">I128</f>
        <v>7.6E-3</v>
      </c>
      <c r="K128">
        <f t="shared" ref="K128" si="83">J128</f>
        <v>7.6E-3</v>
      </c>
      <c r="L128">
        <f t="shared" ref="L128" si="84">K128</f>
        <v>7.6E-3</v>
      </c>
      <c r="M128">
        <f t="shared" ref="M128" si="85">L128</f>
        <v>7.6E-3</v>
      </c>
      <c r="N128">
        <f t="shared" ref="N128" si="86">M128</f>
        <v>7.6E-3</v>
      </c>
      <c r="O128">
        <f t="shared" ref="O128:R128" si="87">N128</f>
        <v>7.6E-3</v>
      </c>
      <c r="P128">
        <f t="shared" si="87"/>
        <v>7.6E-3</v>
      </c>
      <c r="Q128">
        <f t="shared" si="87"/>
        <v>7.6E-3</v>
      </c>
      <c r="R128">
        <f t="shared" si="87"/>
        <v>7.6E-3</v>
      </c>
      <c r="S128">
        <f t="shared" ref="S128:T128" si="88">R128</f>
        <v>7.6E-3</v>
      </c>
      <c r="T128">
        <f t="shared" si="88"/>
        <v>7.6E-3</v>
      </c>
    </row>
    <row r="129" spans="1:20" x14ac:dyDescent="0.25">
      <c r="A129" t="s">
        <v>24</v>
      </c>
      <c r="B129" s="1">
        <f>B103</f>
        <v>43835</v>
      </c>
      <c r="C129" s="1">
        <f t="shared" ref="C129:L129" si="89">C103</f>
        <v>43836</v>
      </c>
      <c r="D129" s="1">
        <f t="shared" si="89"/>
        <v>43837</v>
      </c>
      <c r="E129" s="1">
        <f t="shared" si="89"/>
        <v>43838</v>
      </c>
      <c r="F129" s="1">
        <f t="shared" si="89"/>
        <v>43839</v>
      </c>
      <c r="G129" s="1">
        <f t="shared" si="89"/>
        <v>43840</v>
      </c>
      <c r="H129" s="1">
        <f t="shared" si="89"/>
        <v>43841</v>
      </c>
      <c r="I129" s="1">
        <f t="shared" si="89"/>
        <v>43842</v>
      </c>
      <c r="J129" s="1">
        <f t="shared" si="89"/>
        <v>43843</v>
      </c>
      <c r="K129" s="1">
        <f t="shared" si="89"/>
        <v>43844</v>
      </c>
      <c r="L129" s="1">
        <f t="shared" si="89"/>
        <v>43845</v>
      </c>
      <c r="M129" s="1">
        <f t="shared" ref="M129:O129" si="90">M103</f>
        <v>43846</v>
      </c>
      <c r="N129" s="1">
        <f t="shared" si="90"/>
        <v>43847</v>
      </c>
      <c r="O129" s="1">
        <f t="shared" si="90"/>
        <v>43848</v>
      </c>
      <c r="P129" s="1">
        <f t="shared" ref="P129:Q129" si="91">P103</f>
        <v>43849</v>
      </c>
      <c r="Q129" s="1">
        <f t="shared" si="91"/>
        <v>43850</v>
      </c>
      <c r="R129" s="1">
        <f t="shared" ref="R129:S129" si="92">R103</f>
        <v>43851</v>
      </c>
      <c r="S129" s="1">
        <f t="shared" si="92"/>
        <v>43852</v>
      </c>
      <c r="T129" s="1">
        <f t="shared" ref="T129" si="93">T103</f>
        <v>43853</v>
      </c>
    </row>
    <row r="130" spans="1:20" x14ac:dyDescent="0.25">
      <c r="A130" t="s">
        <v>25</v>
      </c>
      <c r="B130" s="5">
        <f>B132+B128</f>
        <v>1.60167063681118E-2</v>
      </c>
      <c r="C130" s="5">
        <f t="shared" ref="C130:L130" si="94">C132+C128</f>
        <v>1.6022056252979502E-2</v>
      </c>
      <c r="D130" s="5">
        <f t="shared" si="94"/>
        <v>1.5987403070106029E-2</v>
      </c>
      <c r="E130" s="5">
        <f t="shared" si="94"/>
        <v>1.5984749248536625E-2</v>
      </c>
      <c r="F130" s="5">
        <f t="shared" si="94"/>
        <v>1.5988730610952833E-2</v>
      </c>
      <c r="G130" s="5">
        <f t="shared" si="94"/>
        <v>1.5968861519027319E-2</v>
      </c>
      <c r="H130" s="5">
        <f t="shared" si="94"/>
        <v>1.5972827804107425E-2</v>
      </c>
      <c r="I130" s="5">
        <f t="shared" si="94"/>
        <v>1.5991386953768207E-2</v>
      </c>
      <c r="J130" s="5">
        <f t="shared" si="94"/>
        <v>1.5999366085578448E-2</v>
      </c>
      <c r="K130" s="5">
        <f t="shared" si="94"/>
        <v>1.5996704689480355E-2</v>
      </c>
      <c r="L130" s="5">
        <f t="shared" si="94"/>
        <v>1.5999366085578448E-2</v>
      </c>
      <c r="M130" s="5">
        <f t="shared" ref="M130:O130" si="95">M132+M128</f>
        <v>1.6148361564033559E-2</v>
      </c>
      <c r="N130" s="5">
        <f t="shared" si="95"/>
        <v>1.6235578583765113E-2</v>
      </c>
      <c r="O130" s="5">
        <f t="shared" si="95"/>
        <v>1.6396732642161484E-2</v>
      </c>
      <c r="P130" s="5">
        <f t="shared" ref="P130:Q130" si="96">P132+P128</f>
        <v>1.641334592382751E-2</v>
      </c>
      <c r="Q130" s="5">
        <f t="shared" si="96"/>
        <v>1.641334592382751E-2</v>
      </c>
      <c r="R130" s="5">
        <f t="shared" ref="R130:S130" si="97">R132+R128</f>
        <v>1.6409186723297154E-2</v>
      </c>
      <c r="S130" s="5">
        <f t="shared" si="97"/>
        <v>1.6405031446540881E-2</v>
      </c>
      <c r="T130" s="5">
        <f t="shared" ref="T130" si="98">T132+T128</f>
        <v>1.6693759799310127E-2</v>
      </c>
    </row>
    <row r="131" spans="1:20" x14ac:dyDescent="0.25">
      <c r="A131" t="s">
        <v>26</v>
      </c>
      <c r="B131" s="5">
        <f>B132-B128</f>
        <v>8.1670636811179923E-4</v>
      </c>
      <c r="C131" s="5">
        <f t="shared" ref="C131" si="99">C132-C128</f>
        <v>8.2205625297950089E-4</v>
      </c>
      <c r="D131" s="5">
        <f t="shared" ref="D131" si="100">D132-D128</f>
        <v>7.8740307010603024E-4</v>
      </c>
      <c r="E131" s="5">
        <f t="shared" ref="E131" si="101">E132-E128</f>
        <v>7.8474924853662396E-4</v>
      </c>
      <c r="F131" s="5">
        <f t="shared" ref="F131" si="102">F132-F128</f>
        <v>7.8873061095283397E-4</v>
      </c>
      <c r="G131" s="5">
        <f t="shared" ref="G131" si="103">G132-G128</f>
        <v>7.6886151902731768E-4</v>
      </c>
      <c r="H131" s="5">
        <f t="shared" ref="H131" si="104">H132-H128</f>
        <v>7.7282780410742411E-4</v>
      </c>
      <c r="I131" s="5">
        <f t="shared" ref="I131" si="105">I132-I128</f>
        <v>7.9138695376820747E-4</v>
      </c>
      <c r="J131" s="5">
        <f t="shared" ref="J131" si="106">J132-J128</f>
        <v>7.9936608557844725E-4</v>
      </c>
      <c r="K131" s="5">
        <f t="shared" ref="K131" si="107">K132-K128</f>
        <v>7.967046894803544E-4</v>
      </c>
      <c r="L131" s="5">
        <f t="shared" ref="L131:M131" si="108">L132-L128</f>
        <v>7.9936608557844725E-4</v>
      </c>
      <c r="M131" s="5">
        <f t="shared" si="108"/>
        <v>9.483615640335603E-4</v>
      </c>
      <c r="N131" s="5">
        <f t="shared" ref="N131:O131" si="109">N132-N128</f>
        <v>1.0355785837651123E-3</v>
      </c>
      <c r="O131" s="5">
        <f t="shared" si="109"/>
        <v>1.1967326421614835E-3</v>
      </c>
      <c r="P131" s="5">
        <f t="shared" ref="P131:Q131" si="110">P132-P128</f>
        <v>1.2133459238275095E-3</v>
      </c>
      <c r="Q131" s="5">
        <f t="shared" si="110"/>
        <v>1.2133459238275095E-3</v>
      </c>
      <c r="R131" s="5">
        <f t="shared" ref="R131:S131" si="111">R132-R128</f>
        <v>1.2091867232971532E-3</v>
      </c>
      <c r="S131" s="5">
        <f t="shared" si="111"/>
        <v>1.2050314465408803E-3</v>
      </c>
      <c r="T131" s="5">
        <f t="shared" ref="T131" si="112">T132-T128</f>
        <v>1.4937597993101284E-3</v>
      </c>
    </row>
    <row r="132" spans="1:20" x14ac:dyDescent="0.25">
      <c r="A132" s="1" t="str">
        <f>rawData!$B$3</f>
        <v>Total</v>
      </c>
      <c r="B132" s="3">
        <f>rawData!$R3</f>
        <v>8.4167063681117992E-3</v>
      </c>
      <c r="C132" s="3">
        <f>rawData!$R9</f>
        <v>8.4220562529795009E-3</v>
      </c>
      <c r="D132" s="3">
        <f>rawData!$R15</f>
        <v>8.3874030701060302E-3</v>
      </c>
      <c r="E132" s="3">
        <f>rawData!$R21</f>
        <v>8.3847492485366239E-3</v>
      </c>
      <c r="F132" s="3">
        <f>rawData!$R27</f>
        <v>8.388730610952834E-3</v>
      </c>
      <c r="G132" s="3">
        <f>rawData!$R33</f>
        <v>8.3688615190273177E-3</v>
      </c>
      <c r="H132" s="3">
        <f>rawData!$R39</f>
        <v>8.3728278041074241E-3</v>
      </c>
      <c r="I132" s="3">
        <f>rawData!$R45</f>
        <v>8.3913869537682075E-3</v>
      </c>
      <c r="J132" s="3">
        <f>rawData!$R51</f>
        <v>8.3993660855784472E-3</v>
      </c>
      <c r="K132" s="3">
        <f>rawData!$R57</f>
        <v>8.3967046894803544E-3</v>
      </c>
      <c r="L132" s="3">
        <f>rawData!$R63</f>
        <v>8.3993660855784472E-3</v>
      </c>
      <c r="M132" s="3">
        <f>rawData!$R69</f>
        <v>8.5483615640335603E-3</v>
      </c>
      <c r="N132" s="3">
        <f>rawData!$R75</f>
        <v>8.6355785837651123E-3</v>
      </c>
      <c r="O132" s="3">
        <f>rawData!$R81</f>
        <v>8.7967326421614835E-3</v>
      </c>
      <c r="P132" s="3">
        <f>rawData!$R87</f>
        <v>8.8133459238275095E-3</v>
      </c>
      <c r="Q132" s="3">
        <f>rawData!$R93</f>
        <v>8.8133459238275095E-3</v>
      </c>
      <c r="R132" s="3">
        <f>rawData!$R99</f>
        <v>8.8091867232971532E-3</v>
      </c>
      <c r="S132" s="3">
        <f>rawData!$R105</f>
        <v>8.8050314465408803E-3</v>
      </c>
      <c r="T132" s="3">
        <f>rawData!$R116</f>
        <v>9.0937597993101284E-3</v>
      </c>
    </row>
    <row r="133" spans="1:20" x14ac:dyDescent="0.25">
      <c r="A133" s="1" t="str">
        <f>rawData!$B$4</f>
        <v>Random</v>
      </c>
      <c r="B133" s="3">
        <f>rawData!$R4</f>
        <v>3.4071550255536627E-3</v>
      </c>
      <c r="C133" s="3">
        <f>rawData!$R10</f>
        <v>5.1020408163265302E-3</v>
      </c>
      <c r="D133" s="3">
        <f>rawData!$R16</f>
        <v>1.1764705882352941E-2</v>
      </c>
      <c r="E133" s="3">
        <f>rawData!$R22</f>
        <v>9.9337748344370865E-3</v>
      </c>
      <c r="F133" s="3">
        <f>rawData!$R28</f>
        <v>1.3266998341625208E-2</v>
      </c>
      <c r="G133" s="3">
        <f>rawData!$R34</f>
        <v>1.1627906976744186E-2</v>
      </c>
      <c r="H133" s="3">
        <f>rawData!$R40</f>
        <v>1.0186757215619695E-2</v>
      </c>
      <c r="I133" s="3">
        <f>rawData!$R46</f>
        <v>6.7114093959731542E-3</v>
      </c>
      <c r="J133" s="3">
        <f>rawData!$R52</f>
        <v>6.7226890756302525E-3</v>
      </c>
      <c r="K133" s="3">
        <f>rawData!$R58</f>
        <v>4.9751243781094526E-3</v>
      </c>
      <c r="L133" s="3">
        <f>rawData!$R64</f>
        <v>5.008347245409015E-3</v>
      </c>
      <c r="M133" s="3">
        <f>rawData!$R70</f>
        <v>1.4851485148514851E-2</v>
      </c>
      <c r="N133" s="3">
        <f>rawData!$R76</f>
        <v>8.3612040133779261E-3</v>
      </c>
      <c r="O133" s="3">
        <f>rawData!$R82</f>
        <v>9.852216748768473E-3</v>
      </c>
      <c r="P133" s="3">
        <f>rawData!$R88</f>
        <v>1.3289036544850499E-2</v>
      </c>
      <c r="Q133" s="3">
        <f>rawData!$R94</f>
        <v>8.3752093802345051E-3</v>
      </c>
      <c r="R133" s="3">
        <f>rawData!$R100</f>
        <v>9.9009900990099011E-3</v>
      </c>
      <c r="S133" s="3">
        <f>rawData!$R106</f>
        <v>4.9504950495049506E-3</v>
      </c>
      <c r="T133" s="3">
        <f>rawData!$R117</f>
        <v>1.1456628477905073E-2</v>
      </c>
    </row>
    <row r="134" spans="1:20" x14ac:dyDescent="0.25">
      <c r="A134" s="1" t="str">
        <f>rawData!$B$5</f>
        <v>Cluster</v>
      </c>
      <c r="B134" s="3">
        <f>rawData!$R5</f>
        <v>5.2910052910052907E-3</v>
      </c>
      <c r="C134" s="3">
        <f>rawData!$R11</f>
        <v>6.5573770491803279E-3</v>
      </c>
      <c r="D134" s="3">
        <f>rawData!$R17</f>
        <v>8.1967213114754103E-3</v>
      </c>
      <c r="E134" s="3">
        <f>rawData!$R23</f>
        <v>1.6666666666666668E-3</v>
      </c>
      <c r="F134" s="3">
        <f>rawData!$R29</f>
        <v>5.084745762711864E-3</v>
      </c>
      <c r="G134" s="3">
        <f>rawData!$R35</f>
        <v>1.9672131147540985E-2</v>
      </c>
      <c r="H134" s="3">
        <f>rawData!$R41</f>
        <v>7.9365079365079361E-3</v>
      </c>
      <c r="I134" s="3">
        <f>rawData!$R47</f>
        <v>6.6666666666666671E-3</v>
      </c>
      <c r="J134" s="3">
        <f>rawData!$R53</f>
        <v>0</v>
      </c>
      <c r="K134" s="3">
        <f>rawData!$R59</f>
        <v>6.8610634648370496E-3</v>
      </c>
      <c r="L134" s="3">
        <f>rawData!$R65</f>
        <v>8.3333333333333332E-3</v>
      </c>
      <c r="M134" s="3">
        <f>rawData!$R71</f>
        <v>2.456140350877193E-2</v>
      </c>
      <c r="N134" s="3">
        <f>rawData!$R77</f>
        <v>3.2840722495894909E-3</v>
      </c>
      <c r="O134" s="3">
        <f>rawData!$R83</f>
        <v>0</v>
      </c>
      <c r="P134" s="3">
        <f>rawData!$R89</f>
        <v>2.4590163934426229E-2</v>
      </c>
      <c r="Q134" s="3">
        <f>rawData!$R95</f>
        <v>1.1864406779661017E-2</v>
      </c>
      <c r="R134" s="3">
        <f>rawData!$R101</f>
        <v>1.0169491525423728E-2</v>
      </c>
      <c r="S134" s="3">
        <f>rawData!$R107</f>
        <v>8.3333333333333332E-3</v>
      </c>
      <c r="T134" s="3">
        <f>rawData!$R118</f>
        <v>1.896551724137931E-2</v>
      </c>
    </row>
    <row r="135" spans="1:20" x14ac:dyDescent="0.25">
      <c r="A135" s="1" t="str">
        <f>rawData!$B$6</f>
        <v>Strata</v>
      </c>
      <c r="B135" s="3">
        <f>rawData!$R6</f>
        <v>9.9337748344370865E-3</v>
      </c>
      <c r="C135" s="3">
        <f>rawData!$R12</f>
        <v>1.1725293132328308E-2</v>
      </c>
      <c r="D135" s="3">
        <f>rawData!$R18</f>
        <v>8.1967213114754103E-3</v>
      </c>
      <c r="E135" s="3">
        <f>rawData!$R24</f>
        <v>1.4925373134328358E-2</v>
      </c>
      <c r="F135" s="3">
        <f>rawData!$R30</f>
        <v>6.6777963272120202E-3</v>
      </c>
      <c r="G135" s="3">
        <f>rawData!$R36</f>
        <v>1.4925373134328358E-2</v>
      </c>
      <c r="H135" s="3">
        <f>rawData!$R42</f>
        <v>1.468189233278956E-2</v>
      </c>
      <c r="I135" s="3">
        <f>rawData!$R48</f>
        <v>9.9337748344370865E-3</v>
      </c>
      <c r="J135" s="3">
        <f>rawData!$R54</f>
        <v>6.5466448445171853E-3</v>
      </c>
      <c r="K135" s="3">
        <f>rawData!$R60</f>
        <v>6.6115702479338841E-3</v>
      </c>
      <c r="L135" s="3">
        <f>rawData!$R66</f>
        <v>6.6334991708126038E-3</v>
      </c>
      <c r="M135" s="3">
        <f>rawData!$R72</f>
        <v>8.1833060556464818E-3</v>
      </c>
      <c r="N135" s="3">
        <f>rawData!$R78</f>
        <v>4.9099836333878887E-3</v>
      </c>
      <c r="O135" s="3">
        <f>rawData!$R84</f>
        <v>9.8039215686274508E-3</v>
      </c>
      <c r="P135" s="3">
        <f>rawData!$R90</f>
        <v>1.1382113821138212E-2</v>
      </c>
      <c r="Q135" s="3">
        <f>rawData!$R96</f>
        <v>1.3029315960912053E-2</v>
      </c>
      <c r="R135" s="3">
        <f>rawData!$R102</f>
        <v>3.205128205128205E-3</v>
      </c>
      <c r="S135" s="3">
        <f>rawData!$R108</f>
        <v>6.5789473684210523E-3</v>
      </c>
      <c r="T135" s="3">
        <f>rawData!$R119</f>
        <v>1.3179571663920923E-2</v>
      </c>
    </row>
    <row r="136" spans="1:20" x14ac:dyDescent="0.25">
      <c r="A136" s="1" t="str">
        <f>rawData!$B$7</f>
        <v>Convent</v>
      </c>
      <c r="B136" s="3">
        <f>rawData!$R7</f>
        <v>0</v>
      </c>
      <c r="C136" s="3">
        <f>rawData!$R13</f>
        <v>0</v>
      </c>
      <c r="D136" s="3">
        <f>rawData!$R19</f>
        <v>0</v>
      </c>
      <c r="E136" s="3">
        <f>rawData!$R25</f>
        <v>0</v>
      </c>
      <c r="F136" s="3">
        <f>rawData!$R31</f>
        <v>4.103405826836274E-4</v>
      </c>
      <c r="G136" s="3">
        <f>rawData!$R37</f>
        <v>4.0983606557377049E-4</v>
      </c>
      <c r="H136" s="3">
        <f>rawData!$R43</f>
        <v>0</v>
      </c>
      <c r="I136" s="3">
        <f>rawData!$R49</f>
        <v>0</v>
      </c>
      <c r="J136" s="3">
        <f>rawData!$R55</f>
        <v>0</v>
      </c>
      <c r="K136" s="3">
        <f>rawData!$R61</f>
        <v>4.103405826836274E-4</v>
      </c>
      <c r="L136" s="3">
        <f>rawData!$R67</f>
        <v>0</v>
      </c>
      <c r="M136" s="3">
        <f>rawData!$R73</f>
        <v>4.103405826836274E-4</v>
      </c>
      <c r="N136" s="3">
        <f>rawData!$R79</f>
        <v>4.086636697997548E-4</v>
      </c>
      <c r="O136" s="3">
        <f>rawData!$R85</f>
        <v>8.1699346405228761E-4</v>
      </c>
      <c r="P136" s="3">
        <f>rawData!$R91</f>
        <v>8.1732733959950961E-4</v>
      </c>
      <c r="Q136" s="3">
        <f>rawData!$R97</f>
        <v>8.1699346405228761E-4</v>
      </c>
      <c r="R136" s="3">
        <f>rawData!$R103</f>
        <v>8.1799591002044991E-4</v>
      </c>
      <c r="S136" s="3">
        <f>rawData!$R109</f>
        <v>8.1665986116782364E-4</v>
      </c>
      <c r="T136" s="3">
        <f>rawData!$R120</f>
        <v>1.2239902080783353E-3</v>
      </c>
    </row>
    <row r="153" spans="1:20" x14ac:dyDescent="0.25">
      <c r="A153" t="s">
        <v>27</v>
      </c>
      <c r="B153">
        <f>0.96/100</f>
        <v>9.5999999999999992E-3</v>
      </c>
      <c r="C153">
        <f>B153</f>
        <v>9.5999999999999992E-3</v>
      </c>
      <c r="D153">
        <f t="shared" ref="D153" si="113">C153</f>
        <v>9.5999999999999992E-3</v>
      </c>
      <c r="E153">
        <f t="shared" ref="E153" si="114">D153</f>
        <v>9.5999999999999992E-3</v>
      </c>
      <c r="F153">
        <f t="shared" ref="F153" si="115">E153</f>
        <v>9.5999999999999992E-3</v>
      </c>
      <c r="G153">
        <f t="shared" ref="G153" si="116">F153</f>
        <v>9.5999999999999992E-3</v>
      </c>
      <c r="H153">
        <f t="shared" ref="H153" si="117">G153</f>
        <v>9.5999999999999992E-3</v>
      </c>
      <c r="I153">
        <f t="shared" ref="I153" si="118">H153</f>
        <v>9.5999999999999992E-3</v>
      </c>
      <c r="J153">
        <f t="shared" ref="J153" si="119">I153</f>
        <v>9.5999999999999992E-3</v>
      </c>
      <c r="K153">
        <f t="shared" ref="K153" si="120">J153</f>
        <v>9.5999999999999992E-3</v>
      </c>
      <c r="L153">
        <f t="shared" ref="L153" si="121">K153</f>
        <v>9.5999999999999992E-3</v>
      </c>
      <c r="M153">
        <f t="shared" ref="M153" si="122">L153</f>
        <v>9.5999999999999992E-3</v>
      </c>
      <c r="N153">
        <f t="shared" ref="N153" si="123">M153</f>
        <v>9.5999999999999992E-3</v>
      </c>
      <c r="O153">
        <f t="shared" ref="O153" si="124">N153</f>
        <v>9.5999999999999992E-3</v>
      </c>
      <c r="P153">
        <f t="shared" ref="P153" si="125">O153</f>
        <v>9.5999999999999992E-3</v>
      </c>
      <c r="Q153">
        <f t="shared" ref="Q153" si="126">P153</f>
        <v>9.5999999999999992E-3</v>
      </c>
      <c r="R153">
        <f t="shared" ref="R153" si="127">Q153</f>
        <v>9.5999999999999992E-3</v>
      </c>
      <c r="S153">
        <f t="shared" ref="S153:T153" si="128">R153</f>
        <v>9.5999999999999992E-3</v>
      </c>
      <c r="T153">
        <f t="shared" si="128"/>
        <v>9.5999999999999992E-3</v>
      </c>
    </row>
    <row r="154" spans="1:20" x14ac:dyDescent="0.25">
      <c r="A154" t="s">
        <v>31</v>
      </c>
      <c r="B154" s="1">
        <f>B129</f>
        <v>43835</v>
      </c>
      <c r="C154" s="1">
        <f t="shared" ref="C154:R154" si="129">C129</f>
        <v>43836</v>
      </c>
      <c r="D154" s="1">
        <f t="shared" si="129"/>
        <v>43837</v>
      </c>
      <c r="E154" s="1">
        <f t="shared" si="129"/>
        <v>43838</v>
      </c>
      <c r="F154" s="1">
        <f t="shared" si="129"/>
        <v>43839</v>
      </c>
      <c r="G154" s="1">
        <f t="shared" si="129"/>
        <v>43840</v>
      </c>
      <c r="H154" s="1">
        <f t="shared" si="129"/>
        <v>43841</v>
      </c>
      <c r="I154" s="1">
        <f t="shared" si="129"/>
        <v>43842</v>
      </c>
      <c r="J154" s="1">
        <f t="shared" si="129"/>
        <v>43843</v>
      </c>
      <c r="K154" s="1">
        <f t="shared" si="129"/>
        <v>43844</v>
      </c>
      <c r="L154" s="1">
        <f t="shared" si="129"/>
        <v>43845</v>
      </c>
      <c r="M154" s="1">
        <f t="shared" si="129"/>
        <v>43846</v>
      </c>
      <c r="N154" s="1">
        <f t="shared" si="129"/>
        <v>43847</v>
      </c>
      <c r="O154" s="1">
        <f t="shared" si="129"/>
        <v>43848</v>
      </c>
      <c r="P154" s="1">
        <f t="shared" si="129"/>
        <v>43849</v>
      </c>
      <c r="Q154" s="1">
        <f t="shared" si="129"/>
        <v>43850</v>
      </c>
      <c r="R154" s="1">
        <f t="shared" si="129"/>
        <v>43851</v>
      </c>
      <c r="S154" s="1">
        <f t="shared" ref="S154:T154" si="130">S129</f>
        <v>43852</v>
      </c>
      <c r="T154" s="1">
        <f t="shared" si="130"/>
        <v>43853</v>
      </c>
    </row>
    <row r="155" spans="1:20" x14ac:dyDescent="0.25">
      <c r="A155" t="s">
        <v>25</v>
      </c>
      <c r="B155" s="5">
        <f>B157+B153</f>
        <v>2.563938383357154E-2</v>
      </c>
      <c r="C155" s="5">
        <f t="shared" ref="C155:R155" si="131">C157+C153</f>
        <v>2.5490672175433021E-2</v>
      </c>
      <c r="D155" s="5">
        <f t="shared" si="131"/>
        <v>2.5900047475866432E-2</v>
      </c>
      <c r="E155" s="5">
        <f t="shared" si="131"/>
        <v>2.5894890049042871E-2</v>
      </c>
      <c r="F155" s="5">
        <f t="shared" si="131"/>
        <v>2.5586071541627099E-2</v>
      </c>
      <c r="G155" s="5">
        <f t="shared" si="131"/>
        <v>2.5548207800410547E-2</v>
      </c>
      <c r="H155" s="5">
        <f t="shared" si="131"/>
        <v>2.5397788309636647E-2</v>
      </c>
      <c r="I155" s="5">
        <f t="shared" si="131"/>
        <v>2.543280557314756E-2</v>
      </c>
      <c r="J155" s="5">
        <f t="shared" si="131"/>
        <v>2.5447860538827256E-2</v>
      </c>
      <c r="K155" s="5">
        <f t="shared" si="131"/>
        <v>2.4967553865652727E-2</v>
      </c>
      <c r="L155" s="5">
        <f t="shared" si="131"/>
        <v>2.497242472266244E-2</v>
      </c>
      <c r="M155" s="5">
        <f t="shared" si="131"/>
        <v>2.5430299192654743E-2</v>
      </c>
      <c r="N155" s="5">
        <f t="shared" si="131"/>
        <v>2.5772083529596479E-2</v>
      </c>
      <c r="O155" s="5">
        <f t="shared" si="131"/>
        <v>2.5465535658184102E-2</v>
      </c>
      <c r="P155" s="5">
        <f t="shared" si="131"/>
        <v>2.5338117721120552E-2</v>
      </c>
      <c r="Q155" s="5">
        <f t="shared" si="131"/>
        <v>2.5338117721120552E-2</v>
      </c>
      <c r="R155" s="5">
        <f t="shared" si="131"/>
        <v>2.5330690577316343E-2</v>
      </c>
      <c r="S155" s="5">
        <f t="shared" ref="S155:T155" si="132">S157+S153</f>
        <v>2.5323270440251573E-2</v>
      </c>
      <c r="T155" s="5">
        <f t="shared" si="132"/>
        <v>2.527889620570712E-2</v>
      </c>
    </row>
    <row r="156" spans="1:20" x14ac:dyDescent="0.25">
      <c r="A156" t="s">
        <v>26</v>
      </c>
      <c r="B156" s="5">
        <f>B157-B153</f>
        <v>6.4393838335715433E-3</v>
      </c>
      <c r="C156" s="5">
        <f t="shared" ref="C156:R156" si="133">C157-C153</f>
        <v>6.2906721754330212E-3</v>
      </c>
      <c r="D156" s="5">
        <f t="shared" si="133"/>
        <v>6.7000474758664354E-3</v>
      </c>
      <c r="E156" s="5">
        <f t="shared" si="133"/>
        <v>6.6948900490428741E-3</v>
      </c>
      <c r="F156" s="5">
        <f t="shared" si="133"/>
        <v>6.3860715416270992E-3</v>
      </c>
      <c r="G156" s="5">
        <f t="shared" si="133"/>
        <v>6.3482078004105501E-3</v>
      </c>
      <c r="H156" s="5">
        <f t="shared" si="133"/>
        <v>6.1977883096366506E-3</v>
      </c>
      <c r="I156" s="5">
        <f t="shared" si="133"/>
        <v>6.2328055731475634E-3</v>
      </c>
      <c r="J156" s="5">
        <f t="shared" si="133"/>
        <v>6.2478605388272598E-3</v>
      </c>
      <c r="K156" s="5">
        <f t="shared" si="133"/>
        <v>5.7675538656527265E-3</v>
      </c>
      <c r="L156" s="5">
        <f t="shared" si="133"/>
        <v>5.772424722662442E-3</v>
      </c>
      <c r="M156" s="5">
        <f t="shared" si="133"/>
        <v>6.2302991926547428E-3</v>
      </c>
      <c r="N156" s="5">
        <f t="shared" si="133"/>
        <v>6.5720835295964824E-3</v>
      </c>
      <c r="O156" s="5">
        <f t="shared" si="133"/>
        <v>6.2655356581841053E-3</v>
      </c>
      <c r="P156" s="5">
        <f t="shared" si="133"/>
        <v>6.1381177211205559E-3</v>
      </c>
      <c r="Q156" s="5">
        <f t="shared" si="133"/>
        <v>6.1381177211205559E-3</v>
      </c>
      <c r="R156" s="5">
        <f t="shared" si="133"/>
        <v>6.1306905773163434E-3</v>
      </c>
      <c r="S156" s="5">
        <f t="shared" ref="S156:T156" si="134">S157-S153</f>
        <v>6.1232704402515731E-3</v>
      </c>
      <c r="T156" s="5">
        <f t="shared" si="134"/>
        <v>6.07889620570712E-3</v>
      </c>
    </row>
    <row r="157" spans="1:20" x14ac:dyDescent="0.25">
      <c r="A157" s="1" t="str">
        <f>rawData!$B$3</f>
        <v>Total</v>
      </c>
      <c r="B157" s="3">
        <f>rawData!$T3</f>
        <v>1.6039383833571542E-2</v>
      </c>
      <c r="C157" s="3">
        <f>rawData!$T9</f>
        <v>1.589067217543302E-2</v>
      </c>
      <c r="D157" s="3">
        <f>rawData!$T15</f>
        <v>1.6300047475866435E-2</v>
      </c>
      <c r="E157" s="3">
        <f>rawData!$T21</f>
        <v>1.6294890049042873E-2</v>
      </c>
      <c r="F157" s="3">
        <f>rawData!$T27</f>
        <v>1.5986071541627098E-2</v>
      </c>
      <c r="G157" s="3">
        <f>rawData!$T33</f>
        <v>1.5948207800410549E-2</v>
      </c>
      <c r="H157" s="3">
        <f>rawData!$T39</f>
        <v>1.579778830963665E-2</v>
      </c>
      <c r="I157" s="3">
        <f>rawData!$T45</f>
        <v>1.5832805573147563E-2</v>
      </c>
      <c r="J157" s="3">
        <f>rawData!$T51</f>
        <v>1.5847860538827259E-2</v>
      </c>
      <c r="K157" s="3">
        <f>rawData!$T57</f>
        <v>1.5367553865652726E-2</v>
      </c>
      <c r="L157" s="3">
        <f>rawData!$T63</f>
        <v>1.5372424722662441E-2</v>
      </c>
      <c r="M157" s="3">
        <f>rawData!$T69</f>
        <v>1.5830299192654742E-2</v>
      </c>
      <c r="N157" s="3">
        <f>rawData!$T75</f>
        <v>1.6172083529596482E-2</v>
      </c>
      <c r="O157" s="3">
        <f>rawData!$T81</f>
        <v>1.5865535658184104E-2</v>
      </c>
      <c r="P157" s="3">
        <f>rawData!$T87</f>
        <v>1.5738117721120555E-2</v>
      </c>
      <c r="Q157" s="3">
        <f>rawData!$T93</f>
        <v>1.5738117721120555E-2</v>
      </c>
      <c r="R157" s="3">
        <f>rawData!$T99</f>
        <v>1.5730690577316343E-2</v>
      </c>
      <c r="S157" s="3">
        <f>rawData!$T105</f>
        <v>1.5723270440251572E-2</v>
      </c>
      <c r="T157" s="3">
        <f>rawData!$T116</f>
        <v>1.5678896205707119E-2</v>
      </c>
    </row>
    <row r="158" spans="1:20" x14ac:dyDescent="0.25">
      <c r="A158" s="1" t="str">
        <f>rawData!$B$4</f>
        <v>Random</v>
      </c>
      <c r="B158" s="3">
        <f>rawData!$T4</f>
        <v>1.192504258943782E-2</v>
      </c>
      <c r="C158" s="3">
        <f>rawData!$T10</f>
        <v>6.8027210884353739E-3</v>
      </c>
      <c r="D158" s="3">
        <f>rawData!$T16</f>
        <v>1.3445378151260505E-2</v>
      </c>
      <c r="E158" s="3">
        <f>rawData!$T22</f>
        <v>1.4900662251655629E-2</v>
      </c>
      <c r="F158" s="3">
        <f>rawData!$T28</f>
        <v>1.658374792703151E-2</v>
      </c>
      <c r="G158" s="3">
        <f>rawData!$T34</f>
        <v>1.8272425249169437E-2</v>
      </c>
      <c r="H158" s="3">
        <f>rawData!$T40</f>
        <v>1.3582342954159592E-2</v>
      </c>
      <c r="I158" s="3">
        <f>rawData!$T46</f>
        <v>2.5167785234899327E-2</v>
      </c>
      <c r="J158" s="3">
        <f>rawData!$T52</f>
        <v>1.8487394957983194E-2</v>
      </c>
      <c r="K158" s="3">
        <f>rawData!$T58</f>
        <v>1.9900497512437811E-2</v>
      </c>
      <c r="L158" s="3">
        <f>rawData!$T64</f>
        <v>1.335559265442404E-2</v>
      </c>
      <c r="M158" s="3">
        <f>rawData!$T70</f>
        <v>2.3102310231023101E-2</v>
      </c>
      <c r="N158" s="3">
        <f>rawData!$T76</f>
        <v>2.508361204013378E-2</v>
      </c>
      <c r="O158" s="3">
        <f>rawData!$T82</f>
        <v>2.2988505747126436E-2</v>
      </c>
      <c r="P158" s="3">
        <f>rawData!$T88</f>
        <v>2.4916943521594685E-2</v>
      </c>
      <c r="Q158" s="3">
        <f>rawData!$T94</f>
        <v>1.340033500837521E-2</v>
      </c>
      <c r="R158" s="3">
        <f>rawData!$T100</f>
        <v>2.9702970297029702E-2</v>
      </c>
      <c r="S158" s="3">
        <f>rawData!$T106</f>
        <v>1.8151815181518153E-2</v>
      </c>
      <c r="T158" s="3">
        <f>rawData!$T117</f>
        <v>1.1456628477905073E-2</v>
      </c>
    </row>
    <row r="159" spans="1:20" x14ac:dyDescent="0.25">
      <c r="A159" s="1" t="str">
        <f>rawData!$B$5</f>
        <v>Cluster</v>
      </c>
      <c r="B159" s="3">
        <f>rawData!$T5</f>
        <v>1.2345679012345678E-2</v>
      </c>
      <c r="C159" s="3">
        <f>rawData!$T11</f>
        <v>2.2950819672131147E-2</v>
      </c>
      <c r="D159" s="3">
        <f>rawData!$T17</f>
        <v>1.9672131147540985E-2</v>
      </c>
      <c r="E159" s="3">
        <f>rawData!$T23</f>
        <v>8.3333333333333332E-3</v>
      </c>
      <c r="F159" s="3">
        <f>rawData!$T29</f>
        <v>1.3559322033898305E-2</v>
      </c>
      <c r="G159" s="3">
        <f>rawData!$T35</f>
        <v>2.1311475409836064E-2</v>
      </c>
      <c r="H159" s="3">
        <f>rawData!$T41</f>
        <v>1.4285714285714285E-2</v>
      </c>
      <c r="I159" s="3">
        <f>rawData!$T47</f>
        <v>1.1666666666666667E-2</v>
      </c>
      <c r="J159" s="3">
        <f>rawData!$T53</f>
        <v>1.2280701754385965E-2</v>
      </c>
      <c r="K159" s="3">
        <f>rawData!$T59</f>
        <v>1.7152658662092625E-2</v>
      </c>
      <c r="L159" s="3">
        <f>rawData!$T65</f>
        <v>8.3333333333333332E-3</v>
      </c>
      <c r="M159" s="3">
        <f>rawData!$T71</f>
        <v>2.8070175438596492E-2</v>
      </c>
      <c r="N159" s="3">
        <f>rawData!$T77</f>
        <v>6.5681444991789817E-3</v>
      </c>
      <c r="O159" s="3">
        <f>rawData!$T83</f>
        <v>8.3333333333333332E-3</v>
      </c>
      <c r="P159" s="3">
        <f>rawData!$T89</f>
        <v>1.9672131147540985E-2</v>
      </c>
      <c r="Q159" s="3">
        <f>rawData!$T95</f>
        <v>2.8813559322033899E-2</v>
      </c>
      <c r="R159" s="3">
        <f>rawData!$T101</f>
        <v>1.3559322033898305E-2</v>
      </c>
      <c r="S159" s="3">
        <f>rawData!$T107</f>
        <v>1.8333333333333333E-2</v>
      </c>
      <c r="T159" s="3">
        <f>rawData!$T118</f>
        <v>2.0689655172413793E-2</v>
      </c>
    </row>
    <row r="160" spans="1:20" x14ac:dyDescent="0.25">
      <c r="A160" s="1" t="str">
        <f>rawData!$B$6</f>
        <v>Strata</v>
      </c>
      <c r="B160" s="3">
        <f>rawData!$T6</f>
        <v>2.4834437086092714E-2</v>
      </c>
      <c r="C160" s="3">
        <f>rawData!$T12</f>
        <v>2.0100502512562814E-2</v>
      </c>
      <c r="D160" s="3">
        <f>rawData!$T18</f>
        <v>1.3114754098360656E-2</v>
      </c>
      <c r="E160" s="3">
        <f>rawData!$T24</f>
        <v>3.150912106135987E-2</v>
      </c>
      <c r="F160" s="3">
        <f>rawData!$T30</f>
        <v>1.1686143572621035E-2</v>
      </c>
      <c r="G160" s="3">
        <f>rawData!$T36</f>
        <v>1.9900497512437811E-2</v>
      </c>
      <c r="H160" s="3">
        <f>rawData!$T42</f>
        <v>2.6101141924959218E-2</v>
      </c>
      <c r="I160" s="3">
        <f>rawData!$T48</f>
        <v>1.9867549668874173E-2</v>
      </c>
      <c r="J160" s="3">
        <f>rawData!$T54</f>
        <v>1.3093289689034371E-2</v>
      </c>
      <c r="K160" s="3">
        <f>rawData!$T60</f>
        <v>1.8181818181818181E-2</v>
      </c>
      <c r="L160" s="3">
        <f>rawData!$T66</f>
        <v>1.4925373134328358E-2</v>
      </c>
      <c r="M160" s="3">
        <f>rawData!$T72</f>
        <v>1.6366612111292964E-2</v>
      </c>
      <c r="N160" s="3">
        <f>rawData!$T78</f>
        <v>2.7823240589198037E-2</v>
      </c>
      <c r="O160" s="3">
        <f>rawData!$T84</f>
        <v>1.4705882352941176E-2</v>
      </c>
      <c r="P160" s="3">
        <f>rawData!$T90</f>
        <v>1.9512195121951219E-2</v>
      </c>
      <c r="Q160" s="3">
        <f>rawData!$T96</f>
        <v>2.7687296416938109E-2</v>
      </c>
      <c r="R160" s="3">
        <f>rawData!$T102</f>
        <v>1.282051282051282E-2</v>
      </c>
      <c r="S160" s="3">
        <f>rawData!$T108</f>
        <v>1.4802631578947368E-2</v>
      </c>
      <c r="T160" s="3">
        <f>rawData!$T119</f>
        <v>2.4711696869851731E-2</v>
      </c>
    </row>
    <row r="161" spans="1:20" x14ac:dyDescent="0.25">
      <c r="A161" s="1" t="str">
        <f>rawData!$B$7</f>
        <v>Convent</v>
      </c>
      <c r="B161" s="3">
        <f>rawData!$T7</f>
        <v>8.2135523613963042E-3</v>
      </c>
      <c r="C161" s="3">
        <f>rawData!$T13</f>
        <v>7.8028747433264885E-3</v>
      </c>
      <c r="D161" s="3">
        <f>rawData!$T19</f>
        <v>8.206811653672548E-3</v>
      </c>
      <c r="E161" s="3">
        <f>rawData!$T25</f>
        <v>7.7932731747333882E-3</v>
      </c>
      <c r="F161" s="3">
        <f>rawData!$T31</f>
        <v>7.3861304883052932E-3</v>
      </c>
      <c r="G161" s="3">
        <f>rawData!$T37</f>
        <v>7.3770491803278691E-3</v>
      </c>
      <c r="H161" s="3">
        <f>rawData!$T43</f>
        <v>7.0422535211267607E-3</v>
      </c>
      <c r="I161" s="3">
        <f>rawData!$T49</f>
        <v>6.5627563576702219E-3</v>
      </c>
      <c r="J161" s="3">
        <f>rawData!$T55</f>
        <v>6.155108740254411E-3</v>
      </c>
      <c r="K161" s="3">
        <f>rawData!$T61</f>
        <v>5.7447681575707836E-3</v>
      </c>
      <c r="L161" s="3">
        <f>rawData!$T67</f>
        <v>4.5155993431855498E-3</v>
      </c>
      <c r="M161" s="3">
        <f>rawData!$T73</f>
        <v>5.7447681575707836E-3</v>
      </c>
      <c r="N161" s="3">
        <f>rawData!$T79</f>
        <v>6.5386187167960769E-3</v>
      </c>
      <c r="O161" s="3">
        <f>rawData!$T85</f>
        <v>6.1274509803921568E-3</v>
      </c>
      <c r="P161" s="3">
        <f>rawData!$T91</f>
        <v>6.1299550469963221E-3</v>
      </c>
      <c r="Q161" s="3">
        <f>rawData!$T97</f>
        <v>5.7189542483660127E-3</v>
      </c>
      <c r="R161" s="3">
        <f>rawData!$T103</f>
        <v>4.9079754601226997E-3</v>
      </c>
      <c r="S161" s="3">
        <f>rawData!$T109</f>
        <v>5.7166190281747655E-3</v>
      </c>
      <c r="T161" s="3">
        <f>rawData!$T120</f>
        <v>5.3039575683394534E-3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percent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</dc:creator>
  <cp:lastModifiedBy>Arnold</cp:lastModifiedBy>
  <dcterms:created xsi:type="dcterms:W3CDTF">2019-12-13T17:55:26Z</dcterms:created>
  <dcterms:modified xsi:type="dcterms:W3CDTF">2020-02-01T14:04:00Z</dcterms:modified>
</cp:coreProperties>
</file>