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arnol\Downloads\"/>
    </mc:Choice>
  </mc:AlternateContent>
  <xr:revisionPtr revIDLastSave="0" documentId="13_ncr:1_{C815D646-2C17-4F08-9C55-52D8B354E34D}" xr6:coauthVersionLast="36" xr6:coauthVersionMax="47" xr10:uidLastSave="{00000000-0000-0000-0000-000000000000}"/>
  <bookViews>
    <workbookView xWindow="0" yWindow="0" windowWidth="20490" windowHeight="7425" firstSheet="2" activeTab="4" xr2:uid="{26D4546B-D2A1-4444-8EAF-A6228F96F0C1}"/>
  </bookViews>
  <sheets>
    <sheet name="Data" sheetId="1" r:id="rId1"/>
    <sheet name="India Staff" sheetId="2" r:id="rId2"/>
    <sheet name="Sheet2" sheetId="4" r:id="rId3"/>
    <sheet name="ALL staff" sheetId="3" r:id="rId4"/>
    <sheet name="Dash Board" sheetId="8" r:id="rId5"/>
    <sheet name="Salary Spread" sheetId="5" r:id="rId6"/>
    <sheet name="Hiring Rates" sheetId="7" r:id="rId7"/>
    <sheet name="Salary vs Rating" sheetId="6" r:id="rId8"/>
    <sheet name="Sheet7" sheetId="9" r:id="rId9"/>
  </sheets>
  <definedNames>
    <definedName name="_xlnm._FilterDatabase" localSheetId="0" hidden="1">Data!$C$5:$I$105</definedName>
    <definedName name="_xlnm._FilterDatabase" localSheetId="1" hidden="1">'India Staff'!$B$2:$H$114</definedName>
    <definedName name="_xlchart.v1.0" hidden="1">'ALL staff'!$G$1</definedName>
    <definedName name="_xlchart.v1.1" hidden="1">'ALL staff'!$G$2:$G$185</definedName>
    <definedName name="_xlchart.v1.2" hidden="1">'ALL staff'!$G$1</definedName>
    <definedName name="_xlchart.v1.3" hidden="1">'ALL staff'!$G$2:$G$185</definedName>
    <definedName name="_xlchart.v1.4" hidden="1">'ALL staff'!$G$1</definedName>
    <definedName name="_xlchart.v1.5" hidden="1">'ALL staff'!$G$2:$G$185</definedName>
    <definedName name="_xlcn.WorksheetConnection_blankdatafile.xlsxstaff1" hidden="1">staff[]</definedName>
    <definedName name="ExternalData_1" localSheetId="3" hidden="1">'ALL staff'!$A$1:$H$184</definedName>
    <definedName name="Slicer_Country">#N/A</definedName>
  </definedNames>
  <calcPr calcId="191029"/>
  <pivotCaches>
    <pivotCache cacheId="166" r:id="rId10"/>
    <pivotCache cacheId="170" r:id="rId11"/>
    <pivotCache cacheId="224" r:id="rId12"/>
    <pivotCache cacheId="245" r:id="rId13"/>
    <pivotCache cacheId="248" r:id="rId14"/>
  </pivotCaches>
  <extLst>
    <ext xmlns:x14="http://schemas.microsoft.com/office/spreadsheetml/2009/9/main" uri="{876F7934-8845-4945-9796-88D515C7AA90}">
      <x14:pivotCaches>
        <pivotCache cacheId="16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N2" i="8" l="1"/>
  <c r="L2" i="8"/>
  <c r="J2" i="8"/>
  <c r="G2" i="8"/>
  <c r="E2" i="8"/>
  <c r="C2" i="8"/>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2" i="7"/>
  <c r="R37"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2" i="7"/>
  <c r="K2" i="3" l="1"/>
  <c r="K6" i="3"/>
  <c r="K10" i="3"/>
  <c r="K14" i="3"/>
  <c r="K18" i="3"/>
  <c r="K22" i="3"/>
  <c r="K26" i="3"/>
  <c r="K30" i="3"/>
  <c r="K34" i="3"/>
  <c r="K38" i="3"/>
  <c r="K42" i="3"/>
  <c r="K46" i="3"/>
  <c r="K50" i="3"/>
  <c r="K54" i="3"/>
  <c r="K58" i="3"/>
  <c r="K62" i="3"/>
  <c r="K66" i="3"/>
  <c r="K70" i="3"/>
  <c r="K74" i="3"/>
  <c r="K78" i="3"/>
  <c r="K82" i="3"/>
  <c r="K86" i="3"/>
  <c r="K90" i="3"/>
  <c r="K94" i="3"/>
  <c r="K98" i="3"/>
  <c r="K102" i="3"/>
  <c r="K106" i="3"/>
  <c r="K110" i="3"/>
  <c r="K114" i="3"/>
  <c r="K118" i="3"/>
  <c r="K122" i="3"/>
  <c r="K126" i="3"/>
  <c r="K130" i="3"/>
  <c r="K134" i="3"/>
  <c r="K138" i="3"/>
  <c r="K142" i="3"/>
  <c r="K150" i="3"/>
  <c r="K158" i="3"/>
  <c r="K166" i="3"/>
  <c r="K174" i="3"/>
  <c r="K3" i="3"/>
  <c r="K7" i="3"/>
  <c r="K11" i="3"/>
  <c r="K15" i="3"/>
  <c r="K19" i="3"/>
  <c r="K23" i="3"/>
  <c r="K27" i="3"/>
  <c r="K31" i="3"/>
  <c r="K35" i="3"/>
  <c r="K39" i="3"/>
  <c r="K43" i="3"/>
  <c r="K47" i="3"/>
  <c r="K51" i="3"/>
  <c r="K55" i="3"/>
  <c r="K59" i="3"/>
  <c r="K63" i="3"/>
  <c r="K67" i="3"/>
  <c r="K71" i="3"/>
  <c r="K75" i="3"/>
  <c r="K79" i="3"/>
  <c r="K83" i="3"/>
  <c r="K87" i="3"/>
  <c r="K91" i="3"/>
  <c r="K95" i="3"/>
  <c r="K99" i="3"/>
  <c r="K103" i="3"/>
  <c r="K107" i="3"/>
  <c r="K111" i="3"/>
  <c r="K115" i="3"/>
  <c r="K119" i="3"/>
  <c r="K123" i="3"/>
  <c r="K127" i="3"/>
  <c r="K131" i="3"/>
  <c r="K135" i="3"/>
  <c r="K139" i="3"/>
  <c r="K143" i="3"/>
  <c r="K147" i="3"/>
  <c r="K151" i="3"/>
  <c r="K155" i="3"/>
  <c r="K159" i="3"/>
  <c r="K163" i="3"/>
  <c r="K167" i="3"/>
  <c r="K171" i="3"/>
  <c r="K175" i="3"/>
  <c r="K179" i="3"/>
  <c r="K183" i="3"/>
  <c r="K156" i="3"/>
  <c r="K164" i="3"/>
  <c r="K172" i="3"/>
  <c r="K180" i="3"/>
  <c r="K182" i="3"/>
  <c r="K4" i="3"/>
  <c r="K8" i="3"/>
  <c r="K12" i="3"/>
  <c r="K16" i="3"/>
  <c r="K20" i="3"/>
  <c r="K24" i="3"/>
  <c r="K28" i="3"/>
  <c r="K32" i="3"/>
  <c r="K36" i="3"/>
  <c r="K40" i="3"/>
  <c r="K44" i="3"/>
  <c r="K48" i="3"/>
  <c r="K52" i="3"/>
  <c r="K56" i="3"/>
  <c r="K60" i="3"/>
  <c r="K64" i="3"/>
  <c r="K68" i="3"/>
  <c r="K72" i="3"/>
  <c r="K76" i="3"/>
  <c r="K80" i="3"/>
  <c r="K84" i="3"/>
  <c r="K88" i="3"/>
  <c r="K92" i="3"/>
  <c r="K96" i="3"/>
  <c r="K100" i="3"/>
  <c r="K104" i="3"/>
  <c r="K108" i="3"/>
  <c r="K112" i="3"/>
  <c r="K116" i="3"/>
  <c r="K120" i="3"/>
  <c r="K124" i="3"/>
  <c r="K128" i="3"/>
  <c r="K132" i="3"/>
  <c r="K136" i="3"/>
  <c r="K140" i="3"/>
  <c r="K144" i="3"/>
  <c r="K148" i="3"/>
  <c r="K152" i="3"/>
  <c r="K160" i="3"/>
  <c r="K168" i="3"/>
  <c r="K176" i="3"/>
  <c r="K184" i="3"/>
  <c r="K5" i="3"/>
  <c r="K9" i="3"/>
  <c r="K13" i="3"/>
  <c r="K17" i="3"/>
  <c r="K21" i="3"/>
  <c r="K25" i="3"/>
  <c r="K29" i="3"/>
  <c r="K33" i="3"/>
  <c r="K37" i="3"/>
  <c r="K41" i="3"/>
  <c r="K45" i="3"/>
  <c r="K49" i="3"/>
  <c r="K53" i="3"/>
  <c r="K57" i="3"/>
  <c r="K61" i="3"/>
  <c r="K65" i="3"/>
  <c r="K69" i="3"/>
  <c r="K73" i="3"/>
  <c r="K77" i="3"/>
  <c r="K81" i="3"/>
  <c r="K85" i="3"/>
  <c r="K89" i="3"/>
  <c r="K93" i="3"/>
  <c r="K97" i="3"/>
  <c r="K101" i="3"/>
  <c r="K105" i="3"/>
  <c r="K109" i="3"/>
  <c r="K113" i="3"/>
  <c r="K117" i="3"/>
  <c r="K121" i="3"/>
  <c r="K125" i="3"/>
  <c r="K129" i="3"/>
  <c r="K133" i="3"/>
  <c r="K137" i="3"/>
  <c r="K141" i="3"/>
  <c r="K145" i="3"/>
  <c r="K149" i="3"/>
  <c r="K153" i="3"/>
  <c r="K157" i="3"/>
  <c r="K161" i="3"/>
  <c r="K165" i="3"/>
  <c r="K169" i="3"/>
  <c r="K173" i="3"/>
  <c r="K177" i="3"/>
  <c r="K181" i="3"/>
  <c r="K146" i="3"/>
  <c r="K154" i="3"/>
  <c r="K162" i="3"/>
  <c r="K170" i="3"/>
  <c r="K178" i="3"/>
  <c r="N14" i="3" l="1"/>
  <c r="O10" i="3"/>
  <c r="O7" i="3"/>
  <c r="I22" i="3"/>
  <c r="J22" i="3" s="1"/>
  <c r="I167" i="3"/>
  <c r="J167" i="3" s="1"/>
  <c r="I43" i="3"/>
  <c r="J43" i="3" s="1"/>
  <c r="I165" i="3"/>
  <c r="J165" i="3" s="1"/>
  <c r="I10" i="3"/>
  <c r="J10" i="3" s="1"/>
  <c r="I139" i="3"/>
  <c r="J139" i="3" s="1"/>
  <c r="I55" i="3"/>
  <c r="J55" i="3" s="1"/>
  <c r="I61" i="3"/>
  <c r="J61" i="3" s="1"/>
  <c r="I95" i="3"/>
  <c r="J95" i="3" s="1"/>
  <c r="I29" i="3"/>
  <c r="J29" i="3" s="1"/>
  <c r="I39" i="3"/>
  <c r="J39" i="3" s="1"/>
  <c r="I51" i="3"/>
  <c r="J51" i="3" s="1"/>
  <c r="I161" i="3"/>
  <c r="J161" i="3" s="1"/>
  <c r="I177" i="3"/>
  <c r="J177" i="3" s="1"/>
  <c r="I23" i="3"/>
  <c r="J23" i="3" s="1"/>
  <c r="I153" i="3"/>
  <c r="J153" i="3" s="1"/>
  <c r="I4" i="3"/>
  <c r="J4" i="3" s="1"/>
  <c r="I103" i="3"/>
  <c r="J103" i="3" s="1"/>
  <c r="I77" i="3"/>
  <c r="J77" i="3" s="1"/>
  <c r="I83" i="3"/>
  <c r="J83" i="3" s="1"/>
  <c r="I141" i="3"/>
  <c r="J141" i="3" s="1"/>
  <c r="I65" i="3"/>
  <c r="J65" i="3" s="1"/>
  <c r="I179" i="3"/>
  <c r="J179" i="3" s="1"/>
  <c r="I93" i="3"/>
  <c r="J93" i="3" s="1"/>
  <c r="I175" i="3"/>
  <c r="J175" i="3" s="1"/>
  <c r="I45" i="3"/>
  <c r="J45" i="3" s="1"/>
  <c r="I135" i="3"/>
  <c r="J135" i="3" s="1"/>
  <c r="I14" i="3"/>
  <c r="J14" i="3" s="1"/>
  <c r="I173" i="3"/>
  <c r="J173" i="3" s="1"/>
  <c r="I25" i="3"/>
  <c r="J25" i="3" s="1"/>
  <c r="I163" i="3"/>
  <c r="J163" i="3" s="1"/>
  <c r="I115" i="3"/>
  <c r="J115" i="3" s="1"/>
  <c r="I47" i="3"/>
  <c r="J47" i="3" s="1"/>
  <c r="I75" i="3"/>
  <c r="J75" i="3" s="1"/>
  <c r="I151" i="3"/>
  <c r="J151" i="3" s="1"/>
  <c r="I27" i="3"/>
  <c r="J27" i="3" s="1"/>
  <c r="I2" i="3"/>
  <c r="J2" i="3" s="1"/>
  <c r="I20" i="3"/>
  <c r="J20" i="3" s="1"/>
  <c r="I12" i="3"/>
  <c r="J12" i="3" s="1"/>
  <c r="I155" i="3"/>
  <c r="J155" i="3" s="1"/>
  <c r="I87" i="3"/>
  <c r="J87" i="3" s="1"/>
  <c r="I149" i="3"/>
  <c r="J149" i="3" s="1"/>
  <c r="I71" i="3"/>
  <c r="J71" i="3" s="1"/>
  <c r="I183" i="3"/>
  <c r="J183" i="3" s="1"/>
  <c r="I91" i="3"/>
  <c r="J91" i="3" s="1"/>
  <c r="I133" i="3"/>
  <c r="J133" i="3" s="1"/>
  <c r="I37" i="3"/>
  <c r="J37" i="3" s="1"/>
  <c r="I137" i="3"/>
  <c r="J137" i="3" s="1"/>
  <c r="I59" i="3"/>
  <c r="J59" i="3" s="1"/>
  <c r="I101" i="3"/>
  <c r="J101" i="3" s="1"/>
  <c r="I85" i="3"/>
  <c r="J85" i="3" s="1"/>
  <c r="I63" i="3"/>
  <c r="J63" i="3" s="1"/>
  <c r="I125" i="3"/>
  <c r="J125" i="3" s="1"/>
  <c r="I8" i="3"/>
  <c r="J8" i="3" s="1"/>
  <c r="I119" i="3"/>
  <c r="J119" i="3" s="1"/>
  <c r="I121" i="3"/>
  <c r="J121" i="3" s="1"/>
  <c r="I57" i="3"/>
  <c r="J57" i="3" s="1"/>
  <c r="I157" i="3"/>
  <c r="J157" i="3" s="1"/>
  <c r="I73" i="3"/>
  <c r="J73" i="3" s="1"/>
  <c r="I67" i="3"/>
  <c r="J67" i="3" s="1"/>
  <c r="I109" i="3"/>
  <c r="J109" i="3" s="1"/>
  <c r="I145" i="3"/>
  <c r="J145" i="3" s="1"/>
  <c r="I169" i="3"/>
  <c r="J169" i="3" s="1"/>
  <c r="I31" i="3"/>
  <c r="J31" i="3" s="1"/>
  <c r="I49" i="3"/>
  <c r="J49" i="3" s="1"/>
  <c r="I171" i="3"/>
  <c r="J171" i="3" s="1"/>
  <c r="I97" i="3"/>
  <c r="J97" i="3" s="1"/>
  <c r="I18" i="3"/>
  <c r="J18" i="3" s="1"/>
  <c r="I69" i="3"/>
  <c r="J69" i="3" s="1"/>
  <c r="I146" i="3"/>
  <c r="J146" i="3" s="1"/>
  <c r="I107" i="3"/>
  <c r="J107" i="3" s="1"/>
  <c r="I113" i="3"/>
  <c r="J113" i="3" s="1"/>
  <c r="I105" i="3"/>
  <c r="J105" i="3" s="1"/>
  <c r="I127" i="3"/>
  <c r="J127" i="3" s="1"/>
  <c r="I35" i="3"/>
  <c r="J35" i="3" s="1"/>
  <c r="I6" i="3"/>
  <c r="J6" i="3" s="1"/>
  <c r="I81" i="3"/>
  <c r="J81" i="3" s="1"/>
  <c r="I16" i="3"/>
  <c r="J16" i="3" s="1"/>
  <c r="I41" i="3"/>
  <c r="J41" i="3" s="1"/>
  <c r="I111" i="3"/>
  <c r="J111" i="3" s="1"/>
  <c r="I181" i="3"/>
  <c r="J181" i="3" s="1"/>
  <c r="I123" i="3"/>
  <c r="J123" i="3" s="1"/>
  <c r="I33" i="3"/>
  <c r="J33" i="3" s="1"/>
  <c r="I117" i="3"/>
  <c r="J117" i="3" s="1"/>
  <c r="I89" i="3"/>
  <c r="J89" i="3" s="1"/>
  <c r="I143" i="3"/>
  <c r="J143" i="3" s="1"/>
  <c r="I79" i="3"/>
  <c r="J79" i="3" s="1"/>
  <c r="I131" i="3"/>
  <c r="J131" i="3" s="1"/>
  <c r="I99" i="3"/>
  <c r="J99" i="3" s="1"/>
  <c r="I129" i="3"/>
  <c r="J129" i="3" s="1"/>
  <c r="I159" i="3"/>
  <c r="J159" i="3" s="1"/>
  <c r="I53" i="3"/>
  <c r="J53" i="3" s="1"/>
  <c r="I21" i="3"/>
  <c r="J21" i="3" s="1"/>
  <c r="I100" i="3"/>
  <c r="J100" i="3" s="1"/>
  <c r="I150" i="3"/>
  <c r="J150" i="3" s="1"/>
  <c r="I11" i="3"/>
  <c r="J11" i="3" s="1"/>
  <c r="I147" i="3"/>
  <c r="J147" i="3" s="1"/>
  <c r="I26" i="3"/>
  <c r="J26" i="3" s="1"/>
  <c r="I160" i="3"/>
  <c r="J160" i="3" s="1"/>
  <c r="I124" i="3"/>
  <c r="J124" i="3" s="1"/>
  <c r="I144" i="3"/>
  <c r="J144" i="3" s="1"/>
  <c r="I3" i="3"/>
  <c r="J3" i="3" s="1"/>
  <c r="I28" i="3"/>
  <c r="J28" i="3" s="1"/>
  <c r="I118" i="3"/>
  <c r="J118" i="3" s="1"/>
  <c r="I108" i="3"/>
  <c r="J108" i="3" s="1"/>
  <c r="I34" i="3"/>
  <c r="J34" i="3" s="1"/>
  <c r="I168" i="3"/>
  <c r="J168" i="3" s="1"/>
  <c r="I50" i="3"/>
  <c r="J50" i="3" s="1"/>
  <c r="I178" i="3"/>
  <c r="J178" i="3" s="1"/>
  <c r="I138" i="3"/>
  <c r="J138" i="3" s="1"/>
  <c r="I172" i="3"/>
  <c r="J172" i="3" s="1"/>
  <c r="I88" i="3"/>
  <c r="J88" i="3" s="1"/>
  <c r="I134" i="3"/>
  <c r="J134" i="3" s="1"/>
  <c r="I114" i="3"/>
  <c r="J114" i="3" s="1"/>
  <c r="I136" i="3"/>
  <c r="J136" i="3" s="1"/>
  <c r="I156" i="3"/>
  <c r="J156" i="3" s="1"/>
  <c r="I122" i="3"/>
  <c r="J122" i="3" s="1"/>
  <c r="I94" i="3"/>
  <c r="J94" i="3" s="1"/>
  <c r="I68" i="3"/>
  <c r="J68" i="3" s="1"/>
  <c r="I182" i="3"/>
  <c r="J182" i="3" s="1"/>
  <c r="I86" i="3"/>
  <c r="J86" i="3" s="1"/>
  <c r="I128" i="3"/>
  <c r="J128" i="3" s="1"/>
  <c r="I90" i="3"/>
  <c r="J90" i="3" s="1"/>
  <c r="I9" i="3"/>
  <c r="J9" i="3" s="1"/>
  <c r="I80" i="3"/>
  <c r="J80" i="3" s="1"/>
  <c r="I30" i="3"/>
  <c r="J30" i="3" s="1"/>
  <c r="I154" i="3"/>
  <c r="J154" i="3" s="1"/>
  <c r="I48" i="3"/>
  <c r="J48" i="3" s="1"/>
  <c r="I54" i="3"/>
  <c r="J54" i="3" s="1"/>
  <c r="I44" i="3"/>
  <c r="J44" i="3" s="1"/>
  <c r="I158" i="3"/>
  <c r="J158" i="3" s="1"/>
  <c r="I152" i="3"/>
  <c r="J152" i="3" s="1"/>
  <c r="I82" i="3"/>
  <c r="J82" i="3" s="1"/>
  <c r="I70" i="3"/>
  <c r="J70" i="3" s="1"/>
  <c r="I74" i="3"/>
  <c r="J74" i="3" s="1"/>
  <c r="I58" i="3"/>
  <c r="J58" i="3" s="1"/>
  <c r="I24" i="3"/>
  <c r="J24" i="3" s="1"/>
  <c r="I78" i="3"/>
  <c r="J78" i="3" s="1"/>
  <c r="I110" i="3"/>
  <c r="J110" i="3" s="1"/>
  <c r="I76" i="3"/>
  <c r="J76" i="3" s="1"/>
  <c r="I132" i="3"/>
  <c r="J132" i="3" s="1"/>
  <c r="I5" i="3"/>
  <c r="J5" i="3" s="1"/>
  <c r="I162" i="3"/>
  <c r="J162" i="3" s="1"/>
  <c r="I166" i="3"/>
  <c r="J166" i="3" s="1"/>
  <c r="I13" i="3"/>
  <c r="J13" i="3" s="1"/>
  <c r="I104" i="3"/>
  <c r="J104" i="3" s="1"/>
  <c r="I98" i="3"/>
  <c r="J98" i="3" s="1"/>
  <c r="I32" i="3"/>
  <c r="J32" i="3" s="1"/>
  <c r="I19" i="3"/>
  <c r="J19" i="3" s="1"/>
  <c r="I106" i="3"/>
  <c r="J106" i="3" s="1"/>
  <c r="I7" i="3"/>
  <c r="J7" i="3" s="1"/>
  <c r="I84" i="3"/>
  <c r="J84" i="3" s="1"/>
  <c r="I15" i="3"/>
  <c r="J15" i="3" s="1"/>
  <c r="I62" i="3"/>
  <c r="J62" i="3" s="1"/>
  <c r="I38" i="3"/>
  <c r="J38" i="3" s="1"/>
  <c r="I142" i="3"/>
  <c r="J142" i="3" s="1"/>
  <c r="I64" i="3"/>
  <c r="J64" i="3" s="1"/>
  <c r="I140" i="3"/>
  <c r="J140" i="3" s="1"/>
  <c r="I56" i="3"/>
  <c r="J56" i="3" s="1"/>
  <c r="I116" i="3"/>
  <c r="J116" i="3" s="1"/>
  <c r="I164" i="3"/>
  <c r="J164" i="3" s="1"/>
  <c r="I126" i="3"/>
  <c r="J126" i="3" s="1"/>
  <c r="I42" i="3"/>
  <c r="J42" i="3" s="1"/>
  <c r="I66" i="3"/>
  <c r="J66" i="3" s="1"/>
  <c r="I46" i="3"/>
  <c r="J46" i="3" s="1"/>
  <c r="I17" i="3"/>
  <c r="J17" i="3" s="1"/>
  <c r="I184" i="3"/>
  <c r="J184" i="3" s="1"/>
  <c r="I36" i="3"/>
  <c r="J36" i="3" s="1"/>
  <c r="I176" i="3"/>
  <c r="J176" i="3" s="1"/>
  <c r="I60" i="3"/>
  <c r="J60" i="3" s="1"/>
  <c r="I180" i="3"/>
  <c r="J180" i="3" s="1"/>
  <c r="I40" i="3"/>
  <c r="J40" i="3" s="1"/>
  <c r="I52" i="3"/>
  <c r="J52" i="3" s="1"/>
  <c r="I72" i="3"/>
  <c r="J72" i="3" s="1"/>
  <c r="I170" i="3"/>
  <c r="J170" i="3" s="1"/>
  <c r="I130" i="3"/>
  <c r="J130" i="3" s="1"/>
  <c r="I120" i="3"/>
  <c r="J120" i="3" s="1"/>
  <c r="I174" i="3"/>
  <c r="J174" i="3" s="1"/>
  <c r="I92" i="3"/>
  <c r="J92" i="3" s="1"/>
  <c r="I96" i="3"/>
  <c r="J96" i="3" s="1"/>
  <c r="I112" i="3"/>
  <c r="J112" i="3" s="1"/>
  <c r="I102" i="3"/>
  <c r="J102" i="3" s="1"/>
  <c r="I148" i="3"/>
  <c r="J148" i="3" s="1"/>
  <c r="P4" i="3"/>
  <c r="P3" i="3"/>
  <c r="O4" i="3"/>
  <c r="O3" i="3"/>
  <c r="O2" i="3"/>
  <c r="F106" i="1"/>
  <c r="H106" i="1"/>
  <c r="I106" i="1"/>
  <c r="O8" i="3" l="1"/>
  <c r="O9" i="3"/>
  <c r="O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451417-B047-4F8C-98C0-21ECB9143B4A}" keepAlive="1" name="Query - india_staff" description="Connection to the 'india_staff' query in the workbook." type="5" refreshedVersion="0" background="1">
    <dbPr connection="Provider=Microsoft.Mashup.OleDb.1;Data Source=$Workbook$;Location=india_staff;Extended Properties=&quot;&quot;" command="SELECT * FROM [india_staff]"/>
  </connection>
  <connection id="2" xr16:uid="{9F964E77-2CFD-46BC-B829-977ED43385B8}"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DD7CABB7-F343-4917-BA1C-14E7D50A9EB3}"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4" xr16:uid="{EFCA6459-DC6B-4CC9-AD62-72F12D84601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B3991AA0-6A45-483C-9448-CD55CEA90B71}"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mp;[NZ]}"/>
    <s v="{[staff].[Country].&amp;[IND]}"/>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<sst xmlns="http://schemas.openxmlformats.org/spreadsheetml/2006/main" count="1871" uniqueCount="250">
  <si>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</si>
  <si>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</si>
  <si>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</si>
  <si>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</si>
  <si>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</si>
  <si>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</si>
  <si>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</si>
  <si>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</si>
  <si>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</si>
  <si>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</si>
  <si>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</si>
  <si>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</si>
  <si>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</si>
  <si>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</si>
  <si>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</si>
  <si>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</si>
  <si>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</si>
  <si>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</si>
  <si>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</si>
  <si>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</si>
  <si>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</si>
  <si>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</si>
  <si>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</si>
  <si>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</si>
  <si>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</si>
  <si>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</si>
  <si>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</si>
  <si>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</si>
  <si>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</si>
  <si>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</si>
  <si>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</si>
  <si>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</si>
  <si>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</si>
  <si>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</si>
  <si>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</si>
  <si>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</si>
  <si>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</si>
  <si>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</si>
  <si>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</si>
  <si>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</si>
  <si>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</si>
  <si>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</si>
  <si>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</si>
  <si>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</si>
  <si>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</si>
  <si>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</si>
  <si>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</si>
  <si>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</si>
  <si>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</si>
  <si>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</si>
  <si>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</si>
  <si>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</si>
  <si>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</si>
  <si>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</si>
  <si>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</si>
  <si>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</si>
  <si>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</si>
  <si>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</si>
  <si>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</si>
  <si>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</si>
  <si>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</si>
  <si>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</si>
  <si>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</si>
  <si>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</si>
  <si>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</si>
  <si>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</si>
  <si>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</si>
  <si>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</si>
  <si>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</si>
  <si>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</si>
  <si>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</si>
  <si>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</si>
  <si>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</si>
  <si>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</si>
  <si>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</si>
  <si>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</si>
  <si>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</si>
  <si>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</si>
  <si>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</si>
  <si>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</si>
  <si>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</si>
  <si>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</si>
  <si>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</si>
  <si>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</si>
  <si>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</si>
  <si>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</si>
  <si>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</si>
  <si>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</si>
  <si>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</si>
  <si>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</si>
  <si>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</si>
  <si>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</si>
  <si>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</si>
  <si>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</si>
  <si>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</si>
  <si>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</si>
  <si>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</si>
  <si>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</si>
  <si>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</si>
  <si>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</si>
  <si>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</si>
  <si>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</si>
  <si>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</si>
  <si>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</si>
  <si>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</si>
  <si>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</si>
  <si>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</si>
  <si>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</si>
  <si>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</si>
  <si>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</si>
  <si>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</si>
  <si>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</si>
  <si>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</si>
  <si>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</si>
  <si>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</si>
  <si>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</si>
  <si>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</si>
  <si>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</si>
  <si>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</si>
  <si>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</si>
  <si>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</si>
  <si>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</si>
  <si>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</si>
  <si>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</si>
  <si>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</si>
  <si>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</si>
  <si>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</si>
  <si>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</si>
  <si>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</si>
  <si>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</si>
  <si>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</si>
  <si>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</si>
  <si>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</si>
  <si>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</si>
  <si>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</si>
  <si>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</si>
  <si>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</si>
  <si>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</si>
  <si>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</si>
  <si>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</si>
  <si>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</si>
  <si>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</si>
  <si>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</si>
  <si>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</si>
  <si>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</si>
  <si>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</si>
  <si>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</si>
  <si>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</si>
  <si>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</si>
  <si>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</si>
  <si>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</si>
  <si>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</si>
  <si>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</si>
  <si>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</si>
  <si>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</si>
  <si>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</si>
  <si>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</si>
  <si>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</si>
  <si>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</si>
  <si>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</si>
  <si>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</si>
  <si>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</si>
  <si>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</si>
  <si>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</si>
  <si>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</si>
  <si>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</si>
  <si>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</si>
  <si>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</si>
  <si>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</si>
  <si>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</si>
  <si>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</si>
  <si>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</si>
  <si>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</si>
  <si>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</si>
  <si>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</si>
  <si>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</si>
  <si>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</si>
  <si>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</si>
  <si>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</si>
  <si>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</si>
  <si>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</si>
  <si>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</si>
  <si>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</si>
  <si>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</si>
  <si>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</si>
  <si>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</si>
  <si>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</si>
  <si>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</si>
  <si>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</si>
  <si>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</si>
  <si>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</si>
  <si>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</si>
  <si>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</si>
  <si>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</si>
  <si>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</si>
  <si>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</si>
  <si>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</si>
  <si>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</si>
  <si>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</si>
  <si>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</si>
  <si>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</si>
  <si>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</si>
  <si>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</si>
  <si>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</si>
  <si>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</si>
  <si>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</si>
  <si>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</si>
  <si>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</si>
  <si>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</si>
  <si>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</si>
  <si>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</si>
  <si>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</si>
  <si>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Female Ratio %</t>
  </si>
  <si>
    <t>Tenure</t>
  </si>
  <si>
    <t>Female Number</t>
  </si>
  <si>
    <t>Ratio</t>
  </si>
  <si>
    <t>Ratio of 90, 000 &gt;</t>
  </si>
  <si>
    <t>Number</t>
  </si>
  <si>
    <t>Percentage 90,000&gt;</t>
  </si>
  <si>
    <t>Column Labels</t>
  </si>
  <si>
    <t>Grand Total</t>
  </si>
  <si>
    <t>Count of Name</t>
  </si>
  <si>
    <t>Average of Age</t>
  </si>
  <si>
    <t>Values</t>
  </si>
  <si>
    <t>Average of Salary</t>
  </si>
  <si>
    <t>Average of Tenure</t>
  </si>
  <si>
    <t>Bonus</t>
  </si>
  <si>
    <t>Row Labels</t>
  </si>
  <si>
    <t>Rating as Number</t>
  </si>
  <si>
    <t>2020</t>
  </si>
  <si>
    <t>May</t>
  </si>
  <si>
    <t>Jun</t>
  </si>
  <si>
    <t>Jul</t>
  </si>
  <si>
    <t>Aug</t>
  </si>
  <si>
    <t>Sep</t>
  </si>
  <si>
    <t>Oct</t>
  </si>
  <si>
    <t>Nov</t>
  </si>
  <si>
    <t>Dec</t>
  </si>
  <si>
    <t>2021</t>
  </si>
  <si>
    <t>Jan</t>
  </si>
  <si>
    <t>Feb</t>
  </si>
  <si>
    <t>Mar</t>
  </si>
  <si>
    <t>Apr</t>
  </si>
  <si>
    <t>2022</t>
  </si>
  <si>
    <t>2023</t>
  </si>
  <si>
    <t>Month</t>
  </si>
  <si>
    <t>Head Count</t>
  </si>
  <si>
    <t>Running Total</t>
  </si>
  <si>
    <t>HEADCOUNT BY DEPARTMENT</t>
  </si>
  <si>
    <t>NEW ZEALAND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</si>
</sst>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409]* #,##0.00_ ;_-[$$-409]* \-#,##0.00\ ;_-[$$-409]* &quot;-&quot;??_ ;_-@_ "/>
    <numFmt numFmtId="171" formatCode="mm/dd/yyyy"/>
    <numFmt numFmtId="173" formatCode="0.0"/>
    <numFmt numFmtId="174" formatCode="&quot;Ksh&quot;#,##0.00"/>
    <numFmt numFmtId="178" formatCode="_-[$$-409]* #,##0_ ;_-[$$-409]* \-#,##0\ ;_-[$$-409]* &quot;-&quot;??_ ;_-@_ "/>
  </numFmts>
  <fonts count="10" x14ac:knownFonts="1">
    <font>
      <sz val="11"/>
      <color theme="1"/>
      <name val="Calibri"/>
      <family val="2"/>
      <scheme val="minor"/>
    </font>
    <font>
      <sz val="28"/>
      <color theme="1"/>
      <name val="Segoe UI Light"/>
      <family val="2"/>
    </font>
    <font>
      <sz val="11"/>
      <color theme="1"/>
      <name val="Calibri"/>
      <family val="2"/>
      <scheme val="minor"/>
    </font>
    <font>
      <b/>
      <sz val="11"/>
      <color theme="0"/>
      <name val="Calibri"/>
      <family val="2"/>
      <scheme val="minor"/>
    </font>
    <font>
      <sz val="28"/>
      <color theme="1"/>
      <name val="Arial Black"/>
      <family val="2"/>
    </font>
    <font>
      <sz val="26"/>
      <color theme="1"/>
      <name val="Arial Black"/>
      <family val="2"/>
    </font>
    <font>
      <sz val="24"/>
      <color theme="1"/>
      <name val="Arial Black"/>
      <family val="2"/>
    </font>
    <font>
      <sz val="11"/>
      <color theme="1"/>
      <name val="Arial Black"/>
      <family val="2"/>
    </font>
    <font>
      <sz val="20"/>
      <color theme="1"/>
      <name val="Arial Rounded MT Bold"/>
      <family val="2"/>
    </font>
    <font>
      <sz val="26"/>
      <color theme="1"/>
      <name val="Arial Rounded MT Bold"/>
      <family val="2"/>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A5A5A5"/>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theme="9" tint="0.39997558519241921"/>
      </left>
      <right/>
      <top style="thin">
        <color theme="9" tint="0.39997558519241921"/>
      </top>
      <bottom style="thin">
        <color theme="9" tint="0.39997558519241921"/>
      </bottom>
      <diagonal/>
    </border>
  </borders>
  <cellStyleXfs count="3">
    <xf numFmtId="0" fontId="0" fillId="0" borderId="0"/>
    <xf numFmtId="43" fontId="2" fillId="0" borderId="0" applyFont="0" applyFill="0" applyBorder="0" applyAlignment="0" applyProtection="0"/>
    <xf numFmtId="0" fontId="3" fillId="4" borderId="1" applyNumberFormat="0" applyAlignment="0" applyProtection="0"/>
  </cellStyleXfs>
  <cellXfs count="3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0" fontId="0" fillId="0" borderId="0" xfId="0" applyNumberFormat="1"/>
    <xf numFmtId="0" fontId="0" fillId="5" borderId="2" xfId="0" applyNumberFormat="1" applyFont="1" applyFill="1" applyBorder="1"/>
    <xf numFmtId="2" fontId="0" fillId="0" borderId="0" xfId="0" applyNumberFormat="1"/>
    <xf numFmtId="43" fontId="0" fillId="0" borderId="0" xfId="1" applyFont="1"/>
    <xf numFmtId="171" fontId="0" fillId="0" borderId="0" xfId="0" applyNumberFormat="1"/>
    <xf numFmtId="9" fontId="0" fillId="0" borderId="0" xfId="0" applyNumberFormat="1" applyFont="1"/>
    <xf numFmtId="9" fontId="0" fillId="0" borderId="0" xfId="0" applyNumberFormat="1"/>
    <xf numFmtId="1" fontId="0" fillId="6" borderId="0" xfId="0" applyNumberFormat="1" applyFill="1"/>
    <xf numFmtId="1" fontId="3" fillId="4" borderId="1" xfId="2" applyNumberFormat="1"/>
    <xf numFmtId="0" fontId="0" fillId="0" borderId="0" xfId="0" pivotButton="1"/>
    <xf numFmtId="0" fontId="0" fillId="0" borderId="0" xfId="0" applyAlignment="1">
      <alignment horizontal="left"/>
    </xf>
    <xf numFmtId="173" fontId="0" fillId="0" borderId="0" xfId="0" applyNumberFormat="1"/>
    <xf numFmtId="1" fontId="0" fillId="0" borderId="0" xfId="0" applyNumberFormat="1"/>
    <xf numFmtId="178" fontId="0" fillId="0" borderId="0" xfId="1" applyNumberFormat="1" applyFont="1"/>
    <xf numFmtId="0" fontId="0" fillId="0" borderId="0" xfId="0" applyAlignment="1">
      <alignment horizontal="left" indent="1"/>
    </xf>
    <xf numFmtId="17" fontId="0" fillId="0" borderId="0" xfId="0" applyNumberFormat="1"/>
    <xf numFmtId="0" fontId="0" fillId="0" borderId="0" xfId="0" applyBorder="1"/>
    <xf numFmtId="0" fontId="4" fillId="8" borderId="0" xfId="0" applyFont="1" applyFill="1" applyAlignment="1">
      <alignment horizontal="center" vertical="center"/>
    </xf>
    <xf numFmtId="164" fontId="7" fillId="8" borderId="0" xfId="0" applyNumberFormat="1" applyFont="1" applyFill="1" applyAlignment="1">
      <alignment horizontal="center" vertical="center"/>
    </xf>
    <xf numFmtId="9" fontId="6" fillId="8" borderId="0" xfId="0" applyNumberFormat="1" applyFont="1" applyFill="1" applyAlignment="1">
      <alignment horizontal="center" vertical="center"/>
    </xf>
    <xf numFmtId="0" fontId="5" fillId="7" borderId="0" xfId="0" applyFont="1" applyFill="1" applyAlignment="1">
      <alignment horizontal="center" vertical="center"/>
    </xf>
    <xf numFmtId="164" fontId="7" fillId="7" borderId="0" xfId="0" applyNumberFormat="1" applyFont="1" applyFill="1" applyAlignment="1">
      <alignment horizontal="center" vertical="center"/>
    </xf>
    <xf numFmtId="9" fontId="6" fillId="7" borderId="0" xfId="0" applyNumberFormat="1" applyFont="1" applyFill="1" applyAlignment="1">
      <alignment horizontal="center" vertical="center"/>
    </xf>
    <xf numFmtId="0" fontId="0" fillId="0" borderId="0" xfId="0" applyBorder="1" applyAlignment="1">
      <alignment horizontal="center"/>
    </xf>
    <xf numFmtId="0" fontId="9" fillId="0" borderId="0" xfId="0" applyFont="1" applyAlignment="1">
      <alignment horizontal="center"/>
    </xf>
    <xf numFmtId="0" fontId="8" fillId="0" borderId="0" xfId="0" applyFont="1" applyBorder="1" applyAlignment="1">
      <alignment horizontal="center"/>
    </xf>
  </cellXfs>
  <cellStyles count="3">
    <cellStyle name="Check Cell" xfId="2" builtinId="23"/>
    <cellStyle name="Comma" xfId="1" builtinId="3"/>
    <cellStyle name="Normal" xfId="0" builtinId="0"/>
  </cellStyles>
  <dxfs count="16">
    <dxf>
      <font>
        <color rgb="FF9C0006"/>
      </font>
      <fill>
        <patternFill>
          <bgColor rgb="FFFFC7CE"/>
        </patternFill>
      </fill>
    </dxf>
    <dxf>
      <numFmt numFmtId="1" formatCode="0"/>
    </dxf>
    <dxf>
      <numFmt numFmtId="178" formatCode="_-[$$-409]* #,##0_ ;_-[$$-409]* \-#,##0\ ;_-[$$-409]* &quot;-&quot;??_ ;_-@_ "/>
    </dxf>
    <dxf>
      <numFmt numFmtId="164" formatCode="_-[$$-409]* #,##0.00_ ;_-[$$-409]* \-#,##0.00\ ;_-[$$-409]* &quot;-&quot;??_ ;_-@_ "/>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9" formatCode="dd/mm/yyyy"/>
    </dxf>
    <dxf>
      <numFmt numFmtId="0" formatCode="General"/>
    </dxf>
    <dxf>
      <numFmt numFmtId="0" formatCode="General"/>
    </dxf>
    <dxf>
      <numFmt numFmtId="164" formatCode="_-[$$-409]* #,##0.00_ ;_-[$$-409]* \-#,##0.00\ ;_-[$$-409]* &quot;-&quot;??_ ;_-@_ "/>
    </dxf>
    <dxf>
      <numFmt numFmtId="164" formatCode="_-[$$-409]* #,##0.00_ ;_-[$$-409]* \-#,##0.00\ ;_-[$$-409]* &quot;-&quot;??_ ;_-@_ "/>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[blank-data-file.xlsx]Sheet7!PivotTable4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00B050"/>
          </a:solidFill>
          <a:ln>
            <a:noFill/>
          </a:ln>
          <a:effectLst/>
        </c:spPr>
        <c:marker>
          <c:symbol val="none"/>
        </c:marker>
      </c:pivotFmt>
      <c:pivotFmt>
        <c:idx val="1"/>
        <c:spPr>
          <a:solidFill>
            <a:srgbClr val="00B050"/>
          </a:solidFill>
          <a:ln>
            <a:noFill/>
          </a:ln>
          <a:effectLst/>
        </c:spPr>
        <c:marker>
          <c:symbol val="none"/>
        </c:marker>
      </c:pivotFmt>
      <c:pivotFmt>
        <c:idx val="2"/>
        <c:spPr>
          <a:solidFill>
            <a:srgbClr val="00B050"/>
          </a:solidFill>
          <a:ln>
            <a:noFill/>
          </a:ln>
          <a:effectLst/>
        </c:spPr>
        <c:marker>
          <c:symbol val="none"/>
        </c:marker>
      </c:pivotFmt>
    </c:pivotFmts>
    <c:plotArea>
      <c:layout/>
      <c:barChart>
        <c:barDir val="bar"/>
        <c:grouping val="clustered"/>
        <c:varyColors val="0"/>
        <c:ser>
          <c:idx val="0"/>
          <c:order val="0"/>
          <c:tx>
            <c:strRef>
              <c:f>Sheet7!$B$3</c:f>
              <c:strCache>
                <c:ptCount val="1"/>
                <c:pt idx="0">
                  <c:v>Total</c:v>
                </c:pt>
              </c:strCache>
            </c:strRef>
          </c:tx>
          <c:spPr>
            <a:solidFill>
              <a:srgbClr val="00B050"/>
            </a:solidFill>
            <a:ln>
              <a:noFill/>
            </a:ln>
            <a:effectLst/>
          </c:spPr>
          <c:invertIfNegative val="0"/>
          <c:cat>
            <c:strRef>
              <c:f>Sheet7!$A$4:$A$9</c:f>
              <c:strCache>
                <c:ptCount val="5"/>
                <c:pt idx="0">
                  <c:v>Website</c:v>
                </c:pt>
                <c:pt idx="1">
                  <c:v>Procurement</c:v>
                </c:pt>
                <c:pt idx="2">
                  <c:v>Finance</c:v>
                </c:pt>
                <c:pt idx="3">
                  <c:v>Sales</c:v>
                </c:pt>
                <c:pt idx="4">
                  <c:v>HR</c:v>
                </c:pt>
              </c:strCache>
            </c:strRef>
          </c:cat>
          <c:val>
            <c:numRef>
              <c:f>Sheet7!$B$4:$B$9</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B98F-4C73-B77D-C71D31B75478}"/>
            </c:ext>
          </c:extLst>
        </c:ser>
        <c:dLbls>
          <c:showLegendKey val="0"/>
          <c:showVal val="0"/>
          <c:showCatName val="0"/>
          <c:showSerName val="0"/>
          <c:showPercent val="0"/>
          <c:showBubbleSize val="0"/>
        </c:dLbls>
        <c:gapWidth val="25"/>
        <c:axId val="1874304048"/>
        <c:axId val="867455120"/>
      </c:barChart>
      <c:catAx>
        <c:axId val="1874304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67455120"/>
        <c:crosses val="autoZero"/>
        <c:auto val="1"/>
        <c:lblAlgn val="ctr"/>
        <c:lblOffset val="100"/>
        <c:noMultiLvlLbl val="0"/>
      </c:catAx>
      <c:valAx>
        <c:axId val="86745512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7430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[blank-data-file.xlsx]Sheet7!PivotTable5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C00000"/>
          </a:solidFill>
          <a:ln>
            <a:noFill/>
          </a:ln>
          <a:effectLst/>
        </c:spPr>
        <c:marker>
          <c:symbol val="none"/>
        </c:marker>
      </c:pivotFmt>
      <c:pivotFmt>
        <c:idx val="1"/>
        <c:spPr>
          <a:solidFill>
            <a:srgbClr val="C00000"/>
          </a:solidFill>
          <a:ln>
            <a:noFill/>
          </a:ln>
          <a:effectLst/>
        </c:spPr>
        <c:marker>
          <c:symbol val="none"/>
        </c:marker>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Sheet7!$E$3</c:f>
              <c:strCache>
                <c:ptCount val="1"/>
                <c:pt idx="0">
                  <c:v>Total</c:v>
                </c:pt>
              </c:strCache>
            </c:strRef>
          </c:tx>
          <c:spPr>
            <a:solidFill>
              <a:srgbClr val="C00000"/>
            </a:solidFill>
            <a:ln>
              <a:noFill/>
            </a:ln>
            <a:effectLst/>
          </c:spPr>
          <c:invertIfNegative val="0"/>
          <c:cat>
            <c:strRef>
              <c:f>Sheet7!$D$4:$D$9</c:f>
              <c:strCache>
                <c:ptCount val="5"/>
                <c:pt idx="0">
                  <c:v>Procurement</c:v>
                </c:pt>
                <c:pt idx="1">
                  <c:v>Website</c:v>
                </c:pt>
                <c:pt idx="2">
                  <c:v>Finance</c:v>
                </c:pt>
                <c:pt idx="3">
                  <c:v>Sales</c:v>
                </c:pt>
                <c:pt idx="4">
                  <c:v>HR</c:v>
                </c:pt>
              </c:strCache>
            </c:strRef>
          </c:cat>
          <c:val>
            <c:numRef>
              <c:f>Sheet7!$E$4:$E$9</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7EF8-4411-8C3B-BFACD056221B}"/>
            </c:ext>
          </c:extLst>
        </c:ser>
        <c:dLbls>
          <c:showLegendKey val="0"/>
          <c:showVal val="0"/>
          <c:showCatName val="0"/>
          <c:showSerName val="0"/>
          <c:showPercent val="0"/>
          <c:showBubbleSize val="0"/>
        </c:dLbls>
        <c:gapWidth val="25"/>
        <c:axId val="1623130592"/>
        <c:axId val="1568961840"/>
      </c:barChart>
      <c:catAx>
        <c:axId val="16231305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68961840"/>
        <c:crosses val="autoZero"/>
        <c:auto val="1"/>
        <c:lblAlgn val="ctr"/>
        <c:lblOffset val="100"/>
        <c:noMultiLvlLbl val="0"/>
      </c:catAx>
      <c:valAx>
        <c:axId val="15689618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313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[blank-data-file.xlsx]Hiring Rates!PivotTable3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Hiring Rates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'Hiring Rates'!$B$1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'Hiring Rates'!$A$2:$A$38</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'Hiring Rates'!$B$2:$B$38</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499E-4C1F-8533-CDC02254A088}"/>
            </c:ext>
          </c:extLst>
        </c:ser>
        <c:dLbls>
          <c:showLegendKey val="0"/>
          <c:showVal val="0"/>
          <c:showCatName val="0"/>
          <c:showSerName val="0"/>
          <c:showPercent val="0"/>
          <c:showBubbleSize val="0"/>
        </c:dLbls>
        <c:marker val="1"/>
        <c:smooth val="0"/>
        <c:axId val="1561956224"/>
        <c:axId val="1833835008"/>
      </c:lineChart>
      <c:catAx>
        <c:axId val="1561956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833835008"/>
        <c:crosses val="autoZero"/>
        <c:auto val="1"/>
        <c:lblAlgn val="ctr"/>
        <c:lblOffset val="100"/>
        <c:noMultiLvlLbl val="0"/>
      </c:catAx>
      <c:valAx>
        <c:axId val="1833835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5619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862489063867011"/>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lotArea>
      <c:layout/>
      <c:lineChart>
        <c:grouping val="standard"/>
        <c:varyColors val="0"/>
        <c:ser>
          <c:idx val="0"/>
          <c:order val="0"/>
          <c:tx>
            <c:strRef>
              <c:f>'Hiring Rates'!$S$1</c:f>
              <c:strCache>
                <c:ptCount val="1"/>
                <c:pt idx="0">
                  <c:v>Running Total</c:v>
                </c:pt>
              </c:strCache>
            </c:strRef>
          </c:tx>
          <c:spPr>
            <a:ln w="22225" cap="rnd">
              <a:solidFill>
                <a:schemeClr val="accent1"/>
              </a:solidFill>
            </a:ln>
            <a:effectLst>
              <a:glow rad="139700">
                <a:schemeClr val="accent1">
                  <a:satMod val="175000"/>
                  <a:alpha val="14000"/>
                </a:schemeClr>
              </a:glow>
            </a:effectLst>
          </c:spPr>
          <c:marker>
            <c:symbol val="none"/>
          </c:marker>
          <c:cat>
            <c:numRef>
              <c:f>'Hiring Rates'!$Q$2:$Q$211</c:f>
              <c:numCache>
                <c:formatCode>mmm\-yy</c:formatCode>
                <c:ptCount val="210"/>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'Hiring Rates'!$S$2:$S$211</c:f>
              <c:numCache>
                <c:formatCode>General</c:formatCode>
                <c:ptCount val="210"/>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8122-4801-80F1-F4F04177DF9F}"/>
            </c:ext>
          </c:extLst>
        </c:ser>
        <c:dLbls>
          <c:showLegendKey val="0"/>
          <c:showVal val="0"/>
          <c:showCatName val="0"/>
          <c:showSerName val="0"/>
          <c:showPercent val="0"/>
          <c:showBubbleSize val="0"/>
        </c:dLbls>
        <c:smooth val="0"/>
        <c:axId val="1844002208"/>
        <c:axId val="1833827520"/>
      </c:lineChart>
      <c:dateAx>
        <c:axId val="1844002208"/>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833827520"/>
        <c:crosses val="autoZero"/>
        <c:auto val="1"/>
        <c:lblOffset val="100"/>
        <c:baseTimeUnit val="months"/>
      </c:dateAx>
      <c:valAx>
        <c:axId val="1833827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84400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 Rating Relationship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General</c:formatCode>
                <c:ptCount val="183"/>
                <c:pt idx="0">
                  <c:v>119110</c:v>
                </c:pt>
                <c:pt idx="1">
                  <c:v>119110</c:v>
                </c:pt>
                <c:pt idx="2">
                  <c:v>118840</c:v>
                </c:pt>
                <c:pt idx="3">
                  <c:v>118840</c:v>
                </c:pt>
                <c:pt idx="4">
                  <c:v>118100</c:v>
                </c:pt>
                <c:pt idx="5">
                  <c:v>118100</c:v>
                </c:pt>
                <c:pt idx="6">
                  <c:v>115920</c:v>
                </c:pt>
                <c:pt idx="7">
                  <c:v>115920</c:v>
                </c:pt>
                <c:pt idx="8">
                  <c:v>115440</c:v>
                </c:pt>
                <c:pt idx="9">
                  <c:v>115440</c:v>
                </c:pt>
                <c:pt idx="10">
                  <c:v>114890</c:v>
                </c:pt>
                <c:pt idx="11">
                  <c:v>114890</c:v>
                </c:pt>
                <c:pt idx="12">
                  <c:v>114870</c:v>
                </c:pt>
                <c:pt idx="13">
                  <c:v>114870</c:v>
                </c:pt>
                <c:pt idx="14">
                  <c:v>114180</c:v>
                </c:pt>
                <c:pt idx="15">
                  <c:v>114180</c:v>
                </c:pt>
                <c:pt idx="16">
                  <c:v>113280</c:v>
                </c:pt>
                <c:pt idx="17">
                  <c:v>113280</c:v>
                </c:pt>
                <c:pt idx="18">
                  <c:v>112780</c:v>
                </c:pt>
                <c:pt idx="19">
                  <c:v>112780</c:v>
                </c:pt>
                <c:pt idx="20">
                  <c:v>112650</c:v>
                </c:pt>
                <c:pt idx="21">
                  <c:v>112650</c:v>
                </c:pt>
                <c:pt idx="22">
                  <c:v>112650</c:v>
                </c:pt>
                <c:pt idx="23">
                  <c:v>112570</c:v>
                </c:pt>
                <c:pt idx="24">
                  <c:v>112570</c:v>
                </c:pt>
                <c:pt idx="25">
                  <c:v>112110</c:v>
                </c:pt>
                <c:pt idx="26">
                  <c:v>112110</c:v>
                </c:pt>
                <c:pt idx="27">
                  <c:v>109190</c:v>
                </c:pt>
                <c:pt idx="28">
                  <c:v>109190</c:v>
                </c:pt>
                <c:pt idx="29">
                  <c:v>109160</c:v>
                </c:pt>
                <c:pt idx="30">
                  <c:v>109160</c:v>
                </c:pt>
                <c:pt idx="31">
                  <c:v>107700</c:v>
                </c:pt>
                <c:pt idx="32">
                  <c:v>107700</c:v>
                </c:pt>
                <c:pt idx="33">
                  <c:v>106460</c:v>
                </c:pt>
                <c:pt idx="34">
                  <c:v>106460</c:v>
                </c:pt>
                <c:pt idx="35">
                  <c:v>104770</c:v>
                </c:pt>
                <c:pt idx="36">
                  <c:v>104770</c:v>
                </c:pt>
                <c:pt idx="37">
                  <c:v>104410</c:v>
                </c:pt>
                <c:pt idx="38">
                  <c:v>104410</c:v>
                </c:pt>
                <c:pt idx="39">
                  <c:v>104120</c:v>
                </c:pt>
                <c:pt idx="40">
                  <c:v>104120</c:v>
                </c:pt>
                <c:pt idx="41">
                  <c:v>103550</c:v>
                </c:pt>
                <c:pt idx="42">
                  <c:v>103550</c:v>
                </c:pt>
                <c:pt idx="43">
                  <c:v>100420</c:v>
                </c:pt>
                <c:pt idx="44">
                  <c:v>100420</c:v>
                </c:pt>
                <c:pt idx="45">
                  <c:v>99970</c:v>
                </c:pt>
                <c:pt idx="46">
                  <c:v>99970</c:v>
                </c:pt>
                <c:pt idx="47">
                  <c:v>99750</c:v>
                </c:pt>
                <c:pt idx="48">
                  <c:v>99750</c:v>
                </c:pt>
                <c:pt idx="49">
                  <c:v>96800</c:v>
                </c:pt>
                <c:pt idx="50">
                  <c:v>96800</c:v>
                </c:pt>
                <c:pt idx="51">
                  <c:v>96140</c:v>
                </c:pt>
                <c:pt idx="52">
                  <c:v>96140</c:v>
                </c:pt>
                <c:pt idx="53">
                  <c:v>92700</c:v>
                </c:pt>
                <c:pt idx="54">
                  <c:v>92700</c:v>
                </c:pt>
                <c:pt idx="55">
                  <c:v>92450</c:v>
                </c:pt>
                <c:pt idx="56">
                  <c:v>92450</c:v>
                </c:pt>
                <c:pt idx="57">
                  <c:v>91650</c:v>
                </c:pt>
                <c:pt idx="58">
                  <c:v>91650</c:v>
                </c:pt>
                <c:pt idx="59">
                  <c:v>91310</c:v>
                </c:pt>
                <c:pt idx="60">
                  <c:v>91310</c:v>
                </c:pt>
                <c:pt idx="61">
                  <c:v>90700</c:v>
                </c:pt>
                <c:pt idx="62">
                  <c:v>90700</c:v>
                </c:pt>
                <c:pt idx="63">
                  <c:v>88050</c:v>
                </c:pt>
                <c:pt idx="64">
                  <c:v>88050</c:v>
                </c:pt>
                <c:pt idx="65">
                  <c:v>87620</c:v>
                </c:pt>
                <c:pt idx="66">
                  <c:v>87620</c:v>
                </c:pt>
                <c:pt idx="67">
                  <c:v>86570</c:v>
                </c:pt>
                <c:pt idx="68">
                  <c:v>86570</c:v>
                </c:pt>
                <c:pt idx="69">
                  <c:v>85000</c:v>
                </c:pt>
                <c:pt idx="70">
                  <c:v>85000</c:v>
                </c:pt>
                <c:pt idx="71">
                  <c:v>83750</c:v>
                </c:pt>
                <c:pt idx="72">
                  <c:v>83750</c:v>
                </c:pt>
                <c:pt idx="73">
                  <c:v>80700</c:v>
                </c:pt>
                <c:pt idx="74">
                  <c:v>80700</c:v>
                </c:pt>
                <c:pt idx="75">
                  <c:v>79570</c:v>
                </c:pt>
                <c:pt idx="76">
                  <c:v>79570</c:v>
                </c:pt>
                <c:pt idx="77">
                  <c:v>78540</c:v>
                </c:pt>
                <c:pt idx="78">
                  <c:v>78540</c:v>
                </c:pt>
                <c:pt idx="79">
                  <c:v>78390</c:v>
                </c:pt>
                <c:pt idx="80">
                  <c:v>78390</c:v>
                </c:pt>
                <c:pt idx="81">
                  <c:v>76900</c:v>
                </c:pt>
                <c:pt idx="82">
                  <c:v>76900</c:v>
                </c:pt>
                <c:pt idx="83">
                  <c:v>75970</c:v>
                </c:pt>
                <c:pt idx="84">
                  <c:v>75970</c:v>
                </c:pt>
                <c:pt idx="85">
                  <c:v>75880</c:v>
                </c:pt>
                <c:pt idx="86">
                  <c:v>75880</c:v>
                </c:pt>
                <c:pt idx="87">
                  <c:v>75480</c:v>
                </c:pt>
                <c:pt idx="88">
                  <c:v>75480</c:v>
                </c:pt>
                <c:pt idx="89">
                  <c:v>75280</c:v>
                </c:pt>
                <c:pt idx="90">
                  <c:v>75280</c:v>
                </c:pt>
                <c:pt idx="91">
                  <c:v>75000</c:v>
                </c:pt>
                <c:pt idx="92">
                  <c:v>75000</c:v>
                </c:pt>
                <c:pt idx="93">
                  <c:v>74550</c:v>
                </c:pt>
                <c:pt idx="94">
                  <c:v>74550</c:v>
                </c:pt>
                <c:pt idx="95">
                  <c:v>71380</c:v>
                </c:pt>
                <c:pt idx="96">
                  <c:v>71380</c:v>
                </c:pt>
                <c:pt idx="97">
                  <c:v>70610</c:v>
                </c:pt>
                <c:pt idx="98">
                  <c:v>70610</c:v>
                </c:pt>
                <c:pt idx="99">
                  <c:v>70270</c:v>
                </c:pt>
                <c:pt idx="100">
                  <c:v>70270</c:v>
                </c:pt>
                <c:pt idx="101">
                  <c:v>69710</c:v>
                </c:pt>
                <c:pt idx="102">
                  <c:v>69710</c:v>
                </c:pt>
                <c:pt idx="103">
                  <c:v>69120</c:v>
                </c:pt>
                <c:pt idx="104">
                  <c:v>69120</c:v>
                </c:pt>
                <c:pt idx="105">
                  <c:v>69070</c:v>
                </c:pt>
                <c:pt idx="106">
                  <c:v>69070</c:v>
                </c:pt>
                <c:pt idx="107">
                  <c:v>68900</c:v>
                </c:pt>
                <c:pt idx="108">
                  <c:v>68900</c:v>
                </c:pt>
                <c:pt idx="109">
                  <c:v>67950</c:v>
                </c:pt>
                <c:pt idx="110">
                  <c:v>67950</c:v>
                </c:pt>
                <c:pt idx="111">
                  <c:v>67910</c:v>
                </c:pt>
                <c:pt idx="112">
                  <c:v>67910</c:v>
                </c:pt>
                <c:pt idx="113">
                  <c:v>65920</c:v>
                </c:pt>
                <c:pt idx="114">
                  <c:v>65920</c:v>
                </c:pt>
                <c:pt idx="115">
                  <c:v>65700</c:v>
                </c:pt>
                <c:pt idx="116">
                  <c:v>65700</c:v>
                </c:pt>
                <c:pt idx="117">
                  <c:v>65360</c:v>
                </c:pt>
                <c:pt idx="118">
                  <c:v>65360</c:v>
                </c:pt>
                <c:pt idx="119">
                  <c:v>64000</c:v>
                </c:pt>
                <c:pt idx="120">
                  <c:v>64000</c:v>
                </c:pt>
                <c:pt idx="121">
                  <c:v>62780</c:v>
                </c:pt>
                <c:pt idx="122">
                  <c:v>62780</c:v>
                </c:pt>
                <c:pt idx="123">
                  <c:v>60570</c:v>
                </c:pt>
                <c:pt idx="124">
                  <c:v>60570</c:v>
                </c:pt>
                <c:pt idx="125">
                  <c:v>60130</c:v>
                </c:pt>
                <c:pt idx="126">
                  <c:v>60130</c:v>
                </c:pt>
                <c:pt idx="127">
                  <c:v>59430</c:v>
                </c:pt>
                <c:pt idx="128">
                  <c:v>59430</c:v>
                </c:pt>
                <c:pt idx="129">
                  <c:v>58960</c:v>
                </c:pt>
                <c:pt idx="130">
                  <c:v>58960</c:v>
                </c:pt>
                <c:pt idx="131">
                  <c:v>58940</c:v>
                </c:pt>
                <c:pt idx="132">
                  <c:v>58940</c:v>
                </c:pt>
                <c:pt idx="133">
                  <c:v>58100</c:v>
                </c:pt>
                <c:pt idx="134">
                  <c:v>58100</c:v>
                </c:pt>
                <c:pt idx="135">
                  <c:v>57090</c:v>
                </c:pt>
                <c:pt idx="136">
                  <c:v>57090</c:v>
                </c:pt>
                <c:pt idx="137">
                  <c:v>56870</c:v>
                </c:pt>
                <c:pt idx="138">
                  <c:v>56870</c:v>
                </c:pt>
                <c:pt idx="139">
                  <c:v>54970</c:v>
                </c:pt>
                <c:pt idx="140">
                  <c:v>54970</c:v>
                </c:pt>
                <c:pt idx="141">
                  <c:v>53870</c:v>
                </c:pt>
                <c:pt idx="142">
                  <c:v>53870</c:v>
                </c:pt>
                <c:pt idx="143">
                  <c:v>53540</c:v>
                </c:pt>
                <c:pt idx="144">
                  <c:v>53540</c:v>
                </c:pt>
                <c:pt idx="145">
                  <c:v>53540</c:v>
                </c:pt>
                <c:pt idx="146">
                  <c:v>53540</c:v>
                </c:pt>
                <c:pt idx="147">
                  <c:v>53240</c:v>
                </c:pt>
                <c:pt idx="148">
                  <c:v>53240</c:v>
                </c:pt>
                <c:pt idx="149">
                  <c:v>52610</c:v>
                </c:pt>
                <c:pt idx="150">
                  <c:v>52610</c:v>
                </c:pt>
                <c:pt idx="151">
                  <c:v>49630</c:v>
                </c:pt>
                <c:pt idx="152">
                  <c:v>49630</c:v>
                </c:pt>
                <c:pt idx="153">
                  <c:v>48980</c:v>
                </c:pt>
                <c:pt idx="154">
                  <c:v>48980</c:v>
                </c:pt>
                <c:pt idx="155">
                  <c:v>48950</c:v>
                </c:pt>
                <c:pt idx="156">
                  <c:v>48950</c:v>
                </c:pt>
                <c:pt idx="157">
                  <c:v>48530</c:v>
                </c:pt>
                <c:pt idx="158">
                  <c:v>48530</c:v>
                </c:pt>
                <c:pt idx="159">
                  <c:v>48170</c:v>
                </c:pt>
                <c:pt idx="160">
                  <c:v>48170</c:v>
                </c:pt>
                <c:pt idx="161">
                  <c:v>47360</c:v>
                </c:pt>
                <c:pt idx="162">
                  <c:v>47360</c:v>
                </c:pt>
                <c:pt idx="163">
                  <c:v>45510</c:v>
                </c:pt>
                <c:pt idx="164">
                  <c:v>45510</c:v>
                </c:pt>
                <c:pt idx="165">
                  <c:v>43840</c:v>
                </c:pt>
                <c:pt idx="166">
                  <c:v>43840</c:v>
                </c:pt>
                <c:pt idx="167">
                  <c:v>43510</c:v>
                </c:pt>
                <c:pt idx="168">
                  <c:v>43510</c:v>
                </c:pt>
                <c:pt idx="169">
                  <c:v>41980</c:v>
                </c:pt>
                <c:pt idx="170">
                  <c:v>41980</c:v>
                </c:pt>
                <c:pt idx="171">
                  <c:v>41570</c:v>
                </c:pt>
                <c:pt idx="172">
                  <c:v>41570</c:v>
                </c:pt>
                <c:pt idx="173">
                  <c:v>40400</c:v>
                </c:pt>
                <c:pt idx="174">
                  <c:v>40400</c:v>
                </c:pt>
                <c:pt idx="175">
                  <c:v>37920</c:v>
                </c:pt>
                <c:pt idx="176">
                  <c:v>37920</c:v>
                </c:pt>
                <c:pt idx="177">
                  <c:v>36040</c:v>
                </c:pt>
                <c:pt idx="178">
                  <c:v>36040</c:v>
                </c:pt>
                <c:pt idx="179">
                  <c:v>34980</c:v>
                </c:pt>
                <c:pt idx="180">
                  <c:v>34980</c:v>
                </c:pt>
                <c:pt idx="181">
                  <c:v>33920</c:v>
                </c:pt>
                <c:pt idx="182">
                  <c:v>33920</c:v>
                </c:pt>
              </c:numCache>
            </c:numRef>
          </c:xVal>
          <c:yVal>
            <c:numRef>
              <c:f>'ALL staff'!$K$2:$K$184</c:f>
              <c:numCache>
                <c:formatCode>0</c:formatCode>
                <c:ptCount val="18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numCache>
            </c:numRef>
          </c:yVal>
          <c:smooth val="0"/>
          <c:extLst>
            <c:ext xmlns:c16="http://schemas.microsoft.com/office/drawing/2014/chart" uri="{C3380CC4-5D6E-409C-BE32-E72D297353CC}">
              <c16:uniqueId val="{00000000-2D05-47A8-8827-D9A578A7E60C}"/>
            </c:ext>
          </c:extLst>
        </c:ser>
        <c:dLbls>
          <c:showLegendKey val="0"/>
          <c:showVal val="0"/>
          <c:showCatName val="0"/>
          <c:showSerName val="0"/>
          <c:showPercent val="0"/>
          <c:showBubbleSize val="0"/>
        </c:dLbls>
        <c:axId val="1575312752"/>
        <c:axId val="1566786256"/>
      </c:scatterChart>
      <c:valAx>
        <c:axId val="1575312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66786256"/>
        <c:crosses val="autoZero"/>
        <c:crossBetween val="midCat"/>
      </c:valAx>
      <c:valAx>
        <c:axId val="156678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7531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[blank-data-file.xlsx]Sheet7!PivotTable4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00B050"/>
          </a:solidFill>
          <a:ln>
            <a:noFill/>
          </a:ln>
          <a:effectLst/>
        </c:spPr>
        <c:marker>
          <c:symbol val="none"/>
        </c:marker>
      </c:pivotFmt>
    </c:pivotFmts>
    <c:plotArea>
      <c:layout/>
      <c:barChart>
        <c:barDir val="bar"/>
        <c:grouping val="clustered"/>
        <c:varyColors val="0"/>
        <c:ser>
          <c:idx val="0"/>
          <c:order val="0"/>
          <c:tx>
            <c:strRef>
              <c:f>Sheet7!$B$3</c:f>
              <c:strCache>
                <c:ptCount val="1"/>
                <c:pt idx="0">
                  <c:v>Total</c:v>
                </c:pt>
              </c:strCache>
            </c:strRef>
          </c:tx>
          <c:spPr>
            <a:solidFill>
              <a:srgbClr val="00B050"/>
            </a:solidFill>
            <a:ln>
              <a:noFill/>
            </a:ln>
            <a:effectLst/>
          </c:spPr>
          <c:invertIfNegative val="0"/>
          <c:cat>
            <c:strRef>
              <c:f>Sheet7!$A$4:$A$9</c:f>
              <c:strCache>
                <c:ptCount val="5"/>
                <c:pt idx="0">
                  <c:v>Website</c:v>
                </c:pt>
                <c:pt idx="1">
                  <c:v>Procurement</c:v>
                </c:pt>
                <c:pt idx="2">
                  <c:v>Finance</c:v>
                </c:pt>
                <c:pt idx="3">
                  <c:v>Sales</c:v>
                </c:pt>
                <c:pt idx="4">
                  <c:v>HR</c:v>
                </c:pt>
              </c:strCache>
            </c:strRef>
          </c:cat>
          <c:val>
            <c:numRef>
              <c:f>Sheet7!$B$4:$B$9</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DC34-49C3-8D72-E77793F62477}"/>
            </c:ext>
          </c:extLst>
        </c:ser>
        <c:dLbls>
          <c:showLegendKey val="0"/>
          <c:showVal val="0"/>
          <c:showCatName val="0"/>
          <c:showSerName val="0"/>
          <c:showPercent val="0"/>
          <c:showBubbleSize val="0"/>
        </c:dLbls>
        <c:gapWidth val="182"/>
        <c:axId val="1874304048"/>
        <c:axId val="867455120"/>
      </c:barChart>
      <c:catAx>
        <c:axId val="187430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67455120"/>
        <c:crosses val="autoZero"/>
        <c:auto val="1"/>
        <c:lblAlgn val="ctr"/>
        <c:lblOffset val="100"/>
        <c:noMultiLvlLbl val="0"/>
      </c:catAx>
      <c:valAx>
        <c:axId val="867455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743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[blank-data-file.xlsx]Sheet7!PivotTable5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C00000"/>
          </a:solidFill>
          <a:ln>
            <a:noFill/>
          </a:ln>
          <a:effectLst/>
        </c:spPr>
        <c:marker>
          <c:symbol val="none"/>
        </c:marker>
      </c:pivotFmt>
    </c:pivotFmts>
    <c:plotArea>
      <c:layout/>
      <c:barChart>
        <c:barDir val="bar"/>
        <c:grouping val="clustered"/>
        <c:varyColors val="0"/>
        <c:ser>
          <c:idx val="0"/>
          <c:order val="0"/>
          <c:tx>
            <c:strRef>
              <c:f>Sheet7!$E$3</c:f>
              <c:strCache>
                <c:ptCount val="1"/>
                <c:pt idx="0">
                  <c:v>Total</c:v>
                </c:pt>
              </c:strCache>
            </c:strRef>
          </c:tx>
          <c:spPr>
            <a:solidFill>
              <a:srgbClr val="C00000"/>
            </a:solidFill>
            <a:ln>
              <a:noFill/>
            </a:ln>
            <a:effectLst/>
          </c:spPr>
          <c:invertIfNegative val="0"/>
          <c:cat>
            <c:strRef>
              <c:f>Sheet7!$D$4:$D$9</c:f>
              <c:strCache>
                <c:ptCount val="5"/>
                <c:pt idx="0">
                  <c:v>Procurement</c:v>
                </c:pt>
                <c:pt idx="1">
                  <c:v>Website</c:v>
                </c:pt>
                <c:pt idx="2">
                  <c:v>Finance</c:v>
                </c:pt>
                <c:pt idx="3">
                  <c:v>Sales</c:v>
                </c:pt>
                <c:pt idx="4">
                  <c:v>HR</c:v>
                </c:pt>
              </c:strCache>
            </c:strRef>
          </c:cat>
          <c:val>
            <c:numRef>
              <c:f>Sheet7!$E$4:$E$9</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79B6-4C13-BEC7-868B44CC0140}"/>
            </c:ext>
          </c:extLst>
        </c:ser>
        <c:dLbls>
          <c:showLegendKey val="0"/>
          <c:showVal val="0"/>
          <c:showCatName val="0"/>
          <c:showSerName val="0"/>
          <c:showPercent val="0"/>
          <c:showBubbleSize val="0"/>
        </c:dLbls>
        <c:gapWidth val="182"/>
        <c:axId val="1623130592"/>
        <c:axId val="1568961840"/>
      </c:barChart>
      <c:catAx>
        <c:axId val="162313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68961840"/>
        <c:crosses val="autoZero"/>
        <c:auto val="1"/>
        <c:lblAlgn val="ctr"/>
        <c:lblOffset val="100"/>
        <c:noMultiLvlLbl val="0"/>
      </c:catAx>
      <c:valAx>
        <c:axId val="1568961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313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Salary Spread by - $10k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by - $10k</a:t>
          </a:r>
        </a:p>
      </cx:txPr>
    </cx:title>
    <cx:plotArea>
      <cx:plotAreaRegion>
        <cx:series layoutId="clusteredColumn" uniqueId="{04054C57-BFAA-4C1D-8F98-12901297A794}">
          <cx:tx>
            <cx:txData>
              <cx:f>_xlchart.v1.4</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Salary Spread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Box Plot</a:t>
          </a:r>
        </a:p>
      </cx:txPr>
    </cx:title>
    <cx:plotArea>
      <cx:plotAreaRegion>
        <cx:series layoutId="boxWhisker" uniqueId="{3EDF6B09-1BA5-4706-B889-DF112487A9FD}">
          <cx:tx>
            <cx:txData>
              <cx:f>_xlchart.v1.2</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4</xdr:col>
      <xdr:colOff>381000</xdr:colOff>
      <xdr:row>2</xdr:row>
      <xdr:rowOff>38101</xdr:rowOff>
    </xdr:from>
    <xdr:to>
      <xdr:col>6</xdr:col>
      <xdr:colOff>323850</xdr:colOff>
      <xdr:row>7</xdr:row>
      <xdr:rowOff>9525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E431F00E-2229-4443-8B0A-A24BCBD9702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210050" y="419101"/>
              <a:ext cx="1828800" cy="92392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6</xdr:col>
      <xdr:colOff>1181100</xdr:colOff>
      <xdr:row>15</xdr:row>
      <xdr:rowOff>171450</xdr:rowOff>
    </xdr:to>
    <xdr:graphicFrame macro="">
      <xdr:nvGraphicFramePr>
        <xdr:cNvPr id="4" name="Chart 3">
          <a:extLst>
            <a:ext uri="{FF2B5EF4-FFF2-40B4-BE49-F238E27FC236}">
              <a16:creationId xmlns:a16="http://schemas.microsoft.com/office/drawing/2014/main" id="{83CF6DCB-40D1-4301-B402-B45320E81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0</xdr:rowOff>
    </xdr:from>
    <xdr:to>
      <xdr:col>13</xdr:col>
      <xdr:colOff>1176338</xdr:colOff>
      <xdr:row>16</xdr:row>
      <xdr:rowOff>0</xdr:rowOff>
    </xdr:to>
    <xdr:graphicFrame macro="">
      <xdr:nvGraphicFramePr>
        <xdr:cNvPr id="5" name="Chart 4">
          <a:extLst>
            <a:ext uri="{FF2B5EF4-FFF2-40B4-BE49-F238E27FC236}">
              <a16:creationId xmlns:a16="http://schemas.microsoft.com/office/drawing/2014/main" id="{68724708-3012-4AE9-B3D6-C1FD6B012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19050</xdr:rowOff>
    </xdr:from>
    <xdr:to>
      <xdr:col>7</xdr:col>
      <xdr:colOff>514351</xdr:colOff>
      <xdr:row>15</xdr:row>
      <xdr:rowOff>23812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4EBABA6-B742-4AE8-9EBC-7916C14B6A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 y="19050"/>
              <a:ext cx="4781550" cy="2862262"/>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66675</xdr:colOff>
      <xdr:row>0</xdr:row>
      <xdr:rowOff>38099</xdr:rowOff>
    </xdr:from>
    <xdr:to>
      <xdr:col>15</xdr:col>
      <xdr:colOff>371475</xdr:colOff>
      <xdr:row>20</xdr:row>
      <xdr:rowOff>161925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B7876C6-6D32-416A-9DA0-AF41E49021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43475" y="38099"/>
              <a:ext cx="4572000" cy="3933826"/>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195603</xdr:colOff>
      <xdr:row>1</xdr:row>
      <xdr:rowOff>6123</xdr:rowOff>
    </xdr:from>
    <xdr:to>
      <xdr:col>7</xdr:col>
      <xdr:colOff>416719</xdr:colOff>
      <xdr:row>11</xdr:row>
      <xdr:rowOff>42523</xdr:rowOff>
    </xdr:to>
    <xdr:graphicFrame macro="">
      <xdr:nvGraphicFramePr>
        <xdr:cNvPr id="3" name="Chart 2">
          <a:extLst>
            <a:ext uri="{FF2B5EF4-FFF2-40B4-BE49-F238E27FC236}">
              <a16:creationId xmlns:a16="http://schemas.microsoft.com/office/drawing/2014/main" id="{9CD6D107-B747-4057-AE8A-503F3458E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39970</xdr:colOff>
      <xdr:row>1</xdr:row>
      <xdr:rowOff>17010</xdr:rowOff>
    </xdr:from>
    <xdr:to>
      <xdr:col>15</xdr:col>
      <xdr:colOff>325720</xdr:colOff>
      <xdr:row>11</xdr:row>
      <xdr:rowOff>95932</xdr:rowOff>
    </xdr:to>
    <xdr:graphicFrame macro="">
      <xdr:nvGraphicFramePr>
        <xdr:cNvPr id="5" name="Chart 4">
          <a:extLst>
            <a:ext uri="{FF2B5EF4-FFF2-40B4-BE49-F238E27FC236}">
              <a16:creationId xmlns:a16="http://schemas.microsoft.com/office/drawing/2014/main" id="{918109B2-F7D4-4A2C-B4E2-AA92A7184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581025</xdr:colOff>
      <xdr:row>0</xdr:row>
      <xdr:rowOff>104775</xdr:rowOff>
    </xdr:from>
    <xdr:to>
      <xdr:col>11</xdr:col>
      <xdr:colOff>276225</xdr:colOff>
      <xdr:row>14</xdr:row>
      <xdr:rowOff>180975</xdr:rowOff>
    </xdr:to>
    <xdr:graphicFrame macro="">
      <xdr:nvGraphicFramePr>
        <xdr:cNvPr id="2" name="Chart 1">
          <a:extLst>
            <a:ext uri="{FF2B5EF4-FFF2-40B4-BE49-F238E27FC236}">
              <a16:creationId xmlns:a16="http://schemas.microsoft.com/office/drawing/2014/main" id="{9FFDFFF8-B620-4DE1-9266-8E1B72D27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47625</xdr:colOff>
      <xdr:row>1</xdr:row>
      <xdr:rowOff>171450</xdr:rowOff>
    </xdr:from>
    <xdr:to>
      <xdr:col>12</xdr:col>
      <xdr:colOff>352425</xdr:colOff>
      <xdr:row>16</xdr:row>
      <xdr:rowOff>57150</xdr:rowOff>
    </xdr:to>
    <xdr:graphicFrame macro="">
      <xdr:nvGraphicFramePr>
        <xdr:cNvPr id="2" name="Chart 1">
          <a:extLst>
            <a:ext uri="{FF2B5EF4-FFF2-40B4-BE49-F238E27FC236}">
              <a16:creationId xmlns:a16="http://schemas.microsoft.com/office/drawing/2014/main" id="{A5011362-9BB0-45CE-8CBD-ECA46E481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461962</xdr:colOff>
      <xdr:row>0</xdr:row>
      <xdr:rowOff>0</xdr:rowOff>
    </xdr:from>
    <xdr:to>
      <xdr:col>20</xdr:col>
      <xdr:colOff>157162</xdr:colOff>
      <xdr:row>14</xdr:row>
      <xdr:rowOff>76200</xdr:rowOff>
    </xdr:to>
    <xdr:graphicFrame macro="">
      <xdr:nvGraphicFramePr>
        <xdr:cNvPr id="3" name="Chart 2">
          <a:extLst>
            <a:ext uri="{FF2B5EF4-FFF2-40B4-BE49-F238E27FC236}">
              <a16:creationId xmlns:a16="http://schemas.microsoft.com/office/drawing/2014/main" id="{369D2477-93EF-4393-A152-337EE1B5C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old Chris" refreshedDate="45190.876222453706" backgroundQuery="1" createdVersion="6" refreshedVersion="6" minRefreshableVersion="3" recordCount="0" supportSubquery="1" supportAdvancedDrill="1" xr:uid="{2685AE99-5903-45C4-89D0-FC006EF4A17A}">
  <cacheSource type="external" connectionId="4"/>
  <cacheFields count="3">
    <cacheField name="[staff].[Rating].[Rating]" caption="Rating" numFmtId="0" hierarchy="3"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19"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old Chris" refreshedDate="45190.876229050926" backgroundQuery="1" createdVersion="6" refreshedVersion="6" minRefreshableVersion="3" recordCount="0" supportSubquery="1" supportAdvancedDrill="1" xr:uid="{4F3985CC-9D02-4D3D-9401-A23A03BBCCD9}">
  <cacheSource type="external" connectionId="4"/>
  <cacheFields count="6">
    <cacheField name="[staff].[Gender].[Gender]" caption="Gender" numFmtId="0" hierarchy="1"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19" level="32767"/>
    <cacheField name="[Measures].[Average of Tenure]" caption="Average of Tenure" numFmtId="0" hierarchy="21"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old Chris" refreshedDate="45190.881215277775" backgroundQuery="1" createdVersion="6" refreshedVersion="6" minRefreshableVersion="3" recordCount="0" supportSubquery="1" supportAdvancedDrill="1" xr:uid="{4552FCFF-F2D2-4E20-B123-27656B702027}">
  <cacheSource type="external" connectionId="4"/>
  <cacheFields count="3">
    <cacheField name="[staff].[Date Joined (Month)].[Date Joined (Month)]" caption="Date Joined (Month)" numFmtId="0" hierarchy="11" level="1">
      <sharedItems count="12">
        <s v="May"/>
        <s v="Jun"/>
        <s v="Jul"/>
        <s v="Aug"/>
        <s v="Sep"/>
        <s v="Oct"/>
        <s v="Nov"/>
        <s v="Dec"/>
        <s v="Jan"/>
        <s v="Feb"/>
        <s v="Mar"/>
        <s v="Apr"/>
      </sharedItems>
    </cacheField>
    <cacheField name="[staff].[Date Joined (Year)].[Date Joined (Year)]" caption="Date Joined (Year)" numFmtId="0" hierarchy="9" level="1">
      <sharedItems count="4">
        <s v="2020"/>
        <s v="2021"/>
        <s v="2022"/>
        <s v="2023"/>
      </sharedItems>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old Chris" refreshedDate="45190.918996180553" backgroundQuery="1" createdVersion="6" refreshedVersion="6" minRefreshableVersion="3" recordCount="0" supportSubquery="1" supportAdvancedDrill="1" xr:uid="{58209A0B-BC82-4B2E-8760-CFDCB14951E5}">
  <cacheSource type="external" connectionId="4"/>
  <cacheFields count="3">
    <cacheField name="[staff].[Department].[Department]" caption="Department" numFmtId="0" hierarchy="5" level="1">
      <sharedItems count="5">
        <s v="Finance"/>
        <s v="HR"/>
        <s v="Procurement"/>
        <s v="Sales"/>
        <s v="Website"/>
      </sharedItems>
    </cacheField>
    <cacheField name="[staff].[Country].[Country]" caption="Country" numFmtId="0" hierarchy="7" level="1">
      <sharedItems containsSemiMixedTypes="0" containsNonDate="0" containsString="0"/>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1"/>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old Chris" refreshedDate="45190.919054398146" backgroundQuery="1" createdVersion="6" refreshedVersion="6" minRefreshableVersion="3" recordCount="0" supportSubquery="1" supportAdvancedDrill="1" xr:uid="{A295497C-1CB7-4E26-A512-F04116F368C1}">
  <cacheSource type="external" connectionId="4"/>
  <cacheFields count="3">
    <cacheField name="[staff].[Department].[Department]" caption="Department" numFmtId="0" hierarchy="5" level="1">
      <sharedItems count="5">
        <s v="Finance"/>
        <s v="HR"/>
        <s v="Procurement"/>
        <s v="Sales"/>
        <s v="Website"/>
      </sharedItems>
    </cacheField>
    <cacheField name="[staff].[Country].[Country]" caption="Country" numFmtId="0" hierarchy="7" level="1">
      <sharedItems containsSemiMixedTypes="0" containsNonDate="0" containsString="0"/>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1"/>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nold Chris" refreshedDate="45190.876225231485" backgroundQuery="1" createdVersion="3" refreshedVersion="6" minRefreshableVersion="3" recordCount="0" supportSubquery="1" supportAdvancedDrill="1" xr:uid="{52FD6F6A-1217-498B-8CD2-44509E3742E8}">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9264348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D92C0B-503A-46D2-A43C-7A5E83A1E0CD}" name="PivotTable1" cacheId="17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C8"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Salary" fld="3" subtotal="average" baseField="0" baseItem="0" numFmtId="174"/>
    <dataField name="Average of Age" fld="2" subtotal="average" baseField="0" baseItem="0" numFmtId="173"/>
    <dataField name="Average of Tenure" fld="4" subtotal="average" baseField="0" baseItem="0" numFmtId="2"/>
  </dataFields>
  <formats count="3">
    <format dxfId="8">
      <pivotArea collapsedLevelsAreSubtotals="1" fieldPosition="0">
        <references count="2">
          <reference field="4294967294" count="1">
            <x v="1"/>
          </reference>
          <reference field="0" count="1" selected="0">
            <x v="0"/>
          </reference>
        </references>
      </pivotArea>
    </format>
    <format dxfId="7">
      <pivotArea collapsedLevelsAreSubtotals="1" fieldPosition="0">
        <references count="2">
          <reference field="4294967294" count="1">
            <x v="1"/>
          </reference>
          <reference field="0" count="1" selected="0">
            <x v="1"/>
          </reference>
        </references>
      </pivotArea>
    </format>
    <format dxfId="6">
      <pivotArea field="0" grandCol="1" collapsedLevelsAreSubtotals="1" axis="axisCol" fieldPosition="0">
        <references count="1">
          <reference field="4294967294" count="1">
            <x v="1"/>
          </reference>
        </references>
      </pivotArea>
    </format>
  </format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NZ]"/>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1AD210-35FE-4756-ADAB-D67FC031C0F4}" name="PivotTable3" cacheId="2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3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1">
    <chartFormat chart="1"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A0D10D-0555-4513-83CE-C6A415E922D5}" name="PivotTable2" cacheId="1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7"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4"/>
  </dataFields>
  <formats count="2">
    <format dxfId="4">
      <pivotArea outline="0" collapsedLevelsAreSubtotals="1" fieldPosition="0">
        <references count="1">
          <reference field="4294967294" count="1" selected="0">
            <x v="1"/>
          </reference>
        </references>
      </pivotArea>
    </format>
    <format dxfId="3">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B831C6-81A3-4A69-8FAE-189D702E5BF2}" name="PivotTable5" cacheId="2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3:E9"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6">
    <i>
      <x v="2"/>
    </i>
    <i>
      <x v="4"/>
    </i>
    <i>
      <x/>
    </i>
    <i>
      <x v="3"/>
    </i>
    <i>
      <x v="1"/>
    </i>
    <i t="grand">
      <x/>
    </i>
  </rowItems>
  <colItems count="1">
    <i/>
  </colItems>
  <pageFields count="1">
    <pageField fld="1" hier="7" name="[staff].[Country].&amp;[IND]" cap="IND"/>
  </pageFields>
  <dataFields count="1">
    <dataField name="Count of Name" fld="2" subtotal="count"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EAB28E-4F7F-4F63-8E01-2D8DA12ADCAD}" name="PivotTable4" cacheId="2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6">
    <i>
      <x v="4"/>
    </i>
    <i>
      <x v="2"/>
    </i>
    <i>
      <x/>
    </i>
    <i>
      <x v="3"/>
    </i>
    <i>
      <x v="1"/>
    </i>
    <i t="grand">
      <x/>
    </i>
  </rowItems>
  <colItems count="1">
    <i/>
  </colItems>
  <pageFields count="1">
    <pageField fld="1" hier="7" name="[staff].[Country].&amp;[NZ]" cap="NZ"/>
  </pageFields>
  <dataFields count="1">
    <dataField name="Count of Name" fld="2"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E8DC4CE-E2C8-4FFB-89CF-E59CDA6D2E10}" autoFormatId="16" applyNumberFormats="0" applyBorderFormats="0" applyFontFormats="0" applyPatternFormats="0" applyAlignmentFormats="0" applyWidthHeightFormats="0">
  <queryTableRefresh nextId="13" unboundColumnsRight="3">
    <queryTableFields count="11">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10" dataBound="0" tableColumnId="11"/>
      <queryTableField id="11" dataBound="0" tableColumnId="12"/>
      <queryTableField id="12"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C4B205F-D637-4229-8C21-27107D110A16}" sourceName="[staff].[Country]">
  <pivotTables>
    <pivotTable tabId="4" name="PivotTable1"/>
  </pivotTables>
  <data>
    <olap pivotCacheId="1926434819">
      <levels count="2">
        <level uniqueName="[staff].[Country].[(All)]" sourceCaption="(All)" count="0"/>
        <level uniqueName="[staff].[Country].[Country]" sourceCaption="Country" count="2">
          <ranges>
            <range startItem="0">
              <i n="[staff].[Country].&amp;[IND]" c="IND"/>
              <i n="[staff].[Country].&amp;[NZ]" c="NZ"/>
            </range>
          </ranges>
        </level>
      </levels>
      <selections count="1">
        <selection n="[staff].[Country].&amp;[NZ]"/>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C4B6F2D-5528-4D67-91F4-E2B308FDFDFF}"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0AFA9-31D7-4883-8259-E3CD44E6C207}" name="nz_staff" displayName="nz_staff" ref="C5:I106" totalsRowCount="1">
  <autoFilter ref="C5:I105" xr:uid="{ED50DD90-BE70-4197-8B33-9D0DF27C94DA}"/>
  <tableColumns count="7">
    <tableColumn id="1" xr3:uid="{F5C38763-60B0-4662-B374-26EDA73D7422}" name="Name" totalsRowLabel="Total"/>
    <tableColumn id="2" xr3:uid="{68D0703F-62E5-48C4-9B3F-626C3E3D8BFE}" name="Gender"/>
    <tableColumn id="3" xr3:uid="{530A7887-3FCD-490A-BC38-3D636A336213}" name="Department"/>
    <tableColumn id="4" xr3:uid="{897DE71E-A18B-4A17-B813-211FCA3AC2E3}" name="Age" totalsRowFunction="average"/>
    <tableColumn id="5" xr3:uid="{5C25123A-4BAA-4298-980C-3EFD897A178E}" name="Date Joined"/>
    <tableColumn id="6" xr3:uid="{E2155412-71FB-4FC0-B07E-0451641B7FF8}" name="Salary" totalsRowFunction="average" dataDxfId="14" totalsRowDxfId="13"/>
    <tableColumn id="7" xr3:uid="{72D14E64-9729-4AB7-9E37-56C3A98B6CC9}"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E34756-0E08-45FE-A9C3-0F62F004D983}" name="india_staff" displayName="india_staff" ref="B2:H114" totalsRowShown="0">
  <autoFilter ref="B2:H114" xr:uid="{6A65F6F8-5768-4343-AD36-C0F0D8A9E409}"/>
  <tableColumns count="7">
    <tableColumn id="1" xr3:uid="{4389DAB5-AB0C-44C7-B0DC-226277B4A157}" name="Name"/>
    <tableColumn id="2" xr3:uid="{F746D286-911F-4885-A2FA-55A6B785F075}" name="Gender"/>
    <tableColumn id="3" xr3:uid="{5AAE9B30-27BD-45AD-8D1C-0FD88D705948}" name="Age"/>
    <tableColumn id="4" xr3:uid="{6B3B9BBE-CB11-4C09-9074-9BE5E3EBE88E}" name="Rating"/>
    <tableColumn id="5" xr3:uid="{99B0F6BA-668E-4ACD-999B-80C31B1BB91E}" name="Date Joined" dataDxfId="15"/>
    <tableColumn id="6" xr3:uid="{4845D235-60C2-4E8D-9C31-EC5B2F83FB51}" name="Department"/>
    <tableColumn id="7" xr3:uid="{6DC174E2-2986-4E51-A761-58DA0D25A640}" name="Salary"/>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9CB52B-9A63-4FBA-AF3B-5870176B6624}" name="staff" displayName="staff" ref="A1:K184" tableType="queryTable" totalsRowShown="0">
  <autoFilter ref="A1:K184" xr:uid="{988C8377-EEFD-427E-BFD2-AED9743ED414}"/>
  <sortState ref="A2:J184">
    <sortCondition descending="1" ref="G1:G184"/>
  </sortState>
  <tableColumns count="11">
    <tableColumn id="1" xr3:uid="{A1E61CA6-2DA3-4287-B000-78652AED2067}" uniqueName="1" name="Name" queryTableFieldId="1" dataDxfId="12"/>
    <tableColumn id="2" xr3:uid="{3B3802BA-85E4-4571-9EA0-2CB693539133}" uniqueName="2" name="Gender" queryTableFieldId="2" dataDxfId="11"/>
    <tableColumn id="3" xr3:uid="{8017DA2E-EB6F-4A1F-BA42-46998A6BA866}" uniqueName="3" name="Age" queryTableFieldId="3"/>
    <tableColumn id="4" xr3:uid="{A39AA1ED-C2A6-4D11-83FE-ABAF2DD243EB}" uniqueName="4" name="Rating" queryTableFieldId="4"/>
    <tableColumn id="5" xr3:uid="{388DF002-28C2-4BCE-9647-74FF0E2A481D}" uniqueName="5" name="Date Joined" queryTableFieldId="5" dataDxfId="10"/>
    <tableColumn id="6" xr3:uid="{16A4B550-3178-48B8-8130-96B25841652E}" uniqueName="6" name="Department" queryTableFieldId="6" dataDxfId="9"/>
    <tableColumn id="7" xr3:uid="{D3292B32-4825-4328-A4B3-E83AC9A20D8B}" uniqueName="7" name="Salary" queryTableFieldId="7"/>
    <tableColumn id="8" xr3:uid="{9D8EFD1B-C911-47EF-BF8B-E02A8E38997B}" uniqueName="8" name="Country" queryTableFieldId="8"/>
    <tableColumn id="11" xr3:uid="{346E138D-D2CD-46BD-8CBC-6B691D9AB2DB}" uniqueName="11" name="Tenure" queryTableFieldId="10" dataDxfId="5">
      <calculatedColumnFormula>(TODAY()-staff[[#This Row],[Date Joined]])/365</calculatedColumnFormula>
    </tableColumn>
    <tableColumn id="12" xr3:uid="{0738A207-D357-42C3-A315-650510E0AE4E}" uniqueName="12" name="Bonus" queryTableFieldId="11" dataDxfId="2" dataCellStyle="Comma">
      <calculatedColumnFormula>ROUNDUP(IF(staff[[#This Row],[Tenure]]&gt;2,3%,2%)*staff[[#This Row],[Salary]],0)</calculatedColumnFormula>
    </tableColumn>
    <tableColumn id="13" xr3:uid="{53418E22-0B83-4257-8F77-4978E744F7B4}" uniqueName="13" name="Rating as Number" queryTableFieldId="12" dataDxfId="1">
      <calculatedColumnFormula>_xll.XLOOKUP(staff[[#This Row],[Rating]],'Hiring Rates'!$A$1:$A$5,'Hiring Rates'!$B$1:$B$5)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workbookViewId="0">
      <selection activeCell="D8" sqref="D8"/>
    </sheetView>
  </sheetViews>
  <sheetFormatPr defaultRowHeight="15" x14ac:dyDescent="0.25"/>
  <cols>
    <col min="1" max="1" width="1.7109375" customWidth="1"/>
    <col min="2" max="2" width="3.7109375" customWidth="1"/>
    <col min="3" max="3" width="20.5703125" customWidth="1"/>
    <col min="4" max="4" width="10" bestFit="1" customWidth="1"/>
    <col min="5" max="5" width="14" bestFit="1" customWidth="1"/>
    <col min="6" max="6" width="6.7109375" bestFit="1" customWidth="1"/>
    <col min="7" max="7" width="13.7109375" bestFit="1" customWidth="1"/>
    <col min="8" max="8" width="13.4257812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conditionalFormatting sqref="C1:C1048576">
    <cfRule type="duplicateValues" dxfId="0"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4"/>
  <sheetViews>
    <sheetView workbookViewId="0">
      <selection activeCell="B11" sqref="B11"/>
    </sheetView>
  </sheetViews>
  <sheetFormatPr defaultRowHeight="15" x14ac:dyDescent="0.25"/>
  <cols>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C13" t="s">
        <v>8</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D646-8BD0-4315-8CFE-3A33207B3515}">
  <dimension ref="A3:C8"/>
  <sheetViews>
    <sheetView workbookViewId="0">
      <selection activeCell="G12" sqref="G12"/>
    </sheetView>
  </sheetViews>
  <sheetFormatPr defaultRowHeight="15" x14ac:dyDescent="0.25"/>
  <cols>
    <col min="1" max="1" width="17.5703125" bestFit="1" customWidth="1"/>
    <col min="2" max="2" width="16.28515625" bestFit="1" customWidth="1"/>
    <col min="3" max="3" width="11.28515625" bestFit="1" customWidth="1"/>
    <col min="4" max="4" width="12.28515625" bestFit="1" customWidth="1"/>
    <col min="5" max="5" width="12" bestFit="1" customWidth="1"/>
    <col min="6" max="6" width="16.28515625" bestFit="1" customWidth="1"/>
    <col min="7" max="7" width="19.42578125" bestFit="1" customWidth="1"/>
    <col min="8" max="8" width="19.5703125" bestFit="1" customWidth="1"/>
  </cols>
  <sheetData>
    <row r="3" spans="1:3" x14ac:dyDescent="0.25">
      <c r="B3" s="15" t="s">
        <v>219</v>
      </c>
    </row>
    <row r="4" spans="1:3" x14ac:dyDescent="0.25">
      <c r="A4" s="15" t="s">
        <v>223</v>
      </c>
      <c r="B4" t="s">
        <v>8</v>
      </c>
      <c r="C4" t="s">
        <v>15</v>
      </c>
    </row>
    <row r="5" spans="1:3" x14ac:dyDescent="0.25">
      <c r="A5" s="16" t="s">
        <v>221</v>
      </c>
      <c r="B5" s="6">
        <v>43</v>
      </c>
      <c r="C5" s="6">
        <v>44</v>
      </c>
    </row>
    <row r="6" spans="1:3" x14ac:dyDescent="0.25">
      <c r="A6" s="16" t="s">
        <v>224</v>
      </c>
      <c r="B6" s="5">
        <v>78284.186046511633</v>
      </c>
      <c r="C6" s="5">
        <v>74486.363636363632</v>
      </c>
    </row>
    <row r="7" spans="1:3" x14ac:dyDescent="0.25">
      <c r="A7" s="16" t="s">
        <v>222</v>
      </c>
      <c r="B7" s="17">
        <v>31.395348837209301</v>
      </c>
      <c r="C7" s="17">
        <v>29.34090909090909</v>
      </c>
    </row>
    <row r="8" spans="1:3" x14ac:dyDescent="0.25">
      <c r="A8" s="16" t="s">
        <v>225</v>
      </c>
      <c r="B8" s="8">
        <v>1.993055113093342</v>
      </c>
      <c r="C8" s="8">
        <v>1.990099626400996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B4925-233D-4130-9D5E-FF4836DFCEFE}">
  <sheetPr>
    <tabColor rgb="FFFF0000"/>
  </sheetPr>
  <dimension ref="A1:P184"/>
  <sheetViews>
    <sheetView workbookViewId="0">
      <selection activeCell="K2" sqref="K2"/>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3.7109375" bestFit="1" customWidth="1"/>
    <col min="6" max="6" width="14" bestFit="1" customWidth="1"/>
    <col min="7" max="7" width="8.5703125" bestFit="1" customWidth="1"/>
    <col min="8" max="8" width="10.28515625" bestFit="1" customWidth="1"/>
    <col min="9" max="9" width="10.7109375" style="8" bestFit="1" customWidth="1"/>
    <col min="10" max="10" width="10.7109375" style="19" customWidth="1"/>
    <col min="11" max="11" width="19" style="18" bestFit="1" customWidth="1"/>
    <col min="12" max="13" width="10.7109375" style="8" customWidth="1"/>
    <col min="14" max="14" width="19" bestFit="1" customWidth="1"/>
    <col min="15" max="15" width="14" bestFit="1" customWidth="1"/>
    <col min="16" max="16" width="10.5703125" bestFit="1" customWidth="1"/>
    <col min="17" max="17" width="10.28515625" bestFit="1" customWidth="1"/>
  </cols>
  <sheetData>
    <row r="1" spans="1:16" ht="15.75" thickBot="1" x14ac:dyDescent="0.3">
      <c r="A1" t="s">
        <v>0</v>
      </c>
      <c r="B1" t="s">
        <v>1</v>
      </c>
      <c r="C1" t="s">
        <v>3</v>
      </c>
      <c r="D1" t="s">
        <v>6</v>
      </c>
      <c r="E1" s="10" t="s">
        <v>4</v>
      </c>
      <c r="F1" t="s">
        <v>2</v>
      </c>
      <c r="G1" t="s">
        <v>5</v>
      </c>
      <c r="H1" t="s">
        <v>204</v>
      </c>
      <c r="I1" s="8" t="s">
        <v>213</v>
      </c>
      <c r="J1" s="19" t="s">
        <v>226</v>
      </c>
      <c r="K1" s="18" t="s">
        <v>228</v>
      </c>
    </row>
    <row r="2" spans="1:16" ht="16.5" thickTop="1" thickBot="1" x14ac:dyDescent="0.3">
      <c r="A2" s="6" t="s">
        <v>152</v>
      </c>
      <c r="B2" s="6" t="s">
        <v>8</v>
      </c>
      <c r="C2">
        <v>27</v>
      </c>
      <c r="D2" t="s">
        <v>16</v>
      </c>
      <c r="E2" s="10">
        <v>44061</v>
      </c>
      <c r="F2" s="6" t="s">
        <v>56</v>
      </c>
      <c r="G2">
        <v>119110</v>
      </c>
      <c r="H2" t="s">
        <v>205</v>
      </c>
      <c r="I2" s="8">
        <f ca="1">(TODAY()-staff[[#This Row],[Date Joined]])/365</f>
        <v>3.0931506849315067</v>
      </c>
      <c r="J2" s="19">
        <f ca="1">ROUNDUP(IF(staff[[#This Row],[Tenure]]&gt;2,3%,2%)*staff[[#This Row],[Salary]],0)</f>
        <v>3574</v>
      </c>
      <c r="K2" s="18" t="e">
        <f>_xll.XLOOKUP(staff[[#This Row],[Rating]],'Hiring Rates'!$A$1:$A$5,'Hiring Rates'!$B$1:$B$5)</f>
        <v>#N/A</v>
      </c>
      <c r="M2" s="14">
        <v>1</v>
      </c>
      <c r="N2" t="s">
        <v>208</v>
      </c>
      <c r="O2">
        <f>COUNTA(staff[Name])</f>
        <v>183</v>
      </c>
    </row>
    <row r="3" spans="1:16" ht="15.75" thickTop="1" x14ac:dyDescent="0.25">
      <c r="A3" s="6" t="s">
        <v>60</v>
      </c>
      <c r="B3" s="6" t="s">
        <v>8</v>
      </c>
      <c r="C3">
        <v>27</v>
      </c>
      <c r="D3" t="s">
        <v>16</v>
      </c>
      <c r="E3" s="10">
        <v>44122</v>
      </c>
      <c r="F3" s="6" t="s">
        <v>56</v>
      </c>
      <c r="G3">
        <v>119110</v>
      </c>
      <c r="H3" t="s">
        <v>207</v>
      </c>
      <c r="I3" s="8">
        <f ca="1">(TODAY()-staff[[#This Row],[Date Joined]])/365</f>
        <v>2.9260273972602739</v>
      </c>
      <c r="J3" s="19">
        <f ca="1">ROUNDUP(IF(staff[[#This Row],[Tenure]]&gt;2,3%,2%)*staff[[#This Row],[Salary]],0)</f>
        <v>3574</v>
      </c>
      <c r="K3" s="18" t="e">
        <f>_xll.XLOOKUP(staff[[#This Row],[Rating]],'Hiring Rates'!$A$1:$A$5,'Hiring Rates'!$B$1:$B$5)</f>
        <v>#N/A</v>
      </c>
      <c r="N3" t="s">
        <v>209</v>
      </c>
      <c r="O3" s="9">
        <f>AVERAGE(staff[Salary])</f>
        <v>77173.715846994543</v>
      </c>
      <c r="P3" s="9">
        <f>MEDIAN(staff[Salary])</f>
        <v>75000</v>
      </c>
    </row>
    <row r="4" spans="1:16" x14ac:dyDescent="0.25">
      <c r="A4" s="6" t="s">
        <v>199</v>
      </c>
      <c r="B4" s="6" t="s">
        <v>15</v>
      </c>
      <c r="C4">
        <v>36</v>
      </c>
      <c r="D4" t="s">
        <v>16</v>
      </c>
      <c r="E4" s="10">
        <v>43958</v>
      </c>
      <c r="F4" s="6" t="s">
        <v>12</v>
      </c>
      <c r="G4">
        <v>118840</v>
      </c>
      <c r="H4" t="s">
        <v>205</v>
      </c>
      <c r="I4" s="8">
        <f ca="1">(TODAY()-staff[[#This Row],[Date Joined]])/365</f>
        <v>3.3753424657534246</v>
      </c>
      <c r="J4" s="19">
        <f ca="1">ROUNDUP(IF(staff[[#This Row],[Tenure]]&gt;2,3%,2%)*staff[[#This Row],[Salary]],0)</f>
        <v>3566</v>
      </c>
      <c r="K4" s="18" t="e">
        <f>_xll.XLOOKUP(staff[[#This Row],[Rating]],'Hiring Rates'!$A$1:$A$5,'Hiring Rates'!$B$1:$B$5)</f>
        <v>#N/A</v>
      </c>
      <c r="N4" t="s">
        <v>210</v>
      </c>
      <c r="O4" s="9">
        <f>AVERAGE(staff[Age])</f>
        <v>30.42622950819672</v>
      </c>
      <c r="P4">
        <f>MEDIAN(staff[Age])</f>
        <v>30</v>
      </c>
    </row>
    <row r="5" spans="1:16" x14ac:dyDescent="0.25">
      <c r="A5" s="6" t="s">
        <v>106</v>
      </c>
      <c r="B5" s="6" t="s">
        <v>15</v>
      </c>
      <c r="C5">
        <v>36</v>
      </c>
      <c r="D5" t="s">
        <v>16</v>
      </c>
      <c r="E5" s="10">
        <v>44019</v>
      </c>
      <c r="F5" s="6" t="s">
        <v>12</v>
      </c>
      <c r="G5">
        <v>118840</v>
      </c>
      <c r="H5" t="s">
        <v>207</v>
      </c>
      <c r="I5" s="8">
        <f ca="1">(TODAY()-staff[[#This Row],[Date Joined]])/365</f>
        <v>3.2082191780821918</v>
      </c>
      <c r="J5" s="19">
        <f ca="1">ROUNDUP(IF(staff[[#This Row],[Tenure]]&gt;2,3%,2%)*staff[[#This Row],[Salary]],0)</f>
        <v>3566</v>
      </c>
      <c r="K5" s="18" t="e">
        <f>_xll.XLOOKUP(staff[[#This Row],[Rating]],'Hiring Rates'!$A$1:$A$5,'Hiring Rates'!$B$1:$B$5)</f>
        <v>#N/A</v>
      </c>
      <c r="N5" t="s">
        <v>211</v>
      </c>
      <c r="O5">
        <f ca="1">AVERAGE(staff[Tenure])</f>
        <v>2.0738827756568616</v>
      </c>
    </row>
    <row r="6" spans="1:16" x14ac:dyDescent="0.25">
      <c r="A6" s="6" t="s">
        <v>148</v>
      </c>
      <c r="B6" s="6" t="s">
        <v>8</v>
      </c>
      <c r="C6">
        <v>37</v>
      </c>
      <c r="D6" t="s">
        <v>16</v>
      </c>
      <c r="E6" s="10">
        <v>44389</v>
      </c>
      <c r="F6" s="6" t="s">
        <v>56</v>
      </c>
      <c r="G6">
        <v>118100</v>
      </c>
      <c r="H6" t="s">
        <v>205</v>
      </c>
      <c r="I6" s="8">
        <f ca="1">(TODAY()-staff[[#This Row],[Date Joined]])/365</f>
        <v>2.1945205479452055</v>
      </c>
      <c r="J6" s="19">
        <f ca="1">ROUNDUP(IF(staff[[#This Row],[Tenure]]&gt;2,3%,2%)*staff[[#This Row],[Salary]],0)</f>
        <v>3543</v>
      </c>
      <c r="K6" s="18" t="e">
        <f>_xll.XLOOKUP(staff[[#This Row],[Rating]],'Hiring Rates'!$A$1:$A$5,'Hiring Rates'!$B$1:$B$5)</f>
        <v>#N/A</v>
      </c>
      <c r="N6" t="s">
        <v>212</v>
      </c>
      <c r="O6" s="11">
        <v>0.46994535519125685</v>
      </c>
    </row>
    <row r="7" spans="1:16" x14ac:dyDescent="0.25">
      <c r="A7" s="6" t="s">
        <v>55</v>
      </c>
      <c r="B7" s="6" t="s">
        <v>8</v>
      </c>
      <c r="C7">
        <v>37</v>
      </c>
      <c r="D7" t="s">
        <v>16</v>
      </c>
      <c r="E7" s="10">
        <v>44451</v>
      </c>
      <c r="F7" s="6" t="s">
        <v>56</v>
      </c>
      <c r="G7">
        <v>118100</v>
      </c>
      <c r="H7" t="s">
        <v>207</v>
      </c>
      <c r="I7" s="8">
        <f ca="1">(TODAY()-staff[[#This Row],[Date Joined]])/365</f>
        <v>2.0246575342465754</v>
      </c>
      <c r="J7" s="19">
        <f ca="1">ROUNDUP(IF(staff[[#This Row],[Tenure]]&gt;2,3%,2%)*staff[[#This Row],[Salary]],0)</f>
        <v>3543</v>
      </c>
      <c r="K7" s="18" t="e">
        <f>_xll.XLOOKUP(staff[[#This Row],[Rating]],'Hiring Rates'!$A$1:$A$5,'Hiring Rates'!$B$1:$B$5)</f>
        <v>#N/A</v>
      </c>
      <c r="N7" t="s">
        <v>214</v>
      </c>
      <c r="O7">
        <f>COUNTIFS(staff[Gender], "Female")</f>
        <v>86</v>
      </c>
    </row>
    <row r="8" spans="1:16" x14ac:dyDescent="0.25">
      <c r="A8" s="6" t="s">
        <v>134</v>
      </c>
      <c r="B8" s="6" t="s">
        <v>15</v>
      </c>
      <c r="C8">
        <v>33</v>
      </c>
      <c r="D8" t="s">
        <v>16</v>
      </c>
      <c r="E8" s="10">
        <v>44103</v>
      </c>
      <c r="F8" s="6" t="s">
        <v>9</v>
      </c>
      <c r="G8">
        <v>115920</v>
      </c>
      <c r="H8" t="s">
        <v>205</v>
      </c>
      <c r="I8" s="8">
        <f ca="1">(TODAY()-staff[[#This Row],[Date Joined]])/365</f>
        <v>2.978082191780822</v>
      </c>
      <c r="J8" s="19">
        <f ca="1">ROUNDUP(IF(staff[[#This Row],[Tenure]]&gt;2,3%,2%)*staff[[#This Row],[Salary]],0)</f>
        <v>3478</v>
      </c>
      <c r="K8" s="18" t="e">
        <f>_xll.XLOOKUP(staff[[#This Row],[Rating]],'Hiring Rates'!$A$1:$A$5,'Hiring Rates'!$B$1:$B$5)</f>
        <v>#N/A</v>
      </c>
      <c r="N8" t="s">
        <v>215</v>
      </c>
      <c r="O8">
        <f>O7/O2</f>
        <v>0.46994535519125685</v>
      </c>
    </row>
    <row r="9" spans="1:16" x14ac:dyDescent="0.25">
      <c r="A9" s="6" t="s">
        <v>40</v>
      </c>
      <c r="B9" s="6" t="s">
        <v>15</v>
      </c>
      <c r="C9">
        <v>33</v>
      </c>
      <c r="D9" t="s">
        <v>16</v>
      </c>
      <c r="E9" s="10">
        <v>44164</v>
      </c>
      <c r="F9" s="6" t="s">
        <v>9</v>
      </c>
      <c r="G9">
        <v>115920</v>
      </c>
      <c r="H9" t="s">
        <v>207</v>
      </c>
      <c r="I9" s="8">
        <f ca="1">(TODAY()-staff[[#This Row],[Date Joined]])/365</f>
        <v>2.8109589041095893</v>
      </c>
      <c r="J9" s="19">
        <f ca="1">ROUNDUP(IF(staff[[#This Row],[Tenure]]&gt;2,3%,2%)*staff[[#This Row],[Salary]],0)</f>
        <v>3478</v>
      </c>
      <c r="K9" s="18" t="e">
        <f>_xll.XLOOKUP(staff[[#This Row],[Rating]],'Hiring Rates'!$A$1:$A$5,'Hiring Rates'!$B$1:$B$5)</f>
        <v>#N/A</v>
      </c>
      <c r="N9" t="s">
        <v>216</v>
      </c>
      <c r="O9">
        <f>O10/O2</f>
        <v>0.34426229508196721</v>
      </c>
    </row>
    <row r="10" spans="1:16" x14ac:dyDescent="0.25">
      <c r="A10" s="6" t="s">
        <v>142</v>
      </c>
      <c r="B10" s="6" t="s">
        <v>206</v>
      </c>
      <c r="C10">
        <v>37</v>
      </c>
      <c r="D10" t="s">
        <v>24</v>
      </c>
      <c r="E10" s="10">
        <v>44085</v>
      </c>
      <c r="F10" s="6" t="s">
        <v>21</v>
      </c>
      <c r="G10">
        <v>115440</v>
      </c>
      <c r="H10" t="s">
        <v>205</v>
      </c>
      <c r="I10" s="8">
        <f ca="1">(TODAY()-staff[[#This Row],[Date Joined]])/365</f>
        <v>3.0273972602739727</v>
      </c>
      <c r="J10" s="19">
        <f ca="1">ROUNDUP(IF(staff[[#This Row],[Tenure]]&gt;2,3%,2%)*staff[[#This Row],[Salary]],0)</f>
        <v>3464</v>
      </c>
      <c r="K10" s="18" t="e">
        <f>_xll.XLOOKUP(staff[[#This Row],[Rating]],'Hiring Rates'!$A$1:$A$5,'Hiring Rates'!$B$1:$B$5)</f>
        <v>#N/A</v>
      </c>
      <c r="N10" t="s">
        <v>217</v>
      </c>
      <c r="O10">
        <f>COUNTIFS(staff[Salary],"&gt;90000")</f>
        <v>63</v>
      </c>
    </row>
    <row r="11" spans="1:16" x14ac:dyDescent="0.25">
      <c r="A11" s="6" t="s">
        <v>49</v>
      </c>
      <c r="B11" s="6" t="s">
        <v>206</v>
      </c>
      <c r="C11">
        <v>37</v>
      </c>
      <c r="D11" t="s">
        <v>24</v>
      </c>
      <c r="E11" s="10">
        <v>44146</v>
      </c>
      <c r="F11" s="6" t="s">
        <v>21</v>
      </c>
      <c r="G11">
        <v>115440</v>
      </c>
      <c r="H11" t="s">
        <v>207</v>
      </c>
      <c r="I11" s="8">
        <f ca="1">(TODAY()-staff[[#This Row],[Date Joined]])/365</f>
        <v>2.8602739726027395</v>
      </c>
      <c r="J11" s="19">
        <f ca="1">ROUNDUP(IF(staff[[#This Row],[Tenure]]&gt;2,3%,2%)*staff[[#This Row],[Salary]],0)</f>
        <v>3464</v>
      </c>
      <c r="K11" s="18" t="e">
        <f>_xll.XLOOKUP(staff[[#This Row],[Rating]],'Hiring Rates'!$A$1:$A$5,'Hiring Rates'!$B$1:$B$5)</f>
        <v>#N/A</v>
      </c>
      <c r="N11" t="s">
        <v>218</v>
      </c>
      <c r="O11" s="12">
        <v>0.34426229508196698</v>
      </c>
    </row>
    <row r="12" spans="1:16" x14ac:dyDescent="0.25">
      <c r="A12" s="6" t="s">
        <v>175</v>
      </c>
      <c r="B12" s="6" t="s">
        <v>8</v>
      </c>
      <c r="C12">
        <v>36</v>
      </c>
      <c r="D12" t="s">
        <v>16</v>
      </c>
      <c r="E12" s="10">
        <v>44023</v>
      </c>
      <c r="F12" s="6" t="s">
        <v>9</v>
      </c>
      <c r="G12">
        <v>114890</v>
      </c>
      <c r="H12" t="s">
        <v>205</v>
      </c>
      <c r="I12" s="8">
        <f ca="1">(TODAY()-staff[[#This Row],[Date Joined]])/365</f>
        <v>3.1972602739726028</v>
      </c>
      <c r="J12" s="19">
        <f ca="1">ROUNDUP(IF(staff[[#This Row],[Tenure]]&gt;2,3%,2%)*staff[[#This Row],[Salary]],0)</f>
        <v>3447</v>
      </c>
      <c r="K12" s="18" t="e">
        <f>_xll.XLOOKUP(staff[[#This Row],[Rating]],'Hiring Rates'!$A$1:$A$5,'Hiring Rates'!$B$1:$B$5)</f>
        <v>#N/A</v>
      </c>
    </row>
    <row r="13" spans="1:16" x14ac:dyDescent="0.25">
      <c r="A13" s="6" t="s">
        <v>83</v>
      </c>
      <c r="B13" s="6" t="s">
        <v>8</v>
      </c>
      <c r="C13">
        <v>36</v>
      </c>
      <c r="D13" t="s">
        <v>16</v>
      </c>
      <c r="E13" s="10">
        <v>44085</v>
      </c>
      <c r="F13" s="6" t="s">
        <v>9</v>
      </c>
      <c r="G13">
        <v>114890</v>
      </c>
      <c r="H13" t="s">
        <v>207</v>
      </c>
      <c r="I13" s="8">
        <f ca="1">(TODAY()-staff[[#This Row],[Date Joined]])/365</f>
        <v>3.0273972602739727</v>
      </c>
      <c r="J13" s="19">
        <f ca="1">ROUNDUP(IF(staff[[#This Row],[Tenure]]&gt;2,3%,2%)*staff[[#This Row],[Salary]],0)</f>
        <v>3447</v>
      </c>
      <c r="K13" s="18" t="e">
        <f>_xll.XLOOKUP(staff[[#This Row],[Rating]],'Hiring Rates'!$A$1:$A$5,'Hiring Rates'!$B$1:$B$5)</f>
        <v>#N/A</v>
      </c>
      <c r="M13" s="13">
        <v>2</v>
      </c>
      <c r="N13" s="7" t="s">
        <v>156</v>
      </c>
    </row>
    <row r="14" spans="1:16" x14ac:dyDescent="0.25">
      <c r="A14" s="6" t="s">
        <v>114</v>
      </c>
      <c r="B14" s="6" t="s">
        <v>8</v>
      </c>
      <c r="C14">
        <v>44</v>
      </c>
      <c r="D14" t="s">
        <v>16</v>
      </c>
      <c r="E14" s="10">
        <v>44985</v>
      </c>
      <c r="F14" s="6" t="s">
        <v>12</v>
      </c>
      <c r="G14">
        <v>114870</v>
      </c>
      <c r="H14" t="s">
        <v>205</v>
      </c>
      <c r="I14" s="8">
        <f ca="1">(TODAY()-staff[[#This Row],[Date Joined]])/365</f>
        <v>0.56164383561643838</v>
      </c>
      <c r="J14" s="19">
        <f ca="1">ROUNDUP(IF(staff[[#This Row],[Tenure]]&gt;2,3%,2%)*staff[[#This Row],[Salary]],0)</f>
        <v>2298</v>
      </c>
      <c r="K14" s="18" t="e">
        <f>_xll.XLOOKUP(staff[[#This Row],[Rating]],'Hiring Rates'!$A$1:$A$5,'Hiring Rates'!$B$1:$B$5)</f>
        <v>#N/A</v>
      </c>
      <c r="N14">
        <f>VLOOKUP(N13,staff[],7,FALSE)</f>
        <v>112650</v>
      </c>
    </row>
    <row r="15" spans="1:16" x14ac:dyDescent="0.25">
      <c r="A15" s="6" t="s">
        <v>17</v>
      </c>
      <c r="B15" s="6" t="s">
        <v>8</v>
      </c>
      <c r="C15">
        <v>43</v>
      </c>
      <c r="D15" t="s">
        <v>16</v>
      </c>
      <c r="E15" s="10">
        <v>45045</v>
      </c>
      <c r="F15" s="6" t="s">
        <v>12</v>
      </c>
      <c r="G15">
        <v>114870</v>
      </c>
      <c r="H15" t="s">
        <v>207</v>
      </c>
      <c r="I15" s="8">
        <f ca="1">(TODAY()-staff[[#This Row],[Date Joined]])/365</f>
        <v>0.39726027397260272</v>
      </c>
      <c r="J15" s="19">
        <f ca="1">ROUNDUP(IF(staff[[#This Row],[Tenure]]&gt;2,3%,2%)*staff[[#This Row],[Salary]],0)</f>
        <v>2298</v>
      </c>
      <c r="K15" s="18" t="e">
        <f>_xll.XLOOKUP(staff[[#This Row],[Rating]],'Hiring Rates'!$A$1:$A$5,'Hiring Rates'!$B$1:$B$5)</f>
        <v>#N/A</v>
      </c>
    </row>
    <row r="16" spans="1:16" x14ac:dyDescent="0.25">
      <c r="A16" s="6" t="s">
        <v>147</v>
      </c>
      <c r="B16" s="6" t="s">
        <v>8</v>
      </c>
      <c r="C16">
        <v>30</v>
      </c>
      <c r="D16" t="s">
        <v>16</v>
      </c>
      <c r="E16" s="10">
        <v>44789</v>
      </c>
      <c r="F16" s="6" t="s">
        <v>9</v>
      </c>
      <c r="G16">
        <v>114180</v>
      </c>
      <c r="H16" t="s">
        <v>205</v>
      </c>
      <c r="I16" s="8">
        <f ca="1">(TODAY()-staff[[#This Row],[Date Joined]])/365</f>
        <v>1.0986301369863014</v>
      </c>
      <c r="J16" s="19">
        <f ca="1">ROUNDUP(IF(staff[[#This Row],[Tenure]]&gt;2,3%,2%)*staff[[#This Row],[Salary]],0)</f>
        <v>2284</v>
      </c>
      <c r="K16" s="18" t="e">
        <f>_xll.XLOOKUP(staff[[#This Row],[Rating]],'Hiring Rates'!$A$1:$A$5,'Hiring Rates'!$B$1:$B$5)</f>
        <v>#N/A</v>
      </c>
    </row>
    <row r="17" spans="1:11" x14ac:dyDescent="0.25">
      <c r="A17" s="6" t="s">
        <v>54</v>
      </c>
      <c r="B17" s="6" t="s">
        <v>8</v>
      </c>
      <c r="C17">
        <v>30</v>
      </c>
      <c r="D17" t="s">
        <v>16</v>
      </c>
      <c r="E17" s="10">
        <v>44850</v>
      </c>
      <c r="F17" s="6" t="s">
        <v>9</v>
      </c>
      <c r="G17">
        <v>114180</v>
      </c>
      <c r="H17" t="s">
        <v>207</v>
      </c>
      <c r="I17" s="8">
        <f ca="1">(TODAY()-staff[[#This Row],[Date Joined]])/365</f>
        <v>0.93150684931506844</v>
      </c>
      <c r="J17" s="19">
        <f ca="1">ROUNDUP(IF(staff[[#This Row],[Tenure]]&gt;2,3%,2%)*staff[[#This Row],[Salary]],0)</f>
        <v>2284</v>
      </c>
      <c r="K17" s="18" t="e">
        <f>_xll.XLOOKUP(staff[[#This Row],[Rating]],'Hiring Rates'!$A$1:$A$5,'Hiring Rates'!$B$1:$B$5)</f>
        <v>#N/A</v>
      </c>
    </row>
    <row r="18" spans="1:11" x14ac:dyDescent="0.25">
      <c r="A18" s="6" t="s">
        <v>191</v>
      </c>
      <c r="B18" s="6" t="s">
        <v>15</v>
      </c>
      <c r="C18">
        <v>27</v>
      </c>
      <c r="D18" t="s">
        <v>42</v>
      </c>
      <c r="E18" s="10">
        <v>44547</v>
      </c>
      <c r="F18" s="6" t="s">
        <v>9</v>
      </c>
      <c r="G18">
        <v>113280</v>
      </c>
      <c r="H18" t="s">
        <v>205</v>
      </c>
      <c r="I18" s="8">
        <f ca="1">(TODAY()-staff[[#This Row],[Date Joined]])/365</f>
        <v>1.7616438356164383</v>
      </c>
      <c r="J18" s="19">
        <f ca="1">ROUNDUP(IF(staff[[#This Row],[Tenure]]&gt;2,3%,2%)*staff[[#This Row],[Salary]],0)</f>
        <v>2266</v>
      </c>
      <c r="K18" s="18" t="e">
        <f>_xll.XLOOKUP(staff[[#This Row],[Rating]],'Hiring Rates'!$A$1:$A$5,'Hiring Rates'!$B$1:$B$5)</f>
        <v>#N/A</v>
      </c>
    </row>
    <row r="19" spans="1:11" x14ac:dyDescent="0.25">
      <c r="A19" s="6" t="s">
        <v>98</v>
      </c>
      <c r="B19" s="6" t="s">
        <v>15</v>
      </c>
      <c r="C19">
        <v>27</v>
      </c>
      <c r="D19" t="s">
        <v>42</v>
      </c>
      <c r="E19" s="10">
        <v>44609</v>
      </c>
      <c r="F19" s="6" t="s">
        <v>9</v>
      </c>
      <c r="G19">
        <v>113280</v>
      </c>
      <c r="H19" t="s">
        <v>207</v>
      </c>
      <c r="I19" s="8">
        <f ca="1">(TODAY()-staff[[#This Row],[Date Joined]])/365</f>
        <v>1.5917808219178082</v>
      </c>
      <c r="J19" s="19">
        <f ca="1">ROUNDUP(IF(staff[[#This Row],[Tenure]]&gt;2,3%,2%)*staff[[#This Row],[Salary]],0)</f>
        <v>2266</v>
      </c>
      <c r="K19" s="18" t="e">
        <f>_xll.XLOOKUP(staff[[#This Row],[Rating]],'Hiring Rates'!$A$1:$A$5,'Hiring Rates'!$B$1:$B$5)</f>
        <v>#N/A</v>
      </c>
    </row>
    <row r="20" spans="1:11" x14ac:dyDescent="0.25">
      <c r="A20" s="6" t="s">
        <v>150</v>
      </c>
      <c r="B20" s="6" t="s">
        <v>15</v>
      </c>
      <c r="C20">
        <v>22</v>
      </c>
      <c r="D20" t="s">
        <v>13</v>
      </c>
      <c r="E20" s="10">
        <v>44384</v>
      </c>
      <c r="F20" s="6" t="s">
        <v>19</v>
      </c>
      <c r="G20">
        <v>112780</v>
      </c>
      <c r="H20" t="s">
        <v>205</v>
      </c>
      <c r="I20" s="8">
        <f ca="1">(TODAY()-staff[[#This Row],[Date Joined]])/365</f>
        <v>2.2082191780821918</v>
      </c>
      <c r="J20" s="19">
        <f ca="1">ROUNDUP(IF(staff[[#This Row],[Tenure]]&gt;2,3%,2%)*staff[[#This Row],[Salary]],0)</f>
        <v>3384</v>
      </c>
      <c r="K20" s="18" t="e">
        <f>_xll.XLOOKUP(staff[[#This Row],[Rating]],'Hiring Rates'!$A$1:$A$5,'Hiring Rates'!$B$1:$B$5)</f>
        <v>#N/A</v>
      </c>
    </row>
    <row r="21" spans="1:11" x14ac:dyDescent="0.25">
      <c r="A21" s="6" t="s">
        <v>58</v>
      </c>
      <c r="B21" s="6" t="s">
        <v>15</v>
      </c>
      <c r="C21">
        <v>22</v>
      </c>
      <c r="D21" t="s">
        <v>13</v>
      </c>
      <c r="E21" s="10">
        <v>44446</v>
      </c>
      <c r="F21" s="6" t="s">
        <v>19</v>
      </c>
      <c r="G21">
        <v>112780</v>
      </c>
      <c r="H21" t="s">
        <v>207</v>
      </c>
      <c r="I21" s="8">
        <f ca="1">(TODAY()-staff[[#This Row],[Date Joined]])/365</f>
        <v>2.0383561643835617</v>
      </c>
      <c r="J21" s="19">
        <f ca="1">ROUNDUP(IF(staff[[#This Row],[Tenure]]&gt;2,3%,2%)*staff[[#This Row],[Salary]],0)</f>
        <v>3384</v>
      </c>
      <c r="K21" s="18" t="e">
        <f>_xll.XLOOKUP(staff[[#This Row],[Rating]],'Hiring Rates'!$A$1:$A$5,'Hiring Rates'!$B$1:$B$5)</f>
        <v>#N/A</v>
      </c>
    </row>
    <row r="22" spans="1:11" x14ac:dyDescent="0.25">
      <c r="A22" s="6" t="s">
        <v>156</v>
      </c>
      <c r="B22" s="6" t="s">
        <v>15</v>
      </c>
      <c r="C22">
        <v>20</v>
      </c>
      <c r="D22" t="s">
        <v>16</v>
      </c>
      <c r="E22" s="10">
        <v>44122</v>
      </c>
      <c r="F22" s="6" t="s">
        <v>12</v>
      </c>
      <c r="G22">
        <v>112650</v>
      </c>
      <c r="H22" t="s">
        <v>205</v>
      </c>
      <c r="I22" s="8">
        <f ca="1">(TODAY()-staff[[#This Row],[Date Joined]])/365</f>
        <v>2.9260273972602739</v>
      </c>
      <c r="J22" s="19">
        <f ca="1">ROUNDUP(IF(staff[[#This Row],[Tenure]]&gt;2,3%,2%)*staff[[#This Row],[Salary]],0)</f>
        <v>3380</v>
      </c>
      <c r="K22" s="18" t="e">
        <f>_xll.XLOOKUP(staff[[#This Row],[Rating]],'Hiring Rates'!$A$1:$A$5,'Hiring Rates'!$B$1:$B$5)</f>
        <v>#N/A</v>
      </c>
    </row>
    <row r="23" spans="1:11" x14ac:dyDescent="0.25">
      <c r="A23" s="6" t="s">
        <v>178</v>
      </c>
      <c r="B23" s="6" t="s">
        <v>15</v>
      </c>
      <c r="C23">
        <v>34</v>
      </c>
      <c r="D23" t="s">
        <v>16</v>
      </c>
      <c r="E23" s="10">
        <v>44642</v>
      </c>
      <c r="F23" s="6" t="s">
        <v>9</v>
      </c>
      <c r="G23">
        <v>112650</v>
      </c>
      <c r="H23" t="s">
        <v>205</v>
      </c>
      <c r="I23" s="8">
        <f ca="1">(TODAY()-staff[[#This Row],[Date Joined]])/365</f>
        <v>1.5013698630136987</v>
      </c>
      <c r="J23" s="19">
        <f ca="1">ROUNDUP(IF(staff[[#This Row],[Tenure]]&gt;2,3%,2%)*staff[[#This Row],[Salary]],0)</f>
        <v>2253</v>
      </c>
      <c r="K23" s="18" t="e">
        <f>_xll.XLOOKUP(staff[[#This Row],[Rating]],'Hiring Rates'!$A$1:$A$5,'Hiring Rates'!$B$1:$B$5)</f>
        <v>#N/A</v>
      </c>
    </row>
    <row r="24" spans="1:11" x14ac:dyDescent="0.25">
      <c r="A24" s="6" t="s">
        <v>64</v>
      </c>
      <c r="B24" s="6" t="s">
        <v>15</v>
      </c>
      <c r="C24">
        <v>20</v>
      </c>
      <c r="D24" t="s">
        <v>16</v>
      </c>
      <c r="E24" s="10">
        <v>44183</v>
      </c>
      <c r="F24" s="6" t="s">
        <v>12</v>
      </c>
      <c r="G24">
        <v>112650</v>
      </c>
      <c r="H24" t="s">
        <v>207</v>
      </c>
      <c r="I24" s="8">
        <f ca="1">(TODAY()-staff[[#This Row],[Date Joined]])/365</f>
        <v>2.7589041095890412</v>
      </c>
      <c r="J24" s="19">
        <f ca="1">ROUNDUP(IF(staff[[#This Row],[Tenure]]&gt;2,3%,2%)*staff[[#This Row],[Salary]],0)</f>
        <v>3380</v>
      </c>
      <c r="K24" s="18" t="e">
        <f>_xll.XLOOKUP(staff[[#This Row],[Rating]],'Hiring Rates'!$A$1:$A$5,'Hiring Rates'!$B$1:$B$5)</f>
        <v>#N/A</v>
      </c>
    </row>
    <row r="25" spans="1:11" x14ac:dyDescent="0.25">
      <c r="A25" s="6" t="s">
        <v>173</v>
      </c>
      <c r="B25" s="6" t="s">
        <v>8</v>
      </c>
      <c r="C25">
        <v>30</v>
      </c>
      <c r="D25" t="s">
        <v>16</v>
      </c>
      <c r="E25" s="10">
        <v>44800</v>
      </c>
      <c r="F25" s="6" t="s">
        <v>9</v>
      </c>
      <c r="G25">
        <v>112570</v>
      </c>
      <c r="H25" t="s">
        <v>205</v>
      </c>
      <c r="I25" s="8">
        <f ca="1">(TODAY()-staff[[#This Row],[Date Joined]])/365</f>
        <v>1.0684931506849316</v>
      </c>
      <c r="J25" s="19">
        <f ca="1">ROUNDUP(IF(staff[[#This Row],[Tenure]]&gt;2,3%,2%)*staff[[#This Row],[Salary]],0)</f>
        <v>2252</v>
      </c>
      <c r="K25" s="18" t="e">
        <f>_xll.XLOOKUP(staff[[#This Row],[Rating]],'Hiring Rates'!$A$1:$A$5,'Hiring Rates'!$B$1:$B$5)</f>
        <v>#N/A</v>
      </c>
    </row>
    <row r="26" spans="1:11" x14ac:dyDescent="0.25">
      <c r="A26" s="6" t="s">
        <v>81</v>
      </c>
      <c r="B26" s="6" t="s">
        <v>8</v>
      </c>
      <c r="C26">
        <v>30</v>
      </c>
      <c r="D26" t="s">
        <v>16</v>
      </c>
      <c r="E26" s="10">
        <v>44861</v>
      </c>
      <c r="F26" s="6" t="s">
        <v>9</v>
      </c>
      <c r="G26">
        <v>112570</v>
      </c>
      <c r="H26" t="s">
        <v>207</v>
      </c>
      <c r="I26" s="8">
        <f ca="1">(TODAY()-staff[[#This Row],[Date Joined]])/365</f>
        <v>0.90136986301369859</v>
      </c>
      <c r="J26" s="19">
        <f ca="1">ROUNDUP(IF(staff[[#This Row],[Tenure]]&gt;2,3%,2%)*staff[[#This Row],[Salary]],0)</f>
        <v>2252</v>
      </c>
      <c r="K26" s="18" t="e">
        <f>_xll.XLOOKUP(staff[[#This Row],[Rating]],'Hiring Rates'!$A$1:$A$5,'Hiring Rates'!$B$1:$B$5)</f>
        <v>#N/A</v>
      </c>
    </row>
    <row r="27" spans="1:11" x14ac:dyDescent="0.25">
      <c r="A27" s="6" t="s">
        <v>180</v>
      </c>
      <c r="B27" s="6" t="s">
        <v>15</v>
      </c>
      <c r="C27">
        <v>29</v>
      </c>
      <c r="D27" t="s">
        <v>24</v>
      </c>
      <c r="E27" s="10">
        <v>44119</v>
      </c>
      <c r="F27" s="6" t="s">
        <v>12</v>
      </c>
      <c r="G27">
        <v>112110</v>
      </c>
      <c r="H27" t="s">
        <v>205</v>
      </c>
      <c r="I27" s="8">
        <f ca="1">(TODAY()-staff[[#This Row],[Date Joined]])/365</f>
        <v>2.9342465753424656</v>
      </c>
      <c r="J27" s="19">
        <f ca="1">ROUNDUP(IF(staff[[#This Row],[Tenure]]&gt;2,3%,2%)*staff[[#This Row],[Salary]],0)</f>
        <v>3364</v>
      </c>
      <c r="K27" s="18" t="e">
        <f>_xll.XLOOKUP(staff[[#This Row],[Rating]],'Hiring Rates'!$A$1:$A$5,'Hiring Rates'!$B$1:$B$5)</f>
        <v>#N/A</v>
      </c>
    </row>
    <row r="28" spans="1:11" x14ac:dyDescent="0.25">
      <c r="A28" s="6" t="s">
        <v>87</v>
      </c>
      <c r="B28" s="6" t="s">
        <v>15</v>
      </c>
      <c r="C28">
        <v>29</v>
      </c>
      <c r="D28" t="s">
        <v>24</v>
      </c>
      <c r="E28" s="10">
        <v>44180</v>
      </c>
      <c r="F28" s="6" t="s">
        <v>12</v>
      </c>
      <c r="G28">
        <v>112110</v>
      </c>
      <c r="H28" t="s">
        <v>207</v>
      </c>
      <c r="I28" s="8">
        <f ca="1">(TODAY()-staff[[#This Row],[Date Joined]])/365</f>
        <v>2.7671232876712328</v>
      </c>
      <c r="J28" s="19">
        <f ca="1">ROUNDUP(IF(staff[[#This Row],[Tenure]]&gt;2,3%,2%)*staff[[#This Row],[Salary]],0)</f>
        <v>3364</v>
      </c>
      <c r="K28" s="18" t="e">
        <f>_xll.XLOOKUP(staff[[#This Row],[Rating]],'Hiring Rates'!$A$1:$A$5,'Hiring Rates'!$B$1:$B$5)</f>
        <v>#N/A</v>
      </c>
    </row>
    <row r="29" spans="1:11" x14ac:dyDescent="0.25">
      <c r="A29" s="6" t="s">
        <v>128</v>
      </c>
      <c r="B29" s="6" t="s">
        <v>15</v>
      </c>
      <c r="C29">
        <v>25</v>
      </c>
      <c r="D29" t="s">
        <v>13</v>
      </c>
      <c r="E29" s="10">
        <v>44665</v>
      </c>
      <c r="F29" s="6" t="s">
        <v>9</v>
      </c>
      <c r="G29">
        <v>109190</v>
      </c>
      <c r="H29" t="s">
        <v>205</v>
      </c>
      <c r="I29" s="8">
        <f ca="1">(TODAY()-staff[[#This Row],[Date Joined]])/365</f>
        <v>1.4383561643835616</v>
      </c>
      <c r="J29" s="19">
        <f ca="1">ROUNDUP(IF(staff[[#This Row],[Tenure]]&gt;2,3%,2%)*staff[[#This Row],[Salary]],0)</f>
        <v>2184</v>
      </c>
      <c r="K29" s="18" t="e">
        <f>_xll.XLOOKUP(staff[[#This Row],[Rating]],'Hiring Rates'!$A$1:$A$5,'Hiring Rates'!$B$1:$B$5)</f>
        <v>#N/A</v>
      </c>
    </row>
    <row r="30" spans="1:11" x14ac:dyDescent="0.25">
      <c r="A30" s="6" t="s">
        <v>34</v>
      </c>
      <c r="B30" s="6" t="s">
        <v>15</v>
      </c>
      <c r="C30">
        <v>25</v>
      </c>
      <c r="D30" t="s">
        <v>13</v>
      </c>
      <c r="E30" s="10">
        <v>44726</v>
      </c>
      <c r="F30" s="6" t="s">
        <v>9</v>
      </c>
      <c r="G30">
        <v>109190</v>
      </c>
      <c r="H30" t="s">
        <v>207</v>
      </c>
      <c r="I30" s="8">
        <f ca="1">(TODAY()-staff[[#This Row],[Date Joined]])/365</f>
        <v>1.2712328767123289</v>
      </c>
      <c r="J30" s="19">
        <f ca="1">ROUNDUP(IF(staff[[#This Row],[Tenure]]&gt;2,3%,2%)*staff[[#This Row],[Salary]],0)</f>
        <v>2184</v>
      </c>
      <c r="K30" s="18" t="e">
        <f>_xll.XLOOKUP(staff[[#This Row],[Rating]],'Hiring Rates'!$A$1:$A$5,'Hiring Rates'!$B$1:$B$5)</f>
        <v>#N/A</v>
      </c>
    </row>
    <row r="31" spans="1:11" x14ac:dyDescent="0.25">
      <c r="A31" s="6" t="s">
        <v>127</v>
      </c>
      <c r="B31" s="6" t="s">
        <v>8</v>
      </c>
      <c r="C31">
        <v>38</v>
      </c>
      <c r="D31" t="s">
        <v>10</v>
      </c>
      <c r="E31" s="10">
        <v>44316</v>
      </c>
      <c r="F31" s="6" t="s">
        <v>19</v>
      </c>
      <c r="G31">
        <v>109160</v>
      </c>
      <c r="H31" t="s">
        <v>205</v>
      </c>
      <c r="I31" s="8">
        <f ca="1">(TODAY()-staff[[#This Row],[Date Joined]])/365</f>
        <v>2.3945205479452056</v>
      </c>
      <c r="J31" s="19">
        <f ca="1">ROUNDUP(IF(staff[[#This Row],[Tenure]]&gt;2,3%,2%)*staff[[#This Row],[Salary]],0)</f>
        <v>3275</v>
      </c>
      <c r="K31" s="18" t="e">
        <f>_xll.XLOOKUP(staff[[#This Row],[Rating]],'Hiring Rates'!$A$1:$A$5,'Hiring Rates'!$B$1:$B$5)</f>
        <v>#N/A</v>
      </c>
    </row>
    <row r="32" spans="1:11" x14ac:dyDescent="0.25">
      <c r="A32" s="6" t="s">
        <v>33</v>
      </c>
      <c r="B32" s="6" t="s">
        <v>8</v>
      </c>
      <c r="C32">
        <v>38</v>
      </c>
      <c r="D32" t="s">
        <v>10</v>
      </c>
      <c r="E32" s="10">
        <v>44377</v>
      </c>
      <c r="F32" s="6" t="s">
        <v>19</v>
      </c>
      <c r="G32">
        <v>109160</v>
      </c>
      <c r="H32" t="s">
        <v>207</v>
      </c>
      <c r="I32" s="8">
        <f ca="1">(TODAY()-staff[[#This Row],[Date Joined]])/365</f>
        <v>2.2273972602739724</v>
      </c>
      <c r="J32" s="19">
        <f ca="1">ROUNDUP(IF(staff[[#This Row],[Tenure]]&gt;2,3%,2%)*staff[[#This Row],[Salary]],0)</f>
        <v>3275</v>
      </c>
      <c r="K32" s="18" t="e">
        <f>_xll.XLOOKUP(staff[[#This Row],[Rating]],'Hiring Rates'!$A$1:$A$5,'Hiring Rates'!$B$1:$B$5)</f>
        <v>#N/A</v>
      </c>
    </row>
    <row r="33" spans="1:11" x14ac:dyDescent="0.25">
      <c r="A33" s="6" t="s">
        <v>117</v>
      </c>
      <c r="B33" s="6" t="s">
        <v>15</v>
      </c>
      <c r="C33">
        <v>20</v>
      </c>
      <c r="D33" t="s">
        <v>16</v>
      </c>
      <c r="E33" s="10">
        <v>44397</v>
      </c>
      <c r="F33" s="6" t="s">
        <v>12</v>
      </c>
      <c r="G33">
        <v>107700</v>
      </c>
      <c r="H33" t="s">
        <v>205</v>
      </c>
      <c r="I33" s="8">
        <f ca="1">(TODAY()-staff[[#This Row],[Date Joined]])/365</f>
        <v>2.1726027397260275</v>
      </c>
      <c r="J33" s="19">
        <f ca="1">ROUNDUP(IF(staff[[#This Row],[Tenure]]&gt;2,3%,2%)*staff[[#This Row],[Salary]],0)</f>
        <v>3231</v>
      </c>
      <c r="K33" s="18" t="e">
        <f>_xll.XLOOKUP(staff[[#This Row],[Rating]],'Hiring Rates'!$A$1:$A$5,'Hiring Rates'!$B$1:$B$5)</f>
        <v>#N/A</v>
      </c>
    </row>
    <row r="34" spans="1:11" x14ac:dyDescent="0.25">
      <c r="A34" s="6" t="s">
        <v>22</v>
      </c>
      <c r="B34" s="6" t="s">
        <v>15</v>
      </c>
      <c r="C34">
        <v>20</v>
      </c>
      <c r="D34" t="s">
        <v>16</v>
      </c>
      <c r="E34" s="10">
        <v>44459</v>
      </c>
      <c r="F34" s="6" t="s">
        <v>12</v>
      </c>
      <c r="G34">
        <v>107700</v>
      </c>
      <c r="H34" t="s">
        <v>207</v>
      </c>
      <c r="I34" s="8">
        <f ca="1">(TODAY()-staff[[#This Row],[Date Joined]])/365</f>
        <v>2.0027397260273974</v>
      </c>
      <c r="J34" s="19">
        <f ca="1">ROUNDUP(IF(staff[[#This Row],[Tenure]]&gt;2,3%,2%)*staff[[#This Row],[Salary]],0)</f>
        <v>3231</v>
      </c>
      <c r="K34" s="18" t="e">
        <f>_xll.XLOOKUP(staff[[#This Row],[Rating]],'Hiring Rates'!$A$1:$A$5,'Hiring Rates'!$B$1:$B$5)</f>
        <v>#N/A</v>
      </c>
    </row>
    <row r="35" spans="1:11" x14ac:dyDescent="0.25">
      <c r="A35" s="6" t="s">
        <v>161</v>
      </c>
      <c r="B35" s="6" t="s">
        <v>15</v>
      </c>
      <c r="C35">
        <v>23</v>
      </c>
      <c r="D35" t="s">
        <v>16</v>
      </c>
      <c r="E35" s="10">
        <v>44378</v>
      </c>
      <c r="F35" s="6" t="s">
        <v>9</v>
      </c>
      <c r="G35">
        <v>106460</v>
      </c>
      <c r="H35" t="s">
        <v>205</v>
      </c>
      <c r="I35" s="8">
        <f ca="1">(TODAY()-staff[[#This Row],[Date Joined]])/365</f>
        <v>2.2246575342465755</v>
      </c>
      <c r="J35" s="19">
        <f ca="1">ROUNDUP(IF(staff[[#This Row],[Tenure]]&gt;2,3%,2%)*staff[[#This Row],[Salary]],0)</f>
        <v>3194</v>
      </c>
      <c r="K35" s="18" t="e">
        <f>_xll.XLOOKUP(staff[[#This Row],[Rating]],'Hiring Rates'!$A$1:$A$5,'Hiring Rates'!$B$1:$B$5)</f>
        <v>#N/A</v>
      </c>
    </row>
    <row r="36" spans="1:11" x14ac:dyDescent="0.25">
      <c r="A36" s="6" t="s">
        <v>69</v>
      </c>
      <c r="B36" s="6" t="s">
        <v>15</v>
      </c>
      <c r="C36">
        <v>23</v>
      </c>
      <c r="D36" t="s">
        <v>16</v>
      </c>
      <c r="E36" s="10">
        <v>44440</v>
      </c>
      <c r="F36" s="6" t="s">
        <v>9</v>
      </c>
      <c r="G36">
        <v>106460</v>
      </c>
      <c r="H36" t="s">
        <v>207</v>
      </c>
      <c r="I36" s="8">
        <f ca="1">(TODAY()-staff[[#This Row],[Date Joined]])/365</f>
        <v>2.0547945205479454</v>
      </c>
      <c r="J36" s="19">
        <f ca="1">ROUNDUP(IF(staff[[#This Row],[Tenure]]&gt;2,3%,2%)*staff[[#This Row],[Salary]],0)</f>
        <v>3194</v>
      </c>
      <c r="K36" s="18" t="e">
        <f>_xll.XLOOKUP(staff[[#This Row],[Rating]],'Hiring Rates'!$A$1:$A$5,'Hiring Rates'!$B$1:$B$5)</f>
        <v>#N/A</v>
      </c>
    </row>
    <row r="37" spans="1:11" x14ac:dyDescent="0.25">
      <c r="A37" s="6" t="s">
        <v>136</v>
      </c>
      <c r="B37" s="6" t="s">
        <v>8</v>
      </c>
      <c r="C37">
        <v>28</v>
      </c>
      <c r="D37" t="s">
        <v>16</v>
      </c>
      <c r="E37" s="10">
        <v>44425</v>
      </c>
      <c r="F37" s="6" t="s">
        <v>9</v>
      </c>
      <c r="G37">
        <v>104770</v>
      </c>
      <c r="H37" t="s">
        <v>205</v>
      </c>
      <c r="I37" s="8">
        <f ca="1">(TODAY()-staff[[#This Row],[Date Joined]])/365</f>
        <v>2.095890410958904</v>
      </c>
      <c r="J37" s="19">
        <f ca="1">ROUNDUP(IF(staff[[#This Row],[Tenure]]&gt;2,3%,2%)*staff[[#This Row],[Salary]],0)</f>
        <v>3144</v>
      </c>
      <c r="K37" s="18" t="e">
        <f>_xll.XLOOKUP(staff[[#This Row],[Rating]],'Hiring Rates'!$A$1:$A$5,'Hiring Rates'!$B$1:$B$5)</f>
        <v>#N/A</v>
      </c>
    </row>
    <row r="38" spans="1:11" x14ac:dyDescent="0.25">
      <c r="A38" s="6" t="s">
        <v>43</v>
      </c>
      <c r="B38" s="6" t="s">
        <v>8</v>
      </c>
      <c r="C38">
        <v>28</v>
      </c>
      <c r="D38" t="s">
        <v>16</v>
      </c>
      <c r="E38" s="10">
        <v>44486</v>
      </c>
      <c r="F38" s="6" t="s">
        <v>9</v>
      </c>
      <c r="G38">
        <v>104770</v>
      </c>
      <c r="H38" t="s">
        <v>207</v>
      </c>
      <c r="I38" s="8">
        <f ca="1">(TODAY()-staff[[#This Row],[Date Joined]])/365</f>
        <v>1.9287671232876713</v>
      </c>
      <c r="J38" s="19">
        <f ca="1">ROUNDUP(IF(staff[[#This Row],[Tenure]]&gt;2,3%,2%)*staff[[#This Row],[Salary]],0)</f>
        <v>2096</v>
      </c>
      <c r="K38" s="18" t="e">
        <f>_xll.XLOOKUP(staff[[#This Row],[Rating]],'Hiring Rates'!$A$1:$A$5,'Hiring Rates'!$B$1:$B$5)</f>
        <v>#N/A</v>
      </c>
    </row>
    <row r="39" spans="1:11" x14ac:dyDescent="0.25">
      <c r="A39" s="6" t="s">
        <v>194</v>
      </c>
      <c r="B39" s="6" t="s">
        <v>8</v>
      </c>
      <c r="C39">
        <v>40</v>
      </c>
      <c r="D39" t="s">
        <v>16</v>
      </c>
      <c r="E39" s="10">
        <v>44320</v>
      </c>
      <c r="F39" s="6" t="s">
        <v>12</v>
      </c>
      <c r="G39">
        <v>104410</v>
      </c>
      <c r="H39" t="s">
        <v>205</v>
      </c>
      <c r="I39" s="8">
        <f ca="1">(TODAY()-staff[[#This Row],[Date Joined]])/365</f>
        <v>2.3835616438356166</v>
      </c>
      <c r="J39" s="19">
        <f ca="1">ROUNDUP(IF(staff[[#This Row],[Tenure]]&gt;2,3%,2%)*staff[[#This Row],[Salary]],0)</f>
        <v>3133</v>
      </c>
      <c r="K39" s="18" t="e">
        <f>_xll.XLOOKUP(staff[[#This Row],[Rating]],'Hiring Rates'!$A$1:$A$5,'Hiring Rates'!$B$1:$B$5)</f>
        <v>#N/A</v>
      </c>
    </row>
    <row r="40" spans="1:11" x14ac:dyDescent="0.25">
      <c r="A40" s="6" t="s">
        <v>101</v>
      </c>
      <c r="B40" s="6" t="s">
        <v>8</v>
      </c>
      <c r="C40">
        <v>40</v>
      </c>
      <c r="D40" t="s">
        <v>16</v>
      </c>
      <c r="E40" s="10">
        <v>44381</v>
      </c>
      <c r="F40" s="6" t="s">
        <v>12</v>
      </c>
      <c r="G40">
        <v>104410</v>
      </c>
      <c r="H40" t="s">
        <v>207</v>
      </c>
      <c r="I40" s="8">
        <f ca="1">(TODAY()-staff[[#This Row],[Date Joined]])/365</f>
        <v>2.2164383561643834</v>
      </c>
      <c r="J40" s="19">
        <f ca="1">ROUNDUP(IF(staff[[#This Row],[Tenure]]&gt;2,3%,2%)*staff[[#This Row],[Salary]],0)</f>
        <v>3133</v>
      </c>
      <c r="K40" s="18" t="e">
        <f>_xll.XLOOKUP(staff[[#This Row],[Rating]],'Hiring Rates'!$A$1:$A$5,'Hiring Rates'!$B$1:$B$5)</f>
        <v>#N/A</v>
      </c>
    </row>
    <row r="41" spans="1:11" x14ac:dyDescent="0.25">
      <c r="A41" s="6" t="s">
        <v>189</v>
      </c>
      <c r="B41" s="6" t="s">
        <v>8</v>
      </c>
      <c r="C41">
        <v>28</v>
      </c>
      <c r="D41" t="s">
        <v>16</v>
      </c>
      <c r="E41" s="10">
        <v>44590</v>
      </c>
      <c r="F41" s="6" t="s">
        <v>9</v>
      </c>
      <c r="G41">
        <v>104120</v>
      </c>
      <c r="H41" t="s">
        <v>205</v>
      </c>
      <c r="I41" s="8">
        <f ca="1">(TODAY()-staff[[#This Row],[Date Joined]])/365</f>
        <v>1.6438356164383561</v>
      </c>
      <c r="J41" s="19">
        <f ca="1">ROUNDUP(IF(staff[[#This Row],[Tenure]]&gt;2,3%,2%)*staff[[#This Row],[Salary]],0)</f>
        <v>2083</v>
      </c>
      <c r="K41" s="18" t="e">
        <f>_xll.XLOOKUP(staff[[#This Row],[Rating]],'Hiring Rates'!$A$1:$A$5,'Hiring Rates'!$B$1:$B$5)</f>
        <v>#N/A</v>
      </c>
    </row>
    <row r="42" spans="1:11" x14ac:dyDescent="0.25">
      <c r="A42" s="6" t="s">
        <v>96</v>
      </c>
      <c r="B42" s="6" t="s">
        <v>8</v>
      </c>
      <c r="C42">
        <v>28</v>
      </c>
      <c r="D42" t="s">
        <v>16</v>
      </c>
      <c r="E42" s="10">
        <v>44649</v>
      </c>
      <c r="F42" s="6" t="s">
        <v>9</v>
      </c>
      <c r="G42">
        <v>104120</v>
      </c>
      <c r="H42" t="s">
        <v>207</v>
      </c>
      <c r="I42" s="8">
        <f ca="1">(TODAY()-staff[[#This Row],[Date Joined]])/365</f>
        <v>1.4821917808219178</v>
      </c>
      <c r="J42" s="19">
        <f ca="1">ROUNDUP(IF(staff[[#This Row],[Tenure]]&gt;2,3%,2%)*staff[[#This Row],[Salary]],0)</f>
        <v>2083</v>
      </c>
      <c r="K42" s="18" t="e">
        <f>_xll.XLOOKUP(staff[[#This Row],[Rating]],'Hiring Rates'!$A$1:$A$5,'Hiring Rates'!$B$1:$B$5)</f>
        <v>#N/A</v>
      </c>
    </row>
    <row r="43" spans="1:11" x14ac:dyDescent="0.25">
      <c r="A43" s="6" t="s">
        <v>143</v>
      </c>
      <c r="B43" s="6" t="s">
        <v>15</v>
      </c>
      <c r="C43">
        <v>31</v>
      </c>
      <c r="D43" t="s">
        <v>16</v>
      </c>
      <c r="E43" s="10">
        <v>44663</v>
      </c>
      <c r="F43" s="6" t="s">
        <v>9</v>
      </c>
      <c r="G43">
        <v>103550</v>
      </c>
      <c r="H43" t="s">
        <v>205</v>
      </c>
      <c r="I43" s="8">
        <f ca="1">(TODAY()-staff[[#This Row],[Date Joined]])/365</f>
        <v>1.4438356164383561</v>
      </c>
      <c r="J43" s="19">
        <f ca="1">ROUNDUP(IF(staff[[#This Row],[Tenure]]&gt;2,3%,2%)*staff[[#This Row],[Salary]],0)</f>
        <v>2071</v>
      </c>
      <c r="K43" s="18" t="e">
        <f>_xll.XLOOKUP(staff[[#This Row],[Rating]],'Hiring Rates'!$A$1:$A$5,'Hiring Rates'!$B$1:$B$5)</f>
        <v>#N/A</v>
      </c>
    </row>
    <row r="44" spans="1:11" x14ac:dyDescent="0.25">
      <c r="A44" s="6" t="s">
        <v>50</v>
      </c>
      <c r="B44" s="6" t="s">
        <v>15</v>
      </c>
      <c r="C44">
        <v>31</v>
      </c>
      <c r="D44" t="s">
        <v>16</v>
      </c>
      <c r="E44" s="10">
        <v>44724</v>
      </c>
      <c r="F44" s="6" t="s">
        <v>9</v>
      </c>
      <c r="G44">
        <v>103550</v>
      </c>
      <c r="H44" t="s">
        <v>207</v>
      </c>
      <c r="I44" s="8">
        <f ca="1">(TODAY()-staff[[#This Row],[Date Joined]])/365</f>
        <v>1.2767123287671234</v>
      </c>
      <c r="J44" s="19">
        <f ca="1">ROUNDUP(IF(staff[[#This Row],[Tenure]]&gt;2,3%,2%)*staff[[#This Row],[Salary]],0)</f>
        <v>2071</v>
      </c>
      <c r="K44" s="18" t="e">
        <f>_xll.XLOOKUP(staff[[#This Row],[Rating]],'Hiring Rates'!$A$1:$A$5,'Hiring Rates'!$B$1:$B$5)</f>
        <v>#N/A</v>
      </c>
    </row>
    <row r="45" spans="1:11" x14ac:dyDescent="0.25">
      <c r="A45" s="6" t="s">
        <v>196</v>
      </c>
      <c r="B45" s="6" t="s">
        <v>15</v>
      </c>
      <c r="C45">
        <v>24</v>
      </c>
      <c r="D45" t="s">
        <v>16</v>
      </c>
      <c r="E45" s="10">
        <v>44625</v>
      </c>
      <c r="F45" s="6" t="s">
        <v>12</v>
      </c>
      <c r="G45">
        <v>100420</v>
      </c>
      <c r="H45" t="s">
        <v>205</v>
      </c>
      <c r="I45" s="8">
        <f ca="1">(TODAY()-staff[[#This Row],[Date Joined]])/365</f>
        <v>1.547945205479452</v>
      </c>
      <c r="J45" s="19">
        <f ca="1">ROUNDUP(IF(staff[[#This Row],[Tenure]]&gt;2,3%,2%)*staff[[#This Row],[Salary]],0)</f>
        <v>2009</v>
      </c>
      <c r="K45" s="18" t="e">
        <f>_xll.XLOOKUP(staff[[#This Row],[Rating]],'Hiring Rates'!$A$1:$A$5,'Hiring Rates'!$B$1:$B$5)</f>
        <v>#N/A</v>
      </c>
    </row>
    <row r="46" spans="1:11" x14ac:dyDescent="0.25">
      <c r="A46" s="6" t="s">
        <v>103</v>
      </c>
      <c r="B46" s="6" t="s">
        <v>15</v>
      </c>
      <c r="C46">
        <v>24</v>
      </c>
      <c r="D46" t="s">
        <v>16</v>
      </c>
      <c r="E46" s="10">
        <v>44686</v>
      </c>
      <c r="F46" s="6" t="s">
        <v>12</v>
      </c>
      <c r="G46">
        <v>100420</v>
      </c>
      <c r="H46" t="s">
        <v>207</v>
      </c>
      <c r="I46" s="8">
        <f ca="1">(TODAY()-staff[[#This Row],[Date Joined]])/365</f>
        <v>1.3808219178082193</v>
      </c>
      <c r="J46" s="19">
        <f ca="1">ROUNDUP(IF(staff[[#This Row],[Tenure]]&gt;2,3%,2%)*staff[[#This Row],[Salary]],0)</f>
        <v>2009</v>
      </c>
      <c r="K46" s="18" t="e">
        <f>_xll.XLOOKUP(staff[[#This Row],[Rating]],'Hiring Rates'!$A$1:$A$5,'Hiring Rates'!$B$1:$B$5)</f>
        <v>#N/A</v>
      </c>
    </row>
    <row r="47" spans="1:11" x14ac:dyDescent="0.25">
      <c r="A47" s="6" t="s">
        <v>200</v>
      </c>
      <c r="B47" s="6" t="s">
        <v>8</v>
      </c>
      <c r="C47">
        <v>28</v>
      </c>
      <c r="D47" t="s">
        <v>16</v>
      </c>
      <c r="E47" s="10">
        <v>44571</v>
      </c>
      <c r="F47" s="6" t="s">
        <v>9</v>
      </c>
      <c r="G47">
        <v>99970</v>
      </c>
      <c r="H47" t="s">
        <v>205</v>
      </c>
      <c r="I47" s="8">
        <f ca="1">(TODAY()-staff[[#This Row],[Date Joined]])/365</f>
        <v>1.6958904109589041</v>
      </c>
      <c r="J47" s="19">
        <f ca="1">ROUNDUP(IF(staff[[#This Row],[Tenure]]&gt;2,3%,2%)*staff[[#This Row],[Salary]],0)</f>
        <v>2000</v>
      </c>
      <c r="K47" s="18" t="e">
        <f>_xll.XLOOKUP(staff[[#This Row],[Rating]],'Hiring Rates'!$A$1:$A$5,'Hiring Rates'!$B$1:$B$5)</f>
        <v>#N/A</v>
      </c>
    </row>
    <row r="48" spans="1:11" x14ac:dyDescent="0.25">
      <c r="A48" s="6" t="s">
        <v>107</v>
      </c>
      <c r="B48" s="6" t="s">
        <v>8</v>
      </c>
      <c r="C48">
        <v>28</v>
      </c>
      <c r="D48" t="s">
        <v>16</v>
      </c>
      <c r="E48" s="10">
        <v>44630</v>
      </c>
      <c r="F48" s="6" t="s">
        <v>9</v>
      </c>
      <c r="G48">
        <v>99970</v>
      </c>
      <c r="H48" t="s">
        <v>207</v>
      </c>
      <c r="I48" s="8">
        <f ca="1">(TODAY()-staff[[#This Row],[Date Joined]])/365</f>
        <v>1.5342465753424657</v>
      </c>
      <c r="J48" s="19">
        <f ca="1">ROUNDUP(IF(staff[[#This Row],[Tenure]]&gt;2,3%,2%)*staff[[#This Row],[Salary]],0)</f>
        <v>2000</v>
      </c>
      <c r="K48" s="18" t="e">
        <f>_xll.XLOOKUP(staff[[#This Row],[Rating]],'Hiring Rates'!$A$1:$A$5,'Hiring Rates'!$B$1:$B$5)</f>
        <v>#N/A</v>
      </c>
    </row>
    <row r="49" spans="1:11" x14ac:dyDescent="0.25">
      <c r="A49" s="6" t="s">
        <v>198</v>
      </c>
      <c r="B49" s="6" t="s">
        <v>15</v>
      </c>
      <c r="C49">
        <v>40</v>
      </c>
      <c r="D49" t="s">
        <v>16</v>
      </c>
      <c r="E49" s="10">
        <v>44204</v>
      </c>
      <c r="F49" s="6" t="s">
        <v>9</v>
      </c>
      <c r="G49">
        <v>99750</v>
      </c>
      <c r="H49" t="s">
        <v>205</v>
      </c>
      <c r="I49" s="8">
        <f ca="1">(TODAY()-staff[[#This Row],[Date Joined]])/365</f>
        <v>2.7013698630136984</v>
      </c>
      <c r="J49" s="19">
        <f ca="1">ROUNDUP(IF(staff[[#This Row],[Tenure]]&gt;2,3%,2%)*staff[[#This Row],[Salary]],0)</f>
        <v>2993</v>
      </c>
      <c r="K49" s="18" t="e">
        <f>_xll.XLOOKUP(staff[[#This Row],[Rating]],'Hiring Rates'!$A$1:$A$5,'Hiring Rates'!$B$1:$B$5)</f>
        <v>#N/A</v>
      </c>
    </row>
    <row r="50" spans="1:11" x14ac:dyDescent="0.25">
      <c r="A50" s="6" t="s">
        <v>105</v>
      </c>
      <c r="B50" s="6" t="s">
        <v>15</v>
      </c>
      <c r="C50">
        <v>40</v>
      </c>
      <c r="D50" t="s">
        <v>16</v>
      </c>
      <c r="E50" s="10">
        <v>44263</v>
      </c>
      <c r="F50" s="6" t="s">
        <v>9</v>
      </c>
      <c r="G50">
        <v>99750</v>
      </c>
      <c r="H50" t="s">
        <v>207</v>
      </c>
      <c r="I50" s="8">
        <f ca="1">(TODAY()-staff[[#This Row],[Date Joined]])/365</f>
        <v>2.5397260273972604</v>
      </c>
      <c r="J50" s="19">
        <f ca="1">ROUNDUP(IF(staff[[#This Row],[Tenure]]&gt;2,3%,2%)*staff[[#This Row],[Salary]],0)</f>
        <v>2993</v>
      </c>
      <c r="K50" s="18" t="e">
        <f>_xll.XLOOKUP(staff[[#This Row],[Rating]],'Hiring Rates'!$A$1:$A$5,'Hiring Rates'!$B$1:$B$5)</f>
        <v>#N/A</v>
      </c>
    </row>
    <row r="51" spans="1:11" x14ac:dyDescent="0.25">
      <c r="A51" s="6" t="s">
        <v>177</v>
      </c>
      <c r="B51" s="6" t="s">
        <v>15</v>
      </c>
      <c r="C51">
        <v>30</v>
      </c>
      <c r="D51" t="s">
        <v>16</v>
      </c>
      <c r="E51" s="10">
        <v>44544</v>
      </c>
      <c r="F51" s="6" t="s">
        <v>21</v>
      </c>
      <c r="G51">
        <v>96800</v>
      </c>
      <c r="H51" t="s">
        <v>205</v>
      </c>
      <c r="I51" s="8">
        <f ca="1">(TODAY()-staff[[#This Row],[Date Joined]])/365</f>
        <v>1.7698630136986302</v>
      </c>
      <c r="J51" s="19">
        <f ca="1">ROUNDUP(IF(staff[[#This Row],[Tenure]]&gt;2,3%,2%)*staff[[#This Row],[Salary]],0)</f>
        <v>1936</v>
      </c>
      <c r="K51" s="18" t="e">
        <f>_xll.XLOOKUP(staff[[#This Row],[Rating]],'Hiring Rates'!$A$1:$A$5,'Hiring Rates'!$B$1:$B$5)</f>
        <v>#N/A</v>
      </c>
    </row>
    <row r="52" spans="1:11" x14ac:dyDescent="0.25">
      <c r="A52" s="6" t="s">
        <v>85</v>
      </c>
      <c r="B52" s="6" t="s">
        <v>15</v>
      </c>
      <c r="C52">
        <v>30</v>
      </c>
      <c r="D52" t="s">
        <v>16</v>
      </c>
      <c r="E52" s="10">
        <v>44606</v>
      </c>
      <c r="F52" s="6" t="s">
        <v>21</v>
      </c>
      <c r="G52">
        <v>96800</v>
      </c>
      <c r="H52" t="s">
        <v>207</v>
      </c>
      <c r="I52" s="8">
        <f ca="1">(TODAY()-staff[[#This Row],[Date Joined]])/365</f>
        <v>1.6</v>
      </c>
      <c r="J52" s="19">
        <f ca="1">ROUNDUP(IF(staff[[#This Row],[Tenure]]&gt;2,3%,2%)*staff[[#This Row],[Salary]],0)</f>
        <v>1936</v>
      </c>
      <c r="K52" s="18" t="e">
        <f>_xll.XLOOKUP(staff[[#This Row],[Rating]],'Hiring Rates'!$A$1:$A$5,'Hiring Rates'!$B$1:$B$5)</f>
        <v>#N/A</v>
      </c>
    </row>
    <row r="53" spans="1:11" x14ac:dyDescent="0.25">
      <c r="A53" s="6" t="s">
        <v>163</v>
      </c>
      <c r="B53" s="6" t="s">
        <v>8</v>
      </c>
      <c r="C53">
        <v>33</v>
      </c>
      <c r="D53" t="s">
        <v>16</v>
      </c>
      <c r="E53" s="10">
        <v>44129</v>
      </c>
      <c r="F53" s="6" t="s">
        <v>12</v>
      </c>
      <c r="G53">
        <v>96140</v>
      </c>
      <c r="H53" t="s">
        <v>205</v>
      </c>
      <c r="I53" s="8">
        <f ca="1">(TODAY()-staff[[#This Row],[Date Joined]])/365</f>
        <v>2.9068493150684933</v>
      </c>
      <c r="J53" s="19">
        <f ca="1">ROUNDUP(IF(staff[[#This Row],[Tenure]]&gt;2,3%,2%)*staff[[#This Row],[Salary]],0)</f>
        <v>2885</v>
      </c>
      <c r="K53" s="18" t="e">
        <f>_xll.XLOOKUP(staff[[#This Row],[Rating]],'Hiring Rates'!$A$1:$A$5,'Hiring Rates'!$B$1:$B$5)</f>
        <v>#N/A</v>
      </c>
    </row>
    <row r="54" spans="1:11" x14ac:dyDescent="0.25">
      <c r="A54" s="6" t="s">
        <v>71</v>
      </c>
      <c r="B54" s="6" t="s">
        <v>8</v>
      </c>
      <c r="C54">
        <v>33</v>
      </c>
      <c r="D54" t="s">
        <v>16</v>
      </c>
      <c r="E54" s="10">
        <v>44190</v>
      </c>
      <c r="F54" s="6" t="s">
        <v>12</v>
      </c>
      <c r="G54">
        <v>96140</v>
      </c>
      <c r="H54" t="s">
        <v>207</v>
      </c>
      <c r="I54" s="8">
        <f ca="1">(TODAY()-staff[[#This Row],[Date Joined]])/365</f>
        <v>2.7397260273972601</v>
      </c>
      <c r="J54" s="19">
        <f ca="1">ROUNDUP(IF(staff[[#This Row],[Tenure]]&gt;2,3%,2%)*staff[[#This Row],[Salary]],0)</f>
        <v>2885</v>
      </c>
      <c r="K54" s="18" t="e">
        <f>_xll.XLOOKUP(staff[[#This Row],[Rating]],'Hiring Rates'!$A$1:$A$5,'Hiring Rates'!$B$1:$B$5)</f>
        <v>#N/A</v>
      </c>
    </row>
    <row r="55" spans="1:11" x14ac:dyDescent="0.25">
      <c r="A55" s="6" t="s">
        <v>169</v>
      </c>
      <c r="B55" s="6" t="s">
        <v>8</v>
      </c>
      <c r="C55">
        <v>25</v>
      </c>
      <c r="D55" t="s">
        <v>16</v>
      </c>
      <c r="E55" s="10">
        <v>44144</v>
      </c>
      <c r="F55" s="6" t="s">
        <v>19</v>
      </c>
      <c r="G55">
        <v>92700</v>
      </c>
      <c r="H55" t="s">
        <v>205</v>
      </c>
      <c r="I55" s="8">
        <f ca="1">(TODAY()-staff[[#This Row],[Date Joined]])/365</f>
        <v>2.8657534246575342</v>
      </c>
      <c r="J55" s="19">
        <f ca="1">ROUNDUP(IF(staff[[#This Row],[Tenure]]&gt;2,3%,2%)*staff[[#This Row],[Salary]],0)</f>
        <v>2781</v>
      </c>
      <c r="K55" s="18" t="e">
        <f>_xll.XLOOKUP(staff[[#This Row],[Rating]],'Hiring Rates'!$A$1:$A$5,'Hiring Rates'!$B$1:$B$5)</f>
        <v>#N/A</v>
      </c>
    </row>
    <row r="56" spans="1:11" x14ac:dyDescent="0.25">
      <c r="A56" s="6" t="s">
        <v>77</v>
      </c>
      <c r="B56" s="6" t="s">
        <v>8</v>
      </c>
      <c r="C56">
        <v>25</v>
      </c>
      <c r="D56" t="s">
        <v>16</v>
      </c>
      <c r="E56" s="10">
        <v>44205</v>
      </c>
      <c r="F56" s="6" t="s">
        <v>19</v>
      </c>
      <c r="G56">
        <v>92700</v>
      </c>
      <c r="H56" t="s">
        <v>207</v>
      </c>
      <c r="I56" s="8">
        <f ca="1">(TODAY()-staff[[#This Row],[Date Joined]])/365</f>
        <v>2.6986301369863015</v>
      </c>
      <c r="J56" s="19">
        <f ca="1">ROUNDUP(IF(staff[[#This Row],[Tenure]]&gt;2,3%,2%)*staff[[#This Row],[Salary]],0)</f>
        <v>2781</v>
      </c>
      <c r="K56" s="18" t="e">
        <f>_xll.XLOOKUP(staff[[#This Row],[Rating]],'Hiring Rates'!$A$1:$A$5,'Hiring Rates'!$B$1:$B$5)</f>
        <v>#N/A</v>
      </c>
    </row>
    <row r="57" spans="1:11" x14ac:dyDescent="0.25">
      <c r="A57" s="6" t="s">
        <v>195</v>
      </c>
      <c r="B57" s="6" t="s">
        <v>8</v>
      </c>
      <c r="C57">
        <v>34</v>
      </c>
      <c r="D57" t="s">
        <v>16</v>
      </c>
      <c r="E57" s="10">
        <v>44383</v>
      </c>
      <c r="F57" s="6" t="s">
        <v>21</v>
      </c>
      <c r="G57">
        <v>92450</v>
      </c>
      <c r="H57" t="s">
        <v>205</v>
      </c>
      <c r="I57" s="8">
        <f ca="1">(TODAY()-staff[[#This Row],[Date Joined]])/365</f>
        <v>2.2109589041095892</v>
      </c>
      <c r="J57" s="19">
        <f ca="1">ROUNDUP(IF(staff[[#This Row],[Tenure]]&gt;2,3%,2%)*staff[[#This Row],[Salary]],0)</f>
        <v>2774</v>
      </c>
      <c r="K57" s="18" t="e">
        <f>_xll.XLOOKUP(staff[[#This Row],[Rating]],'Hiring Rates'!$A$1:$A$5,'Hiring Rates'!$B$1:$B$5)</f>
        <v>#N/A</v>
      </c>
    </row>
    <row r="58" spans="1:11" x14ac:dyDescent="0.25">
      <c r="A58" s="6" t="s">
        <v>102</v>
      </c>
      <c r="B58" s="6" t="s">
        <v>8</v>
      </c>
      <c r="C58">
        <v>34</v>
      </c>
      <c r="D58" t="s">
        <v>16</v>
      </c>
      <c r="E58" s="10">
        <v>44445</v>
      </c>
      <c r="F58" s="6" t="s">
        <v>21</v>
      </c>
      <c r="G58">
        <v>92450</v>
      </c>
      <c r="H58" t="s">
        <v>207</v>
      </c>
      <c r="I58" s="8">
        <f ca="1">(TODAY()-staff[[#This Row],[Date Joined]])/365</f>
        <v>2.0410958904109591</v>
      </c>
      <c r="J58" s="19">
        <f ca="1">ROUNDUP(IF(staff[[#This Row],[Tenure]]&gt;2,3%,2%)*staff[[#This Row],[Salary]],0)</f>
        <v>2774</v>
      </c>
      <c r="K58" s="18" t="e">
        <f>_xll.XLOOKUP(staff[[#This Row],[Rating]],'Hiring Rates'!$A$1:$A$5,'Hiring Rates'!$B$1:$B$5)</f>
        <v>#N/A</v>
      </c>
    </row>
    <row r="59" spans="1:11" x14ac:dyDescent="0.25">
      <c r="A59" s="6" t="s">
        <v>160</v>
      </c>
      <c r="B59" s="6" t="s">
        <v>15</v>
      </c>
      <c r="C59">
        <v>27</v>
      </c>
      <c r="D59" t="s">
        <v>13</v>
      </c>
      <c r="E59" s="10">
        <v>44174</v>
      </c>
      <c r="F59" s="6" t="s">
        <v>21</v>
      </c>
      <c r="G59">
        <v>91650</v>
      </c>
      <c r="H59" t="s">
        <v>205</v>
      </c>
      <c r="I59" s="8">
        <f ca="1">(TODAY()-staff[[#This Row],[Date Joined]])/365</f>
        <v>2.7835616438356166</v>
      </c>
      <c r="J59" s="19">
        <f ca="1">ROUNDUP(IF(staff[[#This Row],[Tenure]]&gt;2,3%,2%)*staff[[#This Row],[Salary]],0)</f>
        <v>2750</v>
      </c>
      <c r="K59" s="18" t="e">
        <f>_xll.XLOOKUP(staff[[#This Row],[Rating]],'Hiring Rates'!$A$1:$A$5,'Hiring Rates'!$B$1:$B$5)</f>
        <v>#N/A</v>
      </c>
    </row>
    <row r="60" spans="1:11" x14ac:dyDescent="0.25">
      <c r="A60" s="6" t="s">
        <v>68</v>
      </c>
      <c r="B60" s="6" t="s">
        <v>15</v>
      </c>
      <c r="C60">
        <v>27</v>
      </c>
      <c r="D60" t="s">
        <v>13</v>
      </c>
      <c r="E60" s="10">
        <v>44236</v>
      </c>
      <c r="F60" s="6" t="s">
        <v>21</v>
      </c>
      <c r="G60">
        <v>91650</v>
      </c>
      <c r="H60" t="s">
        <v>207</v>
      </c>
      <c r="I60" s="8">
        <f ca="1">(TODAY()-staff[[#This Row],[Date Joined]])/365</f>
        <v>2.6136986301369864</v>
      </c>
      <c r="J60" s="19">
        <f ca="1">ROUNDUP(IF(staff[[#This Row],[Tenure]]&gt;2,3%,2%)*staff[[#This Row],[Salary]],0)</f>
        <v>2750</v>
      </c>
      <c r="K60" s="18" t="e">
        <f>_xll.XLOOKUP(staff[[#This Row],[Rating]],'Hiring Rates'!$A$1:$A$5,'Hiring Rates'!$B$1:$B$5)</f>
        <v>#N/A</v>
      </c>
    </row>
    <row r="61" spans="1:11" x14ac:dyDescent="0.25">
      <c r="A61" s="6" t="s">
        <v>145</v>
      </c>
      <c r="B61" s="6" t="s">
        <v>206</v>
      </c>
      <c r="C61">
        <v>32</v>
      </c>
      <c r="D61" t="s">
        <v>16</v>
      </c>
      <c r="E61" s="10">
        <v>44713</v>
      </c>
      <c r="F61" s="6" t="s">
        <v>12</v>
      </c>
      <c r="G61">
        <v>91310</v>
      </c>
      <c r="H61" t="s">
        <v>205</v>
      </c>
      <c r="I61" s="8">
        <f ca="1">(TODAY()-staff[[#This Row],[Date Joined]])/365</f>
        <v>1.3068493150684932</v>
      </c>
      <c r="J61" s="19">
        <f ca="1">ROUNDUP(IF(staff[[#This Row],[Tenure]]&gt;2,3%,2%)*staff[[#This Row],[Salary]],0)</f>
        <v>1827</v>
      </c>
      <c r="K61" s="18" t="e">
        <f>_xll.XLOOKUP(staff[[#This Row],[Rating]],'Hiring Rates'!$A$1:$A$5,'Hiring Rates'!$B$1:$B$5)</f>
        <v>#N/A</v>
      </c>
    </row>
    <row r="62" spans="1:11" x14ac:dyDescent="0.25">
      <c r="A62" s="6" t="s">
        <v>52</v>
      </c>
      <c r="B62" s="6" t="s">
        <v>206</v>
      </c>
      <c r="C62">
        <v>32</v>
      </c>
      <c r="D62" t="s">
        <v>16</v>
      </c>
      <c r="E62" s="10">
        <v>44774</v>
      </c>
      <c r="F62" s="6" t="s">
        <v>12</v>
      </c>
      <c r="G62">
        <v>91310</v>
      </c>
      <c r="H62" t="s">
        <v>207</v>
      </c>
      <c r="I62" s="8">
        <f ca="1">(TODAY()-staff[[#This Row],[Date Joined]])/365</f>
        <v>1.1397260273972603</v>
      </c>
      <c r="J62" s="19">
        <f ca="1">ROUNDUP(IF(staff[[#This Row],[Tenure]]&gt;2,3%,2%)*staff[[#This Row],[Salary]],0)</f>
        <v>1827</v>
      </c>
      <c r="K62" s="18" t="e">
        <f>_xll.XLOOKUP(staff[[#This Row],[Rating]],'Hiring Rates'!$A$1:$A$5,'Hiring Rates'!$B$1:$B$5)</f>
        <v>#N/A</v>
      </c>
    </row>
    <row r="63" spans="1:11" x14ac:dyDescent="0.25">
      <c r="A63" s="6" t="s">
        <v>112</v>
      </c>
      <c r="B63" s="6" t="s">
        <v>206</v>
      </c>
      <c r="C63">
        <v>27</v>
      </c>
      <c r="D63" t="s">
        <v>13</v>
      </c>
      <c r="E63" s="10">
        <v>44212</v>
      </c>
      <c r="F63" s="6" t="s">
        <v>12</v>
      </c>
      <c r="G63">
        <v>90700</v>
      </c>
      <c r="H63" t="s">
        <v>205</v>
      </c>
      <c r="I63" s="8">
        <f ca="1">(TODAY()-staff[[#This Row],[Date Joined]])/365</f>
        <v>2.6794520547945204</v>
      </c>
      <c r="J63" s="19">
        <f ca="1">ROUNDUP(IF(staff[[#This Row],[Tenure]]&gt;2,3%,2%)*staff[[#This Row],[Salary]],0)</f>
        <v>2721</v>
      </c>
      <c r="K63" s="18" t="e">
        <f>_xll.XLOOKUP(staff[[#This Row],[Rating]],'Hiring Rates'!$A$1:$A$5,'Hiring Rates'!$B$1:$B$5)</f>
        <v>#N/A</v>
      </c>
    </row>
    <row r="64" spans="1:11" x14ac:dyDescent="0.25">
      <c r="A64" s="6" t="s">
        <v>11</v>
      </c>
      <c r="B64" s="6" t="s">
        <v>206</v>
      </c>
      <c r="C64">
        <v>26</v>
      </c>
      <c r="D64" t="s">
        <v>13</v>
      </c>
      <c r="E64" s="10">
        <v>44271</v>
      </c>
      <c r="F64" s="6" t="s">
        <v>12</v>
      </c>
      <c r="G64">
        <v>90700</v>
      </c>
      <c r="H64" t="s">
        <v>207</v>
      </c>
      <c r="I64" s="8">
        <f ca="1">(TODAY()-staff[[#This Row],[Date Joined]])/365</f>
        <v>2.5178082191780824</v>
      </c>
      <c r="J64" s="19">
        <f ca="1">ROUNDUP(IF(staff[[#This Row],[Tenure]]&gt;2,3%,2%)*staff[[#This Row],[Salary]],0)</f>
        <v>2721</v>
      </c>
      <c r="K64" s="18" t="e">
        <f>_xll.XLOOKUP(staff[[#This Row],[Rating]],'Hiring Rates'!$A$1:$A$5,'Hiring Rates'!$B$1:$B$5)</f>
        <v>#N/A</v>
      </c>
    </row>
    <row r="65" spans="1:11" x14ac:dyDescent="0.25">
      <c r="A65" s="6" t="s">
        <v>118</v>
      </c>
      <c r="B65" s="6" t="s">
        <v>15</v>
      </c>
      <c r="C65">
        <v>37</v>
      </c>
      <c r="D65" t="s">
        <v>24</v>
      </c>
      <c r="E65" s="10">
        <v>44277</v>
      </c>
      <c r="F65" s="6" t="s">
        <v>12</v>
      </c>
      <c r="G65">
        <v>88050</v>
      </c>
      <c r="H65" t="s">
        <v>205</v>
      </c>
      <c r="I65" s="8">
        <f ca="1">(TODAY()-staff[[#This Row],[Date Joined]])/365</f>
        <v>2.5013698630136987</v>
      </c>
      <c r="J65" s="19">
        <f ca="1">ROUNDUP(IF(staff[[#This Row],[Tenure]]&gt;2,3%,2%)*staff[[#This Row],[Salary]],0)</f>
        <v>2642</v>
      </c>
      <c r="K65" s="18" t="e">
        <f>_xll.XLOOKUP(staff[[#This Row],[Rating]],'Hiring Rates'!$A$1:$A$5,'Hiring Rates'!$B$1:$B$5)</f>
        <v>#N/A</v>
      </c>
    </row>
    <row r="66" spans="1:11" x14ac:dyDescent="0.25">
      <c r="A66" s="6" t="s">
        <v>23</v>
      </c>
      <c r="B66" s="6" t="s">
        <v>15</v>
      </c>
      <c r="C66">
        <v>37</v>
      </c>
      <c r="D66" t="s">
        <v>24</v>
      </c>
      <c r="E66" s="10">
        <v>44338</v>
      </c>
      <c r="F66" s="6" t="s">
        <v>12</v>
      </c>
      <c r="G66">
        <v>88050</v>
      </c>
      <c r="H66" t="s">
        <v>207</v>
      </c>
      <c r="I66" s="8">
        <f ca="1">(TODAY()-staff[[#This Row],[Date Joined]])/365</f>
        <v>2.3342465753424659</v>
      </c>
      <c r="J66" s="19">
        <f ca="1">ROUNDUP(IF(staff[[#This Row],[Tenure]]&gt;2,3%,2%)*staff[[#This Row],[Salary]],0)</f>
        <v>2642</v>
      </c>
      <c r="K66" s="18" t="e">
        <f>_xll.XLOOKUP(staff[[#This Row],[Rating]],'Hiring Rates'!$A$1:$A$5,'Hiring Rates'!$B$1:$B$5)</f>
        <v>#N/A</v>
      </c>
    </row>
    <row r="67" spans="1:11" x14ac:dyDescent="0.25">
      <c r="A67" s="6" t="s">
        <v>166</v>
      </c>
      <c r="B67" s="6" t="s">
        <v>8</v>
      </c>
      <c r="C67">
        <v>40</v>
      </c>
      <c r="D67" t="s">
        <v>16</v>
      </c>
      <c r="E67" s="10">
        <v>44276</v>
      </c>
      <c r="F67" s="6" t="s">
        <v>12</v>
      </c>
      <c r="G67">
        <v>87620</v>
      </c>
      <c r="H67" t="s">
        <v>205</v>
      </c>
      <c r="I67" s="8">
        <f ca="1">(TODAY()-staff[[#This Row],[Date Joined]])/365</f>
        <v>2.504109589041096</v>
      </c>
      <c r="J67" s="19">
        <f ca="1">ROUNDUP(IF(staff[[#This Row],[Tenure]]&gt;2,3%,2%)*staff[[#This Row],[Salary]],0)</f>
        <v>2629</v>
      </c>
      <c r="K67" s="18" t="e">
        <f>_xll.XLOOKUP(staff[[#This Row],[Rating]],'Hiring Rates'!$A$1:$A$5,'Hiring Rates'!$B$1:$B$5)</f>
        <v>#N/A</v>
      </c>
    </row>
    <row r="68" spans="1:11" x14ac:dyDescent="0.25">
      <c r="A68" s="6" t="s">
        <v>74</v>
      </c>
      <c r="B68" s="6" t="s">
        <v>8</v>
      </c>
      <c r="C68">
        <v>40</v>
      </c>
      <c r="D68" t="s">
        <v>16</v>
      </c>
      <c r="E68" s="10">
        <v>44337</v>
      </c>
      <c r="F68" s="6" t="s">
        <v>12</v>
      </c>
      <c r="G68">
        <v>87620</v>
      </c>
      <c r="H68" t="s">
        <v>207</v>
      </c>
      <c r="I68" s="8">
        <f ca="1">(TODAY()-staff[[#This Row],[Date Joined]])/365</f>
        <v>2.3369863013698629</v>
      </c>
      <c r="J68" s="19">
        <f ca="1">ROUNDUP(IF(staff[[#This Row],[Tenure]]&gt;2,3%,2%)*staff[[#This Row],[Salary]],0)</f>
        <v>2629</v>
      </c>
      <c r="K68" s="18" t="e">
        <f>_xll.XLOOKUP(staff[[#This Row],[Rating]],'Hiring Rates'!$A$1:$A$5,'Hiring Rates'!$B$1:$B$5)</f>
        <v>#N/A</v>
      </c>
    </row>
    <row r="69" spans="1:11" x14ac:dyDescent="0.25">
      <c r="A69" s="6" t="s">
        <v>181</v>
      </c>
      <c r="B69" s="6" t="s">
        <v>8</v>
      </c>
      <c r="C69">
        <v>33</v>
      </c>
      <c r="D69" t="s">
        <v>16</v>
      </c>
      <c r="E69" s="10">
        <v>44747</v>
      </c>
      <c r="F69" s="6" t="s">
        <v>21</v>
      </c>
      <c r="G69">
        <v>86570</v>
      </c>
      <c r="H69" t="s">
        <v>205</v>
      </c>
      <c r="I69" s="8">
        <f ca="1">(TODAY()-staff[[#This Row],[Date Joined]])/365</f>
        <v>1.2136986301369863</v>
      </c>
      <c r="J69" s="19">
        <f ca="1">ROUNDUP(IF(staff[[#This Row],[Tenure]]&gt;2,3%,2%)*staff[[#This Row],[Salary]],0)</f>
        <v>1732</v>
      </c>
      <c r="K69" s="18" t="e">
        <f>_xll.XLOOKUP(staff[[#This Row],[Rating]],'Hiring Rates'!$A$1:$A$5,'Hiring Rates'!$B$1:$B$5)</f>
        <v>#N/A</v>
      </c>
    </row>
    <row r="70" spans="1:11" x14ac:dyDescent="0.25">
      <c r="A70" s="6" t="s">
        <v>88</v>
      </c>
      <c r="B70" s="6" t="s">
        <v>8</v>
      </c>
      <c r="C70">
        <v>33</v>
      </c>
      <c r="D70" t="s">
        <v>16</v>
      </c>
      <c r="E70" s="10">
        <v>44809</v>
      </c>
      <c r="F70" s="6" t="s">
        <v>21</v>
      </c>
      <c r="G70">
        <v>86570</v>
      </c>
      <c r="H70" t="s">
        <v>207</v>
      </c>
      <c r="I70" s="8">
        <f ca="1">(TODAY()-staff[[#This Row],[Date Joined]])/365</f>
        <v>1.0438356164383562</v>
      </c>
      <c r="J70" s="19">
        <f ca="1">ROUNDUP(IF(staff[[#This Row],[Tenure]]&gt;2,3%,2%)*staff[[#This Row],[Salary]],0)</f>
        <v>1732</v>
      </c>
      <c r="K70" s="18" t="e">
        <f>_xll.XLOOKUP(staff[[#This Row],[Rating]],'Hiring Rates'!$A$1:$A$5,'Hiring Rates'!$B$1:$B$5)</f>
        <v>#N/A</v>
      </c>
    </row>
    <row r="71" spans="1:11" x14ac:dyDescent="0.25">
      <c r="A71" s="6" t="s">
        <v>122</v>
      </c>
      <c r="B71" s="6" t="s">
        <v>8</v>
      </c>
      <c r="C71">
        <v>34</v>
      </c>
      <c r="D71" t="s">
        <v>16</v>
      </c>
      <c r="E71" s="10">
        <v>44397</v>
      </c>
      <c r="F71" s="6" t="s">
        <v>21</v>
      </c>
      <c r="G71">
        <v>85000</v>
      </c>
      <c r="H71" t="s">
        <v>205</v>
      </c>
      <c r="I71" s="8">
        <f ca="1">(TODAY()-staff[[#This Row],[Date Joined]])/365</f>
        <v>2.1726027397260275</v>
      </c>
      <c r="J71" s="19">
        <f ca="1">ROUNDUP(IF(staff[[#This Row],[Tenure]]&gt;2,3%,2%)*staff[[#This Row],[Salary]],0)</f>
        <v>2550</v>
      </c>
      <c r="K71" s="18" t="e">
        <f>_xll.XLOOKUP(staff[[#This Row],[Rating]],'Hiring Rates'!$A$1:$A$5,'Hiring Rates'!$B$1:$B$5)</f>
        <v>#N/A</v>
      </c>
    </row>
    <row r="72" spans="1:11" x14ac:dyDescent="0.25">
      <c r="A72" s="6" t="s">
        <v>28</v>
      </c>
      <c r="B72" s="6" t="s">
        <v>8</v>
      </c>
      <c r="C72">
        <v>34</v>
      </c>
      <c r="D72" t="s">
        <v>16</v>
      </c>
      <c r="E72" s="10">
        <v>44459</v>
      </c>
      <c r="F72" s="6" t="s">
        <v>21</v>
      </c>
      <c r="G72">
        <v>85000</v>
      </c>
      <c r="H72" t="s">
        <v>207</v>
      </c>
      <c r="I72" s="8">
        <f ca="1">(TODAY()-staff[[#This Row],[Date Joined]])/365</f>
        <v>2.0027397260273974</v>
      </c>
      <c r="J72" s="19">
        <f ca="1">ROUNDUP(IF(staff[[#This Row],[Tenure]]&gt;2,3%,2%)*staff[[#This Row],[Salary]],0)</f>
        <v>2550</v>
      </c>
      <c r="K72" s="18" t="e">
        <f>_xll.XLOOKUP(staff[[#This Row],[Rating]],'Hiring Rates'!$A$1:$A$5,'Hiring Rates'!$B$1:$B$5)</f>
        <v>#N/A</v>
      </c>
    </row>
    <row r="73" spans="1:11" x14ac:dyDescent="0.25">
      <c r="A73" s="6" t="s">
        <v>185</v>
      </c>
      <c r="B73" s="6" t="s">
        <v>8</v>
      </c>
      <c r="C73">
        <v>27</v>
      </c>
      <c r="D73" t="s">
        <v>16</v>
      </c>
      <c r="E73" s="10">
        <v>44625</v>
      </c>
      <c r="F73" s="6" t="s">
        <v>12</v>
      </c>
      <c r="G73">
        <v>83750</v>
      </c>
      <c r="H73" t="s">
        <v>205</v>
      </c>
      <c r="I73" s="8">
        <f ca="1">(TODAY()-staff[[#This Row],[Date Joined]])/365</f>
        <v>1.547945205479452</v>
      </c>
      <c r="J73" s="19">
        <f ca="1">ROUNDUP(IF(staff[[#This Row],[Tenure]]&gt;2,3%,2%)*staff[[#This Row],[Salary]],0)</f>
        <v>1675</v>
      </c>
      <c r="K73" s="18" t="e">
        <f>_xll.XLOOKUP(staff[[#This Row],[Rating]],'Hiring Rates'!$A$1:$A$5,'Hiring Rates'!$B$1:$B$5)</f>
        <v>#N/A</v>
      </c>
    </row>
    <row r="74" spans="1:11" x14ac:dyDescent="0.25">
      <c r="A74" s="6" t="s">
        <v>92</v>
      </c>
      <c r="B74" s="6" t="s">
        <v>8</v>
      </c>
      <c r="C74">
        <v>27</v>
      </c>
      <c r="D74" t="s">
        <v>16</v>
      </c>
      <c r="E74" s="10">
        <v>44686</v>
      </c>
      <c r="F74" s="6" t="s">
        <v>12</v>
      </c>
      <c r="G74">
        <v>83750</v>
      </c>
      <c r="H74" t="s">
        <v>207</v>
      </c>
      <c r="I74" s="8">
        <f ca="1">(TODAY()-staff[[#This Row],[Date Joined]])/365</f>
        <v>1.3808219178082193</v>
      </c>
      <c r="J74" s="19">
        <f ca="1">ROUNDUP(IF(staff[[#This Row],[Tenure]]&gt;2,3%,2%)*staff[[#This Row],[Salary]],0)</f>
        <v>1675</v>
      </c>
      <c r="K74" s="18" t="e">
        <f>_xll.XLOOKUP(staff[[#This Row],[Rating]],'Hiring Rates'!$A$1:$A$5,'Hiring Rates'!$B$1:$B$5)</f>
        <v>#N/A</v>
      </c>
    </row>
    <row r="75" spans="1:11" x14ac:dyDescent="0.25">
      <c r="A75" s="6" t="s">
        <v>133</v>
      </c>
      <c r="B75" s="6" t="s">
        <v>8</v>
      </c>
      <c r="C75">
        <v>25</v>
      </c>
      <c r="D75" t="s">
        <v>13</v>
      </c>
      <c r="E75" s="10">
        <v>44633</v>
      </c>
      <c r="F75" s="6" t="s">
        <v>12</v>
      </c>
      <c r="G75">
        <v>80700</v>
      </c>
      <c r="H75" t="s">
        <v>205</v>
      </c>
      <c r="I75" s="8">
        <f ca="1">(TODAY()-staff[[#This Row],[Date Joined]])/365</f>
        <v>1.526027397260274</v>
      </c>
      <c r="J75" s="19">
        <f ca="1">ROUNDUP(IF(staff[[#This Row],[Tenure]]&gt;2,3%,2%)*staff[[#This Row],[Salary]],0)</f>
        <v>1614</v>
      </c>
      <c r="K75" s="18" t="e">
        <f>_xll.XLOOKUP(staff[[#This Row],[Rating]],'Hiring Rates'!$A$1:$A$5,'Hiring Rates'!$B$1:$B$5)</f>
        <v>#N/A</v>
      </c>
    </row>
    <row r="76" spans="1:11" x14ac:dyDescent="0.25">
      <c r="A76" s="6" t="s">
        <v>39</v>
      </c>
      <c r="B76" s="6" t="s">
        <v>8</v>
      </c>
      <c r="C76">
        <v>25</v>
      </c>
      <c r="D76" t="s">
        <v>13</v>
      </c>
      <c r="E76" s="10">
        <v>44694</v>
      </c>
      <c r="F76" s="6" t="s">
        <v>12</v>
      </c>
      <c r="G76">
        <v>80700</v>
      </c>
      <c r="H76" t="s">
        <v>207</v>
      </c>
      <c r="I76" s="8">
        <f ca="1">(TODAY()-staff[[#This Row],[Date Joined]])/365</f>
        <v>1.3589041095890411</v>
      </c>
      <c r="J76" s="19">
        <f ca="1">ROUNDUP(IF(staff[[#This Row],[Tenure]]&gt;2,3%,2%)*staff[[#This Row],[Salary]],0)</f>
        <v>1614</v>
      </c>
      <c r="K76" s="18" t="e">
        <f>_xll.XLOOKUP(staff[[#This Row],[Rating]],'Hiring Rates'!$A$1:$A$5,'Hiring Rates'!$B$1:$B$5)</f>
        <v>#N/A</v>
      </c>
    </row>
    <row r="77" spans="1:11" x14ac:dyDescent="0.25">
      <c r="A77" s="6" t="s">
        <v>197</v>
      </c>
      <c r="B77" s="6" t="s">
        <v>15</v>
      </c>
      <c r="C77">
        <v>20</v>
      </c>
      <c r="D77" t="s">
        <v>16</v>
      </c>
      <c r="E77" s="10">
        <v>44683</v>
      </c>
      <c r="F77" s="6" t="s">
        <v>9</v>
      </c>
      <c r="G77">
        <v>79570</v>
      </c>
      <c r="H77" t="s">
        <v>205</v>
      </c>
      <c r="I77" s="8">
        <f ca="1">(TODAY()-staff[[#This Row],[Date Joined]])/365</f>
        <v>1.3890410958904109</v>
      </c>
      <c r="J77" s="19">
        <f ca="1">ROUNDUP(IF(staff[[#This Row],[Tenure]]&gt;2,3%,2%)*staff[[#This Row],[Salary]],0)</f>
        <v>1592</v>
      </c>
      <c r="K77" s="18" t="e">
        <f>_xll.XLOOKUP(staff[[#This Row],[Rating]],'Hiring Rates'!$A$1:$A$5,'Hiring Rates'!$B$1:$B$5)</f>
        <v>#N/A</v>
      </c>
    </row>
    <row r="78" spans="1:11" x14ac:dyDescent="0.25">
      <c r="A78" s="6" t="s">
        <v>104</v>
      </c>
      <c r="B78" s="6" t="s">
        <v>15</v>
      </c>
      <c r="C78">
        <v>20</v>
      </c>
      <c r="D78" t="s">
        <v>16</v>
      </c>
      <c r="E78" s="10">
        <v>44744</v>
      </c>
      <c r="F78" s="6" t="s">
        <v>9</v>
      </c>
      <c r="G78">
        <v>79570</v>
      </c>
      <c r="H78" t="s">
        <v>207</v>
      </c>
      <c r="I78" s="8">
        <f ca="1">(TODAY()-staff[[#This Row],[Date Joined]])/365</f>
        <v>1.2219178082191782</v>
      </c>
      <c r="J78" s="19">
        <f ca="1">ROUNDUP(IF(staff[[#This Row],[Tenure]]&gt;2,3%,2%)*staff[[#This Row],[Salary]],0)</f>
        <v>1592</v>
      </c>
      <c r="K78" s="18" t="e">
        <f>_xll.XLOOKUP(staff[[#This Row],[Rating]],'Hiring Rates'!$A$1:$A$5,'Hiring Rates'!$B$1:$B$5)</f>
        <v>#N/A</v>
      </c>
    </row>
    <row r="79" spans="1:11" x14ac:dyDescent="0.25">
      <c r="A79" s="6" t="s">
        <v>141</v>
      </c>
      <c r="B79" s="6" t="s">
        <v>8</v>
      </c>
      <c r="C79">
        <v>36</v>
      </c>
      <c r="D79" t="s">
        <v>16</v>
      </c>
      <c r="E79" s="10">
        <v>44433</v>
      </c>
      <c r="F79" s="6" t="s">
        <v>19</v>
      </c>
      <c r="G79">
        <v>78540</v>
      </c>
      <c r="H79" t="s">
        <v>205</v>
      </c>
      <c r="I79" s="8">
        <f ca="1">(TODAY()-staff[[#This Row],[Date Joined]])/365</f>
        <v>2.0739726027397261</v>
      </c>
      <c r="J79" s="19">
        <f ca="1">ROUNDUP(IF(staff[[#This Row],[Tenure]]&gt;2,3%,2%)*staff[[#This Row],[Salary]],0)</f>
        <v>2357</v>
      </c>
      <c r="K79" s="18" t="e">
        <f>_xll.XLOOKUP(staff[[#This Row],[Rating]],'Hiring Rates'!$A$1:$A$5,'Hiring Rates'!$B$1:$B$5)</f>
        <v>#N/A</v>
      </c>
    </row>
    <row r="80" spans="1:11" x14ac:dyDescent="0.25">
      <c r="A80" s="6" t="s">
        <v>48</v>
      </c>
      <c r="B80" s="6" t="s">
        <v>8</v>
      </c>
      <c r="C80">
        <v>36</v>
      </c>
      <c r="D80" t="s">
        <v>16</v>
      </c>
      <c r="E80" s="10">
        <v>44494</v>
      </c>
      <c r="F80" s="6" t="s">
        <v>19</v>
      </c>
      <c r="G80">
        <v>78540</v>
      </c>
      <c r="H80" t="s">
        <v>207</v>
      </c>
      <c r="I80" s="8">
        <f ca="1">(TODAY()-staff[[#This Row],[Date Joined]])/365</f>
        <v>1.9068493150684931</v>
      </c>
      <c r="J80" s="19">
        <f ca="1">ROUNDUP(IF(staff[[#This Row],[Tenure]]&gt;2,3%,2%)*staff[[#This Row],[Salary]],0)</f>
        <v>1571</v>
      </c>
      <c r="K80" s="18" t="e">
        <f>_xll.XLOOKUP(staff[[#This Row],[Rating]],'Hiring Rates'!$A$1:$A$5,'Hiring Rates'!$B$1:$B$5)</f>
        <v>#N/A</v>
      </c>
    </row>
    <row r="81" spans="1:11" x14ac:dyDescent="0.25">
      <c r="A81" s="6" t="s">
        <v>164</v>
      </c>
      <c r="B81" s="6" t="s">
        <v>8</v>
      </c>
      <c r="C81">
        <v>36</v>
      </c>
      <c r="D81" t="s">
        <v>16</v>
      </c>
      <c r="E81" s="10">
        <v>44468</v>
      </c>
      <c r="F81" s="6" t="s">
        <v>9</v>
      </c>
      <c r="G81">
        <v>78390</v>
      </c>
      <c r="H81" t="s">
        <v>205</v>
      </c>
      <c r="I81" s="8">
        <f ca="1">(TODAY()-staff[[#This Row],[Date Joined]])/365</f>
        <v>1.978082191780822</v>
      </c>
      <c r="J81" s="19">
        <f ca="1">ROUNDUP(IF(staff[[#This Row],[Tenure]]&gt;2,3%,2%)*staff[[#This Row],[Salary]],0)</f>
        <v>1568</v>
      </c>
      <c r="K81" s="18" t="e">
        <f>_xll.XLOOKUP(staff[[#This Row],[Rating]],'Hiring Rates'!$A$1:$A$5,'Hiring Rates'!$B$1:$B$5)</f>
        <v>#N/A</v>
      </c>
    </row>
    <row r="82" spans="1:11" x14ac:dyDescent="0.25">
      <c r="A82" s="6" t="s">
        <v>72</v>
      </c>
      <c r="B82" s="6" t="s">
        <v>8</v>
      </c>
      <c r="C82">
        <v>36</v>
      </c>
      <c r="D82" t="s">
        <v>16</v>
      </c>
      <c r="E82" s="10">
        <v>44529</v>
      </c>
      <c r="F82" s="6" t="s">
        <v>9</v>
      </c>
      <c r="G82">
        <v>78390</v>
      </c>
      <c r="H82" t="s">
        <v>207</v>
      </c>
      <c r="I82" s="8">
        <f ca="1">(TODAY()-staff[[#This Row],[Date Joined]])/365</f>
        <v>1.810958904109589</v>
      </c>
      <c r="J82" s="19">
        <f ca="1">ROUNDUP(IF(staff[[#This Row],[Tenure]]&gt;2,3%,2%)*staff[[#This Row],[Salary]],0)</f>
        <v>1568</v>
      </c>
      <c r="K82" s="18" t="e">
        <f>_xll.XLOOKUP(staff[[#This Row],[Rating]],'Hiring Rates'!$A$1:$A$5,'Hiring Rates'!$B$1:$B$5)</f>
        <v>#N/A</v>
      </c>
    </row>
    <row r="83" spans="1:11" x14ac:dyDescent="0.25">
      <c r="A83" s="6" t="s">
        <v>154</v>
      </c>
      <c r="B83" s="6" t="s">
        <v>8</v>
      </c>
      <c r="C83">
        <v>22</v>
      </c>
      <c r="D83" t="s">
        <v>13</v>
      </c>
      <c r="E83" s="10">
        <v>44388</v>
      </c>
      <c r="F83" s="6" t="s">
        <v>9</v>
      </c>
      <c r="G83">
        <v>76900</v>
      </c>
      <c r="H83" t="s">
        <v>205</v>
      </c>
      <c r="I83" s="8">
        <f ca="1">(TODAY()-staff[[#This Row],[Date Joined]])/365</f>
        <v>2.1972602739726028</v>
      </c>
      <c r="J83" s="19">
        <f ca="1">ROUNDUP(IF(staff[[#This Row],[Tenure]]&gt;2,3%,2%)*staff[[#This Row],[Salary]],0)</f>
        <v>2307</v>
      </c>
      <c r="K83" s="18" t="e">
        <f>_xll.XLOOKUP(staff[[#This Row],[Rating]],'Hiring Rates'!$A$1:$A$5,'Hiring Rates'!$B$1:$B$5)</f>
        <v>#N/A</v>
      </c>
    </row>
    <row r="84" spans="1:11" x14ac:dyDescent="0.25">
      <c r="A84" s="6" t="s">
        <v>62</v>
      </c>
      <c r="B84" s="6" t="s">
        <v>8</v>
      </c>
      <c r="C84">
        <v>22</v>
      </c>
      <c r="D84" t="s">
        <v>13</v>
      </c>
      <c r="E84" s="10">
        <v>44450</v>
      </c>
      <c r="F84" s="6" t="s">
        <v>9</v>
      </c>
      <c r="G84">
        <v>76900</v>
      </c>
      <c r="H84" t="s">
        <v>207</v>
      </c>
      <c r="I84" s="8">
        <f ca="1">(TODAY()-staff[[#This Row],[Date Joined]])/365</f>
        <v>2.0273972602739727</v>
      </c>
      <c r="J84" s="19">
        <f ca="1">ROUNDUP(IF(staff[[#This Row],[Tenure]]&gt;2,3%,2%)*staff[[#This Row],[Salary]],0)</f>
        <v>2307</v>
      </c>
      <c r="K84" s="18" t="e">
        <f>_xll.XLOOKUP(staff[[#This Row],[Rating]],'Hiring Rates'!$A$1:$A$5,'Hiring Rates'!$B$1:$B$5)</f>
        <v>#N/A</v>
      </c>
    </row>
    <row r="85" spans="1:11" x14ac:dyDescent="0.25">
      <c r="A85" s="6" t="s">
        <v>129</v>
      </c>
      <c r="B85" s="6" t="s">
        <v>8</v>
      </c>
      <c r="C85">
        <v>28</v>
      </c>
      <c r="D85" t="s">
        <v>16</v>
      </c>
      <c r="E85" s="10">
        <v>44124</v>
      </c>
      <c r="F85" s="6" t="s">
        <v>21</v>
      </c>
      <c r="G85">
        <v>75970</v>
      </c>
      <c r="H85" t="s">
        <v>205</v>
      </c>
      <c r="I85" s="8">
        <f ca="1">(TODAY()-staff[[#This Row],[Date Joined]])/365</f>
        <v>2.9205479452054797</v>
      </c>
      <c r="J85" s="19">
        <f ca="1">ROUNDUP(IF(staff[[#This Row],[Tenure]]&gt;2,3%,2%)*staff[[#This Row],[Salary]],0)</f>
        <v>2280</v>
      </c>
      <c r="K85" s="18" t="e">
        <f>_xll.XLOOKUP(staff[[#This Row],[Rating]],'Hiring Rates'!$A$1:$A$5,'Hiring Rates'!$B$1:$B$5)</f>
        <v>#N/A</v>
      </c>
    </row>
    <row r="86" spans="1:11" x14ac:dyDescent="0.25">
      <c r="A86" s="6" t="s">
        <v>35</v>
      </c>
      <c r="B86" s="6" t="s">
        <v>8</v>
      </c>
      <c r="C86">
        <v>28</v>
      </c>
      <c r="D86" t="s">
        <v>16</v>
      </c>
      <c r="E86" s="10">
        <v>44185</v>
      </c>
      <c r="F86" s="6" t="s">
        <v>21</v>
      </c>
      <c r="G86">
        <v>75970</v>
      </c>
      <c r="H86" t="s">
        <v>207</v>
      </c>
      <c r="I86" s="8">
        <f ca="1">(TODAY()-staff[[#This Row],[Date Joined]])/365</f>
        <v>2.7534246575342465</v>
      </c>
      <c r="J86" s="19">
        <f ca="1">ROUNDUP(IF(staff[[#This Row],[Tenure]]&gt;2,3%,2%)*staff[[#This Row],[Salary]],0)</f>
        <v>2280</v>
      </c>
      <c r="K86" s="18" t="e">
        <f>_xll.XLOOKUP(staff[[#This Row],[Rating]],'Hiring Rates'!$A$1:$A$5,'Hiring Rates'!$B$1:$B$5)</f>
        <v>#N/A</v>
      </c>
    </row>
    <row r="87" spans="1:11" x14ac:dyDescent="0.25">
      <c r="A87" s="6" t="s">
        <v>170</v>
      </c>
      <c r="B87" s="6" t="s">
        <v>15</v>
      </c>
      <c r="C87">
        <v>21</v>
      </c>
      <c r="D87" t="s">
        <v>16</v>
      </c>
      <c r="E87" s="10">
        <v>44180</v>
      </c>
      <c r="F87" s="6" t="s">
        <v>56</v>
      </c>
      <c r="G87">
        <v>75880</v>
      </c>
      <c r="H87" t="s">
        <v>205</v>
      </c>
      <c r="I87" s="8">
        <f ca="1">(TODAY()-staff[[#This Row],[Date Joined]])/365</f>
        <v>2.7671232876712328</v>
      </c>
      <c r="J87" s="19">
        <f ca="1">ROUNDUP(IF(staff[[#This Row],[Tenure]]&gt;2,3%,2%)*staff[[#This Row],[Salary]],0)</f>
        <v>2277</v>
      </c>
      <c r="K87" s="18" t="e">
        <f>_xll.XLOOKUP(staff[[#This Row],[Rating]],'Hiring Rates'!$A$1:$A$5,'Hiring Rates'!$B$1:$B$5)</f>
        <v>#N/A</v>
      </c>
    </row>
    <row r="88" spans="1:11" x14ac:dyDescent="0.25">
      <c r="A88" s="6" t="s">
        <v>78</v>
      </c>
      <c r="B88" s="6" t="s">
        <v>15</v>
      </c>
      <c r="C88">
        <v>21</v>
      </c>
      <c r="D88" t="s">
        <v>16</v>
      </c>
      <c r="E88" s="10">
        <v>44242</v>
      </c>
      <c r="F88" s="6" t="s">
        <v>56</v>
      </c>
      <c r="G88">
        <v>75880</v>
      </c>
      <c r="H88" t="s">
        <v>207</v>
      </c>
      <c r="I88" s="8">
        <f ca="1">(TODAY()-staff[[#This Row],[Date Joined]])/365</f>
        <v>2.5972602739726027</v>
      </c>
      <c r="J88" s="19">
        <f ca="1">ROUNDUP(IF(staff[[#This Row],[Tenure]]&gt;2,3%,2%)*staff[[#This Row],[Salary]],0)</f>
        <v>2277</v>
      </c>
      <c r="K88" s="18" t="e">
        <f>_xll.XLOOKUP(staff[[#This Row],[Rating]],'Hiring Rates'!$A$1:$A$5,'Hiring Rates'!$B$1:$B$5)</f>
        <v>#N/A</v>
      </c>
    </row>
    <row r="89" spans="1:11" x14ac:dyDescent="0.25">
      <c r="A89" s="6" t="s">
        <v>135</v>
      </c>
      <c r="B89" s="6" t="s">
        <v>8</v>
      </c>
      <c r="C89">
        <v>33</v>
      </c>
      <c r="D89" t="s">
        <v>42</v>
      </c>
      <c r="E89" s="10">
        <v>44313</v>
      </c>
      <c r="F89" s="6" t="s">
        <v>12</v>
      </c>
      <c r="G89">
        <v>75480</v>
      </c>
      <c r="H89" t="s">
        <v>205</v>
      </c>
      <c r="I89" s="8">
        <f ca="1">(TODAY()-staff[[#This Row],[Date Joined]])/365</f>
        <v>2.4027397260273973</v>
      </c>
      <c r="J89" s="19">
        <f ca="1">ROUNDUP(IF(staff[[#This Row],[Tenure]]&gt;2,3%,2%)*staff[[#This Row],[Salary]],0)</f>
        <v>2265</v>
      </c>
      <c r="K89" s="18" t="e">
        <f>_xll.XLOOKUP(staff[[#This Row],[Rating]],'Hiring Rates'!$A$1:$A$5,'Hiring Rates'!$B$1:$B$5)</f>
        <v>#N/A</v>
      </c>
    </row>
    <row r="90" spans="1:11" x14ac:dyDescent="0.25">
      <c r="A90" s="6" t="s">
        <v>41</v>
      </c>
      <c r="B90" s="6" t="s">
        <v>8</v>
      </c>
      <c r="C90">
        <v>33</v>
      </c>
      <c r="D90" t="s">
        <v>42</v>
      </c>
      <c r="E90" s="10">
        <v>44374</v>
      </c>
      <c r="F90" s="6" t="s">
        <v>12</v>
      </c>
      <c r="G90">
        <v>75480</v>
      </c>
      <c r="H90" t="s">
        <v>207</v>
      </c>
      <c r="I90" s="8">
        <f ca="1">(TODAY()-staff[[#This Row],[Date Joined]])/365</f>
        <v>2.2356164383561645</v>
      </c>
      <c r="J90" s="19">
        <f ca="1">ROUNDUP(IF(staff[[#This Row],[Tenure]]&gt;2,3%,2%)*staff[[#This Row],[Salary]],0)</f>
        <v>2265</v>
      </c>
      <c r="K90" s="18" t="e">
        <f>_xll.XLOOKUP(staff[[#This Row],[Rating]],'Hiring Rates'!$A$1:$A$5,'Hiring Rates'!$B$1:$B$5)</f>
        <v>#N/A</v>
      </c>
    </row>
    <row r="91" spans="1:11" x14ac:dyDescent="0.25">
      <c r="A91" s="6" t="s">
        <v>188</v>
      </c>
      <c r="B91" s="6" t="s">
        <v>8</v>
      </c>
      <c r="C91">
        <v>33</v>
      </c>
      <c r="D91" t="s">
        <v>16</v>
      </c>
      <c r="E91" s="10">
        <v>44253</v>
      </c>
      <c r="F91" s="6" t="s">
        <v>12</v>
      </c>
      <c r="G91">
        <v>75280</v>
      </c>
      <c r="H91" t="s">
        <v>205</v>
      </c>
      <c r="I91" s="8">
        <f ca="1">(TODAY()-staff[[#This Row],[Date Joined]])/365</f>
        <v>2.5671232876712327</v>
      </c>
      <c r="J91" s="19">
        <f ca="1">ROUNDUP(IF(staff[[#This Row],[Tenure]]&gt;2,3%,2%)*staff[[#This Row],[Salary]],0)</f>
        <v>2259</v>
      </c>
      <c r="K91" s="18" t="e">
        <f>_xll.XLOOKUP(staff[[#This Row],[Rating]],'Hiring Rates'!$A$1:$A$5,'Hiring Rates'!$B$1:$B$5)</f>
        <v>#N/A</v>
      </c>
    </row>
    <row r="92" spans="1:11" x14ac:dyDescent="0.25">
      <c r="A92" s="6" t="s">
        <v>95</v>
      </c>
      <c r="B92" s="6" t="s">
        <v>8</v>
      </c>
      <c r="C92">
        <v>33</v>
      </c>
      <c r="D92" t="s">
        <v>16</v>
      </c>
      <c r="E92" s="10">
        <v>44312</v>
      </c>
      <c r="F92" s="6" t="s">
        <v>12</v>
      </c>
      <c r="G92">
        <v>75280</v>
      </c>
      <c r="H92" t="s">
        <v>207</v>
      </c>
      <c r="I92" s="8">
        <f ca="1">(TODAY()-staff[[#This Row],[Date Joined]])/365</f>
        <v>2.4054794520547946</v>
      </c>
      <c r="J92" s="19">
        <f ca="1">ROUNDUP(IF(staff[[#This Row],[Tenure]]&gt;2,3%,2%)*staff[[#This Row],[Salary]],0)</f>
        <v>2259</v>
      </c>
      <c r="K92" s="18" t="e">
        <f>_xll.XLOOKUP(staff[[#This Row],[Rating]],'Hiring Rates'!$A$1:$A$5,'Hiring Rates'!$B$1:$B$5)</f>
        <v>#N/A</v>
      </c>
    </row>
    <row r="93" spans="1:11" x14ac:dyDescent="0.25">
      <c r="A93" s="6" t="s">
        <v>111</v>
      </c>
      <c r="B93" s="6" t="s">
        <v>8</v>
      </c>
      <c r="C93">
        <v>42</v>
      </c>
      <c r="D93" t="s">
        <v>10</v>
      </c>
      <c r="E93" s="10">
        <v>44718</v>
      </c>
      <c r="F93" s="6" t="s">
        <v>9</v>
      </c>
      <c r="G93">
        <v>75000</v>
      </c>
      <c r="H93" t="s">
        <v>205</v>
      </c>
      <c r="I93" s="8">
        <f ca="1">(TODAY()-staff[[#This Row],[Date Joined]])/365</f>
        <v>1.2931506849315069</v>
      </c>
      <c r="J93" s="19">
        <f ca="1">ROUNDUP(IF(staff[[#This Row],[Tenure]]&gt;2,3%,2%)*staff[[#This Row],[Salary]],0)</f>
        <v>1500</v>
      </c>
      <c r="K93" s="18" t="e">
        <f>_xll.XLOOKUP(staff[[#This Row],[Rating]],'Hiring Rates'!$A$1:$A$5,'Hiring Rates'!$B$1:$B$5)</f>
        <v>#N/A</v>
      </c>
    </row>
    <row r="94" spans="1:11" x14ac:dyDescent="0.25">
      <c r="A94" s="6" t="s">
        <v>7</v>
      </c>
      <c r="B94" s="6" t="s">
        <v>8</v>
      </c>
      <c r="C94">
        <v>42</v>
      </c>
      <c r="D94" t="s">
        <v>10</v>
      </c>
      <c r="E94" s="10">
        <v>44779</v>
      </c>
      <c r="F94" s="6" t="s">
        <v>9</v>
      </c>
      <c r="G94">
        <v>75000</v>
      </c>
      <c r="H94" t="s">
        <v>207</v>
      </c>
      <c r="I94" s="8">
        <f ca="1">(TODAY()-staff[[#This Row],[Date Joined]])/365</f>
        <v>1.1260273972602739</v>
      </c>
      <c r="J94" s="19">
        <f ca="1">ROUNDUP(IF(staff[[#This Row],[Tenure]]&gt;2,3%,2%)*staff[[#This Row],[Salary]],0)</f>
        <v>1500</v>
      </c>
      <c r="K94" s="18" t="e">
        <f>_xll.XLOOKUP(staff[[#This Row],[Rating]],'Hiring Rates'!$A$1:$A$5,'Hiring Rates'!$B$1:$B$5)</f>
        <v>#N/A</v>
      </c>
    </row>
    <row r="95" spans="1:11" x14ac:dyDescent="0.25">
      <c r="A95" s="6" t="s">
        <v>115</v>
      </c>
      <c r="B95" s="6" t="s">
        <v>15</v>
      </c>
      <c r="C95">
        <v>33</v>
      </c>
      <c r="D95" t="s">
        <v>16</v>
      </c>
      <c r="E95" s="10">
        <v>44324</v>
      </c>
      <c r="F95" s="6" t="s">
        <v>19</v>
      </c>
      <c r="G95">
        <v>74550</v>
      </c>
      <c r="H95" t="s">
        <v>205</v>
      </c>
      <c r="I95" s="8">
        <f ca="1">(TODAY()-staff[[#This Row],[Date Joined]])/365</f>
        <v>2.3726027397260272</v>
      </c>
      <c r="J95" s="19">
        <f ca="1">ROUNDUP(IF(staff[[#This Row],[Tenure]]&gt;2,3%,2%)*staff[[#This Row],[Salary]],0)</f>
        <v>2237</v>
      </c>
      <c r="K95" s="18" t="e">
        <f>_xll.XLOOKUP(staff[[#This Row],[Rating]],'Hiring Rates'!$A$1:$A$5,'Hiring Rates'!$B$1:$B$5)</f>
        <v>#N/A</v>
      </c>
    </row>
    <row r="96" spans="1:11" x14ac:dyDescent="0.25">
      <c r="A96" s="6" t="s">
        <v>18</v>
      </c>
      <c r="B96" s="6" t="s">
        <v>15</v>
      </c>
      <c r="C96">
        <v>33</v>
      </c>
      <c r="D96" t="s">
        <v>16</v>
      </c>
      <c r="E96" s="10">
        <v>44385</v>
      </c>
      <c r="F96" s="6" t="s">
        <v>19</v>
      </c>
      <c r="G96">
        <v>74550</v>
      </c>
      <c r="H96" t="s">
        <v>207</v>
      </c>
      <c r="I96" s="8">
        <f ca="1">(TODAY()-staff[[#This Row],[Date Joined]])/365</f>
        <v>2.2054794520547945</v>
      </c>
      <c r="J96" s="19">
        <f ca="1">ROUNDUP(IF(staff[[#This Row],[Tenure]]&gt;2,3%,2%)*staff[[#This Row],[Salary]],0)</f>
        <v>2237</v>
      </c>
      <c r="K96" s="18" t="e">
        <f>_xll.XLOOKUP(staff[[#This Row],[Rating]],'Hiring Rates'!$A$1:$A$5,'Hiring Rates'!$B$1:$B$5)</f>
        <v>#N/A</v>
      </c>
    </row>
    <row r="97" spans="1:11" x14ac:dyDescent="0.25">
      <c r="A97" s="6" t="s">
        <v>187</v>
      </c>
      <c r="B97" s="6" t="s">
        <v>15</v>
      </c>
      <c r="C97">
        <v>36</v>
      </c>
      <c r="D97" t="s">
        <v>16</v>
      </c>
      <c r="E97" s="10">
        <v>44272</v>
      </c>
      <c r="F97" s="6" t="s">
        <v>21</v>
      </c>
      <c r="G97">
        <v>71380</v>
      </c>
      <c r="H97" t="s">
        <v>205</v>
      </c>
      <c r="I97" s="8">
        <f ca="1">(TODAY()-staff[[#This Row],[Date Joined]])/365</f>
        <v>2.515068493150685</v>
      </c>
      <c r="J97" s="19">
        <f ca="1">ROUNDUP(IF(staff[[#This Row],[Tenure]]&gt;2,3%,2%)*staff[[#This Row],[Salary]],0)</f>
        <v>2142</v>
      </c>
      <c r="K97" s="18" t="e">
        <f>_xll.XLOOKUP(staff[[#This Row],[Rating]],'Hiring Rates'!$A$1:$A$5,'Hiring Rates'!$B$1:$B$5)</f>
        <v>#N/A</v>
      </c>
    </row>
    <row r="98" spans="1:11" x14ac:dyDescent="0.25">
      <c r="A98" s="6" t="s">
        <v>94</v>
      </c>
      <c r="B98" s="6" t="s">
        <v>15</v>
      </c>
      <c r="C98">
        <v>36</v>
      </c>
      <c r="D98" t="s">
        <v>16</v>
      </c>
      <c r="E98" s="10">
        <v>44333</v>
      </c>
      <c r="F98" s="6" t="s">
        <v>21</v>
      </c>
      <c r="G98">
        <v>71380</v>
      </c>
      <c r="H98" t="s">
        <v>207</v>
      </c>
      <c r="I98" s="8">
        <f ca="1">(TODAY()-staff[[#This Row],[Date Joined]])/365</f>
        <v>2.3479452054794518</v>
      </c>
      <c r="J98" s="19">
        <f ca="1">ROUNDUP(IF(staff[[#This Row],[Tenure]]&gt;2,3%,2%)*staff[[#This Row],[Salary]],0)</f>
        <v>2142</v>
      </c>
      <c r="K98" s="18" t="e">
        <f>_xll.XLOOKUP(staff[[#This Row],[Rating]],'Hiring Rates'!$A$1:$A$5,'Hiring Rates'!$B$1:$B$5)</f>
        <v>#N/A</v>
      </c>
    </row>
    <row r="99" spans="1:11" x14ac:dyDescent="0.25">
      <c r="A99" s="6" t="s">
        <v>162</v>
      </c>
      <c r="B99" s="6" t="s">
        <v>15</v>
      </c>
      <c r="C99">
        <v>46</v>
      </c>
      <c r="D99" t="s">
        <v>16</v>
      </c>
      <c r="E99" s="10">
        <v>44697</v>
      </c>
      <c r="F99" s="6" t="s">
        <v>9</v>
      </c>
      <c r="G99">
        <v>70610</v>
      </c>
      <c r="H99" t="s">
        <v>205</v>
      </c>
      <c r="I99" s="8">
        <f ca="1">(TODAY()-staff[[#This Row],[Date Joined]])/365</f>
        <v>1.3506849315068492</v>
      </c>
      <c r="J99" s="19">
        <f ca="1">ROUNDUP(IF(staff[[#This Row],[Tenure]]&gt;2,3%,2%)*staff[[#This Row],[Salary]],0)</f>
        <v>1413</v>
      </c>
      <c r="K99" s="18" t="e">
        <f>_xll.XLOOKUP(staff[[#This Row],[Rating]],'Hiring Rates'!$A$1:$A$5,'Hiring Rates'!$B$1:$B$5)</f>
        <v>#N/A</v>
      </c>
    </row>
    <row r="100" spans="1:11" x14ac:dyDescent="0.25">
      <c r="A100" s="6" t="s">
        <v>70</v>
      </c>
      <c r="B100" s="6" t="s">
        <v>15</v>
      </c>
      <c r="C100">
        <v>46</v>
      </c>
      <c r="D100" t="s">
        <v>16</v>
      </c>
      <c r="E100" s="10">
        <v>44758</v>
      </c>
      <c r="F100" s="6" t="s">
        <v>9</v>
      </c>
      <c r="G100">
        <v>70610</v>
      </c>
      <c r="H100" t="s">
        <v>207</v>
      </c>
      <c r="I100" s="8">
        <f ca="1">(TODAY()-staff[[#This Row],[Date Joined]])/365</f>
        <v>1.1835616438356165</v>
      </c>
      <c r="J100" s="19">
        <f ca="1">ROUNDUP(IF(staff[[#This Row],[Tenure]]&gt;2,3%,2%)*staff[[#This Row],[Salary]],0)</f>
        <v>1413</v>
      </c>
      <c r="K100" s="18" t="e">
        <f>_xll.XLOOKUP(staff[[#This Row],[Rating]],'Hiring Rates'!$A$1:$A$5,'Hiring Rates'!$B$1:$B$5)</f>
        <v>#N/A</v>
      </c>
    </row>
    <row r="101" spans="1:11" x14ac:dyDescent="0.25">
      <c r="A101" s="6" t="s">
        <v>183</v>
      </c>
      <c r="B101" s="6" t="s">
        <v>15</v>
      </c>
      <c r="C101">
        <v>42</v>
      </c>
      <c r="D101" t="s">
        <v>24</v>
      </c>
      <c r="E101" s="10">
        <v>44670</v>
      </c>
      <c r="F101" s="6" t="s">
        <v>21</v>
      </c>
      <c r="G101">
        <v>70270</v>
      </c>
      <c r="H101" t="s">
        <v>205</v>
      </c>
      <c r="I101" s="8">
        <f ca="1">(TODAY()-staff[[#This Row],[Date Joined]])/365</f>
        <v>1.4246575342465753</v>
      </c>
      <c r="J101" s="19">
        <f ca="1">ROUNDUP(IF(staff[[#This Row],[Tenure]]&gt;2,3%,2%)*staff[[#This Row],[Salary]],0)</f>
        <v>1406</v>
      </c>
      <c r="K101" s="18" t="e">
        <f>_xll.XLOOKUP(staff[[#This Row],[Rating]],'Hiring Rates'!$A$1:$A$5,'Hiring Rates'!$B$1:$B$5)</f>
        <v>#N/A</v>
      </c>
    </row>
    <row r="102" spans="1:11" x14ac:dyDescent="0.25">
      <c r="A102" s="6" t="s">
        <v>90</v>
      </c>
      <c r="B102" s="6" t="s">
        <v>15</v>
      </c>
      <c r="C102">
        <v>42</v>
      </c>
      <c r="D102" t="s">
        <v>24</v>
      </c>
      <c r="E102" s="10">
        <v>44731</v>
      </c>
      <c r="F102" s="6" t="s">
        <v>21</v>
      </c>
      <c r="G102">
        <v>70270</v>
      </c>
      <c r="H102" t="s">
        <v>207</v>
      </c>
      <c r="I102" s="8">
        <f ca="1">(TODAY()-staff[[#This Row],[Date Joined]])/365</f>
        <v>1.2575342465753425</v>
      </c>
      <c r="J102" s="19">
        <f ca="1">ROUNDUP(IF(staff[[#This Row],[Tenure]]&gt;2,3%,2%)*staff[[#This Row],[Salary]],0)</f>
        <v>1406</v>
      </c>
      <c r="K102" s="18" t="e">
        <f>_xll.XLOOKUP(staff[[#This Row],[Rating]],'Hiring Rates'!$A$1:$A$5,'Hiring Rates'!$B$1:$B$5)</f>
        <v>#N/A</v>
      </c>
    </row>
    <row r="103" spans="1:11" x14ac:dyDescent="0.25">
      <c r="A103" s="6" t="s">
        <v>159</v>
      </c>
      <c r="B103" s="6" t="s">
        <v>15</v>
      </c>
      <c r="C103">
        <v>30</v>
      </c>
      <c r="D103" t="s">
        <v>16</v>
      </c>
      <c r="E103" s="10">
        <v>44789</v>
      </c>
      <c r="F103" s="6" t="s">
        <v>12</v>
      </c>
      <c r="G103">
        <v>69710</v>
      </c>
      <c r="H103" t="s">
        <v>205</v>
      </c>
      <c r="I103" s="8">
        <f ca="1">(TODAY()-staff[[#This Row],[Date Joined]])/365</f>
        <v>1.0986301369863014</v>
      </c>
      <c r="J103" s="19">
        <f ca="1">ROUNDUP(IF(staff[[#This Row],[Tenure]]&gt;2,3%,2%)*staff[[#This Row],[Salary]],0)</f>
        <v>1395</v>
      </c>
      <c r="K103" s="18" t="e">
        <f>_xll.XLOOKUP(staff[[#This Row],[Rating]],'Hiring Rates'!$A$1:$A$5,'Hiring Rates'!$B$1:$B$5)</f>
        <v>#N/A</v>
      </c>
    </row>
    <row r="104" spans="1:11" x14ac:dyDescent="0.25">
      <c r="A104" s="6" t="s">
        <v>67</v>
      </c>
      <c r="B104" s="6" t="s">
        <v>15</v>
      </c>
      <c r="C104">
        <v>30</v>
      </c>
      <c r="D104" t="s">
        <v>16</v>
      </c>
      <c r="E104" s="10">
        <v>44850</v>
      </c>
      <c r="F104" s="6" t="s">
        <v>12</v>
      </c>
      <c r="G104">
        <v>69710</v>
      </c>
      <c r="H104" t="s">
        <v>207</v>
      </c>
      <c r="I104" s="8">
        <f ca="1">(TODAY()-staff[[#This Row],[Date Joined]])/365</f>
        <v>0.93150684931506844</v>
      </c>
      <c r="J104" s="19">
        <f ca="1">ROUNDUP(IF(staff[[#This Row],[Tenure]]&gt;2,3%,2%)*staff[[#This Row],[Salary]],0)</f>
        <v>1395</v>
      </c>
      <c r="K104" s="18" t="e">
        <f>_xll.XLOOKUP(staff[[#This Row],[Rating]],'Hiring Rates'!$A$1:$A$5,'Hiring Rates'!$B$1:$B$5)</f>
        <v>#N/A</v>
      </c>
    </row>
    <row r="105" spans="1:11" x14ac:dyDescent="0.25">
      <c r="A105" s="6" t="s">
        <v>119</v>
      </c>
      <c r="B105" s="6" t="s">
        <v>15</v>
      </c>
      <c r="C105">
        <v>30</v>
      </c>
      <c r="D105" t="s">
        <v>16</v>
      </c>
      <c r="E105" s="10">
        <v>44214</v>
      </c>
      <c r="F105" s="6" t="s">
        <v>12</v>
      </c>
      <c r="G105">
        <v>69120</v>
      </c>
      <c r="H105" t="s">
        <v>205</v>
      </c>
      <c r="I105" s="8">
        <f ca="1">(TODAY()-staff[[#This Row],[Date Joined]])/365</f>
        <v>2.6739726027397261</v>
      </c>
      <c r="J105" s="19">
        <f ca="1">ROUNDUP(IF(staff[[#This Row],[Tenure]]&gt;2,3%,2%)*staff[[#This Row],[Salary]],0)</f>
        <v>2074</v>
      </c>
      <c r="K105" s="18" t="e">
        <f>_xll.XLOOKUP(staff[[#This Row],[Rating]],'Hiring Rates'!$A$1:$A$5,'Hiring Rates'!$B$1:$B$5)</f>
        <v>#N/A</v>
      </c>
    </row>
    <row r="106" spans="1:11" x14ac:dyDescent="0.25">
      <c r="A106" s="6" t="s">
        <v>25</v>
      </c>
      <c r="B106" s="6" t="s">
        <v>15</v>
      </c>
      <c r="C106">
        <v>30</v>
      </c>
      <c r="D106" t="s">
        <v>16</v>
      </c>
      <c r="E106" s="10">
        <v>44273</v>
      </c>
      <c r="F106" s="6" t="s">
        <v>12</v>
      </c>
      <c r="G106">
        <v>69120</v>
      </c>
      <c r="H106" t="s">
        <v>207</v>
      </c>
      <c r="I106" s="8">
        <f ca="1">(TODAY()-staff[[#This Row],[Date Joined]])/365</f>
        <v>2.5123287671232877</v>
      </c>
      <c r="J106" s="19">
        <f ca="1">ROUNDUP(IF(staff[[#This Row],[Tenure]]&gt;2,3%,2%)*staff[[#This Row],[Salary]],0)</f>
        <v>2074</v>
      </c>
      <c r="K106" s="18" t="e">
        <f>_xll.XLOOKUP(staff[[#This Row],[Rating]],'Hiring Rates'!$A$1:$A$5,'Hiring Rates'!$B$1:$B$5)</f>
        <v>#N/A</v>
      </c>
    </row>
    <row r="107" spans="1:11" x14ac:dyDescent="0.25">
      <c r="A107" s="6" t="s">
        <v>190</v>
      </c>
      <c r="B107" s="6" t="s">
        <v>15</v>
      </c>
      <c r="C107">
        <v>37</v>
      </c>
      <c r="D107" t="s">
        <v>16</v>
      </c>
      <c r="E107" s="10">
        <v>44640</v>
      </c>
      <c r="F107" s="6" t="s">
        <v>12</v>
      </c>
      <c r="G107">
        <v>69070</v>
      </c>
      <c r="H107" t="s">
        <v>205</v>
      </c>
      <c r="I107" s="8">
        <f ca="1">(TODAY()-staff[[#This Row],[Date Joined]])/365</f>
        <v>1.5068493150684932</v>
      </c>
      <c r="J107" s="19">
        <f ca="1">ROUNDUP(IF(staff[[#This Row],[Tenure]]&gt;2,3%,2%)*staff[[#This Row],[Salary]],0)</f>
        <v>1382</v>
      </c>
      <c r="K107" s="18" t="e">
        <f>_xll.XLOOKUP(staff[[#This Row],[Rating]],'Hiring Rates'!$A$1:$A$5,'Hiring Rates'!$B$1:$B$5)</f>
        <v>#N/A</v>
      </c>
    </row>
    <row r="108" spans="1:11" x14ac:dyDescent="0.25">
      <c r="A108" s="6" t="s">
        <v>97</v>
      </c>
      <c r="B108" s="6" t="s">
        <v>15</v>
      </c>
      <c r="C108">
        <v>37</v>
      </c>
      <c r="D108" t="s">
        <v>16</v>
      </c>
      <c r="E108" s="10">
        <v>44701</v>
      </c>
      <c r="F108" s="6" t="s">
        <v>12</v>
      </c>
      <c r="G108">
        <v>69070</v>
      </c>
      <c r="H108" t="s">
        <v>207</v>
      </c>
      <c r="I108" s="8">
        <f ca="1">(TODAY()-staff[[#This Row],[Date Joined]])/365</f>
        <v>1.3397260273972602</v>
      </c>
      <c r="J108" s="19">
        <f ca="1">ROUNDUP(IF(staff[[#This Row],[Tenure]]&gt;2,3%,2%)*staff[[#This Row],[Salary]],0)</f>
        <v>1382</v>
      </c>
      <c r="K108" s="18" t="e">
        <f>_xll.XLOOKUP(staff[[#This Row],[Rating]],'Hiring Rates'!$A$1:$A$5,'Hiring Rates'!$B$1:$B$5)</f>
        <v>#N/A</v>
      </c>
    </row>
    <row r="109" spans="1:11" x14ac:dyDescent="0.25">
      <c r="A109" s="6" t="s">
        <v>184</v>
      </c>
      <c r="B109" s="6" t="s">
        <v>8</v>
      </c>
      <c r="C109">
        <v>20</v>
      </c>
      <c r="D109" t="s">
        <v>24</v>
      </c>
      <c r="E109" s="10">
        <v>44476</v>
      </c>
      <c r="F109" s="6" t="s">
        <v>19</v>
      </c>
      <c r="G109">
        <v>68900</v>
      </c>
      <c r="H109" t="s">
        <v>205</v>
      </c>
      <c r="I109" s="8">
        <f ca="1">(TODAY()-staff[[#This Row],[Date Joined]])/365</f>
        <v>1.9561643835616438</v>
      </c>
      <c r="J109" s="19">
        <f ca="1">ROUNDUP(IF(staff[[#This Row],[Tenure]]&gt;2,3%,2%)*staff[[#This Row],[Salary]],0)</f>
        <v>1378</v>
      </c>
      <c r="K109" s="18" t="e">
        <f>_xll.XLOOKUP(staff[[#This Row],[Rating]],'Hiring Rates'!$A$1:$A$5,'Hiring Rates'!$B$1:$B$5)</f>
        <v>#N/A</v>
      </c>
    </row>
    <row r="110" spans="1:11" x14ac:dyDescent="0.25">
      <c r="A110" s="6" t="s">
        <v>91</v>
      </c>
      <c r="B110" s="6" t="s">
        <v>8</v>
      </c>
      <c r="C110">
        <v>20</v>
      </c>
      <c r="D110" t="s">
        <v>24</v>
      </c>
      <c r="E110" s="10">
        <v>44537</v>
      </c>
      <c r="F110" s="6" t="s">
        <v>19</v>
      </c>
      <c r="G110">
        <v>68900</v>
      </c>
      <c r="H110" t="s">
        <v>207</v>
      </c>
      <c r="I110" s="8">
        <f ca="1">(TODAY()-staff[[#This Row],[Date Joined]])/365</f>
        <v>1.789041095890411</v>
      </c>
      <c r="J110" s="19">
        <f ca="1">ROUNDUP(IF(staff[[#This Row],[Tenure]]&gt;2,3%,2%)*staff[[#This Row],[Salary]],0)</f>
        <v>1378</v>
      </c>
      <c r="K110" s="18" t="e">
        <f>_xll.XLOOKUP(staff[[#This Row],[Rating]],'Hiring Rates'!$A$1:$A$5,'Hiring Rates'!$B$1:$B$5)</f>
        <v>#N/A</v>
      </c>
    </row>
    <row r="111" spans="1:11" x14ac:dyDescent="0.25">
      <c r="A111" s="6" t="s">
        <v>138</v>
      </c>
      <c r="B111" s="6" t="s">
        <v>15</v>
      </c>
      <c r="C111">
        <v>30</v>
      </c>
      <c r="D111" t="s">
        <v>16</v>
      </c>
      <c r="E111" s="10">
        <v>44640</v>
      </c>
      <c r="F111" s="6" t="s">
        <v>9</v>
      </c>
      <c r="G111">
        <v>67950</v>
      </c>
      <c r="H111" t="s">
        <v>205</v>
      </c>
      <c r="I111" s="8">
        <f ca="1">(TODAY()-staff[[#This Row],[Date Joined]])/365</f>
        <v>1.5068493150684932</v>
      </c>
      <c r="J111" s="19">
        <f ca="1">ROUNDUP(IF(staff[[#This Row],[Tenure]]&gt;2,3%,2%)*staff[[#This Row],[Salary]],0)</f>
        <v>1359</v>
      </c>
      <c r="K111" s="18" t="e">
        <f>_xll.XLOOKUP(staff[[#This Row],[Rating]],'Hiring Rates'!$A$1:$A$5,'Hiring Rates'!$B$1:$B$5)</f>
        <v>#N/A</v>
      </c>
    </row>
    <row r="112" spans="1:11" x14ac:dyDescent="0.25">
      <c r="A112" s="6" t="s">
        <v>45</v>
      </c>
      <c r="B112" s="6" t="s">
        <v>15</v>
      </c>
      <c r="C112">
        <v>30</v>
      </c>
      <c r="D112" t="s">
        <v>16</v>
      </c>
      <c r="E112" s="10">
        <v>44701</v>
      </c>
      <c r="F112" s="6" t="s">
        <v>9</v>
      </c>
      <c r="G112">
        <v>67950</v>
      </c>
      <c r="H112" t="s">
        <v>207</v>
      </c>
      <c r="I112" s="8">
        <f ca="1">(TODAY()-staff[[#This Row],[Date Joined]])/365</f>
        <v>1.3397260273972602</v>
      </c>
      <c r="J112" s="19">
        <f ca="1">ROUNDUP(IF(staff[[#This Row],[Tenure]]&gt;2,3%,2%)*staff[[#This Row],[Salary]],0)</f>
        <v>1359</v>
      </c>
      <c r="K112" s="18" t="e">
        <f>_xll.XLOOKUP(staff[[#This Row],[Rating]],'Hiring Rates'!$A$1:$A$5,'Hiring Rates'!$B$1:$B$5)</f>
        <v>#N/A</v>
      </c>
    </row>
    <row r="113" spans="1:11" x14ac:dyDescent="0.25">
      <c r="A113" s="6" t="s">
        <v>121</v>
      </c>
      <c r="B113" s="6" t="s">
        <v>8</v>
      </c>
      <c r="C113">
        <v>30</v>
      </c>
      <c r="D113" t="s">
        <v>24</v>
      </c>
      <c r="E113" s="10">
        <v>44328</v>
      </c>
      <c r="F113" s="6" t="s">
        <v>21</v>
      </c>
      <c r="G113">
        <v>67910</v>
      </c>
      <c r="H113" t="s">
        <v>205</v>
      </c>
      <c r="I113" s="8">
        <f ca="1">(TODAY()-staff[[#This Row],[Date Joined]])/365</f>
        <v>2.3616438356164382</v>
      </c>
      <c r="J113" s="19">
        <f ca="1">ROUNDUP(IF(staff[[#This Row],[Tenure]]&gt;2,3%,2%)*staff[[#This Row],[Salary]],0)</f>
        <v>2038</v>
      </c>
      <c r="K113" s="18" t="e">
        <f>_xll.XLOOKUP(staff[[#This Row],[Rating]],'Hiring Rates'!$A$1:$A$5,'Hiring Rates'!$B$1:$B$5)</f>
        <v>#N/A</v>
      </c>
    </row>
    <row r="114" spans="1:11" x14ac:dyDescent="0.25">
      <c r="A114" s="6" t="s">
        <v>27</v>
      </c>
      <c r="B114" s="6" t="s">
        <v>8</v>
      </c>
      <c r="C114">
        <v>30</v>
      </c>
      <c r="D114" t="s">
        <v>24</v>
      </c>
      <c r="E114" s="10">
        <v>44389</v>
      </c>
      <c r="F114" s="6" t="s">
        <v>21</v>
      </c>
      <c r="G114">
        <v>67910</v>
      </c>
      <c r="H114" t="s">
        <v>207</v>
      </c>
      <c r="I114" s="8">
        <f ca="1">(TODAY()-staff[[#This Row],[Date Joined]])/365</f>
        <v>2.1945205479452055</v>
      </c>
      <c r="J114" s="19">
        <f ca="1">ROUNDUP(IF(staff[[#This Row],[Tenure]]&gt;2,3%,2%)*staff[[#This Row],[Salary]],0)</f>
        <v>2038</v>
      </c>
      <c r="K114" s="18" t="e">
        <f>_xll.XLOOKUP(staff[[#This Row],[Rating]],'Hiring Rates'!$A$1:$A$5,'Hiring Rates'!$B$1:$B$5)</f>
        <v>#N/A</v>
      </c>
    </row>
    <row r="115" spans="1:11" x14ac:dyDescent="0.25">
      <c r="A115" s="6" t="s">
        <v>126</v>
      </c>
      <c r="B115" s="6" t="s">
        <v>8</v>
      </c>
      <c r="C115">
        <v>21</v>
      </c>
      <c r="D115" t="s">
        <v>16</v>
      </c>
      <c r="E115" s="10">
        <v>44256</v>
      </c>
      <c r="F115" s="6" t="s">
        <v>21</v>
      </c>
      <c r="G115">
        <v>65920</v>
      </c>
      <c r="H115" t="s">
        <v>205</v>
      </c>
      <c r="I115" s="8">
        <f ca="1">(TODAY()-staff[[#This Row],[Date Joined]])/365</f>
        <v>2.558904109589041</v>
      </c>
      <c r="J115" s="19">
        <f ca="1">ROUNDUP(IF(staff[[#This Row],[Tenure]]&gt;2,3%,2%)*staff[[#This Row],[Salary]],0)</f>
        <v>1978</v>
      </c>
      <c r="K115" s="18" t="e">
        <f>_xll.XLOOKUP(staff[[#This Row],[Rating]],'Hiring Rates'!$A$1:$A$5,'Hiring Rates'!$B$1:$B$5)</f>
        <v>#N/A</v>
      </c>
    </row>
    <row r="116" spans="1:11" x14ac:dyDescent="0.25">
      <c r="A116" s="6" t="s">
        <v>32</v>
      </c>
      <c r="B116" s="6" t="s">
        <v>8</v>
      </c>
      <c r="C116">
        <v>21</v>
      </c>
      <c r="D116" t="s">
        <v>16</v>
      </c>
      <c r="E116" s="10">
        <v>44317</v>
      </c>
      <c r="F116" s="6" t="s">
        <v>21</v>
      </c>
      <c r="G116">
        <v>65920</v>
      </c>
      <c r="H116" t="s">
        <v>207</v>
      </c>
      <c r="I116" s="8">
        <f ca="1">(TODAY()-staff[[#This Row],[Date Joined]])/365</f>
        <v>2.3917808219178083</v>
      </c>
      <c r="J116" s="19">
        <f ca="1">ROUNDUP(IF(staff[[#This Row],[Tenure]]&gt;2,3%,2%)*staff[[#This Row],[Salary]],0)</f>
        <v>1978</v>
      </c>
      <c r="K116" s="18" t="e">
        <f>_xll.XLOOKUP(staff[[#This Row],[Rating]],'Hiring Rates'!$A$1:$A$5,'Hiring Rates'!$B$1:$B$5)</f>
        <v>#N/A</v>
      </c>
    </row>
    <row r="117" spans="1:11" x14ac:dyDescent="0.25">
      <c r="A117" s="6" t="s">
        <v>168</v>
      </c>
      <c r="B117" s="6" t="s">
        <v>15</v>
      </c>
      <c r="C117">
        <v>25</v>
      </c>
      <c r="D117" t="s">
        <v>16</v>
      </c>
      <c r="E117" s="10">
        <v>44322</v>
      </c>
      <c r="F117" s="6" t="s">
        <v>19</v>
      </c>
      <c r="G117">
        <v>65700</v>
      </c>
      <c r="H117" t="s">
        <v>205</v>
      </c>
      <c r="I117" s="8">
        <f ca="1">(TODAY()-staff[[#This Row],[Date Joined]])/365</f>
        <v>2.3780821917808219</v>
      </c>
      <c r="J117" s="19">
        <f ca="1">ROUNDUP(IF(staff[[#This Row],[Tenure]]&gt;2,3%,2%)*staff[[#This Row],[Salary]],0)</f>
        <v>1971</v>
      </c>
      <c r="K117" s="18" t="e">
        <f>_xll.XLOOKUP(staff[[#This Row],[Rating]],'Hiring Rates'!$A$1:$A$5,'Hiring Rates'!$B$1:$B$5)</f>
        <v>#N/A</v>
      </c>
    </row>
    <row r="118" spans="1:11" x14ac:dyDescent="0.25">
      <c r="A118" s="6" t="s">
        <v>76</v>
      </c>
      <c r="B118" s="6" t="s">
        <v>15</v>
      </c>
      <c r="C118">
        <v>25</v>
      </c>
      <c r="D118" t="s">
        <v>16</v>
      </c>
      <c r="E118" s="10">
        <v>44383</v>
      </c>
      <c r="F118" s="6" t="s">
        <v>19</v>
      </c>
      <c r="G118">
        <v>65700</v>
      </c>
      <c r="H118" t="s">
        <v>207</v>
      </c>
      <c r="I118" s="8">
        <f ca="1">(TODAY()-staff[[#This Row],[Date Joined]])/365</f>
        <v>2.2109589041095892</v>
      </c>
      <c r="J118" s="19">
        <f ca="1">ROUNDUP(IF(staff[[#This Row],[Tenure]]&gt;2,3%,2%)*staff[[#This Row],[Salary]],0)</f>
        <v>1971</v>
      </c>
      <c r="K118" s="18" t="e">
        <f>_xll.XLOOKUP(staff[[#This Row],[Rating]],'Hiring Rates'!$A$1:$A$5,'Hiring Rates'!$B$1:$B$5)</f>
        <v>#N/A</v>
      </c>
    </row>
    <row r="119" spans="1:11" x14ac:dyDescent="0.25">
      <c r="A119" s="6" t="s">
        <v>186</v>
      </c>
      <c r="B119" s="6" t="s">
        <v>8</v>
      </c>
      <c r="C119">
        <v>33</v>
      </c>
      <c r="D119" t="s">
        <v>16</v>
      </c>
      <c r="E119" s="10">
        <v>44006</v>
      </c>
      <c r="F119" s="6" t="s">
        <v>21</v>
      </c>
      <c r="G119">
        <v>65360</v>
      </c>
      <c r="H119" t="s">
        <v>205</v>
      </c>
      <c r="I119" s="8">
        <f ca="1">(TODAY()-staff[[#This Row],[Date Joined]])/365</f>
        <v>3.2438356164383562</v>
      </c>
      <c r="J119" s="19">
        <f ca="1">ROUNDUP(IF(staff[[#This Row],[Tenure]]&gt;2,3%,2%)*staff[[#This Row],[Salary]],0)</f>
        <v>1961</v>
      </c>
      <c r="K119" s="18" t="e">
        <f>_xll.XLOOKUP(staff[[#This Row],[Rating]],'Hiring Rates'!$A$1:$A$5,'Hiring Rates'!$B$1:$B$5)</f>
        <v>#N/A</v>
      </c>
    </row>
    <row r="120" spans="1:11" x14ac:dyDescent="0.25">
      <c r="A120" s="6" t="s">
        <v>93</v>
      </c>
      <c r="B120" s="6" t="s">
        <v>8</v>
      </c>
      <c r="C120">
        <v>33</v>
      </c>
      <c r="D120" t="s">
        <v>16</v>
      </c>
      <c r="E120" s="10">
        <v>44067</v>
      </c>
      <c r="F120" s="6" t="s">
        <v>21</v>
      </c>
      <c r="G120">
        <v>65360</v>
      </c>
      <c r="H120" t="s">
        <v>207</v>
      </c>
      <c r="I120" s="8">
        <f ca="1">(TODAY()-staff[[#This Row],[Date Joined]])/365</f>
        <v>3.0767123287671234</v>
      </c>
      <c r="J120" s="19">
        <f ca="1">ROUNDUP(IF(staff[[#This Row],[Tenure]]&gt;2,3%,2%)*staff[[#This Row],[Salary]],0)</f>
        <v>1961</v>
      </c>
      <c r="K120" s="18" t="e">
        <f>_xll.XLOOKUP(staff[[#This Row],[Rating]],'Hiring Rates'!$A$1:$A$5,'Hiring Rates'!$B$1:$B$5)</f>
        <v>#N/A</v>
      </c>
    </row>
    <row r="121" spans="1:11" x14ac:dyDescent="0.25">
      <c r="A121" s="6" t="s">
        <v>116</v>
      </c>
      <c r="B121" s="6" t="s">
        <v>206</v>
      </c>
      <c r="C121">
        <v>30</v>
      </c>
      <c r="D121" t="s">
        <v>16</v>
      </c>
      <c r="E121" s="10">
        <v>44535</v>
      </c>
      <c r="F121" s="6" t="s">
        <v>21</v>
      </c>
      <c r="G121">
        <v>64000</v>
      </c>
      <c r="H121" t="s">
        <v>205</v>
      </c>
      <c r="I121" s="8">
        <f ca="1">(TODAY()-staff[[#This Row],[Date Joined]])/365</f>
        <v>1.7945205479452055</v>
      </c>
      <c r="J121" s="19">
        <f ca="1">ROUNDUP(IF(staff[[#This Row],[Tenure]]&gt;2,3%,2%)*staff[[#This Row],[Salary]],0)</f>
        <v>1280</v>
      </c>
      <c r="K121" s="18" t="e">
        <f>_xll.XLOOKUP(staff[[#This Row],[Rating]],'Hiring Rates'!$A$1:$A$5,'Hiring Rates'!$B$1:$B$5)</f>
        <v>#N/A</v>
      </c>
    </row>
    <row r="122" spans="1:11" x14ac:dyDescent="0.25">
      <c r="A122" s="6" t="s">
        <v>20</v>
      </c>
      <c r="B122" s="6" t="s">
        <v>206</v>
      </c>
      <c r="C122">
        <v>30</v>
      </c>
      <c r="D122" t="s">
        <v>16</v>
      </c>
      <c r="E122" s="10">
        <v>44597</v>
      </c>
      <c r="F122" s="6" t="s">
        <v>21</v>
      </c>
      <c r="G122">
        <v>64000</v>
      </c>
      <c r="H122" t="s">
        <v>207</v>
      </c>
      <c r="I122" s="8">
        <f ca="1">(TODAY()-staff[[#This Row],[Date Joined]])/365</f>
        <v>1.6246575342465754</v>
      </c>
      <c r="J122" s="19">
        <f ca="1">ROUNDUP(IF(staff[[#This Row],[Tenure]]&gt;2,3%,2%)*staff[[#This Row],[Salary]],0)</f>
        <v>1280</v>
      </c>
      <c r="K122" s="18" t="e">
        <f>_xll.XLOOKUP(staff[[#This Row],[Rating]],'Hiring Rates'!$A$1:$A$5,'Hiring Rates'!$B$1:$B$5)</f>
        <v>#N/A</v>
      </c>
    </row>
    <row r="123" spans="1:11" x14ac:dyDescent="0.25">
      <c r="A123" s="6" t="s">
        <v>153</v>
      </c>
      <c r="B123" s="6" t="s">
        <v>8</v>
      </c>
      <c r="C123">
        <v>24</v>
      </c>
      <c r="D123" t="s">
        <v>16</v>
      </c>
      <c r="E123" s="10">
        <v>44087</v>
      </c>
      <c r="F123" s="6" t="s">
        <v>12</v>
      </c>
      <c r="G123">
        <v>62780</v>
      </c>
      <c r="H123" t="s">
        <v>205</v>
      </c>
      <c r="I123" s="8">
        <f ca="1">(TODAY()-staff[[#This Row],[Date Joined]])/365</f>
        <v>3.021917808219178</v>
      </c>
      <c r="J123" s="19">
        <f ca="1">ROUNDUP(IF(staff[[#This Row],[Tenure]]&gt;2,3%,2%)*staff[[#This Row],[Salary]],0)</f>
        <v>1884</v>
      </c>
      <c r="K123" s="18" t="e">
        <f>_xll.XLOOKUP(staff[[#This Row],[Rating]],'Hiring Rates'!$A$1:$A$5,'Hiring Rates'!$B$1:$B$5)</f>
        <v>#N/A</v>
      </c>
    </row>
    <row r="124" spans="1:11" x14ac:dyDescent="0.25">
      <c r="A124" s="6" t="s">
        <v>61</v>
      </c>
      <c r="B124" s="6" t="s">
        <v>8</v>
      </c>
      <c r="C124">
        <v>24</v>
      </c>
      <c r="D124" t="s">
        <v>16</v>
      </c>
      <c r="E124" s="10">
        <v>44148</v>
      </c>
      <c r="F124" s="6" t="s">
        <v>12</v>
      </c>
      <c r="G124">
        <v>62780</v>
      </c>
      <c r="H124" t="s">
        <v>207</v>
      </c>
      <c r="I124" s="8">
        <f ca="1">(TODAY()-staff[[#This Row],[Date Joined]])/365</f>
        <v>2.8547945205479452</v>
      </c>
      <c r="J124" s="19">
        <f ca="1">ROUNDUP(IF(staff[[#This Row],[Tenure]]&gt;2,3%,2%)*staff[[#This Row],[Salary]],0)</f>
        <v>1884</v>
      </c>
      <c r="K124" s="18" t="e">
        <f>_xll.XLOOKUP(staff[[#This Row],[Rating]],'Hiring Rates'!$A$1:$A$5,'Hiring Rates'!$B$1:$B$5)</f>
        <v>#N/A</v>
      </c>
    </row>
    <row r="125" spans="1:11" x14ac:dyDescent="0.25">
      <c r="A125" s="6" t="s">
        <v>131</v>
      </c>
      <c r="B125" s="6" t="s">
        <v>15</v>
      </c>
      <c r="C125">
        <v>30</v>
      </c>
      <c r="D125" t="s">
        <v>16</v>
      </c>
      <c r="E125" s="10">
        <v>44607</v>
      </c>
      <c r="F125" s="6" t="s">
        <v>9</v>
      </c>
      <c r="G125">
        <v>60570</v>
      </c>
      <c r="H125" t="s">
        <v>205</v>
      </c>
      <c r="I125" s="8">
        <f ca="1">(TODAY()-staff[[#This Row],[Date Joined]])/365</f>
        <v>1.5972602739726027</v>
      </c>
      <c r="J125" s="19">
        <f ca="1">ROUNDUP(IF(staff[[#This Row],[Tenure]]&gt;2,3%,2%)*staff[[#This Row],[Salary]],0)</f>
        <v>1212</v>
      </c>
      <c r="K125" s="18" t="e">
        <f>_xll.XLOOKUP(staff[[#This Row],[Rating]],'Hiring Rates'!$A$1:$A$5,'Hiring Rates'!$B$1:$B$5)</f>
        <v>#N/A</v>
      </c>
    </row>
    <row r="126" spans="1:11" x14ac:dyDescent="0.25">
      <c r="A126" s="6" t="s">
        <v>37</v>
      </c>
      <c r="B126" s="6" t="s">
        <v>15</v>
      </c>
      <c r="C126">
        <v>30</v>
      </c>
      <c r="D126" t="s">
        <v>16</v>
      </c>
      <c r="E126" s="10">
        <v>44666</v>
      </c>
      <c r="F126" s="6" t="s">
        <v>9</v>
      </c>
      <c r="G126">
        <v>60570</v>
      </c>
      <c r="H126" t="s">
        <v>207</v>
      </c>
      <c r="I126" s="8">
        <f ca="1">(TODAY()-staff[[#This Row],[Date Joined]])/365</f>
        <v>1.4356164383561645</v>
      </c>
      <c r="J126" s="19">
        <f ca="1">ROUNDUP(IF(staff[[#This Row],[Tenure]]&gt;2,3%,2%)*staff[[#This Row],[Salary]],0)</f>
        <v>1212</v>
      </c>
      <c r="K126" s="18" t="e">
        <f>_xll.XLOOKUP(staff[[#This Row],[Rating]],'Hiring Rates'!$A$1:$A$5,'Hiring Rates'!$B$1:$B$5)</f>
        <v>#N/A</v>
      </c>
    </row>
    <row r="127" spans="1:11" x14ac:dyDescent="0.25">
      <c r="A127" s="6" t="s">
        <v>132</v>
      </c>
      <c r="B127" s="6" t="s">
        <v>8</v>
      </c>
      <c r="C127">
        <v>34</v>
      </c>
      <c r="D127" t="s">
        <v>16</v>
      </c>
      <c r="E127" s="10">
        <v>44550</v>
      </c>
      <c r="F127" s="6" t="s">
        <v>21</v>
      </c>
      <c r="G127">
        <v>60130</v>
      </c>
      <c r="H127" t="s">
        <v>205</v>
      </c>
      <c r="I127" s="8">
        <f ca="1">(TODAY()-staff[[#This Row],[Date Joined]])/365</f>
        <v>1.7534246575342465</v>
      </c>
      <c r="J127" s="19">
        <f ca="1">ROUNDUP(IF(staff[[#This Row],[Tenure]]&gt;2,3%,2%)*staff[[#This Row],[Salary]],0)</f>
        <v>1203</v>
      </c>
      <c r="K127" s="18" t="e">
        <f>_xll.XLOOKUP(staff[[#This Row],[Rating]],'Hiring Rates'!$A$1:$A$5,'Hiring Rates'!$B$1:$B$5)</f>
        <v>#N/A</v>
      </c>
    </row>
    <row r="128" spans="1:11" x14ac:dyDescent="0.25">
      <c r="A128" s="6" t="s">
        <v>38</v>
      </c>
      <c r="B128" s="6" t="s">
        <v>8</v>
      </c>
      <c r="C128">
        <v>34</v>
      </c>
      <c r="D128" t="s">
        <v>16</v>
      </c>
      <c r="E128" s="10">
        <v>44612</v>
      </c>
      <c r="F128" s="6" t="s">
        <v>21</v>
      </c>
      <c r="G128">
        <v>60130</v>
      </c>
      <c r="H128" t="s">
        <v>207</v>
      </c>
      <c r="I128" s="8">
        <f ca="1">(TODAY()-staff[[#This Row],[Date Joined]])/365</f>
        <v>1.5835616438356164</v>
      </c>
      <c r="J128" s="19">
        <f ca="1">ROUNDUP(IF(staff[[#This Row],[Tenure]]&gt;2,3%,2%)*staff[[#This Row],[Salary]],0)</f>
        <v>1203</v>
      </c>
      <c r="K128" s="18" t="e">
        <f>_xll.XLOOKUP(staff[[#This Row],[Rating]],'Hiring Rates'!$A$1:$A$5,'Hiring Rates'!$B$1:$B$5)</f>
        <v>#N/A</v>
      </c>
    </row>
    <row r="129" spans="1:11" x14ac:dyDescent="0.25">
      <c r="A129" s="6" t="s">
        <v>171</v>
      </c>
      <c r="B129" s="6" t="s">
        <v>15</v>
      </c>
      <c r="C129">
        <v>33</v>
      </c>
      <c r="D129" t="s">
        <v>16</v>
      </c>
      <c r="E129" s="10">
        <v>44181</v>
      </c>
      <c r="F129" s="6" t="s">
        <v>21</v>
      </c>
      <c r="G129">
        <v>59430</v>
      </c>
      <c r="H129" t="s">
        <v>205</v>
      </c>
      <c r="I129" s="8">
        <f ca="1">(TODAY()-staff[[#This Row],[Date Joined]])/365</f>
        <v>2.7643835616438355</v>
      </c>
      <c r="J129" s="19">
        <f ca="1">ROUNDUP(IF(staff[[#This Row],[Tenure]]&gt;2,3%,2%)*staff[[#This Row],[Salary]],0)</f>
        <v>1783</v>
      </c>
      <c r="K129" s="18" t="e">
        <f>_xll.XLOOKUP(staff[[#This Row],[Rating]],'Hiring Rates'!$A$1:$A$5,'Hiring Rates'!$B$1:$B$5)</f>
        <v>#N/A</v>
      </c>
    </row>
    <row r="130" spans="1:11" x14ac:dyDescent="0.25">
      <c r="A130" s="6" t="s">
        <v>79</v>
      </c>
      <c r="B130" s="6" t="s">
        <v>15</v>
      </c>
      <c r="C130">
        <v>33</v>
      </c>
      <c r="D130" t="s">
        <v>16</v>
      </c>
      <c r="E130" s="10">
        <v>44243</v>
      </c>
      <c r="F130" s="6" t="s">
        <v>21</v>
      </c>
      <c r="G130">
        <v>59430</v>
      </c>
      <c r="H130" t="s">
        <v>207</v>
      </c>
      <c r="I130" s="8">
        <f ca="1">(TODAY()-staff[[#This Row],[Date Joined]])/365</f>
        <v>2.5945205479452054</v>
      </c>
      <c r="J130" s="19">
        <f ca="1">ROUNDUP(IF(staff[[#This Row],[Tenure]]&gt;2,3%,2%)*staff[[#This Row],[Salary]],0)</f>
        <v>1783</v>
      </c>
      <c r="K130" s="18" t="e">
        <f>_xll.XLOOKUP(staff[[#This Row],[Rating]],'Hiring Rates'!$A$1:$A$5,'Hiring Rates'!$B$1:$B$5)</f>
        <v>#N/A</v>
      </c>
    </row>
    <row r="131" spans="1:11" x14ac:dyDescent="0.25">
      <c r="A131" s="6" t="s">
        <v>193</v>
      </c>
      <c r="B131" s="6" t="s">
        <v>15</v>
      </c>
      <c r="C131">
        <v>19</v>
      </c>
      <c r="D131" t="s">
        <v>16</v>
      </c>
      <c r="E131" s="10">
        <v>44218</v>
      </c>
      <c r="F131" s="6" t="s">
        <v>9</v>
      </c>
      <c r="G131">
        <v>58960</v>
      </c>
      <c r="H131" t="s">
        <v>205</v>
      </c>
      <c r="I131" s="8">
        <f ca="1">(TODAY()-staff[[#This Row],[Date Joined]])/365</f>
        <v>2.6630136986301371</v>
      </c>
      <c r="J131" s="19">
        <f ca="1">ROUNDUP(IF(staff[[#This Row],[Tenure]]&gt;2,3%,2%)*staff[[#This Row],[Salary]],0)</f>
        <v>1769</v>
      </c>
      <c r="K131" s="18" t="e">
        <f>_xll.XLOOKUP(staff[[#This Row],[Rating]],'Hiring Rates'!$A$1:$A$5,'Hiring Rates'!$B$1:$B$5)</f>
        <v>#N/A</v>
      </c>
    </row>
    <row r="132" spans="1:11" x14ac:dyDescent="0.25">
      <c r="A132" s="6" t="s">
        <v>100</v>
      </c>
      <c r="B132" s="6" t="s">
        <v>15</v>
      </c>
      <c r="C132">
        <v>19</v>
      </c>
      <c r="D132" t="s">
        <v>16</v>
      </c>
      <c r="E132" s="10">
        <v>44277</v>
      </c>
      <c r="F132" s="6" t="s">
        <v>9</v>
      </c>
      <c r="G132">
        <v>58960</v>
      </c>
      <c r="H132" t="s">
        <v>207</v>
      </c>
      <c r="I132" s="8">
        <f ca="1">(TODAY()-staff[[#This Row],[Date Joined]])/365</f>
        <v>2.5013698630136987</v>
      </c>
      <c r="J132" s="19">
        <f ca="1">ROUNDUP(IF(staff[[#This Row],[Tenure]]&gt;2,3%,2%)*staff[[#This Row],[Salary]],0)</f>
        <v>1769</v>
      </c>
      <c r="K132" s="18" t="e">
        <f>_xll.XLOOKUP(staff[[#This Row],[Rating]],'Hiring Rates'!$A$1:$A$5,'Hiring Rates'!$B$1:$B$5)</f>
        <v>#N/A</v>
      </c>
    </row>
    <row r="133" spans="1:11" x14ac:dyDescent="0.25">
      <c r="A133" s="6" t="s">
        <v>130</v>
      </c>
      <c r="B133" s="6" t="s">
        <v>8</v>
      </c>
      <c r="C133">
        <v>34</v>
      </c>
      <c r="D133" t="s">
        <v>16</v>
      </c>
      <c r="E133" s="10">
        <v>44594</v>
      </c>
      <c r="F133" s="6" t="s">
        <v>21</v>
      </c>
      <c r="G133">
        <v>58940</v>
      </c>
      <c r="H133" t="s">
        <v>205</v>
      </c>
      <c r="I133" s="8">
        <f ca="1">(TODAY()-staff[[#This Row],[Date Joined]])/365</f>
        <v>1.6328767123287671</v>
      </c>
      <c r="J133" s="19">
        <f ca="1">ROUNDUP(IF(staff[[#This Row],[Tenure]]&gt;2,3%,2%)*staff[[#This Row],[Salary]],0)</f>
        <v>1179</v>
      </c>
      <c r="K133" s="18" t="e">
        <f>_xll.XLOOKUP(staff[[#This Row],[Rating]],'Hiring Rates'!$A$1:$A$5,'Hiring Rates'!$B$1:$B$5)</f>
        <v>#N/A</v>
      </c>
    </row>
    <row r="134" spans="1:11" x14ac:dyDescent="0.25">
      <c r="A134" s="6" t="s">
        <v>36</v>
      </c>
      <c r="B134" s="6" t="s">
        <v>8</v>
      </c>
      <c r="C134">
        <v>34</v>
      </c>
      <c r="D134" t="s">
        <v>16</v>
      </c>
      <c r="E134" s="10">
        <v>44653</v>
      </c>
      <c r="F134" s="6" t="s">
        <v>21</v>
      </c>
      <c r="G134">
        <v>58940</v>
      </c>
      <c r="H134" t="s">
        <v>207</v>
      </c>
      <c r="I134" s="8">
        <f ca="1">(TODAY()-staff[[#This Row],[Date Joined]])/365</f>
        <v>1.4712328767123288</v>
      </c>
      <c r="J134" s="19">
        <f ca="1">ROUNDUP(IF(staff[[#This Row],[Tenure]]&gt;2,3%,2%)*staff[[#This Row],[Salary]],0)</f>
        <v>1179</v>
      </c>
      <c r="K134" s="18" t="e">
        <f>_xll.XLOOKUP(staff[[#This Row],[Rating]],'Hiring Rates'!$A$1:$A$5,'Hiring Rates'!$B$1:$B$5)</f>
        <v>#N/A</v>
      </c>
    </row>
    <row r="135" spans="1:11" x14ac:dyDescent="0.25">
      <c r="A135" s="6" t="s">
        <v>120</v>
      </c>
      <c r="B135" s="6" t="s">
        <v>8</v>
      </c>
      <c r="C135">
        <v>31</v>
      </c>
      <c r="D135" t="s">
        <v>16</v>
      </c>
      <c r="E135" s="10">
        <v>44604</v>
      </c>
      <c r="F135" s="6" t="s">
        <v>12</v>
      </c>
      <c r="G135">
        <v>58100</v>
      </c>
      <c r="H135" t="s">
        <v>205</v>
      </c>
      <c r="I135" s="8">
        <f ca="1">(TODAY()-staff[[#This Row],[Date Joined]])/365</f>
        <v>1.6054794520547946</v>
      </c>
      <c r="J135" s="19">
        <f ca="1">ROUNDUP(IF(staff[[#This Row],[Tenure]]&gt;2,3%,2%)*staff[[#This Row],[Salary]],0)</f>
        <v>1162</v>
      </c>
      <c r="K135" s="18" t="e">
        <f>_xll.XLOOKUP(staff[[#This Row],[Rating]],'Hiring Rates'!$A$1:$A$5,'Hiring Rates'!$B$1:$B$5)</f>
        <v>#N/A</v>
      </c>
    </row>
    <row r="136" spans="1:11" x14ac:dyDescent="0.25">
      <c r="A136" s="6" t="s">
        <v>26</v>
      </c>
      <c r="B136" s="6" t="s">
        <v>8</v>
      </c>
      <c r="C136">
        <v>31</v>
      </c>
      <c r="D136" t="s">
        <v>16</v>
      </c>
      <c r="E136" s="10">
        <v>44663</v>
      </c>
      <c r="F136" s="6" t="s">
        <v>12</v>
      </c>
      <c r="G136">
        <v>58100</v>
      </c>
      <c r="H136" t="s">
        <v>207</v>
      </c>
      <c r="I136" s="8">
        <f ca="1">(TODAY()-staff[[#This Row],[Date Joined]])/365</f>
        <v>1.4438356164383561</v>
      </c>
      <c r="J136" s="19">
        <f ca="1">ROUNDUP(IF(staff[[#This Row],[Tenure]]&gt;2,3%,2%)*staff[[#This Row],[Salary]],0)</f>
        <v>1162</v>
      </c>
      <c r="K136" s="18" t="e">
        <f>_xll.XLOOKUP(staff[[#This Row],[Rating]],'Hiring Rates'!$A$1:$A$5,'Hiring Rates'!$B$1:$B$5)</f>
        <v>#N/A</v>
      </c>
    </row>
    <row r="137" spans="1:11" x14ac:dyDescent="0.25">
      <c r="A137" s="6" t="s">
        <v>125</v>
      </c>
      <c r="B137" s="6" t="s">
        <v>15</v>
      </c>
      <c r="C137">
        <v>21</v>
      </c>
      <c r="D137" t="s">
        <v>16</v>
      </c>
      <c r="E137" s="10">
        <v>44701</v>
      </c>
      <c r="F137" s="6" t="s">
        <v>9</v>
      </c>
      <c r="G137">
        <v>57090</v>
      </c>
      <c r="H137" t="s">
        <v>205</v>
      </c>
      <c r="I137" s="8">
        <f ca="1">(TODAY()-staff[[#This Row],[Date Joined]])/365</f>
        <v>1.3397260273972602</v>
      </c>
      <c r="J137" s="19">
        <f ca="1">ROUNDUP(IF(staff[[#This Row],[Tenure]]&gt;2,3%,2%)*staff[[#This Row],[Salary]],0)</f>
        <v>1142</v>
      </c>
      <c r="K137" s="18" t="e">
        <f>_xll.XLOOKUP(staff[[#This Row],[Rating]],'Hiring Rates'!$A$1:$A$5,'Hiring Rates'!$B$1:$B$5)</f>
        <v>#N/A</v>
      </c>
    </row>
    <row r="138" spans="1:11" x14ac:dyDescent="0.25">
      <c r="A138" s="6" t="s">
        <v>31</v>
      </c>
      <c r="B138" s="6" t="s">
        <v>15</v>
      </c>
      <c r="C138">
        <v>21</v>
      </c>
      <c r="D138" t="s">
        <v>16</v>
      </c>
      <c r="E138" s="10">
        <v>44762</v>
      </c>
      <c r="F138" s="6" t="s">
        <v>9</v>
      </c>
      <c r="G138">
        <v>57090</v>
      </c>
      <c r="H138" t="s">
        <v>207</v>
      </c>
      <c r="I138" s="8">
        <f ca="1">(TODAY()-staff[[#This Row],[Date Joined]])/365</f>
        <v>1.1726027397260275</v>
      </c>
      <c r="J138" s="19">
        <f ca="1">ROUNDUP(IF(staff[[#This Row],[Tenure]]&gt;2,3%,2%)*staff[[#This Row],[Salary]],0)</f>
        <v>1142</v>
      </c>
      <c r="K138" s="18" t="e">
        <f>_xll.XLOOKUP(staff[[#This Row],[Rating]],'Hiring Rates'!$A$1:$A$5,'Hiring Rates'!$B$1:$B$5)</f>
        <v>#N/A</v>
      </c>
    </row>
    <row r="139" spans="1:11" x14ac:dyDescent="0.25">
      <c r="A139" s="6" t="s">
        <v>202</v>
      </c>
      <c r="B139" s="6" t="s">
        <v>8</v>
      </c>
      <c r="C139">
        <v>38</v>
      </c>
      <c r="D139" t="s">
        <v>13</v>
      </c>
      <c r="E139" s="10">
        <v>44268</v>
      </c>
      <c r="F139" s="6" t="s">
        <v>19</v>
      </c>
      <c r="G139">
        <v>56870</v>
      </c>
      <c r="H139" t="s">
        <v>205</v>
      </c>
      <c r="I139" s="8">
        <f ca="1">(TODAY()-staff[[#This Row],[Date Joined]])/365</f>
        <v>2.526027397260274</v>
      </c>
      <c r="J139" s="19">
        <f ca="1">ROUNDUP(IF(staff[[#This Row],[Tenure]]&gt;2,3%,2%)*staff[[#This Row],[Salary]],0)</f>
        <v>1707</v>
      </c>
      <c r="K139" s="18" t="e">
        <f>_xll.XLOOKUP(staff[[#This Row],[Rating]],'Hiring Rates'!$A$1:$A$5,'Hiring Rates'!$B$1:$B$5)</f>
        <v>#N/A</v>
      </c>
    </row>
    <row r="140" spans="1:11" x14ac:dyDescent="0.25">
      <c r="A140" s="6" t="s">
        <v>109</v>
      </c>
      <c r="B140" s="6" t="s">
        <v>8</v>
      </c>
      <c r="C140">
        <v>38</v>
      </c>
      <c r="D140" t="s">
        <v>13</v>
      </c>
      <c r="E140" s="10">
        <v>44329</v>
      </c>
      <c r="F140" s="6" t="s">
        <v>19</v>
      </c>
      <c r="G140">
        <v>56870</v>
      </c>
      <c r="H140" t="s">
        <v>207</v>
      </c>
      <c r="I140" s="8">
        <f ca="1">(TODAY()-staff[[#This Row],[Date Joined]])/365</f>
        <v>2.3589041095890413</v>
      </c>
      <c r="J140" s="19">
        <f ca="1">ROUNDUP(IF(staff[[#This Row],[Tenure]]&gt;2,3%,2%)*staff[[#This Row],[Salary]],0)</f>
        <v>1707</v>
      </c>
      <c r="K140" s="18" t="e">
        <f>_xll.XLOOKUP(staff[[#This Row],[Rating]],'Hiring Rates'!$A$1:$A$5,'Hiring Rates'!$B$1:$B$5)</f>
        <v>#N/A</v>
      </c>
    </row>
    <row r="141" spans="1:11" x14ac:dyDescent="0.25">
      <c r="A141" s="6" t="s">
        <v>182</v>
      </c>
      <c r="B141" s="6" t="s">
        <v>15</v>
      </c>
      <c r="C141">
        <v>27</v>
      </c>
      <c r="D141" t="s">
        <v>16</v>
      </c>
      <c r="E141" s="10">
        <v>44073</v>
      </c>
      <c r="F141" s="6" t="s">
        <v>19</v>
      </c>
      <c r="G141">
        <v>54970</v>
      </c>
      <c r="H141" t="s">
        <v>205</v>
      </c>
      <c r="I141" s="8">
        <f ca="1">(TODAY()-staff[[#This Row],[Date Joined]])/365</f>
        <v>3.0602739726027397</v>
      </c>
      <c r="J141" s="19">
        <f ca="1">ROUNDUP(IF(staff[[#This Row],[Tenure]]&gt;2,3%,2%)*staff[[#This Row],[Salary]],0)</f>
        <v>1650</v>
      </c>
      <c r="K141" s="18" t="e">
        <f>_xll.XLOOKUP(staff[[#This Row],[Rating]],'Hiring Rates'!$A$1:$A$5,'Hiring Rates'!$B$1:$B$5)</f>
        <v>#N/A</v>
      </c>
    </row>
    <row r="142" spans="1:11" x14ac:dyDescent="0.25">
      <c r="A142" s="6" t="s">
        <v>89</v>
      </c>
      <c r="B142" s="6" t="s">
        <v>15</v>
      </c>
      <c r="C142">
        <v>27</v>
      </c>
      <c r="D142" t="s">
        <v>16</v>
      </c>
      <c r="E142" s="10">
        <v>44134</v>
      </c>
      <c r="F142" s="6" t="s">
        <v>19</v>
      </c>
      <c r="G142">
        <v>54970</v>
      </c>
      <c r="H142" t="s">
        <v>207</v>
      </c>
      <c r="I142" s="8">
        <f ca="1">(TODAY()-staff[[#This Row],[Date Joined]])/365</f>
        <v>2.893150684931507</v>
      </c>
      <c r="J142" s="19">
        <f ca="1">ROUNDUP(IF(staff[[#This Row],[Tenure]]&gt;2,3%,2%)*staff[[#This Row],[Salary]],0)</f>
        <v>1650</v>
      </c>
      <c r="K142" s="18" t="e">
        <f>_xll.XLOOKUP(staff[[#This Row],[Rating]],'Hiring Rates'!$A$1:$A$5,'Hiring Rates'!$B$1:$B$5)</f>
        <v>#N/A</v>
      </c>
    </row>
    <row r="143" spans="1:11" x14ac:dyDescent="0.25">
      <c r="A143" s="6" t="s">
        <v>174</v>
      </c>
      <c r="B143" s="6" t="s">
        <v>15</v>
      </c>
      <c r="C143">
        <v>33</v>
      </c>
      <c r="D143" t="s">
        <v>16</v>
      </c>
      <c r="E143" s="10">
        <v>44448</v>
      </c>
      <c r="F143" s="6" t="s">
        <v>12</v>
      </c>
      <c r="G143">
        <v>53870</v>
      </c>
      <c r="H143" t="s">
        <v>205</v>
      </c>
      <c r="I143" s="8">
        <f ca="1">(TODAY()-staff[[#This Row],[Date Joined]])/365</f>
        <v>2.032876712328767</v>
      </c>
      <c r="J143" s="19">
        <f ca="1">ROUNDUP(IF(staff[[#This Row],[Tenure]]&gt;2,3%,2%)*staff[[#This Row],[Salary]],0)</f>
        <v>1617</v>
      </c>
      <c r="K143" s="18" t="e">
        <f>_xll.XLOOKUP(staff[[#This Row],[Rating]],'Hiring Rates'!$A$1:$A$5,'Hiring Rates'!$B$1:$B$5)</f>
        <v>#N/A</v>
      </c>
    </row>
    <row r="144" spans="1:11" x14ac:dyDescent="0.25">
      <c r="A144" s="6" t="s">
        <v>82</v>
      </c>
      <c r="B144" s="6" t="s">
        <v>15</v>
      </c>
      <c r="C144">
        <v>33</v>
      </c>
      <c r="D144" t="s">
        <v>16</v>
      </c>
      <c r="E144" s="10">
        <v>44509</v>
      </c>
      <c r="F144" s="6" t="s">
        <v>12</v>
      </c>
      <c r="G144">
        <v>53870</v>
      </c>
      <c r="H144" t="s">
        <v>207</v>
      </c>
      <c r="I144" s="8">
        <f ca="1">(TODAY()-staff[[#This Row],[Date Joined]])/365</f>
        <v>1.8657534246575342</v>
      </c>
      <c r="J144" s="19">
        <f ca="1">ROUNDUP(IF(staff[[#This Row],[Tenure]]&gt;2,3%,2%)*staff[[#This Row],[Salary]],0)</f>
        <v>1078</v>
      </c>
      <c r="K144" s="18" t="e">
        <f>_xll.XLOOKUP(staff[[#This Row],[Rating]],'Hiring Rates'!$A$1:$A$5,'Hiring Rates'!$B$1:$B$5)</f>
        <v>#N/A</v>
      </c>
    </row>
    <row r="145" spans="1:11" x14ac:dyDescent="0.25">
      <c r="A145" s="6" t="s">
        <v>157</v>
      </c>
      <c r="B145" s="6" t="s">
        <v>15</v>
      </c>
      <c r="C145">
        <v>32</v>
      </c>
      <c r="D145" t="s">
        <v>16</v>
      </c>
      <c r="E145" s="10">
        <v>44403</v>
      </c>
      <c r="F145" s="6" t="s">
        <v>19</v>
      </c>
      <c r="G145">
        <v>53540</v>
      </c>
      <c r="H145" t="s">
        <v>205</v>
      </c>
      <c r="I145" s="8">
        <f ca="1">(TODAY()-staff[[#This Row],[Date Joined]])/365</f>
        <v>2.1561643835616437</v>
      </c>
      <c r="J145" s="19">
        <f ca="1">ROUNDUP(IF(staff[[#This Row],[Tenure]]&gt;2,3%,2%)*staff[[#This Row],[Salary]],0)</f>
        <v>1607</v>
      </c>
      <c r="K145" s="18" t="e">
        <f>_xll.XLOOKUP(staff[[#This Row],[Rating]],'Hiring Rates'!$A$1:$A$5,'Hiring Rates'!$B$1:$B$5)</f>
        <v>#N/A</v>
      </c>
    </row>
    <row r="146" spans="1:11" x14ac:dyDescent="0.25">
      <c r="A146" s="6" t="s">
        <v>139</v>
      </c>
      <c r="B146" s="6" t="s">
        <v>15</v>
      </c>
      <c r="C146">
        <v>26</v>
      </c>
      <c r="D146" t="s">
        <v>16</v>
      </c>
      <c r="E146" s="10">
        <v>44350</v>
      </c>
      <c r="F146" s="6" t="s">
        <v>9</v>
      </c>
      <c r="G146">
        <v>53540</v>
      </c>
      <c r="H146" t="s">
        <v>205</v>
      </c>
      <c r="I146" s="8">
        <f ca="1">(TODAY()-staff[[#This Row],[Date Joined]])/365</f>
        <v>2.3013698630136985</v>
      </c>
      <c r="J146" s="19">
        <f ca="1">ROUNDUP(IF(staff[[#This Row],[Tenure]]&gt;2,3%,2%)*staff[[#This Row],[Salary]],0)</f>
        <v>1607</v>
      </c>
      <c r="K146" s="18" t="e">
        <f>_xll.XLOOKUP(staff[[#This Row],[Rating]],'Hiring Rates'!$A$1:$A$5,'Hiring Rates'!$B$1:$B$5)</f>
        <v>#N/A</v>
      </c>
    </row>
    <row r="147" spans="1:11" x14ac:dyDescent="0.25">
      <c r="A147" s="6" t="s">
        <v>65</v>
      </c>
      <c r="B147" s="6" t="s">
        <v>15</v>
      </c>
      <c r="C147">
        <v>32</v>
      </c>
      <c r="D147" t="s">
        <v>16</v>
      </c>
      <c r="E147" s="10">
        <v>44465</v>
      </c>
      <c r="F147" s="6" t="s">
        <v>19</v>
      </c>
      <c r="G147">
        <v>53540</v>
      </c>
      <c r="H147" t="s">
        <v>207</v>
      </c>
      <c r="I147" s="8">
        <f ca="1">(TODAY()-staff[[#This Row],[Date Joined]])/365</f>
        <v>1.9863013698630136</v>
      </c>
      <c r="J147" s="19">
        <f ca="1">ROUNDUP(IF(staff[[#This Row],[Tenure]]&gt;2,3%,2%)*staff[[#This Row],[Salary]],0)</f>
        <v>1071</v>
      </c>
      <c r="K147" s="18" t="e">
        <f>_xll.XLOOKUP(staff[[#This Row],[Rating]],'Hiring Rates'!$A$1:$A$5,'Hiring Rates'!$B$1:$B$5)</f>
        <v>#N/A</v>
      </c>
    </row>
    <row r="148" spans="1:11" x14ac:dyDescent="0.25">
      <c r="A148" s="6" t="s">
        <v>46</v>
      </c>
      <c r="B148" s="6" t="s">
        <v>15</v>
      </c>
      <c r="C148">
        <v>26</v>
      </c>
      <c r="D148" t="s">
        <v>16</v>
      </c>
      <c r="E148" s="10">
        <v>44411</v>
      </c>
      <c r="F148" s="6" t="s">
        <v>9</v>
      </c>
      <c r="G148">
        <v>53540</v>
      </c>
      <c r="H148" t="s">
        <v>207</v>
      </c>
      <c r="I148" s="8">
        <f ca="1">(TODAY()-staff[[#This Row],[Date Joined]])/365</f>
        <v>2.1342465753424658</v>
      </c>
      <c r="J148" s="19">
        <f ca="1">ROUNDUP(IF(staff[[#This Row],[Tenure]]&gt;2,3%,2%)*staff[[#This Row],[Salary]],0)</f>
        <v>1607</v>
      </c>
      <c r="K148" s="18" t="e">
        <f>_xll.XLOOKUP(staff[[#This Row],[Rating]],'Hiring Rates'!$A$1:$A$5,'Hiring Rates'!$B$1:$B$5)</f>
        <v>#N/A</v>
      </c>
    </row>
    <row r="149" spans="1:11" x14ac:dyDescent="0.25">
      <c r="A149" s="6" t="s">
        <v>167</v>
      </c>
      <c r="B149" s="6" t="s">
        <v>8</v>
      </c>
      <c r="C149">
        <v>28</v>
      </c>
      <c r="D149" t="s">
        <v>16</v>
      </c>
      <c r="E149" s="10">
        <v>44296</v>
      </c>
      <c r="F149" s="6" t="s">
        <v>19</v>
      </c>
      <c r="G149">
        <v>53240</v>
      </c>
      <c r="H149" t="s">
        <v>205</v>
      </c>
      <c r="I149" s="8">
        <f ca="1">(TODAY()-staff[[#This Row],[Date Joined]])/365</f>
        <v>2.4493150684931506</v>
      </c>
      <c r="J149" s="19">
        <f ca="1">ROUNDUP(IF(staff[[#This Row],[Tenure]]&gt;2,3%,2%)*staff[[#This Row],[Salary]],0)</f>
        <v>1598</v>
      </c>
      <c r="K149" s="18" t="e">
        <f>_xll.XLOOKUP(staff[[#This Row],[Rating]],'Hiring Rates'!$A$1:$A$5,'Hiring Rates'!$B$1:$B$5)</f>
        <v>#N/A</v>
      </c>
    </row>
    <row r="150" spans="1:11" x14ac:dyDescent="0.25">
      <c r="A150" s="6" t="s">
        <v>75</v>
      </c>
      <c r="B150" s="6" t="s">
        <v>8</v>
      </c>
      <c r="C150">
        <v>28</v>
      </c>
      <c r="D150" t="s">
        <v>16</v>
      </c>
      <c r="E150" s="10">
        <v>44357</v>
      </c>
      <c r="F150" s="6" t="s">
        <v>19</v>
      </c>
      <c r="G150">
        <v>53240</v>
      </c>
      <c r="H150" t="s">
        <v>207</v>
      </c>
      <c r="I150" s="8">
        <f ca="1">(TODAY()-staff[[#This Row],[Date Joined]])/365</f>
        <v>2.2821917808219179</v>
      </c>
      <c r="J150" s="19">
        <f ca="1">ROUNDUP(IF(staff[[#This Row],[Tenure]]&gt;2,3%,2%)*staff[[#This Row],[Salary]],0)</f>
        <v>1598</v>
      </c>
      <c r="K150" s="18" t="e">
        <f>_xll.XLOOKUP(staff[[#This Row],[Rating]],'Hiring Rates'!$A$1:$A$5,'Hiring Rates'!$B$1:$B$5)</f>
        <v>#N/A</v>
      </c>
    </row>
    <row r="151" spans="1:11" x14ac:dyDescent="0.25">
      <c r="A151" s="6" t="s">
        <v>155</v>
      </c>
      <c r="B151" s="6" t="s">
        <v>15</v>
      </c>
      <c r="C151">
        <v>24</v>
      </c>
      <c r="D151" t="s">
        <v>24</v>
      </c>
      <c r="E151" s="10">
        <v>44375</v>
      </c>
      <c r="F151" s="6" t="s">
        <v>21</v>
      </c>
      <c r="G151">
        <v>52610</v>
      </c>
      <c r="H151" t="s">
        <v>205</v>
      </c>
      <c r="I151" s="8">
        <f ca="1">(TODAY()-staff[[#This Row],[Date Joined]])/365</f>
        <v>2.2328767123287672</v>
      </c>
      <c r="J151" s="19">
        <f ca="1">ROUNDUP(IF(staff[[#This Row],[Tenure]]&gt;2,3%,2%)*staff[[#This Row],[Salary]],0)</f>
        <v>1579</v>
      </c>
      <c r="K151" s="18" t="e">
        <f>_xll.XLOOKUP(staff[[#This Row],[Rating]],'Hiring Rates'!$A$1:$A$5,'Hiring Rates'!$B$1:$B$5)</f>
        <v>#N/A</v>
      </c>
    </row>
    <row r="152" spans="1:11" x14ac:dyDescent="0.25">
      <c r="A152" s="6" t="s">
        <v>63</v>
      </c>
      <c r="B152" s="6" t="s">
        <v>15</v>
      </c>
      <c r="C152">
        <v>24</v>
      </c>
      <c r="D152" t="s">
        <v>24</v>
      </c>
      <c r="E152" s="10">
        <v>44436</v>
      </c>
      <c r="F152" s="6" t="s">
        <v>21</v>
      </c>
      <c r="G152">
        <v>52610</v>
      </c>
      <c r="H152" t="s">
        <v>207</v>
      </c>
      <c r="I152" s="8">
        <f ca="1">(TODAY()-staff[[#This Row],[Date Joined]])/365</f>
        <v>2.0657534246575344</v>
      </c>
      <c r="J152" s="19">
        <f ca="1">ROUNDUP(IF(staff[[#This Row],[Tenure]]&gt;2,3%,2%)*staff[[#This Row],[Salary]],0)</f>
        <v>1579</v>
      </c>
      <c r="K152" s="18" t="e">
        <f>_xll.XLOOKUP(staff[[#This Row],[Rating]],'Hiring Rates'!$A$1:$A$5,'Hiring Rates'!$B$1:$B$5)</f>
        <v>#N/A</v>
      </c>
    </row>
    <row r="153" spans="1:11" x14ac:dyDescent="0.25">
      <c r="A153" s="6" t="s">
        <v>165</v>
      </c>
      <c r="B153" s="6" t="s">
        <v>8</v>
      </c>
      <c r="C153">
        <v>34</v>
      </c>
      <c r="D153" t="s">
        <v>24</v>
      </c>
      <c r="E153" s="10">
        <v>44660</v>
      </c>
      <c r="F153" s="6" t="s">
        <v>19</v>
      </c>
      <c r="G153">
        <v>49630</v>
      </c>
      <c r="H153" t="s">
        <v>205</v>
      </c>
      <c r="I153" s="8">
        <f ca="1">(TODAY()-staff[[#This Row],[Date Joined]])/365</f>
        <v>1.452054794520548</v>
      </c>
      <c r="J153" s="19">
        <f ca="1">ROUNDUP(IF(staff[[#This Row],[Tenure]]&gt;2,3%,2%)*staff[[#This Row],[Salary]],0)</f>
        <v>993</v>
      </c>
      <c r="K153" s="18" t="e">
        <f>_xll.XLOOKUP(staff[[#This Row],[Rating]],'Hiring Rates'!$A$1:$A$5,'Hiring Rates'!$B$1:$B$5)</f>
        <v>#N/A</v>
      </c>
    </row>
    <row r="154" spans="1:11" x14ac:dyDescent="0.25">
      <c r="A154" s="6" t="s">
        <v>73</v>
      </c>
      <c r="B154" s="6" t="s">
        <v>8</v>
      </c>
      <c r="C154">
        <v>34</v>
      </c>
      <c r="D154" t="s">
        <v>24</v>
      </c>
      <c r="E154" s="10">
        <v>44721</v>
      </c>
      <c r="F154" s="6" t="s">
        <v>19</v>
      </c>
      <c r="G154">
        <v>49630</v>
      </c>
      <c r="H154" t="s">
        <v>207</v>
      </c>
      <c r="I154" s="8">
        <f ca="1">(TODAY()-staff[[#This Row],[Date Joined]])/365</f>
        <v>1.284931506849315</v>
      </c>
      <c r="J154" s="19">
        <f ca="1">ROUNDUP(IF(staff[[#This Row],[Tenure]]&gt;2,3%,2%)*staff[[#This Row],[Salary]],0)</f>
        <v>993</v>
      </c>
      <c r="K154" s="18" t="e">
        <f>_xll.XLOOKUP(staff[[#This Row],[Rating]],'Hiring Rates'!$A$1:$A$5,'Hiring Rates'!$B$1:$B$5)</f>
        <v>#N/A</v>
      </c>
    </row>
    <row r="155" spans="1:11" x14ac:dyDescent="0.25">
      <c r="A155" s="6" t="s">
        <v>146</v>
      </c>
      <c r="B155" s="6" t="s">
        <v>15</v>
      </c>
      <c r="C155">
        <v>27</v>
      </c>
      <c r="D155" t="s">
        <v>16</v>
      </c>
      <c r="E155" s="10">
        <v>44506</v>
      </c>
      <c r="F155" s="6" t="s">
        <v>21</v>
      </c>
      <c r="G155">
        <v>48980</v>
      </c>
      <c r="H155" t="s">
        <v>205</v>
      </c>
      <c r="I155" s="8">
        <f ca="1">(TODAY()-staff[[#This Row],[Date Joined]])/365</f>
        <v>1.8739726027397261</v>
      </c>
      <c r="J155" s="19">
        <f ca="1">ROUNDUP(IF(staff[[#This Row],[Tenure]]&gt;2,3%,2%)*staff[[#This Row],[Salary]],0)</f>
        <v>980</v>
      </c>
      <c r="K155" s="18" t="e">
        <f>_xll.XLOOKUP(staff[[#This Row],[Rating]],'Hiring Rates'!$A$1:$A$5,'Hiring Rates'!$B$1:$B$5)</f>
        <v>#N/A</v>
      </c>
    </row>
    <row r="156" spans="1:11" x14ac:dyDescent="0.25">
      <c r="A156" s="6" t="s">
        <v>53</v>
      </c>
      <c r="B156" s="6" t="s">
        <v>15</v>
      </c>
      <c r="C156">
        <v>27</v>
      </c>
      <c r="D156" t="s">
        <v>16</v>
      </c>
      <c r="E156" s="10">
        <v>44567</v>
      </c>
      <c r="F156" s="6" t="s">
        <v>21</v>
      </c>
      <c r="G156">
        <v>48980</v>
      </c>
      <c r="H156" t="s">
        <v>207</v>
      </c>
      <c r="I156" s="8">
        <f ca="1">(TODAY()-staff[[#This Row],[Date Joined]])/365</f>
        <v>1.7068493150684931</v>
      </c>
      <c r="J156" s="19">
        <f ca="1">ROUNDUP(IF(staff[[#This Row],[Tenure]]&gt;2,3%,2%)*staff[[#This Row],[Salary]],0)</f>
        <v>980</v>
      </c>
      <c r="K156" s="18" t="e">
        <f>_xll.XLOOKUP(staff[[#This Row],[Rating]],'Hiring Rates'!$A$1:$A$5,'Hiring Rates'!$B$1:$B$5)</f>
        <v>#N/A</v>
      </c>
    </row>
    <row r="157" spans="1:11" x14ac:dyDescent="0.25">
      <c r="A157" s="6" t="s">
        <v>113</v>
      </c>
      <c r="B157" s="6" t="s">
        <v>15</v>
      </c>
      <c r="C157">
        <v>31</v>
      </c>
      <c r="D157" t="s">
        <v>16</v>
      </c>
      <c r="E157" s="10">
        <v>44450</v>
      </c>
      <c r="F157" s="6" t="s">
        <v>12</v>
      </c>
      <c r="G157">
        <v>48950</v>
      </c>
      <c r="H157" t="s">
        <v>205</v>
      </c>
      <c r="I157" s="8">
        <f ca="1">(TODAY()-staff[[#This Row],[Date Joined]])/365</f>
        <v>2.0273972602739727</v>
      </c>
      <c r="J157" s="19">
        <f ca="1">ROUNDUP(IF(staff[[#This Row],[Tenure]]&gt;2,3%,2%)*staff[[#This Row],[Salary]],0)</f>
        <v>1469</v>
      </c>
      <c r="K157" s="18" t="e">
        <f>_xll.XLOOKUP(staff[[#This Row],[Rating]],'Hiring Rates'!$A$1:$A$5,'Hiring Rates'!$B$1:$B$5)</f>
        <v>#N/A</v>
      </c>
    </row>
    <row r="158" spans="1:11" x14ac:dyDescent="0.25">
      <c r="A158" s="6" t="s">
        <v>14</v>
      </c>
      <c r="B158" s="6" t="s">
        <v>15</v>
      </c>
      <c r="C158">
        <v>31</v>
      </c>
      <c r="D158" t="s">
        <v>16</v>
      </c>
      <c r="E158" s="10">
        <v>44511</v>
      </c>
      <c r="F158" s="6" t="s">
        <v>12</v>
      </c>
      <c r="G158">
        <v>48950</v>
      </c>
      <c r="H158" t="s">
        <v>207</v>
      </c>
      <c r="I158" s="8">
        <f ca="1">(TODAY()-staff[[#This Row],[Date Joined]])/365</f>
        <v>1.8602739726027397</v>
      </c>
      <c r="J158" s="19">
        <f ca="1">ROUNDUP(IF(staff[[#This Row],[Tenure]]&gt;2,3%,2%)*staff[[#This Row],[Salary]],0)</f>
        <v>979</v>
      </c>
      <c r="K158" s="18" t="e">
        <f>_xll.XLOOKUP(staff[[#This Row],[Rating]],'Hiring Rates'!$A$1:$A$5,'Hiring Rates'!$B$1:$B$5)</f>
        <v>#N/A</v>
      </c>
    </row>
    <row r="159" spans="1:11" x14ac:dyDescent="0.25">
      <c r="A159" s="6" t="s">
        <v>144</v>
      </c>
      <c r="B159" s="6" t="s">
        <v>15</v>
      </c>
      <c r="C159">
        <v>33</v>
      </c>
      <c r="D159" t="s">
        <v>13</v>
      </c>
      <c r="E159" s="10">
        <v>44640</v>
      </c>
      <c r="F159" s="6" t="s">
        <v>9</v>
      </c>
      <c r="G159">
        <v>48530</v>
      </c>
      <c r="H159" t="s">
        <v>205</v>
      </c>
      <c r="I159" s="8">
        <f ca="1">(TODAY()-staff[[#This Row],[Date Joined]])/365</f>
        <v>1.5068493150684932</v>
      </c>
      <c r="J159" s="19">
        <f ca="1">ROUNDUP(IF(staff[[#This Row],[Tenure]]&gt;2,3%,2%)*staff[[#This Row],[Salary]],0)</f>
        <v>971</v>
      </c>
      <c r="K159" s="18" t="e">
        <f>_xll.XLOOKUP(staff[[#This Row],[Rating]],'Hiring Rates'!$A$1:$A$5,'Hiring Rates'!$B$1:$B$5)</f>
        <v>#N/A</v>
      </c>
    </row>
    <row r="160" spans="1:11" x14ac:dyDescent="0.25">
      <c r="A160" s="6" t="s">
        <v>51</v>
      </c>
      <c r="B160" s="6" t="s">
        <v>15</v>
      </c>
      <c r="C160">
        <v>33</v>
      </c>
      <c r="D160" t="s">
        <v>13</v>
      </c>
      <c r="E160" s="10">
        <v>44701</v>
      </c>
      <c r="F160" s="6" t="s">
        <v>9</v>
      </c>
      <c r="G160">
        <v>48530</v>
      </c>
      <c r="H160" t="s">
        <v>207</v>
      </c>
      <c r="I160" s="8">
        <f ca="1">(TODAY()-staff[[#This Row],[Date Joined]])/365</f>
        <v>1.3397260273972602</v>
      </c>
      <c r="J160" s="19">
        <f ca="1">ROUNDUP(IF(staff[[#This Row],[Tenure]]&gt;2,3%,2%)*staff[[#This Row],[Salary]],0)</f>
        <v>971</v>
      </c>
      <c r="K160" s="18" t="e">
        <f>_xll.XLOOKUP(staff[[#This Row],[Rating]],'Hiring Rates'!$A$1:$A$5,'Hiring Rates'!$B$1:$B$5)</f>
        <v>#N/A</v>
      </c>
    </row>
    <row r="161" spans="1:11" x14ac:dyDescent="0.25">
      <c r="A161" s="6" t="s">
        <v>123</v>
      </c>
      <c r="B161" s="6" t="s">
        <v>15</v>
      </c>
      <c r="C161">
        <v>28</v>
      </c>
      <c r="D161" t="s">
        <v>13</v>
      </c>
      <c r="E161" s="10">
        <v>43980</v>
      </c>
      <c r="F161" s="6" t="s">
        <v>21</v>
      </c>
      <c r="G161">
        <v>48170</v>
      </c>
      <c r="H161" t="s">
        <v>205</v>
      </c>
      <c r="I161" s="8">
        <f ca="1">(TODAY()-staff[[#This Row],[Date Joined]])/365</f>
        <v>3.3150684931506849</v>
      </c>
      <c r="J161" s="19">
        <f ca="1">ROUNDUP(IF(staff[[#This Row],[Tenure]]&gt;2,3%,2%)*staff[[#This Row],[Salary]],0)</f>
        <v>1446</v>
      </c>
      <c r="K161" s="18" t="e">
        <f>_xll.XLOOKUP(staff[[#This Row],[Rating]],'Hiring Rates'!$A$1:$A$5,'Hiring Rates'!$B$1:$B$5)</f>
        <v>#N/A</v>
      </c>
    </row>
    <row r="162" spans="1:11" x14ac:dyDescent="0.25">
      <c r="A162" s="6" t="s">
        <v>29</v>
      </c>
      <c r="B162" s="6" t="s">
        <v>15</v>
      </c>
      <c r="C162">
        <v>28</v>
      </c>
      <c r="D162" t="s">
        <v>13</v>
      </c>
      <c r="E162" s="10">
        <v>44041</v>
      </c>
      <c r="F162" s="6" t="s">
        <v>21</v>
      </c>
      <c r="G162">
        <v>48170</v>
      </c>
      <c r="H162" t="s">
        <v>207</v>
      </c>
      <c r="I162" s="8">
        <f ca="1">(TODAY()-staff[[#This Row],[Date Joined]])/365</f>
        <v>3.1479452054794521</v>
      </c>
      <c r="J162" s="19">
        <f ca="1">ROUNDUP(IF(staff[[#This Row],[Tenure]]&gt;2,3%,2%)*staff[[#This Row],[Salary]],0)</f>
        <v>1446</v>
      </c>
      <c r="K162" s="18" t="e">
        <f>_xll.XLOOKUP(staff[[#This Row],[Rating]],'Hiring Rates'!$A$1:$A$5,'Hiring Rates'!$B$1:$B$5)</f>
        <v>#N/A</v>
      </c>
    </row>
    <row r="163" spans="1:11" x14ac:dyDescent="0.25">
      <c r="A163" s="6" t="s">
        <v>151</v>
      </c>
      <c r="B163" s="6" t="s">
        <v>15</v>
      </c>
      <c r="C163">
        <v>26</v>
      </c>
      <c r="D163" t="s">
        <v>16</v>
      </c>
      <c r="E163" s="10">
        <v>44164</v>
      </c>
      <c r="F163" s="6" t="s">
        <v>9</v>
      </c>
      <c r="G163">
        <v>47360</v>
      </c>
      <c r="H163" t="s">
        <v>205</v>
      </c>
      <c r="I163" s="8">
        <f ca="1">(TODAY()-staff[[#This Row],[Date Joined]])/365</f>
        <v>2.8109589041095893</v>
      </c>
      <c r="J163" s="19">
        <f ca="1">ROUNDUP(IF(staff[[#This Row],[Tenure]]&gt;2,3%,2%)*staff[[#This Row],[Salary]],0)</f>
        <v>1421</v>
      </c>
      <c r="K163" s="18" t="e">
        <f>_xll.XLOOKUP(staff[[#This Row],[Rating]],'Hiring Rates'!$A$1:$A$5,'Hiring Rates'!$B$1:$B$5)</f>
        <v>#N/A</v>
      </c>
    </row>
    <row r="164" spans="1:11" x14ac:dyDescent="0.25">
      <c r="A164" s="6" t="s">
        <v>59</v>
      </c>
      <c r="B164" s="6" t="s">
        <v>15</v>
      </c>
      <c r="C164">
        <v>26</v>
      </c>
      <c r="D164" t="s">
        <v>16</v>
      </c>
      <c r="E164" s="10">
        <v>44225</v>
      </c>
      <c r="F164" s="6" t="s">
        <v>9</v>
      </c>
      <c r="G164">
        <v>47360</v>
      </c>
      <c r="H164" t="s">
        <v>207</v>
      </c>
      <c r="I164" s="8">
        <f ca="1">(TODAY()-staff[[#This Row],[Date Joined]])/365</f>
        <v>2.6438356164383561</v>
      </c>
      <c r="J164" s="19">
        <f ca="1">ROUNDUP(IF(staff[[#This Row],[Tenure]]&gt;2,3%,2%)*staff[[#This Row],[Salary]],0)</f>
        <v>1421</v>
      </c>
      <c r="K164" s="18" t="e">
        <f>_xll.XLOOKUP(staff[[#This Row],[Rating]],'Hiring Rates'!$A$1:$A$5,'Hiring Rates'!$B$1:$B$5)</f>
        <v>#N/A</v>
      </c>
    </row>
    <row r="165" spans="1:11" x14ac:dyDescent="0.25">
      <c r="A165" s="6" t="s">
        <v>201</v>
      </c>
      <c r="B165" s="6" t="s">
        <v>8</v>
      </c>
      <c r="C165">
        <v>32</v>
      </c>
      <c r="D165" t="s">
        <v>16</v>
      </c>
      <c r="E165" s="10">
        <v>44339</v>
      </c>
      <c r="F165" s="6" t="s">
        <v>56</v>
      </c>
      <c r="G165">
        <v>45510</v>
      </c>
      <c r="H165" t="s">
        <v>205</v>
      </c>
      <c r="I165" s="8">
        <f ca="1">(TODAY()-staff[[#This Row],[Date Joined]])/365</f>
        <v>2.3315068493150686</v>
      </c>
      <c r="J165" s="19">
        <f ca="1">ROUNDUP(IF(staff[[#This Row],[Tenure]]&gt;2,3%,2%)*staff[[#This Row],[Salary]],0)</f>
        <v>1366</v>
      </c>
      <c r="K165" s="18" t="e">
        <f>_xll.XLOOKUP(staff[[#This Row],[Rating]],'Hiring Rates'!$A$1:$A$5,'Hiring Rates'!$B$1:$B$5)</f>
        <v>#N/A</v>
      </c>
    </row>
    <row r="166" spans="1:11" x14ac:dyDescent="0.25">
      <c r="A166" s="6" t="s">
        <v>108</v>
      </c>
      <c r="B166" s="6" t="s">
        <v>8</v>
      </c>
      <c r="C166">
        <v>32</v>
      </c>
      <c r="D166" t="s">
        <v>16</v>
      </c>
      <c r="E166" s="10">
        <v>44400</v>
      </c>
      <c r="F166" s="6" t="s">
        <v>56</v>
      </c>
      <c r="G166">
        <v>45510</v>
      </c>
      <c r="H166" t="s">
        <v>207</v>
      </c>
      <c r="I166" s="8">
        <f ca="1">(TODAY()-staff[[#This Row],[Date Joined]])/365</f>
        <v>2.1643835616438358</v>
      </c>
      <c r="J166" s="19">
        <f ca="1">ROUNDUP(IF(staff[[#This Row],[Tenure]]&gt;2,3%,2%)*staff[[#This Row],[Salary]],0)</f>
        <v>1366</v>
      </c>
      <c r="K166" s="18" t="e">
        <f>_xll.XLOOKUP(staff[[#This Row],[Rating]],'Hiring Rates'!$A$1:$A$5,'Hiring Rates'!$B$1:$B$5)</f>
        <v>#N/A</v>
      </c>
    </row>
    <row r="167" spans="1:11" x14ac:dyDescent="0.25">
      <c r="A167" s="6" t="s">
        <v>176</v>
      </c>
      <c r="B167" s="6" t="s">
        <v>8</v>
      </c>
      <c r="C167">
        <v>32</v>
      </c>
      <c r="D167" t="s">
        <v>13</v>
      </c>
      <c r="E167" s="10">
        <v>44293</v>
      </c>
      <c r="F167" s="6" t="s">
        <v>12</v>
      </c>
      <c r="G167">
        <v>43840</v>
      </c>
      <c r="H167" t="s">
        <v>205</v>
      </c>
      <c r="I167" s="8">
        <f ca="1">(TODAY()-staff[[#This Row],[Date Joined]])/365</f>
        <v>2.4575342465753423</v>
      </c>
      <c r="J167" s="19">
        <f ca="1">ROUNDUP(IF(staff[[#This Row],[Tenure]]&gt;2,3%,2%)*staff[[#This Row],[Salary]],0)</f>
        <v>1316</v>
      </c>
      <c r="K167" s="18" t="e">
        <f>_xll.XLOOKUP(staff[[#This Row],[Rating]],'Hiring Rates'!$A$1:$A$5,'Hiring Rates'!$B$1:$B$5)</f>
        <v>#N/A</v>
      </c>
    </row>
    <row r="168" spans="1:11" x14ac:dyDescent="0.25">
      <c r="A168" s="6" t="s">
        <v>84</v>
      </c>
      <c r="B168" s="6" t="s">
        <v>8</v>
      </c>
      <c r="C168">
        <v>32</v>
      </c>
      <c r="D168" t="s">
        <v>13</v>
      </c>
      <c r="E168" s="10">
        <v>44354</v>
      </c>
      <c r="F168" s="6" t="s">
        <v>12</v>
      </c>
      <c r="G168">
        <v>43840</v>
      </c>
      <c r="H168" t="s">
        <v>207</v>
      </c>
      <c r="I168" s="8">
        <f ca="1">(TODAY()-staff[[#This Row],[Date Joined]])/365</f>
        <v>2.2904109589041095</v>
      </c>
      <c r="J168" s="19">
        <f ca="1">ROUNDUP(IF(staff[[#This Row],[Tenure]]&gt;2,3%,2%)*staff[[#This Row],[Salary]],0)</f>
        <v>1316</v>
      </c>
      <c r="K168" s="18" t="e">
        <f>_xll.XLOOKUP(staff[[#This Row],[Rating]],'Hiring Rates'!$A$1:$A$5,'Hiring Rates'!$B$1:$B$5)</f>
        <v>#N/A</v>
      </c>
    </row>
    <row r="169" spans="1:11" x14ac:dyDescent="0.25">
      <c r="A169" s="6" t="s">
        <v>172</v>
      </c>
      <c r="B169" s="6" t="s">
        <v>15</v>
      </c>
      <c r="C169">
        <v>28</v>
      </c>
      <c r="D169" t="s">
        <v>42</v>
      </c>
      <c r="E169" s="10">
        <v>44758</v>
      </c>
      <c r="F169" s="6" t="s">
        <v>19</v>
      </c>
      <c r="G169">
        <v>43510</v>
      </c>
      <c r="H169" t="s">
        <v>205</v>
      </c>
      <c r="I169" s="8">
        <f ca="1">(TODAY()-staff[[#This Row],[Date Joined]])/365</f>
        <v>1.1835616438356165</v>
      </c>
      <c r="J169" s="19">
        <f ca="1">ROUNDUP(IF(staff[[#This Row],[Tenure]]&gt;2,3%,2%)*staff[[#This Row],[Salary]],0)</f>
        <v>871</v>
      </c>
      <c r="K169" s="18" t="e">
        <f>_xll.XLOOKUP(staff[[#This Row],[Rating]],'Hiring Rates'!$A$1:$A$5,'Hiring Rates'!$B$1:$B$5)</f>
        <v>#N/A</v>
      </c>
    </row>
    <row r="170" spans="1:11" x14ac:dyDescent="0.25">
      <c r="A170" s="6" t="s">
        <v>80</v>
      </c>
      <c r="B170" s="6" t="s">
        <v>15</v>
      </c>
      <c r="C170">
        <v>28</v>
      </c>
      <c r="D170" t="s">
        <v>42</v>
      </c>
      <c r="E170" s="10">
        <v>44820</v>
      </c>
      <c r="F170" s="6" t="s">
        <v>19</v>
      </c>
      <c r="G170">
        <v>43510</v>
      </c>
      <c r="H170" t="s">
        <v>207</v>
      </c>
      <c r="I170" s="8">
        <f ca="1">(TODAY()-staff[[#This Row],[Date Joined]])/365</f>
        <v>1.0136986301369864</v>
      </c>
      <c r="J170" s="19">
        <f ca="1">ROUNDUP(IF(staff[[#This Row],[Tenure]]&gt;2,3%,2%)*staff[[#This Row],[Salary]],0)</f>
        <v>871</v>
      </c>
      <c r="K170" s="18" t="e">
        <f>_xll.XLOOKUP(staff[[#This Row],[Rating]],'Hiring Rates'!$A$1:$A$5,'Hiring Rates'!$B$1:$B$5)</f>
        <v>#N/A</v>
      </c>
    </row>
    <row r="171" spans="1:11" x14ac:dyDescent="0.25">
      <c r="A171" s="6" t="s">
        <v>124</v>
      </c>
      <c r="B171" s="6" t="s">
        <v>8</v>
      </c>
      <c r="C171">
        <v>31</v>
      </c>
      <c r="D171" t="s">
        <v>16</v>
      </c>
      <c r="E171" s="10">
        <v>44084</v>
      </c>
      <c r="F171" s="6" t="s">
        <v>12</v>
      </c>
      <c r="G171">
        <v>41980</v>
      </c>
      <c r="H171" t="s">
        <v>205</v>
      </c>
      <c r="I171" s="8">
        <f ca="1">(TODAY()-staff[[#This Row],[Date Joined]])/365</f>
        <v>3.0301369863013701</v>
      </c>
      <c r="J171" s="19">
        <f ca="1">ROUNDUP(IF(staff[[#This Row],[Tenure]]&gt;2,3%,2%)*staff[[#This Row],[Salary]],0)</f>
        <v>1260</v>
      </c>
      <c r="K171" s="18" t="e">
        <f>_xll.XLOOKUP(staff[[#This Row],[Rating]],'Hiring Rates'!$A$1:$A$5,'Hiring Rates'!$B$1:$B$5)</f>
        <v>#N/A</v>
      </c>
    </row>
    <row r="172" spans="1:11" x14ac:dyDescent="0.25">
      <c r="A172" s="6" t="s">
        <v>30</v>
      </c>
      <c r="B172" s="6" t="s">
        <v>8</v>
      </c>
      <c r="C172">
        <v>31</v>
      </c>
      <c r="D172" t="s">
        <v>16</v>
      </c>
      <c r="E172" s="10">
        <v>44145</v>
      </c>
      <c r="F172" s="6" t="s">
        <v>12</v>
      </c>
      <c r="G172">
        <v>41980</v>
      </c>
      <c r="H172" t="s">
        <v>207</v>
      </c>
      <c r="I172" s="8">
        <f ca="1">(TODAY()-staff[[#This Row],[Date Joined]])/365</f>
        <v>2.8630136986301369</v>
      </c>
      <c r="J172" s="19">
        <f ca="1">ROUNDUP(IF(staff[[#This Row],[Tenure]]&gt;2,3%,2%)*staff[[#This Row],[Salary]],0)</f>
        <v>1260</v>
      </c>
      <c r="K172" s="18" t="e">
        <f>_xll.XLOOKUP(staff[[#This Row],[Rating]],'Hiring Rates'!$A$1:$A$5,'Hiring Rates'!$B$1:$B$5)</f>
        <v>#N/A</v>
      </c>
    </row>
    <row r="173" spans="1:11" x14ac:dyDescent="0.25">
      <c r="A173" s="6" t="s">
        <v>158</v>
      </c>
      <c r="B173" s="6" t="s">
        <v>8</v>
      </c>
      <c r="C173">
        <v>32</v>
      </c>
      <c r="D173" t="s">
        <v>16</v>
      </c>
      <c r="E173" s="10">
        <v>44549</v>
      </c>
      <c r="F173" s="6" t="s">
        <v>9</v>
      </c>
      <c r="G173">
        <v>41570</v>
      </c>
      <c r="H173" t="s">
        <v>205</v>
      </c>
      <c r="I173" s="8">
        <f ca="1">(TODAY()-staff[[#This Row],[Date Joined]])/365</f>
        <v>1.7561643835616438</v>
      </c>
      <c r="J173" s="19">
        <f ca="1">ROUNDUP(IF(staff[[#This Row],[Tenure]]&gt;2,3%,2%)*staff[[#This Row],[Salary]],0)</f>
        <v>832</v>
      </c>
      <c r="K173" s="18" t="e">
        <f>_xll.XLOOKUP(staff[[#This Row],[Rating]],'Hiring Rates'!$A$1:$A$5,'Hiring Rates'!$B$1:$B$5)</f>
        <v>#N/A</v>
      </c>
    </row>
    <row r="174" spans="1:11" x14ac:dyDescent="0.25">
      <c r="A174" s="6" t="s">
        <v>66</v>
      </c>
      <c r="B174" s="6" t="s">
        <v>8</v>
      </c>
      <c r="C174">
        <v>32</v>
      </c>
      <c r="D174" t="s">
        <v>16</v>
      </c>
      <c r="E174" s="10">
        <v>44611</v>
      </c>
      <c r="F174" s="6" t="s">
        <v>9</v>
      </c>
      <c r="G174">
        <v>41570</v>
      </c>
      <c r="H174" t="s">
        <v>207</v>
      </c>
      <c r="I174" s="8">
        <f ca="1">(TODAY()-staff[[#This Row],[Date Joined]])/365</f>
        <v>1.5863013698630137</v>
      </c>
      <c r="J174" s="19">
        <f ca="1">ROUNDUP(IF(staff[[#This Row],[Tenure]]&gt;2,3%,2%)*staff[[#This Row],[Salary]],0)</f>
        <v>832</v>
      </c>
      <c r="K174" s="18" t="e">
        <f>_xll.XLOOKUP(staff[[#This Row],[Rating]],'Hiring Rates'!$A$1:$A$5,'Hiring Rates'!$B$1:$B$5)</f>
        <v>#N/A</v>
      </c>
    </row>
    <row r="175" spans="1:11" x14ac:dyDescent="0.25">
      <c r="A175" s="6" t="s">
        <v>149</v>
      </c>
      <c r="B175" s="6" t="s">
        <v>15</v>
      </c>
      <c r="C175">
        <v>35</v>
      </c>
      <c r="D175" t="s">
        <v>16</v>
      </c>
      <c r="E175" s="10">
        <v>44666</v>
      </c>
      <c r="F175" s="6" t="s">
        <v>9</v>
      </c>
      <c r="G175">
        <v>40400</v>
      </c>
      <c r="H175" t="s">
        <v>205</v>
      </c>
      <c r="I175" s="8">
        <f ca="1">(TODAY()-staff[[#This Row],[Date Joined]])/365</f>
        <v>1.4356164383561645</v>
      </c>
      <c r="J175" s="19">
        <f ca="1">ROUNDUP(IF(staff[[#This Row],[Tenure]]&gt;2,3%,2%)*staff[[#This Row],[Salary]],0)</f>
        <v>808</v>
      </c>
      <c r="K175" s="18" t="e">
        <f>_xll.XLOOKUP(staff[[#This Row],[Rating]],'Hiring Rates'!$A$1:$A$5,'Hiring Rates'!$B$1:$B$5)</f>
        <v>#N/A</v>
      </c>
    </row>
    <row r="176" spans="1:11" x14ac:dyDescent="0.25">
      <c r="A176" s="6" t="s">
        <v>57</v>
      </c>
      <c r="B176" s="6" t="s">
        <v>15</v>
      </c>
      <c r="C176">
        <v>35</v>
      </c>
      <c r="D176" t="s">
        <v>16</v>
      </c>
      <c r="E176" s="10">
        <v>44727</v>
      </c>
      <c r="F176" s="6" t="s">
        <v>9</v>
      </c>
      <c r="G176">
        <v>40400</v>
      </c>
      <c r="H176" t="s">
        <v>207</v>
      </c>
      <c r="I176" s="8">
        <f ca="1">(TODAY()-staff[[#This Row],[Date Joined]])/365</f>
        <v>1.2684931506849315</v>
      </c>
      <c r="J176" s="19">
        <f ca="1">ROUNDUP(IF(staff[[#This Row],[Tenure]]&gt;2,3%,2%)*staff[[#This Row],[Salary]],0)</f>
        <v>808</v>
      </c>
      <c r="K176" s="18" t="e">
        <f>_xll.XLOOKUP(staff[[#This Row],[Rating]],'Hiring Rates'!$A$1:$A$5,'Hiring Rates'!$B$1:$B$5)</f>
        <v>#N/A</v>
      </c>
    </row>
    <row r="177" spans="1:11" x14ac:dyDescent="0.25">
      <c r="A177" s="6" t="s">
        <v>140</v>
      </c>
      <c r="B177" s="6" t="s">
        <v>15</v>
      </c>
      <c r="C177">
        <v>21</v>
      </c>
      <c r="D177" t="s">
        <v>16</v>
      </c>
      <c r="E177" s="10">
        <v>44042</v>
      </c>
      <c r="F177" s="6" t="s">
        <v>9</v>
      </c>
      <c r="G177">
        <v>37920</v>
      </c>
      <c r="H177" t="s">
        <v>205</v>
      </c>
      <c r="I177" s="8">
        <f ca="1">(TODAY()-staff[[#This Row],[Date Joined]])/365</f>
        <v>3.1452054794520548</v>
      </c>
      <c r="J177" s="19">
        <f ca="1">ROUNDUP(IF(staff[[#This Row],[Tenure]]&gt;2,3%,2%)*staff[[#This Row],[Salary]],0)</f>
        <v>1138</v>
      </c>
      <c r="K177" s="18" t="e">
        <f>_xll.XLOOKUP(staff[[#This Row],[Rating]],'Hiring Rates'!$A$1:$A$5,'Hiring Rates'!$B$1:$B$5)</f>
        <v>#N/A</v>
      </c>
    </row>
    <row r="178" spans="1:11" x14ac:dyDescent="0.25">
      <c r="A178" s="6" t="s">
        <v>47</v>
      </c>
      <c r="B178" s="6" t="s">
        <v>15</v>
      </c>
      <c r="C178">
        <v>21</v>
      </c>
      <c r="D178" t="s">
        <v>16</v>
      </c>
      <c r="E178" s="10">
        <v>44104</v>
      </c>
      <c r="F178" s="6" t="s">
        <v>9</v>
      </c>
      <c r="G178">
        <v>37920</v>
      </c>
      <c r="H178" t="s">
        <v>207</v>
      </c>
      <c r="I178" s="8">
        <f ca="1">(TODAY()-staff[[#This Row],[Date Joined]])/365</f>
        <v>2.9753424657534246</v>
      </c>
      <c r="J178" s="19">
        <f ca="1">ROUNDUP(IF(staff[[#This Row],[Tenure]]&gt;2,3%,2%)*staff[[#This Row],[Salary]],0)</f>
        <v>1138</v>
      </c>
      <c r="K178" s="18" t="e">
        <f>_xll.XLOOKUP(staff[[#This Row],[Rating]],'Hiring Rates'!$A$1:$A$5,'Hiring Rates'!$B$1:$B$5)</f>
        <v>#N/A</v>
      </c>
    </row>
    <row r="179" spans="1:11" x14ac:dyDescent="0.25">
      <c r="A179" s="6" t="s">
        <v>192</v>
      </c>
      <c r="B179" s="6" t="s">
        <v>15</v>
      </c>
      <c r="C179">
        <v>43</v>
      </c>
      <c r="D179" t="s">
        <v>16</v>
      </c>
      <c r="E179" s="10">
        <v>44558</v>
      </c>
      <c r="F179" s="6" t="s">
        <v>19</v>
      </c>
      <c r="G179">
        <v>36040</v>
      </c>
      <c r="H179" t="s">
        <v>205</v>
      </c>
      <c r="I179" s="8">
        <f ca="1">(TODAY()-staff[[#This Row],[Date Joined]])/365</f>
        <v>1.7315068493150685</v>
      </c>
      <c r="J179" s="19">
        <f ca="1">ROUNDUP(IF(staff[[#This Row],[Tenure]]&gt;2,3%,2%)*staff[[#This Row],[Salary]],0)</f>
        <v>721</v>
      </c>
      <c r="K179" s="18" t="e">
        <f>_xll.XLOOKUP(staff[[#This Row],[Rating]],'Hiring Rates'!$A$1:$A$5,'Hiring Rates'!$B$1:$B$5)</f>
        <v>#N/A</v>
      </c>
    </row>
    <row r="180" spans="1:11" x14ac:dyDescent="0.25">
      <c r="A180" s="6" t="s">
        <v>99</v>
      </c>
      <c r="B180" s="6" t="s">
        <v>15</v>
      </c>
      <c r="C180">
        <v>43</v>
      </c>
      <c r="D180" t="s">
        <v>16</v>
      </c>
      <c r="E180" s="10">
        <v>44620</v>
      </c>
      <c r="F180" s="6" t="s">
        <v>19</v>
      </c>
      <c r="G180">
        <v>36040</v>
      </c>
      <c r="H180" t="s">
        <v>207</v>
      </c>
      <c r="I180" s="8">
        <f ca="1">(TODAY()-staff[[#This Row],[Date Joined]])/365</f>
        <v>1.5616438356164384</v>
      </c>
      <c r="J180" s="19">
        <f ca="1">ROUNDUP(IF(staff[[#This Row],[Tenure]]&gt;2,3%,2%)*staff[[#This Row],[Salary]],0)</f>
        <v>721</v>
      </c>
      <c r="K180" s="18" t="e">
        <f>_xll.XLOOKUP(staff[[#This Row],[Rating]],'Hiring Rates'!$A$1:$A$5,'Hiring Rates'!$B$1:$B$5)</f>
        <v>#N/A</v>
      </c>
    </row>
    <row r="181" spans="1:11" x14ac:dyDescent="0.25">
      <c r="A181" s="6" t="s">
        <v>137</v>
      </c>
      <c r="B181" s="6" t="s">
        <v>8</v>
      </c>
      <c r="C181">
        <v>29</v>
      </c>
      <c r="D181" t="s">
        <v>16</v>
      </c>
      <c r="E181" s="10">
        <v>43962</v>
      </c>
      <c r="F181" s="6" t="s">
        <v>12</v>
      </c>
      <c r="G181">
        <v>34980</v>
      </c>
      <c r="H181" t="s">
        <v>205</v>
      </c>
      <c r="I181" s="8">
        <f ca="1">(TODAY()-staff[[#This Row],[Date Joined]])/365</f>
        <v>3.3643835616438356</v>
      </c>
      <c r="J181" s="19">
        <f ca="1">ROUNDUP(IF(staff[[#This Row],[Tenure]]&gt;2,3%,2%)*staff[[#This Row],[Salary]],0)</f>
        <v>1050</v>
      </c>
      <c r="K181" s="18" t="e">
        <f>_xll.XLOOKUP(staff[[#This Row],[Rating]],'Hiring Rates'!$A$1:$A$5,'Hiring Rates'!$B$1:$B$5)</f>
        <v>#N/A</v>
      </c>
    </row>
    <row r="182" spans="1:11" x14ac:dyDescent="0.25">
      <c r="A182" s="6" t="s">
        <v>44</v>
      </c>
      <c r="B182" s="6" t="s">
        <v>8</v>
      </c>
      <c r="C182">
        <v>29</v>
      </c>
      <c r="D182" t="s">
        <v>16</v>
      </c>
      <c r="E182" s="10">
        <v>44023</v>
      </c>
      <c r="F182" s="6" t="s">
        <v>12</v>
      </c>
      <c r="G182">
        <v>34980</v>
      </c>
      <c r="H182" t="s">
        <v>207</v>
      </c>
      <c r="I182" s="8">
        <f ca="1">(TODAY()-staff[[#This Row],[Date Joined]])/365</f>
        <v>3.1972602739726028</v>
      </c>
      <c r="J182" s="19">
        <f ca="1">ROUNDUP(IF(staff[[#This Row],[Tenure]]&gt;2,3%,2%)*staff[[#This Row],[Salary]],0)</f>
        <v>1050</v>
      </c>
      <c r="K182" s="18" t="e">
        <f>_xll.XLOOKUP(staff[[#This Row],[Rating]],'Hiring Rates'!$A$1:$A$5,'Hiring Rates'!$B$1:$B$5)</f>
        <v>#N/A</v>
      </c>
    </row>
    <row r="183" spans="1:11" x14ac:dyDescent="0.25">
      <c r="A183" s="6" t="s">
        <v>179</v>
      </c>
      <c r="B183" s="6" t="s">
        <v>8</v>
      </c>
      <c r="C183">
        <v>21</v>
      </c>
      <c r="D183" t="s">
        <v>16</v>
      </c>
      <c r="E183" s="10">
        <v>44619</v>
      </c>
      <c r="F183" s="6" t="s">
        <v>12</v>
      </c>
      <c r="G183">
        <v>33920</v>
      </c>
      <c r="H183" t="s">
        <v>205</v>
      </c>
      <c r="I183" s="8">
        <f ca="1">(TODAY()-staff[[#This Row],[Date Joined]])/365</f>
        <v>1.5643835616438355</v>
      </c>
      <c r="J183" s="19">
        <f ca="1">ROUNDUP(IF(staff[[#This Row],[Tenure]]&gt;2,3%,2%)*staff[[#This Row],[Salary]],0)</f>
        <v>679</v>
      </c>
      <c r="K183" s="18" t="e">
        <f>_xll.XLOOKUP(staff[[#This Row],[Rating]],'Hiring Rates'!$A$1:$A$5,'Hiring Rates'!$B$1:$B$5)</f>
        <v>#N/A</v>
      </c>
    </row>
    <row r="184" spans="1:11" x14ac:dyDescent="0.25">
      <c r="A184" s="6" t="s">
        <v>86</v>
      </c>
      <c r="B184" s="6" t="s">
        <v>8</v>
      </c>
      <c r="C184">
        <v>21</v>
      </c>
      <c r="D184" t="s">
        <v>16</v>
      </c>
      <c r="E184" s="10">
        <v>44678</v>
      </c>
      <c r="F184" s="6" t="s">
        <v>12</v>
      </c>
      <c r="G184">
        <v>33920</v>
      </c>
      <c r="H184" t="s">
        <v>207</v>
      </c>
      <c r="I184" s="8">
        <f ca="1">(TODAY()-staff[[#This Row],[Date Joined]])/365</f>
        <v>1.4027397260273973</v>
      </c>
      <c r="J184" s="19">
        <f ca="1">ROUNDUP(IF(staff[[#This Row],[Tenure]]&gt;2,3%,2%)*staff[[#This Row],[Salary]],0)</f>
        <v>679</v>
      </c>
      <c r="K184" s="18" t="e">
        <f>_xll.XLOOKUP(staff[[#This Row],[Rating]],'Hiring Rates'!$A$1:$A$5,'Hiring Rates'!$B$1:$B$5)</f>
        <v>#N/A</v>
      </c>
    </row>
  </sheetData>
  <conditionalFormatting sqref="G1:G1048576">
    <cfRule type="colorScale" priority="1">
      <colorScale>
        <cfvo type="min"/>
        <cfvo type="percentile" val="50"/>
        <cfvo type="max"/>
        <color rgb="FF5A8AC6"/>
        <color rgb="FFFCFCFF"/>
        <color rgb="FFF8696B"/>
      </colorScale>
    </cfRule>
    <cfRule type="colorScale" priority="2">
      <colorScale>
        <cfvo type="min"/>
        <cfvo type="max"/>
        <color rgb="FFF8696B"/>
        <color rgb="FFFCFCFF"/>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F3DF6-7632-40CB-B5EF-F74DB9E398FC}">
  <sheetPr>
    <tabColor rgb="FF00B050"/>
  </sheetPr>
  <dimension ref="C1:N16"/>
  <sheetViews>
    <sheetView showGridLines="0" tabSelected="1" workbookViewId="0">
      <selection activeCell="J2" sqref="J2"/>
    </sheetView>
  </sheetViews>
  <sheetFormatPr defaultRowHeight="15" x14ac:dyDescent="0.25"/>
  <cols>
    <col min="3" max="3" width="18" customWidth="1"/>
    <col min="4" max="4" width="2.7109375" customWidth="1"/>
    <col min="5" max="5" width="18" customWidth="1"/>
    <col min="6" max="6" width="3" customWidth="1"/>
    <col min="7" max="7" width="18" customWidth="1"/>
    <col min="10" max="10" width="18" customWidth="1"/>
    <col min="11" max="11" width="2.7109375" customWidth="1"/>
    <col min="12" max="12" width="18" customWidth="1"/>
    <col min="13" max="13" width="3" customWidth="1"/>
    <col min="14" max="14" width="18" customWidth="1"/>
  </cols>
  <sheetData>
    <row r="1" spans="3:14" ht="40.5" customHeight="1" x14ac:dyDescent="0.4">
      <c r="C1" s="30" t="s">
        <v>249</v>
      </c>
      <c r="D1" s="30"/>
      <c r="E1" s="30"/>
      <c r="F1" s="30"/>
      <c r="G1" s="30"/>
      <c r="H1" s="30"/>
      <c r="I1" s="30"/>
      <c r="J1" s="30"/>
      <c r="K1" s="30"/>
      <c r="L1" s="30"/>
      <c r="M1" s="30"/>
      <c r="N1" s="30"/>
    </row>
    <row r="2" spans="3:14" ht="92.25" customHeight="1" x14ac:dyDescent="0.25">
      <c r="C2" s="23">
        <f>COUNTIFS(staff[Country],"NZ")</f>
        <v>91</v>
      </c>
      <c r="E2" s="25">
        <f>COUNTIFS(staff[Country],"NZ",staff[Gender],"Female")/C2</f>
        <v>0.47252747252747251</v>
      </c>
      <c r="G2" s="24">
        <f>AVERAGEIFS(staff[Salary],staff[Country],"NZ")</f>
        <v>76978.791208791212</v>
      </c>
      <c r="J2" s="26">
        <f>COUNTIFS(staff[Country],"IND")</f>
        <v>92</v>
      </c>
      <c r="L2" s="28">
        <f>COUNTIFS(staff[Country],"IND",staff[Gender],"Female")/J2</f>
        <v>0.46739130434782611</v>
      </c>
      <c r="N2" s="27">
        <f>AVERAGEIFS(staff[Salary],staff[Country],"IND")</f>
        <v>77366.521739130432</v>
      </c>
    </row>
    <row r="3" spans="3:14" x14ac:dyDescent="0.25">
      <c r="C3" s="31" t="s">
        <v>248</v>
      </c>
      <c r="D3" s="29"/>
      <c r="E3" s="29"/>
      <c r="F3" s="29"/>
      <c r="G3" s="29"/>
      <c r="H3" s="29"/>
      <c r="I3" s="29"/>
      <c r="J3" s="29"/>
      <c r="K3" s="29"/>
      <c r="L3" s="29"/>
      <c r="M3" s="29"/>
      <c r="N3" s="29"/>
    </row>
    <row r="4" spans="3:14" x14ac:dyDescent="0.25">
      <c r="C4" s="29"/>
      <c r="D4" s="29"/>
      <c r="E4" s="29"/>
      <c r="F4" s="29"/>
      <c r="G4" s="29"/>
      <c r="H4" s="29"/>
      <c r="I4" s="29"/>
      <c r="J4" s="29"/>
      <c r="K4" s="29"/>
      <c r="L4" s="29"/>
      <c r="M4" s="29"/>
      <c r="N4" s="29"/>
    </row>
    <row r="5" spans="3:14" x14ac:dyDescent="0.25">
      <c r="C5" s="29"/>
      <c r="D5" s="29"/>
      <c r="E5" s="29"/>
      <c r="F5" s="29"/>
      <c r="G5" s="29"/>
      <c r="H5" s="29"/>
      <c r="I5" s="29"/>
      <c r="J5" s="29"/>
      <c r="K5" s="29"/>
      <c r="L5" s="29"/>
      <c r="M5" s="29"/>
      <c r="N5" s="29"/>
    </row>
    <row r="6" spans="3:14" x14ac:dyDescent="0.25">
      <c r="C6" s="22"/>
      <c r="D6" s="22"/>
      <c r="E6" s="22"/>
      <c r="F6" s="22"/>
      <c r="G6" s="22"/>
      <c r="H6" s="22"/>
      <c r="I6" s="22"/>
      <c r="J6" s="22"/>
      <c r="K6" s="22"/>
      <c r="L6" s="22"/>
      <c r="M6" s="22"/>
      <c r="N6" s="22"/>
    </row>
    <row r="7" spans="3:14" x14ac:dyDescent="0.25">
      <c r="C7" s="22"/>
      <c r="D7" s="22"/>
      <c r="E7" s="22"/>
      <c r="F7" s="22"/>
      <c r="G7" s="22"/>
      <c r="H7" s="22"/>
      <c r="I7" s="22"/>
      <c r="J7" s="22"/>
      <c r="K7" s="22"/>
      <c r="L7" s="22"/>
      <c r="M7" s="22"/>
      <c r="N7" s="22"/>
    </row>
    <row r="8" spans="3:14" x14ac:dyDescent="0.25">
      <c r="C8" s="22"/>
      <c r="D8" s="22"/>
      <c r="E8" s="22"/>
      <c r="F8" s="22"/>
      <c r="G8" s="22"/>
      <c r="H8" s="22"/>
      <c r="I8" s="22"/>
      <c r="J8" s="22"/>
      <c r="K8" s="22"/>
      <c r="L8" s="22"/>
      <c r="M8" s="22"/>
      <c r="N8" s="22"/>
    </row>
    <row r="9" spans="3:14" x14ac:dyDescent="0.25">
      <c r="C9" s="22"/>
      <c r="D9" s="22"/>
      <c r="E9" s="22"/>
      <c r="F9" s="22"/>
      <c r="G9" s="22"/>
      <c r="H9" s="22"/>
      <c r="I9" s="22"/>
      <c r="J9" s="22"/>
      <c r="K9" s="22"/>
      <c r="L9" s="22"/>
      <c r="M9" s="22"/>
      <c r="N9" s="22"/>
    </row>
    <row r="10" spans="3:14" x14ac:dyDescent="0.25">
      <c r="C10" s="22"/>
      <c r="D10" s="22"/>
      <c r="E10" s="22"/>
      <c r="F10" s="22"/>
      <c r="G10" s="22"/>
      <c r="H10" s="22"/>
      <c r="I10" s="22"/>
      <c r="J10" s="22"/>
      <c r="K10" s="22"/>
      <c r="L10" s="22"/>
      <c r="M10" s="22"/>
      <c r="N10" s="22"/>
    </row>
    <row r="11" spans="3:14" x14ac:dyDescent="0.25">
      <c r="C11" s="22"/>
      <c r="D11" s="22"/>
      <c r="E11" s="22"/>
      <c r="F11" s="22"/>
      <c r="G11" s="22"/>
      <c r="H11" s="22"/>
      <c r="I11" s="22"/>
      <c r="J11" s="22"/>
      <c r="K11" s="22"/>
      <c r="L11" s="22"/>
      <c r="M11" s="22"/>
      <c r="N11" s="22"/>
    </row>
    <row r="12" spans="3:14" x14ac:dyDescent="0.25">
      <c r="C12" s="22"/>
      <c r="D12" s="22"/>
      <c r="E12" s="22"/>
      <c r="F12" s="22"/>
      <c r="G12" s="22"/>
      <c r="H12" s="22"/>
      <c r="I12" s="22"/>
      <c r="J12" s="22"/>
      <c r="K12" s="22"/>
      <c r="L12" s="22"/>
      <c r="M12" s="22"/>
      <c r="N12" s="22"/>
    </row>
    <row r="13" spans="3:14" x14ac:dyDescent="0.25">
      <c r="C13" s="22"/>
      <c r="D13" s="22"/>
      <c r="E13" s="22"/>
      <c r="F13" s="22"/>
      <c r="G13" s="22"/>
      <c r="H13" s="22"/>
      <c r="I13" s="22"/>
      <c r="J13" s="22"/>
      <c r="K13" s="22"/>
      <c r="L13" s="22"/>
      <c r="M13" s="22"/>
      <c r="N13" s="22"/>
    </row>
    <row r="14" spans="3:14" x14ac:dyDescent="0.25">
      <c r="C14" s="22"/>
      <c r="D14" s="22"/>
      <c r="E14" s="22"/>
      <c r="F14" s="22"/>
      <c r="G14" s="22"/>
      <c r="H14" s="22"/>
      <c r="I14" s="22"/>
      <c r="J14" s="22"/>
      <c r="K14" s="22"/>
      <c r="L14" s="22"/>
      <c r="M14" s="22"/>
      <c r="N14" s="22"/>
    </row>
    <row r="15" spans="3:14" x14ac:dyDescent="0.25">
      <c r="C15" s="22"/>
      <c r="D15" s="22"/>
      <c r="E15" s="22"/>
      <c r="F15" s="22"/>
      <c r="G15" s="22"/>
      <c r="H15" s="22"/>
      <c r="I15" s="22"/>
      <c r="J15" s="22"/>
      <c r="K15" s="22"/>
      <c r="L15" s="22"/>
      <c r="M15" s="22"/>
      <c r="N15" s="22"/>
    </row>
    <row r="16" spans="3:14" x14ac:dyDescent="0.25">
      <c r="C16" s="22"/>
      <c r="D16" s="22"/>
      <c r="E16" s="22"/>
      <c r="F16" s="22"/>
      <c r="G16" s="22"/>
      <c r="H16" s="22"/>
      <c r="I16" s="22"/>
      <c r="J16" s="22"/>
      <c r="K16" s="22"/>
      <c r="L16" s="22"/>
      <c r="M16" s="22"/>
      <c r="N16" s="22"/>
    </row>
  </sheetData>
  <mergeCells count="2">
    <mergeCell ref="C3:N5"/>
    <mergeCell ref="C1:N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8AD29-D969-43CD-A507-7ACA03AA9AE7}">
  <sheetPr>
    <tabColor rgb="FF00B0F0"/>
  </sheetPr>
  <dimension ref="A1"/>
  <sheetViews>
    <sheetView workbookViewId="0">
      <selection activeCell="J3" sqref="J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6F747-F142-4961-A031-3DC363B130E7}">
  <dimension ref="A1:S38"/>
  <sheetViews>
    <sheetView zoomScale="112" zoomScaleNormal="112" workbookViewId="0">
      <selection activeCell="I18" sqref="I18"/>
    </sheetView>
  </sheetViews>
  <sheetFormatPr defaultRowHeight="15" x14ac:dyDescent="0.25"/>
  <cols>
    <col min="1" max="1" width="13.140625" bestFit="1" customWidth="1"/>
    <col min="2" max="2" width="14.42578125" bestFit="1" customWidth="1"/>
    <col min="18" max="18" width="11.28515625" bestFit="1" customWidth="1"/>
    <col min="19" max="19" width="13.28515625" bestFit="1" customWidth="1"/>
  </cols>
  <sheetData>
    <row r="1" spans="1:19" x14ac:dyDescent="0.25">
      <c r="A1" s="15" t="s">
        <v>227</v>
      </c>
      <c r="B1" t="s">
        <v>221</v>
      </c>
      <c r="Q1" t="s">
        <v>245</v>
      </c>
      <c r="R1" t="s">
        <v>246</v>
      </c>
      <c r="S1" t="s">
        <v>247</v>
      </c>
    </row>
    <row r="2" spans="1:19" x14ac:dyDescent="0.25">
      <c r="A2" s="16" t="s">
        <v>229</v>
      </c>
      <c r="B2" s="6"/>
      <c r="P2">
        <v>1</v>
      </c>
      <c r="Q2" s="21">
        <v>43952</v>
      </c>
      <c r="R2">
        <f>COUNTIFS(staff[Date Joined],"&gt;="&amp;Q2,staff[Date Joined],"&lt;="&amp;EOMONTH(Q2,0))</f>
        <v>3</v>
      </c>
      <c r="S2">
        <f>SUM($R$2:R2)</f>
        <v>3</v>
      </c>
    </row>
    <row r="3" spans="1:19" x14ac:dyDescent="0.25">
      <c r="A3" s="20" t="s">
        <v>230</v>
      </c>
      <c r="B3" s="6">
        <v>3</v>
      </c>
      <c r="P3">
        <v>2</v>
      </c>
      <c r="Q3" s="21">
        <v>43983</v>
      </c>
      <c r="R3">
        <f>COUNTIFS(staff[Date Joined],"&gt;="&amp;Q3,staff[Date Joined],"&lt;="&amp;EOMONTH(Q3,0))</f>
        <v>1</v>
      </c>
      <c r="S3">
        <f>SUM($R$2:R3)</f>
        <v>4</v>
      </c>
    </row>
    <row r="4" spans="1:19" x14ac:dyDescent="0.25">
      <c r="A4" s="20" t="s">
        <v>231</v>
      </c>
      <c r="B4" s="6">
        <v>4</v>
      </c>
      <c r="P4">
        <v>3</v>
      </c>
      <c r="Q4" s="21">
        <v>44013</v>
      </c>
      <c r="R4">
        <f>COUNTIFS(staff[Date Joined],"&gt;="&amp;Q4,staff[Date Joined],"&lt;="&amp;EOMONTH(Q4,0))</f>
        <v>5</v>
      </c>
      <c r="S4">
        <f>SUM($R$2:R4)</f>
        <v>9</v>
      </c>
    </row>
    <row r="5" spans="1:19" x14ac:dyDescent="0.25">
      <c r="A5" s="20" t="s">
        <v>232</v>
      </c>
      <c r="B5" s="6">
        <v>9</v>
      </c>
      <c r="P5">
        <v>4</v>
      </c>
      <c r="Q5" s="21">
        <v>44044</v>
      </c>
      <c r="R5">
        <f>COUNTIFS(staff[Date Joined],"&gt;="&amp;Q5,staff[Date Joined],"&lt;="&amp;EOMONTH(Q5,0))</f>
        <v>3</v>
      </c>
      <c r="S5">
        <f>SUM($R$2:R5)</f>
        <v>12</v>
      </c>
    </row>
    <row r="6" spans="1:19" x14ac:dyDescent="0.25">
      <c r="A6" s="20" t="s">
        <v>233</v>
      </c>
      <c r="B6" s="6">
        <v>12</v>
      </c>
      <c r="P6">
        <v>5</v>
      </c>
      <c r="Q6" s="21">
        <v>44075</v>
      </c>
      <c r="R6">
        <f>COUNTIFS(staff[Date Joined],"&gt;="&amp;Q6,staff[Date Joined],"&lt;="&amp;EOMONTH(Q6,0))</f>
        <v>6</v>
      </c>
      <c r="S6">
        <f>SUM($R$2:R6)</f>
        <v>18</v>
      </c>
    </row>
    <row r="7" spans="1:19" x14ac:dyDescent="0.25">
      <c r="A7" s="20" t="s">
        <v>234</v>
      </c>
      <c r="B7" s="6">
        <v>18</v>
      </c>
      <c r="P7">
        <v>6</v>
      </c>
      <c r="Q7" s="21">
        <v>44105</v>
      </c>
      <c r="R7">
        <f>COUNTIFS(staff[Date Joined],"&gt;="&amp;Q7,staff[Date Joined],"&lt;="&amp;EOMONTH(Q7,0))</f>
        <v>6</v>
      </c>
      <c r="S7">
        <f>SUM($R$2:R7)</f>
        <v>24</v>
      </c>
    </row>
    <row r="8" spans="1:19" x14ac:dyDescent="0.25">
      <c r="A8" s="20" t="s">
        <v>235</v>
      </c>
      <c r="B8" s="6">
        <v>24</v>
      </c>
      <c r="P8">
        <v>7</v>
      </c>
      <c r="Q8" s="21">
        <v>44136</v>
      </c>
      <c r="R8">
        <f>COUNTIFS(staff[Date Joined],"&gt;="&amp;Q8,staff[Date Joined],"&lt;="&amp;EOMONTH(Q8,0))</f>
        <v>6</v>
      </c>
      <c r="S8">
        <f>SUM($R$2:R8)</f>
        <v>30</v>
      </c>
    </row>
    <row r="9" spans="1:19" x14ac:dyDescent="0.25">
      <c r="A9" s="20" t="s">
        <v>236</v>
      </c>
      <c r="B9" s="6">
        <v>30</v>
      </c>
      <c r="P9">
        <v>8</v>
      </c>
      <c r="Q9" s="21">
        <v>44166</v>
      </c>
      <c r="R9">
        <f>COUNTIFS(staff[Date Joined],"&gt;="&amp;Q9,staff[Date Joined],"&lt;="&amp;EOMONTH(Q9,0))</f>
        <v>7</v>
      </c>
      <c r="S9">
        <f>SUM($R$2:R9)</f>
        <v>37</v>
      </c>
    </row>
    <row r="10" spans="1:19" x14ac:dyDescent="0.25">
      <c r="A10" s="20" t="s">
        <v>237</v>
      </c>
      <c r="B10" s="6">
        <v>37</v>
      </c>
      <c r="P10">
        <v>9</v>
      </c>
      <c r="Q10" s="21">
        <v>44197</v>
      </c>
      <c r="R10">
        <f>COUNTIFS(staff[Date Joined],"&gt;="&amp;Q10,staff[Date Joined],"&lt;="&amp;EOMONTH(Q10,0))</f>
        <v>6</v>
      </c>
      <c r="S10">
        <f>SUM($R$2:R10)</f>
        <v>43</v>
      </c>
    </row>
    <row r="11" spans="1:19" x14ac:dyDescent="0.25">
      <c r="A11" s="16" t="s">
        <v>238</v>
      </c>
      <c r="B11" s="6"/>
      <c r="P11">
        <v>10</v>
      </c>
      <c r="Q11" s="21">
        <v>44228</v>
      </c>
      <c r="R11">
        <f>COUNTIFS(staff[Date Joined],"&gt;="&amp;Q11,staff[Date Joined],"&lt;="&amp;EOMONTH(Q11,0))</f>
        <v>4</v>
      </c>
      <c r="S11">
        <f>SUM($R$2:R11)</f>
        <v>47</v>
      </c>
    </row>
    <row r="12" spans="1:19" x14ac:dyDescent="0.25">
      <c r="A12" s="20" t="s">
        <v>239</v>
      </c>
      <c r="B12" s="6">
        <v>6</v>
      </c>
      <c r="P12">
        <v>11</v>
      </c>
      <c r="Q12" s="21">
        <v>44256</v>
      </c>
      <c r="R12">
        <f>COUNTIFS(staff[Date Joined],"&gt;="&amp;Q12,staff[Date Joined],"&lt;="&amp;EOMONTH(Q12,0))</f>
        <v>9</v>
      </c>
      <c r="S12">
        <f>SUM($R$2:R12)</f>
        <v>56</v>
      </c>
    </row>
    <row r="13" spans="1:19" x14ac:dyDescent="0.25">
      <c r="A13" s="20" t="s">
        <v>240</v>
      </c>
      <c r="B13" s="6">
        <v>10</v>
      </c>
      <c r="P13">
        <v>12</v>
      </c>
      <c r="Q13" s="21">
        <v>44287</v>
      </c>
      <c r="R13">
        <f>COUNTIFS(staff[Date Joined],"&gt;="&amp;Q13,staff[Date Joined],"&lt;="&amp;EOMONTH(Q13,0))</f>
        <v>5</v>
      </c>
      <c r="S13">
        <f>SUM($R$2:R13)</f>
        <v>61</v>
      </c>
    </row>
    <row r="14" spans="1:19" x14ac:dyDescent="0.25">
      <c r="A14" s="20" t="s">
        <v>241</v>
      </c>
      <c r="B14" s="6">
        <v>19</v>
      </c>
      <c r="P14">
        <v>13</v>
      </c>
      <c r="Q14" s="21">
        <v>44317</v>
      </c>
      <c r="R14">
        <f>COUNTIFS(staff[Date Joined],"&gt;="&amp;Q14,staff[Date Joined],"&lt;="&amp;EOMONTH(Q14,0))</f>
        <v>10</v>
      </c>
      <c r="S14">
        <f>SUM($R$2:R14)</f>
        <v>71</v>
      </c>
    </row>
    <row r="15" spans="1:19" x14ac:dyDescent="0.25">
      <c r="A15" s="20" t="s">
        <v>242</v>
      </c>
      <c r="B15" s="6">
        <v>24</v>
      </c>
      <c r="P15">
        <v>14</v>
      </c>
      <c r="Q15" s="21">
        <v>44348</v>
      </c>
      <c r="R15">
        <f>COUNTIFS(staff[Date Joined],"&gt;="&amp;Q15,staff[Date Joined],"&lt;="&amp;EOMONTH(Q15,0))</f>
        <v>6</v>
      </c>
      <c r="S15">
        <f>SUM($R$2:R15)</f>
        <v>77</v>
      </c>
    </row>
    <row r="16" spans="1:19" x14ac:dyDescent="0.25">
      <c r="A16" s="20" t="s">
        <v>230</v>
      </c>
      <c r="B16" s="6">
        <v>34</v>
      </c>
      <c r="P16">
        <v>15</v>
      </c>
      <c r="Q16" s="21">
        <v>44378</v>
      </c>
      <c r="R16">
        <f>COUNTIFS(staff[Date Joined],"&gt;="&amp;Q16,staff[Date Joined],"&lt;="&amp;EOMONTH(Q16,0))</f>
        <v>13</v>
      </c>
      <c r="S16">
        <f>SUM($R$2:R16)</f>
        <v>90</v>
      </c>
    </row>
    <row r="17" spans="1:19" x14ac:dyDescent="0.25">
      <c r="A17" s="20" t="s">
        <v>231</v>
      </c>
      <c r="B17" s="6">
        <v>40</v>
      </c>
      <c r="P17">
        <v>16</v>
      </c>
      <c r="Q17" s="21">
        <v>44409</v>
      </c>
      <c r="R17">
        <f>COUNTIFS(staff[Date Joined],"&gt;="&amp;Q17,staff[Date Joined],"&lt;="&amp;EOMONTH(Q17,0))</f>
        <v>4</v>
      </c>
      <c r="S17">
        <f>SUM($R$2:R17)</f>
        <v>94</v>
      </c>
    </row>
    <row r="18" spans="1:19" x14ac:dyDescent="0.25">
      <c r="A18" s="20" t="s">
        <v>232</v>
      </c>
      <c r="B18" s="6">
        <v>53</v>
      </c>
      <c r="P18">
        <v>17</v>
      </c>
      <c r="Q18" s="21">
        <v>44440</v>
      </c>
      <c r="R18">
        <f>COUNTIFS(staff[Date Joined],"&gt;="&amp;Q18,staff[Date Joined],"&lt;="&amp;EOMONTH(Q18,0))</f>
        <v>11</v>
      </c>
      <c r="S18">
        <f>SUM($R$2:R18)</f>
        <v>105</v>
      </c>
    </row>
    <row r="19" spans="1:19" x14ac:dyDescent="0.25">
      <c r="A19" s="20" t="s">
        <v>233</v>
      </c>
      <c r="B19" s="6">
        <v>57</v>
      </c>
      <c r="P19">
        <v>18</v>
      </c>
      <c r="Q19" s="21">
        <v>44470</v>
      </c>
      <c r="R19">
        <f>COUNTIFS(staff[Date Joined],"&gt;="&amp;Q19,staff[Date Joined],"&lt;="&amp;EOMONTH(Q19,0))</f>
        <v>3</v>
      </c>
      <c r="S19">
        <f>SUM($R$2:R19)</f>
        <v>108</v>
      </c>
    </row>
    <row r="20" spans="1:19" x14ac:dyDescent="0.25">
      <c r="A20" s="20" t="s">
        <v>234</v>
      </c>
      <c r="B20" s="6">
        <v>68</v>
      </c>
      <c r="P20">
        <v>19</v>
      </c>
      <c r="Q20" s="21">
        <v>44501</v>
      </c>
      <c r="R20">
        <f>COUNTIFS(staff[Date Joined],"&gt;="&amp;Q20,staff[Date Joined],"&lt;="&amp;EOMONTH(Q20,0))</f>
        <v>4</v>
      </c>
      <c r="S20">
        <f>SUM($R$2:R20)</f>
        <v>112</v>
      </c>
    </row>
    <row r="21" spans="1:19" x14ac:dyDescent="0.25">
      <c r="A21" s="20" t="s">
        <v>235</v>
      </c>
      <c r="B21" s="6">
        <v>71</v>
      </c>
      <c r="P21">
        <v>20</v>
      </c>
      <c r="Q21" s="21">
        <v>44531</v>
      </c>
      <c r="R21">
        <f>COUNTIFS(staff[Date Joined],"&gt;="&amp;Q21,staff[Date Joined],"&lt;="&amp;EOMONTH(Q21,0))</f>
        <v>7</v>
      </c>
      <c r="S21">
        <f>SUM($R$2:R21)</f>
        <v>119</v>
      </c>
    </row>
    <row r="22" spans="1:19" x14ac:dyDescent="0.25">
      <c r="A22" s="20" t="s">
        <v>236</v>
      </c>
      <c r="B22" s="6">
        <v>75</v>
      </c>
      <c r="P22">
        <v>21</v>
      </c>
      <c r="Q22" s="21">
        <v>44562</v>
      </c>
      <c r="R22">
        <f>COUNTIFS(staff[Date Joined],"&gt;="&amp;Q22,staff[Date Joined],"&lt;="&amp;EOMONTH(Q22,0))</f>
        <v>3</v>
      </c>
      <c r="S22">
        <f>SUM($R$2:R22)</f>
        <v>122</v>
      </c>
    </row>
    <row r="23" spans="1:19" x14ac:dyDescent="0.25">
      <c r="A23" s="20" t="s">
        <v>237</v>
      </c>
      <c r="B23" s="6">
        <v>82</v>
      </c>
      <c r="P23">
        <v>22</v>
      </c>
      <c r="Q23" s="21">
        <v>44593</v>
      </c>
      <c r="R23">
        <f>COUNTIFS(staff[Date Joined],"&gt;="&amp;Q23,staff[Date Joined],"&lt;="&amp;EOMONTH(Q23,0))</f>
        <v>10</v>
      </c>
      <c r="S23">
        <f>SUM($R$2:R23)</f>
        <v>132</v>
      </c>
    </row>
    <row r="24" spans="1:19" x14ac:dyDescent="0.25">
      <c r="A24" s="16" t="s">
        <v>243</v>
      </c>
      <c r="B24" s="6"/>
      <c r="P24">
        <v>23</v>
      </c>
      <c r="Q24" s="21">
        <v>44621</v>
      </c>
      <c r="R24">
        <f>COUNTIFS(staff[Date Joined],"&gt;="&amp;Q24,staff[Date Joined],"&lt;="&amp;EOMONTH(Q24,0))</f>
        <v>9</v>
      </c>
      <c r="S24">
        <f>SUM($R$2:R24)</f>
        <v>141</v>
      </c>
    </row>
    <row r="25" spans="1:19" x14ac:dyDescent="0.25">
      <c r="A25" s="20" t="s">
        <v>239</v>
      </c>
      <c r="B25" s="6">
        <v>3</v>
      </c>
      <c r="P25">
        <v>24</v>
      </c>
      <c r="Q25" s="21">
        <v>44652</v>
      </c>
      <c r="R25">
        <f>COUNTIFS(staff[Date Joined],"&gt;="&amp;Q25,staff[Date Joined],"&lt;="&amp;EOMONTH(Q25,0))</f>
        <v>9</v>
      </c>
      <c r="S25">
        <f>SUM($R$2:R25)</f>
        <v>150</v>
      </c>
    </row>
    <row r="26" spans="1:19" x14ac:dyDescent="0.25">
      <c r="A26" s="20" t="s">
        <v>240</v>
      </c>
      <c r="B26" s="6">
        <v>13</v>
      </c>
      <c r="P26">
        <v>25</v>
      </c>
      <c r="Q26" s="21">
        <v>44682</v>
      </c>
      <c r="R26">
        <f>COUNTIFS(staff[Date Joined],"&gt;="&amp;Q26,staff[Date Joined],"&lt;="&amp;EOMONTH(Q26,0))</f>
        <v>9</v>
      </c>
      <c r="S26">
        <f>SUM($R$2:R26)</f>
        <v>159</v>
      </c>
    </row>
    <row r="27" spans="1:19" x14ac:dyDescent="0.25">
      <c r="A27" s="20" t="s">
        <v>241</v>
      </c>
      <c r="B27" s="6">
        <v>22</v>
      </c>
      <c r="P27">
        <v>26</v>
      </c>
      <c r="Q27" s="21">
        <v>44713</v>
      </c>
      <c r="R27">
        <f>COUNTIFS(staff[Date Joined],"&gt;="&amp;Q27,staff[Date Joined],"&lt;="&amp;EOMONTH(Q27,0))</f>
        <v>7</v>
      </c>
      <c r="S27">
        <f>SUM($R$2:R27)</f>
        <v>166</v>
      </c>
    </row>
    <row r="28" spans="1:19" x14ac:dyDescent="0.25">
      <c r="A28" s="20" t="s">
        <v>242</v>
      </c>
      <c r="B28" s="6">
        <v>31</v>
      </c>
      <c r="P28">
        <v>27</v>
      </c>
      <c r="Q28" s="21">
        <v>44743</v>
      </c>
      <c r="R28">
        <f>COUNTIFS(staff[Date Joined],"&gt;="&amp;Q28,staff[Date Joined],"&lt;="&amp;EOMONTH(Q28,0))</f>
        <v>5</v>
      </c>
      <c r="S28">
        <f>SUM($R$2:R28)</f>
        <v>171</v>
      </c>
    </row>
    <row r="29" spans="1:19" x14ac:dyDescent="0.25">
      <c r="A29" s="20" t="s">
        <v>230</v>
      </c>
      <c r="B29" s="6">
        <v>40</v>
      </c>
      <c r="P29">
        <v>28</v>
      </c>
      <c r="Q29" s="21">
        <v>44774</v>
      </c>
      <c r="R29">
        <f>COUNTIFS(staff[Date Joined],"&gt;="&amp;Q29,staff[Date Joined],"&lt;="&amp;EOMONTH(Q29,0))</f>
        <v>5</v>
      </c>
      <c r="S29">
        <f>SUM($R$2:R29)</f>
        <v>176</v>
      </c>
    </row>
    <row r="30" spans="1:19" x14ac:dyDescent="0.25">
      <c r="A30" s="20" t="s">
        <v>231</v>
      </c>
      <c r="B30" s="6">
        <v>47</v>
      </c>
      <c r="P30">
        <v>29</v>
      </c>
      <c r="Q30" s="21">
        <v>44805</v>
      </c>
      <c r="R30">
        <f>COUNTIFS(staff[Date Joined],"&gt;="&amp;Q30,staff[Date Joined],"&lt;="&amp;EOMONTH(Q30,0))</f>
        <v>2</v>
      </c>
      <c r="S30">
        <f>SUM($R$2:R30)</f>
        <v>178</v>
      </c>
    </row>
    <row r="31" spans="1:19" x14ac:dyDescent="0.25">
      <c r="A31" s="20" t="s">
        <v>232</v>
      </c>
      <c r="B31" s="6">
        <v>52</v>
      </c>
      <c r="P31">
        <v>30</v>
      </c>
      <c r="Q31" s="21">
        <v>44835</v>
      </c>
      <c r="R31">
        <f>COUNTIFS(staff[Date Joined],"&gt;="&amp;Q31,staff[Date Joined],"&lt;="&amp;EOMONTH(Q31,0))</f>
        <v>3</v>
      </c>
      <c r="S31">
        <f>SUM($R$2:R31)</f>
        <v>181</v>
      </c>
    </row>
    <row r="32" spans="1:19" x14ac:dyDescent="0.25">
      <c r="A32" s="20" t="s">
        <v>233</v>
      </c>
      <c r="B32" s="6">
        <v>57</v>
      </c>
      <c r="P32">
        <v>31</v>
      </c>
      <c r="Q32" s="21">
        <v>44866</v>
      </c>
      <c r="R32">
        <f>COUNTIFS(staff[Date Joined],"&gt;="&amp;Q32,staff[Date Joined],"&lt;="&amp;EOMONTH(Q32,0))</f>
        <v>0</v>
      </c>
      <c r="S32">
        <f>SUM($R$2:R32)</f>
        <v>181</v>
      </c>
    </row>
    <row r="33" spans="1:19" x14ac:dyDescent="0.25">
      <c r="A33" s="20" t="s">
        <v>234</v>
      </c>
      <c r="B33" s="6">
        <v>59</v>
      </c>
      <c r="P33">
        <v>32</v>
      </c>
      <c r="Q33" s="21">
        <v>44896</v>
      </c>
      <c r="R33">
        <f>COUNTIFS(staff[Date Joined],"&gt;="&amp;Q33,staff[Date Joined],"&lt;="&amp;EOMONTH(Q33,0))</f>
        <v>0</v>
      </c>
      <c r="S33">
        <f>SUM($R$2:R33)</f>
        <v>181</v>
      </c>
    </row>
    <row r="34" spans="1:19" x14ac:dyDescent="0.25">
      <c r="A34" s="20" t="s">
        <v>235</v>
      </c>
      <c r="B34" s="6">
        <v>62</v>
      </c>
      <c r="P34">
        <v>33</v>
      </c>
      <c r="Q34" s="21">
        <v>44927</v>
      </c>
      <c r="R34">
        <f>COUNTIFS(staff[Date Joined],"&gt;="&amp;Q34,staff[Date Joined],"&lt;="&amp;EOMONTH(Q34,0))</f>
        <v>0</v>
      </c>
      <c r="S34">
        <f>SUM($R$2:R34)</f>
        <v>181</v>
      </c>
    </row>
    <row r="35" spans="1:19" x14ac:dyDescent="0.25">
      <c r="A35" s="16" t="s">
        <v>244</v>
      </c>
      <c r="B35" s="6"/>
      <c r="P35">
        <v>34</v>
      </c>
      <c r="Q35" s="21">
        <v>44958</v>
      </c>
      <c r="R35">
        <f>COUNTIFS(staff[Date Joined],"&gt;="&amp;Q35,staff[Date Joined],"&lt;="&amp;EOMONTH(Q35,0))</f>
        <v>1</v>
      </c>
      <c r="S35">
        <f>SUM($R$2:R35)</f>
        <v>182</v>
      </c>
    </row>
    <row r="36" spans="1:19" x14ac:dyDescent="0.25">
      <c r="A36" s="20" t="s">
        <v>240</v>
      </c>
      <c r="B36" s="6">
        <v>1</v>
      </c>
      <c r="P36">
        <v>35</v>
      </c>
      <c r="Q36" s="21">
        <v>44986</v>
      </c>
      <c r="R36">
        <f>COUNTIFS(staff[Date Joined],"&gt;="&amp;Q36,staff[Date Joined],"&lt;="&amp;EOMONTH(Q36,0))</f>
        <v>0</v>
      </c>
      <c r="S36">
        <f>SUM($R$2:R36)</f>
        <v>182</v>
      </c>
    </row>
    <row r="37" spans="1:19" x14ac:dyDescent="0.25">
      <c r="A37" s="20" t="s">
        <v>242</v>
      </c>
      <c r="B37" s="6">
        <v>2</v>
      </c>
      <c r="P37">
        <v>36</v>
      </c>
      <c r="Q37" s="21">
        <v>45017</v>
      </c>
      <c r="R37">
        <f>COUNTIFS(staff[Date Joined],"&gt;="&amp;Q37,staff[Date Joined],"&lt;="&amp;EOMONTH(Q37,0))</f>
        <v>1</v>
      </c>
      <c r="S37">
        <f>SUM($R$2:R37)</f>
        <v>183</v>
      </c>
    </row>
    <row r="38" spans="1:19" x14ac:dyDescent="0.25">
      <c r="A38" s="16" t="s">
        <v>220</v>
      </c>
      <c r="B38" s="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EE12-DEBB-4B2A-A4B8-835A3D2DA15C}">
  <dimension ref="A1:C7"/>
  <sheetViews>
    <sheetView workbookViewId="0">
      <selection activeCell="C23" sqref="C23"/>
    </sheetView>
  </sheetViews>
  <sheetFormatPr defaultRowHeight="15" x14ac:dyDescent="0.25"/>
  <cols>
    <col min="1" max="1" width="14.28515625" bestFit="1" customWidth="1"/>
    <col min="2" max="2" width="14.42578125" bestFit="1" customWidth="1"/>
    <col min="3" max="3" width="17.7109375" style="5" bestFit="1" customWidth="1"/>
  </cols>
  <sheetData>
    <row r="1" spans="1:3" x14ac:dyDescent="0.25">
      <c r="A1" s="15" t="s">
        <v>227</v>
      </c>
      <c r="B1" t="s">
        <v>221</v>
      </c>
      <c r="C1" s="5" t="s">
        <v>224</v>
      </c>
    </row>
    <row r="2" spans="1:3" x14ac:dyDescent="0.25">
      <c r="A2" s="16" t="s">
        <v>10</v>
      </c>
      <c r="B2" s="6">
        <v>4</v>
      </c>
      <c r="C2" s="5">
        <v>92080</v>
      </c>
    </row>
    <row r="3" spans="1:3" x14ac:dyDescent="0.25">
      <c r="A3" s="16" t="s">
        <v>13</v>
      </c>
      <c r="B3" s="6">
        <v>20</v>
      </c>
      <c r="C3" s="5">
        <v>75933</v>
      </c>
    </row>
    <row r="4" spans="1:3" x14ac:dyDescent="0.25">
      <c r="A4" s="16" t="s">
        <v>16</v>
      </c>
      <c r="B4" s="6">
        <v>137</v>
      </c>
      <c r="C4" s="5">
        <v>76798.759124087592</v>
      </c>
    </row>
    <row r="5" spans="1:3" x14ac:dyDescent="0.25">
      <c r="A5" s="16" t="s">
        <v>24</v>
      </c>
      <c r="B5" s="6">
        <v>16</v>
      </c>
      <c r="C5" s="5">
        <v>78115</v>
      </c>
    </row>
    <row r="6" spans="1:3" x14ac:dyDescent="0.25">
      <c r="A6" s="16" t="s">
        <v>42</v>
      </c>
      <c r="B6" s="6">
        <v>6</v>
      </c>
      <c r="C6" s="5">
        <v>77423.333333333328</v>
      </c>
    </row>
    <row r="7" spans="1:3" x14ac:dyDescent="0.25">
      <c r="A7" s="16" t="s">
        <v>220</v>
      </c>
      <c r="B7" s="6">
        <v>183</v>
      </c>
      <c r="C7" s="5">
        <v>77173.715846994543</v>
      </c>
    </row>
  </sheetData>
  <conditionalFormatting pivot="1" sqref="C2:C6">
    <cfRule type="dataBar" priority="1">
      <dataBar>
        <cfvo type="min"/>
        <cfvo type="max"/>
        <color rgb="FF638EC6"/>
      </dataBar>
      <extLst>
        <ext xmlns:x14="http://schemas.microsoft.com/office/spreadsheetml/2009/9/main" uri="{B025F937-C7B1-47D3-B67F-A62EFF666E3E}">
          <x14:id>{EA28BEBD-2FC3-4389-A423-28B621BD002B}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A28BEBD-2FC3-4389-A423-28B621BD002B}">
            <x14:dataBar minLength="0" maxLength="100" gradient="0">
              <x14:cfvo type="autoMin"/>
              <x14:cfvo type="autoMax"/>
              <x14:negativeFillColor rgb="FFFF0000"/>
              <x14:axisColor rgb="FF000000"/>
            </x14:dataBar>
          </x14:cfRule>
          <xm:sqref>C2:C6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EE193-4ABA-4377-80B6-EF2FA051642B}">
  <dimension ref="A1:E9"/>
  <sheetViews>
    <sheetView workbookViewId="0">
      <selection activeCell="E7" sqref="E7"/>
    </sheetView>
  </sheetViews>
  <sheetFormatPr defaultRowHeight="15" x14ac:dyDescent="0.25"/>
  <cols>
    <col min="1" max="1" width="13.140625" bestFit="1" customWidth="1"/>
    <col min="2" max="2" width="14.42578125" bestFit="1" customWidth="1"/>
    <col min="4" max="4" width="13.140625" bestFit="1" customWidth="1"/>
    <col min="5" max="5" width="14.42578125" bestFit="1" customWidth="1"/>
  </cols>
  <sheetData>
    <row r="1" spans="1:5" x14ac:dyDescent="0.25">
      <c r="A1" s="15" t="s">
        <v>204</v>
      </c>
      <c r="B1" t="s" vm="1">
        <v>207</v>
      </c>
      <c r="D1" s="15" t="s">
        <v>204</v>
      </c>
      <c r="E1" t="s" vm="2">
        <v>205</v>
      </c>
    </row>
    <row r="3" spans="1:5" x14ac:dyDescent="0.25">
      <c r="A3" s="15" t="s">
        <v>227</v>
      </c>
      <c r="B3" t="s">
        <v>221</v>
      </c>
      <c r="D3" s="15" t="s">
        <v>227</v>
      </c>
      <c r="E3" t="s">
        <v>221</v>
      </c>
    </row>
    <row r="4" spans="1:5" x14ac:dyDescent="0.25">
      <c r="A4" s="16" t="s">
        <v>12</v>
      </c>
      <c r="B4" s="6">
        <v>27</v>
      </c>
      <c r="D4" s="16" t="s">
        <v>9</v>
      </c>
      <c r="E4" s="6">
        <v>28</v>
      </c>
    </row>
    <row r="5" spans="1:5" x14ac:dyDescent="0.25">
      <c r="A5" s="16" t="s">
        <v>9</v>
      </c>
      <c r="B5" s="6">
        <v>27</v>
      </c>
      <c r="D5" s="16" t="s">
        <v>12</v>
      </c>
      <c r="E5" s="6">
        <v>27</v>
      </c>
    </row>
    <row r="6" spans="1:5" x14ac:dyDescent="0.25">
      <c r="A6" s="16" t="s">
        <v>21</v>
      </c>
      <c r="B6" s="6">
        <v>19</v>
      </c>
      <c r="D6" s="16" t="s">
        <v>21</v>
      </c>
      <c r="E6" s="6">
        <v>19</v>
      </c>
    </row>
    <row r="7" spans="1:5" x14ac:dyDescent="0.25">
      <c r="A7" s="16" t="s">
        <v>19</v>
      </c>
      <c r="B7" s="6">
        <v>14</v>
      </c>
      <c r="D7" s="16" t="s">
        <v>19</v>
      </c>
      <c r="E7" s="6">
        <v>14</v>
      </c>
    </row>
    <row r="8" spans="1:5" x14ac:dyDescent="0.25">
      <c r="A8" s="16" t="s">
        <v>56</v>
      </c>
      <c r="B8" s="6">
        <v>4</v>
      </c>
      <c r="D8" s="16" t="s">
        <v>56</v>
      </c>
      <c r="E8" s="6">
        <v>4</v>
      </c>
    </row>
    <row r="9" spans="1:5" x14ac:dyDescent="0.25">
      <c r="A9" s="16" t="s">
        <v>220</v>
      </c>
      <c r="B9" s="6">
        <v>91</v>
      </c>
      <c r="D9" s="16" t="s">
        <v>220</v>
      </c>
      <c r="E9" s="6">
        <v>92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6 0 0 7 f 0 - a 7 b f - 4 1 d 0 - b 8 9 8 - 1 9 f e 6 a c 7 7 2 d 0 "   x m l n s = " h t t p : / / s c h e m a s . m i c r o s o f t . c o m / D a t a M a s h u p " > A A A A A M w E A A B Q S w M E F A A C A A g A h r Q 1 V 2 4 L / Y a o A A A A + Q A A A B I A H A B D b 2 5 m a W c v U G F j a 2 F n Z S 5 4 b W w g o h g A K K A U A A A A A A A A A A A A A A A A A A A A A A A A A A A A h c 8 x D o I w G A X g q 5 D u t K U a I + S n D M Z J S U x M j G t T K j R C M b R Y 7 u b g k b y C J I q 6 O b 6 X b 3 j v c b t D N j R 1 c F W d 1 a 1 J U Y Q p C p S R b a F N m a L e n c I l y j j s h D y L U g U j N j Y Z b J G i y r l L Q o j 3 H v s Z b r u S M E o j c s y 3 e 1 m p R q A P 1 v 9 x q I 1 1 w k i F O B x e Y z j D 8 R w v G I s x H S 2 Q q Y d c m 6 9 h 4 2 R M g f y U s O p r 1 3 e K K x N u 1 k C m C O R 9 g z 8 B U E s D B B Q A A g A I A I a 0 N 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t D V X A D g l 8 M I B A A D j B Q A A E w A c A E Z v c m 1 1 b G F z L 1 N l Y 3 R p b 2 4 x L m 0 g o h g A K K A U A A A A A A A A A A A A A A A A A A A A A A A A A A A A 7 V T L a u M w F N 0 H 8 g 9 C 3 d g g C l n 3 A c X p D N N F C k l o Y U I o i n 2 T i O o R 5 K u Z p s b / P r K d O E r i b N r t e G M 4 V / e c + z h S D i k K o 8 m k + Q 9 u + r 1 + L 1 9 z C x n R n 2 8 5 8 u W S 3 B E J 2 O 8 R / 0 2 M s y l 4 5 P E j B X m d O G t B 4 6 u x 7 w t j 3 q O 4 m I 2 4 g j u 6 z 6 X z c p Y Y j f 7 Q n D U U V z R Z c 7 3 y A t P t B q j n m v K F h O u p 5 T p f G q s S I 5 3 S V T C P G j 1 W F L T i p Y y g h w n C B 5 a M F P Q n 6 A z s G T y E D b e o v O h Z 6 G H V s m i n F m C b B I 5 A n o z Q k O 2 j m Y d Q K K j j E y 6 5 3 X Y k j j k K v d o H u N 6 W Z d z 2 + Z B l v s v E 5 W j U o U + P N h 1 G J 5 N g h C b G a a y F g K d r Q k e / a d z v C d 3 J G O 5 K 6 E z w r 6 8 r S P + / s W 9 v r K U b g z J / K s I 6 O z 8 w N o E d H J 3 o s q J l v V D a o L u 2 U 7 m O 8 n 6 N h p c d N T i y 1 G U z N c q J U Q s / / q g I z M P a R 6 M 8 n 8 L Q b a R I / Z K C Q Q x F 7 t e R 4 t 4 2 Z G e b o / S N 5 K n P f + H S Q T j D G q / R q F O F a S c l o 8 + 4 r h y 3 O 2 + P E l n r y E D x h 5 A I 1 Q j G 5 m 9 Q 6 w S k f y U r L D q r a j f f a B b 4 c k 5 u 7 0 l V Q h x / 5 S K d 1 l F d q Q u u 9 x Y O d 3 o k c v M P U E s B A i 0 A F A A C A A g A h r Q 1 V 2 4 L / Y a o A A A A + Q A A A B I A A A A A A A A A A A A A A A A A A A A A A E N v b m Z p Z y 9 Q Y W N r Y W d l L n h t b F B L A Q I t A B Q A A g A I A I a 0 N V c P y u m r p A A A A O k A A A A T A A A A A A A A A A A A A A A A A P Q A A A B b Q 2 9 u d G V u d F 9 U e X B l c 1 0 u e G 1 s U E s B A i 0 A F A A C A A g A h r Q 1 V w A 4 J f D C A Q A A 4 w U A A B M A A A A A A A A A A A A A A A A A 5 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x g A A A A A A A A l 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n p f c 3 R h Z m 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5 L T I x V D E z O j E x O j M y L j g y N z E z M z R a I i A v P j x F b n R y e S B U e X B l P S J G a W x s U 3 R h d H V z I i B W Y W x 1 Z T 0 i c 0 N v b X B s Z X R l 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2 5 6 X 3 N 0 Y W Z m L 0 N o Y W 5 n Z W Q l M j B U e X B l P C 9 J d G V t U G F 0 a D 4 8 L 0 l 0 Z W 1 M b 2 N h d G l v b j 4 8 U 3 R h Y m x l R W 5 0 c m l l c y A v P j w v S X R l b T 4 8 S X R l b T 4 8 S X R l b U x v Y 2 F 0 a W 9 u P j x J d G V t V H l w Z T 5 G b 3 J t d W x h P C 9 J d G V t V H l w Z T 4 8 S X R l b V B h d G g + U 2 V j d G l v b j E v a W 5 k a W F f c 3 R h Z m Y 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5 L T I x V D E z O j E x O j M y L j g z M z k 0 N j J a I i A v P j x F b n R y e S B U e X B l P S J G a W x s R X J y b 3 J D b 2 R l I i B W Y W x 1 Z T 0 i c 1 V u a 2 5 v d 2 4 i I C 8 + P E V u d H J 5 I F R 5 c G U 9 I k F k Z G V k V G 9 E Y X R h T W 9 k Z W w 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L 1 N 0 Y W J s Z U V u d H J p Z X M + P C 9 J d G V t P j x J d G V t P j x J d G V t T G 9 j Y X R p b 2 4 + P E l 0 Z W 1 U e X B l P k Z v c m 1 1 b G E 8 L 0 l 0 Z W 1 U e X B l P j x J d G V t U G F 0 a D 5 T Z W N 0 a W 9 u M S 9 p b m R p Y V 9 z d G F m Z i 9 T b 3 V y Y 2 U 8 L 0 l 0 Z W 1 Q Y X R o P j w v S X R l b U x v Y 2 F 0 a W 9 u P j x T d G F i b G V F b n R y a W V z I C 8 + P C 9 J d G V t P j x J d G V t P j x J d G V t T G 9 j Y X R p b 2 4 + P E l 0 Z W 1 U e X B l P k Z v c m 1 1 b G E 8 L 0 l 0 Z W 1 U e X B l P j x J d G V t U G F 0 a D 5 T Z W N 0 a W 9 u M S 9 p b m R p Y V 9 z d G F m Z i 9 D a G F u Z 2 V k J T I w V H l w Z T w v S X R l b V B h d G g + P C 9 J d G V t T G 9 j Y X R p b 2 4 + P F N 0 Y W J s Z U V u d H J p Z X M g L z 4 8 L 0 l 0 Z W 0 + P E l 0 Z W 0 + P E l 0 Z W 1 M b 2 N h d G l v b j 4 8 S X R l b V R 5 c G U + R m 9 y b X V s Y T w v S X R l b V R 5 c G U + P E l 0 Z W 1 Q Y X R o P l N l Y 3 R p b 2 4 x L 2 l u Z G l h X 3 N 0 Y W Z m L 0 F k Z G V k J T I w Q 3 V z d G 9 t P C 9 J d G V t U G F 0 a D 4 8 L 0 l 0 Z W 1 M b 2 N h d G l v b j 4 8 U 3 R h Y m x l R W 5 0 c m l l c y A v P j w v S X R l b T 4 8 S X R l b T 4 8 S X R l b U x v Y 2 F 0 a W 9 u P j x J d G V t V H l w Z T 5 G b 3 J t d W x h P C 9 J d G V t V H l w Z T 4 8 S X R l b V B h d G g + U 2 V j d G l v b j E v a W 5 k a W F f c 3 R h Z m Y v U m V t b 3 Z l Z C U y M E N v b H V t b n M 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2 l u Z G l h X 3 N 0 Y W Z m L 0 F k Z G V k J T I w Q 3 V z d G 9 t M T w v S X R l b V B h d G g + P C 9 J d G V t T G 9 j Y X R p b 2 4 + P F N 0 Y W J s Z U V u d H J p Z X M g L z 4 8 L 0 l 0 Z W 0 + P E l 0 Z W 0 + P E l 0 Z W 1 M b 2 N h d G l v b j 4 8 S X R l b V R 5 c G U + R m 9 y b X V s Y T w v S X R l b V R 5 c G U + P E l 0 Z W 1 Q Y X R o P l N l Y 3 R p b 2 4 x L 3 N 0 Y W Z 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w O S 0 y M V Q x M z o x N z o z O S 4 4 N D M w N j M 5 W i I g L z 4 8 R W 5 0 c n k g V H l w Z T 0 i R m l s b E N v b H V t b l R 5 c G V z I i B W Y W x 1 Z T 0 i c 0 J n W U Z B Q W t H Q l F B P S I g L z 4 8 R W 5 0 c n k g V H l w Z T 0 i R m l s b E N v b H V t b k 5 h b W V z I i B W Y W x 1 Z T 0 i c 1 s m c X V v d D t O Y W 1 l J n F 1 b 3 Q 7 L C Z x d W 9 0 O 0 d l b m R l c i Z x d W 9 0 O y w m c X V v d D t B Z 2 U m c X V v d D s s J n F 1 b 3 Q 7 U m F 0 a W 5 n J n F 1 b 3 Q 7 L C Z x d W 9 0 O 0 R h d G U g S m 9 p b m V k J n F 1 b 3 Q 7 L C Z x d W 9 0 O 0 R l c G F y d G 1 l b n Q m c X V v d D s s J n F 1 b 3 Q 7 U 2 F s Y X J 5 J n F 1 b 3 Q 7 L C Z x d W 9 0 O 0 N v d W 5 0 c n k m c X V v d D t d I i A v P j x F b n R y e S B U e X B l P S J G a W x s U 3 R h d H V z I i B W Y W x 1 Z T 0 i c 0 N v b X B s Z X R l I i A v P j x F b n R y e S B U e X B l P S J S Z W x h d G l v b n N o a X B J b m Z v Q 2 9 u d G F p b m V y I i B W Y W x 1 Z T 0 i c 3 s m c X V v d D t j b 2 x 1 b W 5 D b 3 V u d C Z x d W 9 0 O z o 4 L C Z x d W 9 0 O 2 t l e U N v b H V t b k 5 h b W V z J n F 1 b 3 Q 7 O l s m c X V v d D t O Y W 1 l J n F 1 b 3 Q 7 X S w m c X V v d D t x d W V y e V J l b G F 0 a W 9 u c 2 h p c H M m c X V v d D s 6 W 1 0 s J n F 1 b 3 Q 7 Y 2 9 s d W 1 u S W R l b n R p d G l l c y Z x d W 9 0 O z p b J n F 1 b 3 Q 7 U 2 V j d G l v b j E v c 3 R h Z m Y v U 2 9 1 c m N l L n t O Y W 1 l L D B 9 J n F 1 b 3 Q 7 L C Z x d W 9 0 O 1 N l Y 3 R p b 2 4 x L 3 N 0 Y W Z m L 1 J l c G x h Y 2 V k I F Z h b H V l L n t H Z W 5 k Z X I s M X 0 m c X V v d D s s J n F 1 b 3 Q 7 U 2 V j d G l v b j E v c 3 R h Z m Y v U 2 9 1 c m N l L n t B Z 2 U s M n 0 m c X V v d D s s J n F 1 b 3 Q 7 U 2 V j d G l v b j E v c 3 R h Z m Y v U 2 9 1 c m N l L n t S Y X R p b m c s M 3 0 m c X V v d D s s J n F 1 b 3 Q 7 U 2 V j d G l v b j E v c 3 R h Z m Y v Q 2 h h b m d l Z C B U e X B l L n t E Y X R l I E p v a W 5 l Z C w 0 f S Z x d W 9 0 O y w m c X V v d D t T Z W N 0 a W 9 u M S 9 z d G F m Z i 9 T b 3 V y Y 2 U u e 0 R l c G F y d G 1 l b n Q s N X 0 m c X V v d D s s J n F 1 b 3 Q 7 U 2 V j d G l v b j E v c 3 R h Z m Y v U 2 9 1 c m N l L n t T Y W x h c n k s N n 0 m c X V v d D s s J n F 1 b 3 Q 7 U 2 V j d G l v b j E v c 3 R h Z m Y v U 2 9 1 c m N l L n t D b 3 V u d H J 5 L D d 9 J n F 1 b 3 Q 7 X S w m c X V v d D t D b 2 x 1 b W 5 D b 3 V u d C Z x d W 9 0 O z o 4 L C Z x d W 9 0 O 0 t l e U N v b H V t b k 5 h b W V z J n F 1 b 3 Q 7 O l s m c X V v d D t O Y W 1 l J n F 1 b 3 Q 7 X S w m c X V v d D t D b 2 x 1 b W 5 J Z G V u d G l 0 a W V z J n F 1 b 3 Q 7 O l s m c X V v d D t T Z W N 0 a W 9 u M S 9 z d G F m Z i 9 T b 3 V y Y 2 U u e 0 5 h b W U s M H 0 m c X V v d D s s J n F 1 b 3 Q 7 U 2 V j d G l v b j E v c 3 R h Z m Y v U m V w b G F j Z W Q g V m F s d W U u e 0 d l b m R l c i w x f S Z x d W 9 0 O y w m c X V v d D t T Z W N 0 a W 9 u M S 9 z d G F m Z i 9 T b 3 V y Y 2 U u e 0 F n Z S w y f S Z x d W 9 0 O y w m c X V v d D t T Z W N 0 a W 9 u M S 9 z d G F m Z i 9 T b 3 V y Y 2 U u e 1 J h d G l u Z y w z f S Z x d W 9 0 O y w m c X V v d D t T Z W N 0 a W 9 u M S 9 z d G F m Z i 9 D a G F u Z 2 V k I F R 5 c G U u e 0 R h d G U g S m 9 p b m V k L D R 9 J n F 1 b 3 Q 7 L C Z x d W 9 0 O 1 N l Y 3 R p b 2 4 x L 3 N 0 Y W Z m L 1 N v d X J j Z S 5 7 R G V w Y X J 0 b W V u d C w 1 f S Z x d W 9 0 O y w m c X V v d D t T Z W N 0 a W 9 u M S 9 z d G F m Z i 9 T b 3 V y Y 2 U u e 1 N h b G F y e S w 2 f S Z x d W 9 0 O y w m c X V v d D t T Z W N 0 a W 9 u M S 9 z d G F m Z i 9 T b 3 V y Y 2 U u e 0 N v d W 5 0 c n k s N 3 0 m c X V v d D t d L C Z x d W 9 0 O 1 J l b G F 0 a W 9 u c 2 h p c E l u Z m 8 m c X V v d D s 6 W 1 1 9 I i A v P j x F b n R y e S B U e X B l P S J S Z W N v d m V y e V R h c m d l d F N o Z W V 0 I i B W Y W x 1 Z T 0 i c 0 F M T C B z d G F m Z i I g L z 4 8 R W 5 0 c n k g V H l w Z T 0 i U m V j b 3 Z l c n l U Y X J n Z X R D b 2 x 1 b W 4 i I F Z h b H V l P S J s N i I g L z 4 8 R W 5 0 c n k g V H l w Z T 0 i U m V j b 3 Z l c n l U Y X J n Z X R S b 3 c i I F Z h b H V l P S J s M T c i I C 8 + P E V u d H J 5 I F R 5 c G U 9 I k Z p b G x U Y X J n Z X Q i I F Z h b H V l P S J z c 3 R h Z m Y i I C 8 + P E V u d H J 5 I F R 5 c G U 9 I l F 1 Z X J 5 S U Q i I F Z h b H V l P S J z N j h i Y 2 I 1 Y T c t M m Q x Z S 0 0 N j F h L T g 4 N D k t M W Q 2 N D d m O D M 3 N T E x I i A v P j w v U 3 R h Y m x l R W 5 0 c m l l c z 4 8 L 0 l 0 Z W 0 + P E l 0 Z W 0 + P E l 0 Z W 1 M b 2 N h d G l v b j 4 8 S X R l b V R 5 c G U + R m 9 y b X V s Y T w v S X R l b V R 5 c G U + P E l 0 Z W 1 Q Y X R o P l N l Y 3 R p b 2 4 x L 3 N 0 Y W Z m L 1 N v d X J j Z T w v S X R l b V B h d G g + P C 9 J d G V t T G 9 j Y X R p b 2 4 + P F N 0 Y W J s Z U V u d H J p Z X M g L z 4 8 L 0 l 0 Z W 0 + P E l 0 Z W 0 + P E l 0 Z W 1 M b 2 N h d G l v b j 4 8 S X R l b V R 5 c G U + R m 9 y b X V s Y T w v S X R l b V R 5 c G U + P E l 0 Z W 1 Q Y X R o P l N l Y 3 R p b 2 4 x L 3 N 0 Y W Z m L 1 J l b W 9 2 Z W Q l M j B E d X B s a W N h d G V z P C 9 J d G V t U G F 0 a D 4 8 L 0 l 0 Z W 1 M b 2 N h d G l v b j 4 8 U 3 R h Y m x l R W 5 0 c m l l c y A v P j w v S X R l b T 4 8 S X R l b T 4 8 S X R l b U x v Y 2 F 0 a W 9 u P j x J d G V t V H l w Z T 5 G b 3 J t d W x h P C 9 J d G V t V H l w Z T 4 8 S X R l b V B h d G g + U 2 V j d G l v b j E v c 3 R h Z m Y v U m V w b G F j Z W Q l M j B W Y W x 1 Z T w v S X R l b V B h d G g + P C 9 J d G V t T G 9 j Y X R p b 2 4 + P F N 0 Y W J s Z U V u d H J p Z X M g L z 4 8 L 0 l 0 Z W 0 + P E l 0 Z W 0 + P E l 0 Z W 1 M b 2 N h d G l v b j 4 8 S X R l b V R 5 c G U + R m 9 y b X V s Y T w v S X R l b V R 5 c G U + P E l 0 Z W 1 Q Y X R o P l N l Y 3 R p b 2 4 x L 3 N 0 Y W Z m L 0 Z p b H R l c m V k J T I w U m 9 3 c z w v S X R l b V B h d G g + P C 9 J d G V t T G 9 j Y X R p b 2 4 + P F N 0 Y W J s Z U V u d H J p Z X M g L z 4 8 L 0 l 0 Z W 0 + P E l 0 Z W 0 + P E l 0 Z W 1 M b 2 N h d G l v b j 4 8 S X R l b V R 5 c G U + R m 9 y b X V s Y T w v S X R l b V R 5 c G U + P E l 0 Z W 1 Q Y X R o P l N l Y 3 R p b 2 4 x L 3 N 0 Y W Z m L 0 N o Y W 5 n Z W Q l M j B U e X B l P C 9 J d G V t U G F 0 a D 4 8 L 0 l 0 Z W 1 M b 2 N h d G l v b j 4 8 U 3 R h Y m x l R W 5 0 c m l l c y A v P j w v S X R l b T 4 8 L 0 l 0 Z W 1 z P j w v T G 9 j Y W x Q Y W N r Y W d l T W V 0 Y W R h d G F G a W x l P h Y A A A B Q S w U G A A A A A A A A A A A A A A A A A A A A A A A A J g E A A A E A A A D Q j J 3 f A R X R E Y x 6 A M B P w p f r A Q A A A L 9 p 4 t Q m X v 9 G q 1 3 v 3 Z / 2 8 L g A A A A A A g A A A A A A E G Y A A A A B A A A g A A A A o o C H N h D A B u N C j d 9 r p 0 F a f + K X Z i o + J r F O H K R M 1 J k n 8 Q k A A A A A D o A A A A A C A A A g A A A A d U b / b A s + u g V y 4 0 j K C c / l R D Y X i T v 4 1 W z v + K f m Q E G t r j 1 Q A A A A I h e W s W p Y N 3 a + a e L o c w Q p 0 m P l O B G r 7 m q U n y N i U P c y i h R P n W C k e 0 D q 3 Y 7 9 V v h g S T p y x j n q B s q Q M G W y n p 7 N 6 y 2 A 1 5 q m F e j O K k z Z Q 4 j l 9 4 p q O h 9 A A A A A d B M v W E t u 8 i G q 8 x Z W I T 8 m U X u d 9 4 h B z V I F L m l j 4 5 2 p x H G J k U o e 1 Y f N z Z h e U u m 6 K p w N t m 2 7 Q H Y f x g D 5 G d 3 l v 5 i j u Q = = < / D a t a M a s h u p > 
</file>

<file path=customXml/itemProps1.xml><?xml version="1.0" encoding="utf-8"?>
<ds:datastoreItem xmlns:ds="http://schemas.openxmlformats.org/officeDocument/2006/customXml" ds:itemID="{9587959A-CBD0-4399-8028-E24AC281E0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India Staff</vt:lpstr>
      <vt:lpstr>Sheet2</vt:lpstr>
      <vt:lpstr>ALL staff</vt:lpstr>
      <vt:lpstr>Dash Board</vt:lpstr>
      <vt:lpstr>Salary Spread</vt:lpstr>
      <vt:lpstr>Hiring Rates</vt:lpstr>
      <vt:lpstr>Salary vs Rating</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Arnold Chris</cp:lastModifiedBy>
  <dcterms:created xsi:type="dcterms:W3CDTF">2021-03-14T20:21:32Z</dcterms:created>
  <dcterms:modified xsi:type="dcterms:W3CDTF">2023-09-21T19:36:14Z</dcterms:modified>
</cp:coreProperties>
</file>